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omments1.xml" ContentType="application/vnd.openxmlformats-officedocument.spreadsheetml.comments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trlProps/ctrlProp2.xml" ContentType="application/vnd.ms-excel.controlproperties+xml"/>
  <Override PartName="/xl/drawings/drawing12.xml" ContentType="application/vnd.openxmlformats-officedocument.drawing+xml"/>
  <Override PartName="/xl/comments2.xml" ContentType="application/vnd.openxmlformats-officedocument.spreadsheetml.comments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EstaPasta_de_trabalho"/>
  <mc:AlternateContent xmlns:mc="http://schemas.openxmlformats.org/markup-compatibility/2006">
    <mc:Choice Requires="x15">
      <x15ac:absPath xmlns:x15ac="http://schemas.microsoft.com/office/spreadsheetml/2010/11/ac" url="https://d.docs.live.net/0364cf81725f933f/Área de Trabalho/Ana silva/Moises/"/>
    </mc:Choice>
  </mc:AlternateContent>
  <xr:revisionPtr revIDLastSave="127" documentId="13_ncr:1_{9D9D45F6-8E75-4B53-ACD8-35D399EDDDF7}" xr6:coauthVersionLast="47" xr6:coauthVersionMax="47" xr10:uidLastSave="{D9310EA4-A494-487A-98E6-732F6F930859}"/>
  <bookViews>
    <workbookView xWindow="-108" yWindow="-108" windowWidth="23256" windowHeight="13896" tabRatio="792" firstSheet="3" activeTab="9" xr2:uid="{00000000-000D-0000-FFFF-FFFF00000000}"/>
  </bookViews>
  <sheets>
    <sheet name="Quadro de Areas" sheetId="40" state="hidden" r:id="rId1"/>
    <sheet name="02. Orçamento RASO" sheetId="26" state="hidden" r:id="rId2"/>
    <sheet name="02. Orçamento - opção troca pis" sheetId="35" state="hidden" r:id="rId3"/>
    <sheet name="01. Resumo Final" sheetId="42" r:id="rId4"/>
    <sheet name="02. Dados Gerais" sheetId="47" state="hidden" r:id="rId5"/>
    <sheet name="03. Quadro de Áreas" sheetId="48" state="hidden" r:id="rId6"/>
    <sheet name="02. Orçamento" sheetId="41" r:id="rId7"/>
    <sheet name="03. Insumos" sheetId="24" state="hidden" r:id="rId8"/>
    <sheet name="04. Histograma MO" sheetId="45" r:id="rId9"/>
    <sheet name="Consideraçoes" sheetId="49" r:id="rId10"/>
    <sheet name="05. Histograma Equip" sheetId="46" state="hidden" r:id="rId11"/>
    <sheet name="06. Controle de Premissas" sheetId="20" state="hidden" r:id="rId12"/>
    <sheet name="Planilha1" sheetId="43" state="hidden" r:id="rId13"/>
    <sheet name="Comparativo" sheetId="34" state="hidden" r:id="rId14"/>
    <sheet name="07. Lista de Projetos" sheetId="44" state="hidden" r:id="rId15"/>
    <sheet name="Quadro de áreas" sheetId="33" state="hidden" r:id="rId16"/>
    <sheet name="Cronograma Financeiro" sheetId="29" state="hidden" r:id="rId17"/>
    <sheet name="02. Orçamento com BDI (2)" sheetId="27" state="hidden" r:id="rId18"/>
    <sheet name="02. Orçamento total sem BDI op1" sheetId="30" state="hidden" r:id="rId19"/>
    <sheet name="05. Histograma MO" sheetId="13" state="hidden" r:id="rId20"/>
    <sheet name="Comparativo de Orçamento" sheetId="32" state="hidden" r:id="rId21"/>
    <sheet name="Área equivalente" sheetId="25" state="hidden" r:id="rId22"/>
  </sheets>
  <definedNames>
    <definedName name="_Fill" localSheetId="3" hidden="1">#REF!</definedName>
    <definedName name="_Fill" localSheetId="17" hidden="1">#REF!</definedName>
    <definedName name="_Fill" localSheetId="1" hidden="1">#REF!</definedName>
    <definedName name="_Fill" localSheetId="11" hidden="1">#REF!</definedName>
    <definedName name="_Fill" localSheetId="14" hidden="1">#REF!</definedName>
    <definedName name="_Fill" localSheetId="16" hidden="1">#REF!</definedName>
    <definedName name="_Fill" hidden="1">#REF!</definedName>
    <definedName name="_xlnm._FilterDatabase" localSheetId="6" hidden="1">'02. Orçamento'!$B$5:$L$1350</definedName>
    <definedName name="_xlnm._FilterDatabase" localSheetId="2" hidden="1">'02. Orçamento - opção troca pis'!$A$7:$P$628</definedName>
    <definedName name="_xlnm._FilterDatabase" localSheetId="17" hidden="1">'02. Orçamento com BDI (2)'!$A$7:$P$904</definedName>
    <definedName name="_xlnm._FilterDatabase" localSheetId="1" hidden="1">'02. Orçamento RASO'!$A$7:$P$819</definedName>
    <definedName name="_xlnm._FilterDatabase" localSheetId="18" hidden="1">'02. Orçamento total sem BDI op1'!$A$7:$P$929</definedName>
    <definedName name="_xlnm._FilterDatabase" localSheetId="7" hidden="1">'03. Insumos'!$A$3:$J$3371</definedName>
    <definedName name="_xlnm._FilterDatabase" localSheetId="5" hidden="1">'03. Quadro de Áreas'!$A$9:$A$117</definedName>
    <definedName name="_xlnm._FilterDatabase" localSheetId="14" hidden="1">'07. Lista de Projetos'!$B$5:$E$195</definedName>
    <definedName name="_Order1" hidden="1">0</definedName>
    <definedName name="_Order2" hidden="1">0</definedName>
    <definedName name="aaa" localSheetId="3">#REF!</definedName>
    <definedName name="aaa" localSheetId="17">#REF!</definedName>
    <definedName name="aaa" localSheetId="1">#REF!</definedName>
    <definedName name="aaa" localSheetId="11">#REF!</definedName>
    <definedName name="aaa" localSheetId="14">#REF!</definedName>
    <definedName name="aaa" localSheetId="16">#REF!</definedName>
    <definedName name="aaa">#REF!</definedName>
    <definedName name="aaaaa" localSheetId="3">#REF!</definedName>
    <definedName name="aaaaa" localSheetId="17">#REF!</definedName>
    <definedName name="aaaaa" localSheetId="1">#REF!</definedName>
    <definedName name="aaaaa" localSheetId="11">#REF!</definedName>
    <definedName name="aaaaa" localSheetId="14">#REF!</definedName>
    <definedName name="aaaaa" localSheetId="16">#REF!</definedName>
    <definedName name="aaaaa">#REF!</definedName>
    <definedName name="ADMINISTRAÇÃO" localSheetId="3">#REF!</definedName>
    <definedName name="ADMINISTRAÇÃO" localSheetId="14">#REF!</definedName>
    <definedName name="ADMINISTRAÇÃO" localSheetId="16">#REF!</definedName>
    <definedName name="ADMINISTRAÇÃO">#REF!</definedName>
    <definedName name="_xlnm.Print_Area" localSheetId="3">'01. Resumo Final'!$A$1:$G$57</definedName>
    <definedName name="_xlnm.Print_Area" localSheetId="4">'02. Dados Gerais'!$A$1:$G$41</definedName>
    <definedName name="_xlnm.Print_Area" localSheetId="6">'02. Orçamento'!$B$1:$L$1349</definedName>
    <definedName name="_xlnm.Print_Area" localSheetId="2">'02. Orçamento - opção troca pis'!$B$1:$L$638</definedName>
    <definedName name="_xlnm.Print_Area" localSheetId="17">'02. Orçamento com BDI (2)'!$B$1:$L$901</definedName>
    <definedName name="_xlnm.Print_Area" localSheetId="1">'02. Orçamento RASO'!$B$1:$L$816</definedName>
    <definedName name="_xlnm.Print_Area" localSheetId="18">'02. Orçamento total sem BDI op1'!$B$1:$L$938</definedName>
    <definedName name="_xlnm.Print_Area" localSheetId="5">'03. Quadro de Áreas'!#REF!</definedName>
    <definedName name="_xlnm.Print_Area" localSheetId="8">'04. Histograma MO'!$A$1:$CF$47</definedName>
    <definedName name="_xlnm.Print_Area" localSheetId="10">'05. Histograma Equip'!$A$6:$Z$18</definedName>
    <definedName name="_xlnm.Print_Area" localSheetId="19">'05. Histograma MO'!$A$1:$U$19</definedName>
    <definedName name="_xlnm.Print_Area" localSheetId="11">'06. Controle de Premissas'!$B$1:$D$30</definedName>
    <definedName name="_xlnm.Print_Area" localSheetId="14">'07. Lista de Projetos'!$B$1:$E$195</definedName>
    <definedName name="_xlnm.Print_Area" localSheetId="16">'Cronograma Financeiro'!$G$8:$U$42</definedName>
    <definedName name="_xlnm.Print_Area" localSheetId="0">'Quadro de Areas'!$A$1:$O$34</definedName>
    <definedName name="_xlnm.Print_Area" localSheetId="15">'Quadro de áreas'!$B$2:$K$34</definedName>
    <definedName name="_xlnm.Print_Area">#REF!</definedName>
    <definedName name="ATC" localSheetId="14">#REF!</definedName>
    <definedName name="ATC">#REF!</definedName>
    <definedName name="BANCO1" localSheetId="3">#REF!</definedName>
    <definedName name="BANCO1" localSheetId="17">#REF!</definedName>
    <definedName name="BANCO1" localSheetId="1">#REF!</definedName>
    <definedName name="BANCO1" localSheetId="11">#REF!</definedName>
    <definedName name="BANCO1" localSheetId="14">#REF!</definedName>
    <definedName name="BANCO1" localSheetId="16">#REF!</definedName>
    <definedName name="BANCO1">#REF!</definedName>
    <definedName name="BANCO2" localSheetId="3">#REF!</definedName>
    <definedName name="BANCO2" localSheetId="17">#REF!</definedName>
    <definedName name="BANCO2" localSheetId="1">#REF!</definedName>
    <definedName name="BANCO2" localSheetId="11">#REF!</definedName>
    <definedName name="BANCO2" localSheetId="14">#REF!</definedName>
    <definedName name="BANCO2" localSheetId="16">#REF!</definedName>
    <definedName name="BANCO2">#REF!</definedName>
    <definedName name="BANCO3" localSheetId="3">#REF!</definedName>
    <definedName name="BANCO3" localSheetId="17">#REF!</definedName>
    <definedName name="BANCO3" localSheetId="1">#REF!</definedName>
    <definedName name="BANCO3" localSheetId="11">#REF!</definedName>
    <definedName name="BANCO3" localSheetId="14">#REF!</definedName>
    <definedName name="BANCO3" localSheetId="16">#REF!</definedName>
    <definedName name="BANCO3">#REF!</definedName>
    <definedName name="BANCO4" localSheetId="3">#REF!</definedName>
    <definedName name="BANCO4" localSheetId="17">#REF!</definedName>
    <definedName name="BANCO4" localSheetId="1">#REF!</definedName>
    <definedName name="BANCO4" localSheetId="11">#REF!</definedName>
    <definedName name="BANCO4" localSheetId="16">#REF!</definedName>
    <definedName name="BANCO4">#REF!</definedName>
    <definedName name="BASE" localSheetId="3">OFFSET(#REF!,0,0,COUNTA(#REF!)+1,5)</definedName>
    <definedName name="BASE" localSheetId="17">OFFSET(#REF!,0,0,COUNTA(#REF!)+1,5)</definedName>
    <definedName name="BASE" localSheetId="1">OFFSET(#REF!,0,0,COUNTA(#REF!)+1,5)</definedName>
    <definedName name="BASE" localSheetId="11">OFFSET(#REF!,0,0,COUNTA(#REF!)+1,5)</definedName>
    <definedName name="BASE" localSheetId="14">OFFSET(#REF!,0,0,COUNTA(#REF!)+1,5)</definedName>
    <definedName name="BASE" localSheetId="16">OFFSET(#REF!,0,0,COUNTA(#REF!)+1,5)</definedName>
    <definedName name="BASE">OFFSET(#REF!,0,0,COUNTA(#REF!)+1,5)</definedName>
    <definedName name="CAUX2" localSheetId="3">OFFSET(#REF!,0,0,COUNTA(#REF!)+1,1)</definedName>
    <definedName name="CAUX2" localSheetId="17">OFFSET(#REF!,0,0,COUNTA(#REF!)+1,1)</definedName>
    <definedName name="CAUX2" localSheetId="1">OFFSET(#REF!,0,0,COUNTA(#REF!)+1,1)</definedName>
    <definedName name="CAUX2" localSheetId="11">OFFSET(#REF!,0,0,COUNTA(#REF!)+1,1)</definedName>
    <definedName name="CAUX2" localSheetId="16">OFFSET(#REF!,0,0,COUNTA(#REF!)+1,1)</definedName>
    <definedName name="CAUX2">OFFSET(#REF!,0,0,COUNTA(#REF!)+1,1)</definedName>
    <definedName name="CAUX3" localSheetId="3">OFFSET(#REF!,0,0,COUNTA(#REF!)+1,1)</definedName>
    <definedName name="CAUX3" localSheetId="17">OFFSET(#REF!,0,0,COUNTA(#REF!)+1,1)</definedName>
    <definedName name="CAUX3" localSheetId="1">OFFSET(#REF!,0,0,COUNTA(#REF!)+1,1)</definedName>
    <definedName name="CAUX3" localSheetId="11">OFFSET(#REF!,0,0,COUNTA(#REF!)+1,1)</definedName>
    <definedName name="CAUX3" localSheetId="16">OFFSET(#REF!,0,0,COUNTA(#REF!)+1,1)</definedName>
    <definedName name="CAUX3">OFFSET(#REF!,0,0,COUNTA(#REF!)+1,1)</definedName>
    <definedName name="CÓD.ÍND" localSheetId="3">OFFSET(#REF!,0,0,1,COUNTA(#REF!))</definedName>
    <definedName name="CÓD.ÍND" localSheetId="14">OFFSET(#REF!,0,0,1,COUNTA(#REF!))</definedName>
    <definedName name="CÓD.ÍND" localSheetId="16">OFFSET(#REF!,0,0,1,COUNTA(#REF!))</definedName>
    <definedName name="CÓD.ÍND">OFFSET(#REF!,0,0,1,COUNTA(#REF!))</definedName>
    <definedName name="CÓDG" localSheetId="3">OFFSET(#REF!,0,0,COUNTA(#REF!),1)</definedName>
    <definedName name="CÓDG" localSheetId="17">OFFSET(#REF!,0,0,COUNTA(#REF!),1)</definedName>
    <definedName name="CÓDG" localSheetId="1">OFFSET(#REF!,0,0,COUNTA(#REF!),1)</definedName>
    <definedName name="CÓDG" localSheetId="11">OFFSET(#REF!,0,0,COUNTA(#REF!),1)</definedName>
    <definedName name="CÓDG" localSheetId="14">OFFSET(#REF!,0,0,COUNTA(#REF!),1)</definedName>
    <definedName name="CÓDG" localSheetId="16">OFFSET(#REF!,0,0,COUNTA(#REF!),1)</definedName>
    <definedName name="CÓDG">OFFSET(#REF!,0,0,COUNTA(#REF!),1)</definedName>
    <definedName name="CÓDT" localSheetId="3">OFFSET(#REF!,0,0,COUNTA(#REF!)+1,1)</definedName>
    <definedName name="CÓDT" localSheetId="17">OFFSET(#REF!,0,0,COUNTA(#REF!)+1,1)</definedName>
    <definedName name="CÓDT" localSheetId="1">OFFSET(#REF!,0,0,COUNTA(#REF!)+1,1)</definedName>
    <definedName name="CÓDT" localSheetId="11">OFFSET(#REF!,0,0,COUNTA(#REF!)+1,1)</definedName>
    <definedName name="CÓDT" localSheetId="14">OFFSET(#REF!,0,0,COUNTA(#REF!)+1,1)</definedName>
    <definedName name="CÓDT" localSheetId="16">OFFSET(#REF!,0,0,COUNTA(#REF!)+1,1)</definedName>
    <definedName name="CÓDT">OFFSET(#REF!,0,0,COUNTA(#REF!)+1,1)</definedName>
    <definedName name="CUSTO" localSheetId="3">#REF!</definedName>
    <definedName name="CUSTO" localSheetId="14">#REF!</definedName>
    <definedName name="CUSTO" localSheetId="16">#REF!</definedName>
    <definedName name="CUSTO">#REF!</definedName>
    <definedName name="DATA1" localSheetId="3">#REF!</definedName>
    <definedName name="DATA1" localSheetId="17">#REF!</definedName>
    <definedName name="DATA1" localSheetId="1">#REF!</definedName>
    <definedName name="DATA1" localSheetId="11">#REF!</definedName>
    <definedName name="DATA1" localSheetId="14">#REF!</definedName>
    <definedName name="DATA1" localSheetId="16">#REF!</definedName>
    <definedName name="DATA1">#REF!</definedName>
    <definedName name="DATA3" localSheetId="3">#REF!</definedName>
    <definedName name="DATA3" localSheetId="17">#REF!</definedName>
    <definedName name="DATA3" localSheetId="1">#REF!</definedName>
    <definedName name="DATA3" localSheetId="11">#REF!</definedName>
    <definedName name="DATA3" localSheetId="14">#REF!</definedName>
    <definedName name="DATA3" localSheetId="16">#REF!</definedName>
    <definedName name="DATA3">#REF!</definedName>
    <definedName name="DATA4" localSheetId="3">#REF!</definedName>
    <definedName name="DATA4" localSheetId="17">#REF!</definedName>
    <definedName name="DATA4" localSheetId="1">#REF!</definedName>
    <definedName name="DATA4" localSheetId="11">#REF!</definedName>
    <definedName name="DATA4" localSheetId="14">#REF!</definedName>
    <definedName name="DATA4" localSheetId="16">#REF!</definedName>
    <definedName name="DATA4">#REF!</definedName>
    <definedName name="DATA6" localSheetId="3">#REF!</definedName>
    <definedName name="DATA6" localSheetId="17">#REF!</definedName>
    <definedName name="DATA6" localSheetId="1">#REF!</definedName>
    <definedName name="DATA6" localSheetId="11">#REF!</definedName>
    <definedName name="DATA6" localSheetId="14">#REF!</definedName>
    <definedName name="DATA6" localSheetId="16">#REF!</definedName>
    <definedName name="DATA6">#REF!</definedName>
    <definedName name="EE_EDIFICIO" localSheetId="3">#REF!</definedName>
    <definedName name="EE_EDIFICIO" localSheetId="14">#REF!</definedName>
    <definedName name="EE_EDIFICIO" localSheetId="16">#REF!</definedName>
    <definedName name="EE_EDIFICIO">#REF!</definedName>
    <definedName name="FACULDADE" localSheetId="3">#REF!</definedName>
    <definedName name="FACULDADE" localSheetId="17">#REF!</definedName>
    <definedName name="FACULDADE" localSheetId="1">#REF!</definedName>
    <definedName name="FACULDADE" localSheetId="11">#REF!</definedName>
    <definedName name="FACULDADE" localSheetId="14">#REF!</definedName>
    <definedName name="FACULDADE" localSheetId="16">#REF!</definedName>
    <definedName name="FACULDADE">#REF!</definedName>
    <definedName name="GRUP.ÍND" localSheetId="3">OFFSET(#REF!,0,0,COUNTA(#REF!)-2,1)</definedName>
    <definedName name="GRUP.ÍND" localSheetId="14">OFFSET(#REF!,0,0,COUNTA(#REF!)-2,1)</definedName>
    <definedName name="GRUP.ÍND" localSheetId="16">OFFSET(#REF!,0,0,COUNTA(#REF!)-2,1)</definedName>
    <definedName name="GRUP.ÍND">OFFSET(#REF!,0,0,COUNTA(#REF!)-2,1)</definedName>
    <definedName name="HOTEL" localSheetId="3">#REF!</definedName>
    <definedName name="HOTEL" localSheetId="17">#REF!</definedName>
    <definedName name="HOTEL" localSheetId="1">#REF!</definedName>
    <definedName name="HOTEL" localSheetId="11">#REF!</definedName>
    <definedName name="HOTEL" localSheetId="14">#REF!</definedName>
    <definedName name="HOTEL" localSheetId="16">#REF!</definedName>
    <definedName name="HOTEL">#REF!</definedName>
    <definedName name="INCC" localSheetId="3">#REF!</definedName>
    <definedName name="INCC" localSheetId="17">#REF!</definedName>
    <definedName name="INCC" localSheetId="1">#REF!</definedName>
    <definedName name="INCC" localSheetId="11">#REF!</definedName>
    <definedName name="INCC" localSheetId="14">#REF!</definedName>
    <definedName name="INCC" localSheetId="16">#REF!</definedName>
    <definedName name="INCC">#REF!</definedName>
    <definedName name="indiccccccccccccc" localSheetId="3">#REF!</definedName>
    <definedName name="indiccccccccccccc" localSheetId="17">#REF!</definedName>
    <definedName name="indiccccccccccccc" localSheetId="1">#REF!</definedName>
    <definedName name="indiccccccccccccc" localSheetId="11">#REF!</definedName>
    <definedName name="indiccccccccccccc" localSheetId="14">#REF!</definedName>
    <definedName name="indiccccccccccccc" localSheetId="16">#REF!</definedName>
    <definedName name="indiccccccccccccc">#REF!</definedName>
    <definedName name="INSU" localSheetId="3">OFFSET(#REF!,0,0,COUNTA(#REF!),1)</definedName>
    <definedName name="INSU" localSheetId="17">OFFSET(#REF!,0,0,COUNTA(#REF!),1)</definedName>
    <definedName name="INSU" localSheetId="1">OFFSET(#REF!,0,0,COUNTA(#REF!),1)</definedName>
    <definedName name="INSU" localSheetId="11">OFFSET(#REF!,0,0,COUNTA(#REF!),1)</definedName>
    <definedName name="INSU" localSheetId="14">OFFSET(#REF!,0,0,COUNTA(#REF!),1)</definedName>
    <definedName name="INSU" localSheetId="16">OFFSET(#REF!,0,0,COUNTA(#REF!),1)</definedName>
    <definedName name="INSU">OFFSET(#REF!,0,0,COUNTA(#REF!),1)</definedName>
    <definedName name="INSUMOS" localSheetId="3">OFFSET(#REF!,0,0,COUNTA(#REF!),7)</definedName>
    <definedName name="INSUMOS" localSheetId="17">OFFSET(#REF!,0,0,COUNTA(#REF!),7)</definedName>
    <definedName name="INSUMOS" localSheetId="1">OFFSET(#REF!,0,0,COUNTA(#REF!),7)</definedName>
    <definedName name="INSUMOS" localSheetId="11">OFFSET(#REF!,0,0,COUNTA(#REF!),7)</definedName>
    <definedName name="INSUMOS" localSheetId="14">OFFSET(#REF!,0,0,COUNTA(#REF!),7)</definedName>
    <definedName name="INSUMOS" localSheetId="16">OFFSET(#REF!,0,0,COUNTA(#REF!),7)</definedName>
    <definedName name="INSUMOS">OFFSET(#REF!,0,0,COUNTA(#REF!),7)</definedName>
    <definedName name="ITENS" localSheetId="3">#REF!</definedName>
    <definedName name="ITENS" localSheetId="17">#REF!</definedName>
    <definedName name="ITENS" localSheetId="1">#REF!</definedName>
    <definedName name="ITENS" localSheetId="11">#REF!</definedName>
    <definedName name="ITENS" localSheetId="14">#REF!</definedName>
    <definedName name="ITENS" localSheetId="16">#REF!</definedName>
    <definedName name="ITENS">#REF!</definedName>
    <definedName name="LIXO_CASAS" localSheetId="3">#REF!</definedName>
    <definedName name="LIXO_CASAS" localSheetId="14">#REF!</definedName>
    <definedName name="LIXO_CASAS" localSheetId="16">#REF!</definedName>
    <definedName name="LIXO_CASAS">#REF!</definedName>
    <definedName name="LIXO_EDIFICIO" localSheetId="3">#REF!</definedName>
    <definedName name="LIXO_EDIFICIO" localSheetId="14">#REF!</definedName>
    <definedName name="LIXO_EDIFICIO" localSheetId="16">#REF!</definedName>
    <definedName name="LIXO_EDIFICIO">#REF!</definedName>
    <definedName name="LOCAL" localSheetId="3">OFFSET(#REF!,0,0,COUNTA(#REF!),1)</definedName>
    <definedName name="LOCAL" localSheetId="14">OFFSET(#REF!,0,0,COUNTA(#REF!),1)</definedName>
    <definedName name="LOCAL" localSheetId="16">OFFSET(#REF!,0,0,COUNTA(#REF!),1)</definedName>
    <definedName name="LOCAL">OFFSET(#REF!,0,0,COUNTA(#REF!),1)</definedName>
    <definedName name="M.ÍND" localSheetId="3">OFFSET(#REF!,0,0,COUNTA(#REF!)-4,COUNTA(#REF!)-1)</definedName>
    <definedName name="M.ÍND" localSheetId="14">OFFSET(#REF!,0,0,COUNTA(#REF!)-4,COUNTA(#REF!)-1)</definedName>
    <definedName name="M.ÍND" localSheetId="16">OFFSET(#REF!,0,0,COUNTA(#REF!)-4,COUNTA(#REF!)-1)</definedName>
    <definedName name="M.ÍND">OFFSET(#REF!,0,0,COUNTA(#REF!)-4,COUNTA(#REF!)-1)</definedName>
    <definedName name="MESTACA" localSheetId="3">OFFSET(#REF!,0,0,1,#REF!)</definedName>
    <definedName name="MESTACA" localSheetId="14">OFFSET(#REF!,0,0,1,#REF!)</definedName>
    <definedName name="MESTACA" localSheetId="16">OFFSET(#REF!,0,0,1,#REF!)</definedName>
    <definedName name="MESTACA">OFFSET(#REF!,0,0,1,#REF!)</definedName>
    <definedName name="NOMEITEM" localSheetId="3">#REF!</definedName>
    <definedName name="NOMEITEM" localSheetId="17">#REF!</definedName>
    <definedName name="NOMEITEM" localSheetId="1">#REF!</definedName>
    <definedName name="NOMEITEM" localSheetId="11">#REF!</definedName>
    <definedName name="NOMEITEM" localSheetId="14">#REF!</definedName>
    <definedName name="NOMEITEM" localSheetId="16">#REF!</definedName>
    <definedName name="NOMEITEM">#REF!</definedName>
    <definedName name="Ponderações" localSheetId="3">#REF!</definedName>
    <definedName name="Ponderações" localSheetId="17">#REF!</definedName>
    <definedName name="Ponderações" localSheetId="1">#REF!</definedName>
    <definedName name="Ponderações" localSheetId="11">#REF!</definedName>
    <definedName name="Ponderações" localSheetId="14">#REF!</definedName>
    <definedName name="Ponderações" localSheetId="16">#REF!</definedName>
    <definedName name="Ponderações">#REF!</definedName>
    <definedName name="PORTARIA_CASAS" localSheetId="3">#REF!</definedName>
    <definedName name="PORTARIA_CASAS" localSheetId="14">#REF!</definedName>
    <definedName name="PORTARIA_CASAS" localSheetId="16">#REF!</definedName>
    <definedName name="PORTARIA_CASAS">#REF!</definedName>
    <definedName name="PORTARIA_PRÉDIOS" localSheetId="3">#REF!</definedName>
    <definedName name="PORTARIA_PRÉDIOS" localSheetId="14">#REF!</definedName>
    <definedName name="PORTARIA_PRÉDIOS" localSheetId="16">#REF!</definedName>
    <definedName name="PORTARIA_PRÉDIOS">#REF!</definedName>
    <definedName name="PREÇ" localSheetId="3">OFFSET(#REF!,0,0,COUNTA(#REF!),1)</definedName>
    <definedName name="PREÇ" localSheetId="17">OFFSET(#REF!,0,0,COUNTA(#REF!),1)</definedName>
    <definedName name="PREÇ" localSheetId="1">OFFSET(#REF!,0,0,COUNTA(#REF!),1)</definedName>
    <definedName name="PREÇ" localSheetId="11">OFFSET(#REF!,0,0,COUNTA(#REF!),1)</definedName>
    <definedName name="PREÇ" localSheetId="14">OFFSET(#REF!,0,0,COUNTA(#REF!),1)</definedName>
    <definedName name="PREÇ" localSheetId="16">OFFSET(#REF!,0,0,COUNTA(#REF!),1)</definedName>
    <definedName name="PREÇ">OFFSET(#REF!,0,0,COUNTA(#REF!),1)</definedName>
    <definedName name="PROD" localSheetId="3">OFFSET(#REF!,0,0,11,COUNTA(#REF!))</definedName>
    <definedName name="PROD" localSheetId="17">OFFSET(#REF!,0,0,11,COUNTA(#REF!))</definedName>
    <definedName name="PROD" localSheetId="1">OFFSET(#REF!,0,0,11,COUNTA(#REF!))</definedName>
    <definedName name="PROD" localSheetId="11">OFFSET(#REF!,0,0,11,COUNTA(#REF!))</definedName>
    <definedName name="PROD" localSheetId="14">OFFSET(#REF!,0,0,11,COUNTA(#REF!))</definedName>
    <definedName name="PROD" localSheetId="16">OFFSET(#REF!,0,0,11,COUNTA(#REF!))</definedName>
    <definedName name="PROD">OFFSET(#REF!,0,0,11,COUNTA(#REF!))</definedName>
    <definedName name="PSCASA_A" localSheetId="3">#REF!</definedName>
    <definedName name="PSCASA_A" localSheetId="14">#REF!</definedName>
    <definedName name="PSCASA_A" localSheetId="16">#REF!</definedName>
    <definedName name="PSCASA_A">#REF!</definedName>
    <definedName name="PSCASA_B" localSheetId="3">#REF!</definedName>
    <definedName name="PSCASA_B" localSheetId="14">#REF!</definedName>
    <definedName name="PSCASA_B" localSheetId="16">#REF!</definedName>
    <definedName name="PSCASA_B">#REF!</definedName>
    <definedName name="PSCASA_C" localSheetId="3">#REF!</definedName>
    <definedName name="PSCASA_C" localSheetId="14">#REF!</definedName>
    <definedName name="PSCASA_C" localSheetId="16">#REF!</definedName>
    <definedName name="PSCASA_C">#REF!</definedName>
    <definedName name="PSCASA_D" localSheetId="3">#REF!</definedName>
    <definedName name="PSCASA_D" localSheetId="14">#REF!</definedName>
    <definedName name="PSCASA_D" localSheetId="16">#REF!</definedName>
    <definedName name="PSCASA_D">#REF!</definedName>
    <definedName name="PSCASA_E" localSheetId="3">#REF!</definedName>
    <definedName name="PSCASA_E" localSheetId="14">#REF!</definedName>
    <definedName name="PSCASA_E" localSheetId="16">#REF!</definedName>
    <definedName name="PSCASA_E">#REF!</definedName>
    <definedName name="PSCASA_F" localSheetId="3">#REF!</definedName>
    <definedName name="PSCASA_F" localSheetId="14">#REF!</definedName>
    <definedName name="PSCASA_F" localSheetId="16">#REF!</definedName>
    <definedName name="PSCASA_F">#REF!</definedName>
    <definedName name="PTCASA_A" localSheetId="3">#REF!</definedName>
    <definedName name="PTCASA_A" localSheetId="14">#REF!</definedName>
    <definedName name="PTCASA_A" localSheetId="16">#REF!</definedName>
    <definedName name="PTCASA_A">#REF!</definedName>
    <definedName name="PTCASA_B" localSheetId="3">#REF!</definedName>
    <definedName name="PTCASA_B" localSheetId="14">#REF!</definedName>
    <definedName name="PTCASA_B" localSheetId="16">#REF!</definedName>
    <definedName name="PTCASA_B">#REF!</definedName>
    <definedName name="PTCASA_C" localSheetId="3">#REF!</definedName>
    <definedName name="PTCASA_C" localSheetId="14">#REF!</definedName>
    <definedName name="PTCASA_C" localSheetId="16">#REF!</definedName>
    <definedName name="PTCASA_C">#REF!</definedName>
    <definedName name="PTCASA_D" localSheetId="3">#REF!</definedName>
    <definedName name="PTCASA_D" localSheetId="14">#REF!</definedName>
    <definedName name="PTCASA_D" localSheetId="16">#REF!</definedName>
    <definedName name="PTCASA_D">#REF!</definedName>
    <definedName name="PTCASA_E" localSheetId="3">#REF!</definedName>
    <definedName name="PTCASA_E" localSheetId="14">#REF!</definedName>
    <definedName name="PTCASA_E" localSheetId="16">#REF!</definedName>
    <definedName name="PTCASA_E">#REF!</definedName>
    <definedName name="PTCASA_F" localSheetId="3">#REF!</definedName>
    <definedName name="PTCASA_F" localSheetId="14">#REF!</definedName>
    <definedName name="PTCASA_F" localSheetId="16">#REF!</definedName>
    <definedName name="PTCASA_F">#REF!</definedName>
    <definedName name="quadrocompar." localSheetId="3">#REF!</definedName>
    <definedName name="quadrocompar." localSheetId="17">#REF!</definedName>
    <definedName name="quadrocompar." localSheetId="1">#REF!</definedName>
    <definedName name="quadrocompar." localSheetId="11">#REF!</definedName>
    <definedName name="quadrocompar." localSheetId="14">#REF!</definedName>
    <definedName name="quadrocompar." localSheetId="16">#REF!</definedName>
    <definedName name="quadrocompar.">#REF!</definedName>
    <definedName name="Rateio" localSheetId="3">#REF!</definedName>
    <definedName name="Rateio" localSheetId="17">#REF!</definedName>
    <definedName name="Rateio" localSheetId="1">#REF!</definedName>
    <definedName name="Rateio" localSheetId="11">#REF!</definedName>
    <definedName name="Rateio" localSheetId="14">#REF!</definedName>
    <definedName name="Rateio" localSheetId="16">#REF!</definedName>
    <definedName name="Rateio">#REF!</definedName>
    <definedName name="Rateio_" localSheetId="3">#REF!</definedName>
    <definedName name="Rateio_" localSheetId="17">#REF!</definedName>
    <definedName name="Rateio_" localSheetId="1">#REF!</definedName>
    <definedName name="Rateio_" localSheetId="11">#REF!</definedName>
    <definedName name="Rateio_" localSheetId="14">#REF!</definedName>
    <definedName name="Rateio_" localSheetId="16">#REF!</definedName>
    <definedName name="Rateio_">#REF!</definedName>
    <definedName name="ReqC" localSheetId="3">#REF!</definedName>
    <definedName name="ReqC" localSheetId="14">#REF!</definedName>
    <definedName name="ReqC" localSheetId="16">#REF!</definedName>
    <definedName name="ReqC">#REF!</definedName>
    <definedName name="RESULT" localSheetId="3">OFFSET(#REF!,0,0,COUNTA(#REF!),1)</definedName>
    <definedName name="RESULT" localSheetId="14">OFFSET(#REF!,0,0,COUNTA(#REF!),1)</definedName>
    <definedName name="RESULT" localSheetId="16">OFFSET(#REF!,0,0,COUNTA(#REF!),1)</definedName>
    <definedName name="RESULT">OFFSET(#REF!,0,0,COUNTA(#REF!),1)</definedName>
    <definedName name="SN" localSheetId="3">#REF!</definedName>
    <definedName name="SN" localSheetId="17">#REF!</definedName>
    <definedName name="SN" localSheetId="1">#REF!</definedName>
    <definedName name="SN" localSheetId="11">#REF!</definedName>
    <definedName name="SN" localSheetId="14">#REF!</definedName>
    <definedName name="SN" localSheetId="16">#REF!</definedName>
    <definedName name="SN">#REF!</definedName>
    <definedName name="TAUX2" localSheetId="3">OFFSET(#REF!,0,0,COUNTA(#REF!)+1,1)</definedName>
    <definedName name="TAUX2" localSheetId="17">OFFSET(#REF!,0,0,COUNTA(#REF!)+1,1)</definedName>
    <definedName name="TAUX2" localSheetId="1">OFFSET(#REF!,0,0,COUNTA(#REF!)+1,1)</definedName>
    <definedName name="TAUX2" localSheetId="11">OFFSET(#REF!,0,0,COUNTA(#REF!)+1,1)</definedName>
    <definedName name="TAUX2" localSheetId="14">OFFSET(#REF!,0,0,COUNTA(#REF!)+1,1)</definedName>
    <definedName name="TAUX2" localSheetId="16">OFFSET(#REF!,0,0,COUNTA(#REF!)+1,1)</definedName>
    <definedName name="TAUX2">OFFSET(#REF!,0,0,COUNTA(#REF!)+1,1)</definedName>
    <definedName name="TAUX3" localSheetId="3">OFFSET(#REF!,0,0,COUNTA(#REF!)+1,1)</definedName>
    <definedName name="TAUX3" localSheetId="17">OFFSET(#REF!,0,0,COUNTA(#REF!)+1,1)</definedName>
    <definedName name="TAUX3" localSheetId="1">OFFSET(#REF!,0,0,COUNTA(#REF!)+1,1)</definedName>
    <definedName name="TAUX3" localSheetId="11">OFFSET(#REF!,0,0,COUNTA(#REF!)+1,1)</definedName>
    <definedName name="TAUX3" localSheetId="16">OFFSET(#REF!,0,0,COUNTA(#REF!)+1,1)</definedName>
    <definedName name="TAUX3">OFFSET(#REF!,0,0,COUNTA(#REF!)+1,1)</definedName>
    <definedName name="TESTHKEY" localSheetId="3">#REF!</definedName>
    <definedName name="TESTHKEY" localSheetId="17">#REF!</definedName>
    <definedName name="TESTHKEY" localSheetId="1">#REF!</definedName>
    <definedName name="TESTHKEY" localSheetId="11">#REF!</definedName>
    <definedName name="TESTHKEY" localSheetId="14">#REF!</definedName>
    <definedName name="TESTHKEY" localSheetId="16">#REF!</definedName>
    <definedName name="TESTHKEY">#REF!</definedName>
    <definedName name="TIPO" localSheetId="3">OFFSET(#REF!,0,0,COUNTA(#REF!),1)</definedName>
    <definedName name="TIPO" localSheetId="17">OFFSET(#REF!,0,0,COUNTA(#REF!),1)</definedName>
    <definedName name="TIPO" localSheetId="1">OFFSET(#REF!,0,0,COUNTA(#REF!),1)</definedName>
    <definedName name="TIPO" localSheetId="11">OFFSET(#REF!,0,0,COUNTA(#REF!),1)</definedName>
    <definedName name="TIPO" localSheetId="14">OFFSET(#REF!,0,0,COUNTA(#REF!),1)</definedName>
    <definedName name="TIPO" localSheetId="16">OFFSET(#REF!,0,0,COUNTA(#REF!),1)</definedName>
    <definedName name="TIPO">OFFSET(#REF!,0,0,COUNTA(#REF!),1)</definedName>
    <definedName name="TIPOLOGIA" localSheetId="3">#REF!</definedName>
    <definedName name="TIPOLOGIA" localSheetId="14">#REF!</definedName>
    <definedName name="TIPOLOGIA" localSheetId="16">#REF!</definedName>
    <definedName name="TIPOLOGIA">#REF!</definedName>
    <definedName name="_xlnm.Print_Titles" localSheetId="6">'02. Orçamento'!$1:$6</definedName>
    <definedName name="_xlnm.Print_Titles" localSheetId="2">'02. Orçamento - opção troca pis'!$1:$6</definedName>
    <definedName name="_xlnm.Print_Titles" localSheetId="17">'02. Orçamento com BDI (2)'!$1:$6</definedName>
    <definedName name="_xlnm.Print_Titles" localSheetId="1">#REF!</definedName>
    <definedName name="_xlnm.Print_Titles" localSheetId="18">'02. Orçamento total sem BDI op1'!$1:$6</definedName>
    <definedName name="_xlnm.Print_Titles" localSheetId="11">'06. Controle de Premissas'!$1:$5</definedName>
    <definedName name="_xlnm.Print_Titles" localSheetId="14">'07. Lista de Projetos'!$1:$6</definedName>
    <definedName name="_xlnm.Print_Titles">#REF!</definedName>
    <definedName name="TOTAIS" localSheetId="3">#REF!</definedName>
    <definedName name="TOTAIS" localSheetId="17">#REF!</definedName>
    <definedName name="TOTAIS" localSheetId="1">#REF!</definedName>
    <definedName name="TOTAIS" localSheetId="11">#REF!</definedName>
    <definedName name="TOTAIS" localSheetId="14">#REF!</definedName>
    <definedName name="TOTAIS" localSheetId="16">#REF!</definedName>
    <definedName name="TOTAIS">#REF!</definedName>
    <definedName name="TOTAL" localSheetId="3">OFFSET(#REF!,0,0,COUNTA(#REF!),1)</definedName>
    <definedName name="TOTAL" localSheetId="14">OFFSET(#REF!,0,0,COUNTA(#REF!),1)</definedName>
    <definedName name="TOTAL" localSheetId="16">OFFSET(#REF!,0,0,COUNTA(#REF!),1)</definedName>
    <definedName name="TOTAL">OFFSET(#REF!,0,0,COUNTA(#REF!),1)</definedName>
    <definedName name="TOTALITEM" localSheetId="3">#REF!</definedName>
    <definedName name="TOTALITEM" localSheetId="17">#REF!</definedName>
    <definedName name="TOTALITEM" localSheetId="1">#REF!</definedName>
    <definedName name="TOTALITEM" localSheetId="11">#REF!</definedName>
    <definedName name="TOTALITEM" localSheetId="14">#REF!</definedName>
    <definedName name="TOTALITEM" localSheetId="16">#REF!</definedName>
    <definedName name="TOTALITEM">#REF!</definedName>
    <definedName name="TOTG" localSheetId="3">OFFSET(#REF!,0,0,COUNTA(#REF!),1)</definedName>
    <definedName name="TOTG" localSheetId="17">OFFSET(#REF!,0,0,COUNTA(#REF!),1)</definedName>
    <definedName name="TOTG" localSheetId="1">OFFSET(#REF!,0,0,COUNTA(#REF!),1)</definedName>
    <definedName name="TOTG" localSheetId="11">OFFSET(#REF!,0,0,COUNTA(#REF!),1)</definedName>
    <definedName name="TOTG" localSheetId="14">OFFSET(#REF!,0,0,COUNTA(#REF!),1)</definedName>
    <definedName name="TOTG" localSheetId="16">OFFSET(#REF!,0,0,COUNTA(#REF!),1)</definedName>
    <definedName name="TOTG">OFFSET(#REF!,0,0,COUNTA(#REF!),1)</definedName>
    <definedName name="TOTT" localSheetId="3">OFFSET(#REF!,0,0,COUNTA(#REF!)+1,1)</definedName>
    <definedName name="TOTT" localSheetId="17">OFFSET(#REF!,0,0,COUNTA(#REF!)+1,1)</definedName>
    <definedName name="TOTT" localSheetId="1">OFFSET(#REF!,0,0,COUNTA(#REF!)+1,1)</definedName>
    <definedName name="TOTT" localSheetId="11">OFFSET(#REF!,0,0,COUNTA(#REF!)+1,1)</definedName>
    <definedName name="TOTT" localSheetId="14">OFFSET(#REF!,0,0,COUNTA(#REF!)+1,1)</definedName>
    <definedName name="TOTT" localSheetId="16">OFFSET(#REF!,0,0,COUNTA(#REF!)+1,1)</definedName>
    <definedName name="TOTT">OFFSET(#REF!,0,0,COUNTA(#REF!)+1,1)</definedName>
    <definedName name="UNID" localSheetId="3">OFFSET(#REF!,0,0,COUNTA(#REF!),1)</definedName>
    <definedName name="UNID" localSheetId="17">OFFSET(#REF!,0,0,COUNTA(#REF!),1)</definedName>
    <definedName name="UNID" localSheetId="1">OFFSET(#REF!,0,0,COUNTA(#REF!),1)</definedName>
    <definedName name="UNID" localSheetId="11">OFFSET(#REF!,0,0,COUNTA(#REF!),1)</definedName>
    <definedName name="UNID" localSheetId="14">OFFSET(#REF!,0,0,COUNTA(#REF!),1)</definedName>
    <definedName name="UNID" localSheetId="16">OFFSET(#REF!,0,0,COUNTA(#REF!),1)</definedName>
    <definedName name="UNID">OFFSET(#REF!,0,0,COUNTA(#REF!),1)</definedName>
    <definedName name="ww" localSheetId="3">#REF!</definedName>
    <definedName name="ww" localSheetId="17">#REF!</definedName>
    <definedName name="ww" localSheetId="1">#REF!</definedName>
    <definedName name="ww" localSheetId="11">#REF!</definedName>
    <definedName name="ww" localSheetId="14">#REF!</definedName>
    <definedName name="ww" localSheetId="16">#REF!</definedName>
    <definedName name="ww">#REF!</definedName>
    <definedName name="Z_6F18688E_4CCB_4742_84A6_72DF6FCF5D5D_.wvu.PrintArea" localSheetId="3" hidden="1">'01. Resumo Final'!$B$1:$F$61</definedName>
    <definedName name="Z_6F18688E_4CCB_4742_84A6_72DF6FCF5D5D_.wvu.PrintArea" localSheetId="16" hidden="1">'Cronograma Financeiro'!$B$1:$D$59</definedName>
    <definedName name="Z_82485178_86CC_4005_A08E_34354136F9D3_.wvu.PrintArea" localSheetId="3" hidden="1">'01. Resumo Final'!$B$1:$F$61</definedName>
    <definedName name="Z_82485178_86CC_4005_A08E_34354136F9D3_.wvu.PrintArea" localSheetId="16" hidden="1">'Cronograma Financeiro'!$B$1:$D$59</definedName>
    <definedName name="Z_B4791CB0_920A_4B66_834F_89BCF6A5C571_.wvu.Cols" localSheetId="3" hidden="1">'01. Resumo Final'!#REF!</definedName>
    <definedName name="Z_B4791CB0_920A_4B66_834F_89BCF6A5C571_.wvu.Cols" localSheetId="16" hidden="1">'Cronograma Financeiro'!#REF!</definedName>
    <definedName name="Z_B4791CB0_920A_4B66_834F_89BCF6A5C571_.wvu.PrintArea" localSheetId="3" hidden="1">'01. Resumo Final'!$A$1:$G$61</definedName>
    <definedName name="Z_B4791CB0_920A_4B66_834F_89BCF6A5C571_.wvu.PrintArea" localSheetId="16" hidden="1">'Cronograma Financeiro'!$A$1:$E$59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711" i="41" l="1"/>
  <c r="O710" i="41"/>
  <c r="I1083" i="41"/>
  <c r="H496" i="41" l="1"/>
  <c r="I503" i="41" s="1"/>
  <c r="J407" i="41"/>
  <c r="AH12" i="45" l="1"/>
  <c r="Z12" i="45"/>
  <c r="H280" i="41" l="1"/>
  <c r="H106" i="41"/>
  <c r="H764" i="41" l="1"/>
  <c r="H738" i="41"/>
  <c r="G740" i="41"/>
  <c r="A740" i="41"/>
  <c r="K740" i="41" s="1"/>
  <c r="L740" i="41" s="1"/>
  <c r="G744" i="41"/>
  <c r="A744" i="41"/>
  <c r="K744" i="41" s="1"/>
  <c r="L744" i="41" s="1"/>
  <c r="G743" i="41"/>
  <c r="A743" i="41"/>
  <c r="K743" i="41" s="1"/>
  <c r="L743" i="41" s="1"/>
  <c r="G742" i="41"/>
  <c r="A742" i="41"/>
  <c r="K742" i="41" s="1"/>
  <c r="L742" i="41" s="1"/>
  <c r="G741" i="41"/>
  <c r="A741" i="41"/>
  <c r="K741" i="41" s="1"/>
  <c r="L741" i="41" s="1"/>
  <c r="A753" i="41"/>
  <c r="K753" i="41" s="1"/>
  <c r="L753" i="41" s="1"/>
  <c r="A752" i="41"/>
  <c r="K752" i="41" s="1"/>
  <c r="L752" i="41" s="1"/>
  <c r="A751" i="41"/>
  <c r="K751" i="41" s="1"/>
  <c r="L751" i="41" s="1"/>
  <c r="G746" i="41"/>
  <c r="A746" i="41"/>
  <c r="K746" i="41" s="1"/>
  <c r="L746" i="41" s="1"/>
  <c r="G745" i="41"/>
  <c r="A745" i="41"/>
  <c r="K745" i="41" s="1"/>
  <c r="L745" i="41" s="1"/>
  <c r="G747" i="41"/>
  <c r="A747" i="41"/>
  <c r="K747" i="41" s="1"/>
  <c r="L747" i="41" s="1"/>
  <c r="I902" i="41"/>
  <c r="I903" i="41"/>
  <c r="A1052" i="41"/>
  <c r="K1052" i="41" s="1"/>
  <c r="G1052" i="41"/>
  <c r="L1052" i="41"/>
  <c r="H99" i="41"/>
  <c r="A103" i="41"/>
  <c r="K103" i="41" s="1"/>
  <c r="L103" i="41" s="1"/>
  <c r="L102" i="41"/>
  <c r="A102" i="41"/>
  <c r="K102" i="41" s="1"/>
  <c r="L101" i="41"/>
  <c r="A101" i="41"/>
  <c r="K101" i="41" s="1"/>
  <c r="L100" i="41"/>
  <c r="A100" i="41"/>
  <c r="K100" i="41" s="1"/>
  <c r="A99" i="41"/>
  <c r="K99" i="41" s="1"/>
  <c r="A98" i="41"/>
  <c r="K98" i="41" s="1"/>
  <c r="L98" i="41" s="1"/>
  <c r="L99" i="41" l="1"/>
  <c r="AH31" i="45" l="1"/>
  <c r="N31" i="45"/>
  <c r="AH30" i="45" l="1"/>
  <c r="AH29" i="45"/>
  <c r="AH25" i="45"/>
  <c r="AF25" i="45"/>
  <c r="AD25" i="45"/>
  <c r="AB25" i="45"/>
  <c r="F25" i="45"/>
  <c r="L1337" i="41" l="1"/>
  <c r="A1337" i="41"/>
  <c r="K1337" i="41" s="1"/>
  <c r="A1336" i="41"/>
  <c r="G1310" i="41"/>
  <c r="J1299" i="41"/>
  <c r="L1336" i="41" l="1"/>
  <c r="J1336" i="41" s="1"/>
  <c r="I1292" i="41" l="1"/>
  <c r="H1291" i="41" s="1"/>
  <c r="I1295" i="41" s="1"/>
  <c r="L1289" i="41"/>
  <c r="L1288" i="41" s="1"/>
  <c r="G1289" i="41"/>
  <c r="A1289" i="41"/>
  <c r="K1289" i="41" s="1"/>
  <c r="R1289" i="41" s="1"/>
  <c r="H1288" i="41"/>
  <c r="A1288" i="41"/>
  <c r="K1288" i="41" s="1"/>
  <c r="L1282" i="41"/>
  <c r="G1282" i="41"/>
  <c r="A1282" i="41"/>
  <c r="K1282" i="41" s="1"/>
  <c r="A1280" i="41"/>
  <c r="K1280" i="41" s="1"/>
  <c r="O1280" i="41"/>
  <c r="A1281" i="41"/>
  <c r="K1281" i="41" s="1"/>
  <c r="G1281" i="41"/>
  <c r="L1281" i="41"/>
  <c r="H1278" i="41"/>
  <c r="H1254" i="41"/>
  <c r="L1255" i="41"/>
  <c r="G1255" i="41"/>
  <c r="A1255" i="41"/>
  <c r="K1255" i="41" s="1"/>
  <c r="A1254" i="41"/>
  <c r="L1259" i="41"/>
  <c r="G1259" i="41"/>
  <c r="L1341" i="41"/>
  <c r="A1341" i="41"/>
  <c r="O1340" i="41"/>
  <c r="H1340" i="41"/>
  <c r="A1340" i="41"/>
  <c r="K1340" i="41" s="1"/>
  <c r="L1339" i="41"/>
  <c r="G1339" i="41"/>
  <c r="A1339" i="41"/>
  <c r="K1339" i="41" s="1"/>
  <c r="R1339" i="41" s="1"/>
  <c r="R1338" i="41"/>
  <c r="H1338" i="41"/>
  <c r="A1338" i="41"/>
  <c r="K1338" i="41" s="1"/>
  <c r="K1334" i="41"/>
  <c r="J1334" i="41" s="1"/>
  <c r="G1334" i="41"/>
  <c r="E1334" i="41"/>
  <c r="K1333" i="41"/>
  <c r="J1333" i="41" s="1"/>
  <c r="G1333" i="41"/>
  <c r="E1333" i="41"/>
  <c r="K1332" i="41"/>
  <c r="J1332" i="41" s="1"/>
  <c r="L1332" i="41" s="1"/>
  <c r="G1332" i="41"/>
  <c r="E1332" i="41"/>
  <c r="K1331" i="41"/>
  <c r="J1331" i="41" s="1"/>
  <c r="G1331" i="41"/>
  <c r="E1331" i="41"/>
  <c r="K1330" i="41"/>
  <c r="J1330" i="41" s="1"/>
  <c r="G1330" i="41"/>
  <c r="E1330" i="41"/>
  <c r="G1329" i="41"/>
  <c r="E1329" i="41"/>
  <c r="A1329" i="41"/>
  <c r="K1329" i="41" s="1"/>
  <c r="J1328" i="41"/>
  <c r="L1328" i="41" s="1"/>
  <c r="G1328" i="41"/>
  <c r="A1328" i="41"/>
  <c r="K1328" i="41" s="1"/>
  <c r="O1328" i="41" s="1"/>
  <c r="J1327" i="41"/>
  <c r="L1327" i="41" s="1"/>
  <c r="G1327" i="41"/>
  <c r="A1327" i="41"/>
  <c r="K1327" i="41" s="1"/>
  <c r="O1327" i="41" s="1"/>
  <c r="I1326" i="41"/>
  <c r="H1326" i="41"/>
  <c r="A1326" i="41"/>
  <c r="K1326" i="41" s="1"/>
  <c r="K1325" i="41"/>
  <c r="J1325" i="41" s="1"/>
  <c r="G1325" i="41"/>
  <c r="E1325" i="41"/>
  <c r="K1324" i="41"/>
  <c r="J1324" i="41" s="1"/>
  <c r="G1324" i="41"/>
  <c r="E1324" i="41"/>
  <c r="K1323" i="41"/>
  <c r="J1323" i="41" s="1"/>
  <c r="G1323" i="41"/>
  <c r="E1323" i="41"/>
  <c r="K1322" i="41"/>
  <c r="J1322" i="41" s="1"/>
  <c r="G1322" i="41"/>
  <c r="E1322" i="41"/>
  <c r="G1321" i="41"/>
  <c r="E1321" i="41"/>
  <c r="A1321" i="41"/>
  <c r="K1321" i="41" s="1"/>
  <c r="J1321" i="41" s="1"/>
  <c r="A1320" i="41"/>
  <c r="K1320" i="41" s="1"/>
  <c r="O1320" i="41" s="1"/>
  <c r="I1319" i="41"/>
  <c r="H1319" i="41"/>
  <c r="I1323" i="41" s="1"/>
  <c r="A1319" i="41"/>
  <c r="K1319" i="41" s="1"/>
  <c r="L1317" i="41"/>
  <c r="G1317" i="41"/>
  <c r="A1317" i="41"/>
  <c r="K1317" i="41" s="1"/>
  <c r="R1317" i="41" s="1"/>
  <c r="R1316" i="41"/>
  <c r="H1316" i="41"/>
  <c r="A1316" i="41"/>
  <c r="K1316" i="41" s="1"/>
  <c r="G1314" i="41"/>
  <c r="E1314" i="41"/>
  <c r="A1314" i="41"/>
  <c r="K1314" i="41" s="1"/>
  <c r="J1314" i="41" s="1"/>
  <c r="G1313" i="41"/>
  <c r="E1313" i="41"/>
  <c r="A1313" i="41"/>
  <c r="K1313" i="41" s="1"/>
  <c r="J1313" i="41" s="1"/>
  <c r="G1312" i="41"/>
  <c r="E1312" i="41"/>
  <c r="A1312" i="41"/>
  <c r="K1312" i="41" s="1"/>
  <c r="J1312" i="41" s="1"/>
  <c r="I1311" i="41"/>
  <c r="I1312" i="41" s="1"/>
  <c r="G1311" i="41"/>
  <c r="E1311" i="41"/>
  <c r="A1311" i="41"/>
  <c r="K1311" i="41" s="1"/>
  <c r="J1311" i="41" s="1"/>
  <c r="A1310" i="41"/>
  <c r="K1310" i="41" s="1"/>
  <c r="L1310" i="41" s="1"/>
  <c r="L1309" i="41"/>
  <c r="E1309" i="41"/>
  <c r="A1309" i="41"/>
  <c r="K1309" i="41" s="1"/>
  <c r="G1308" i="41"/>
  <c r="E1308" i="41"/>
  <c r="A1308" i="41"/>
  <c r="K1308" i="41" s="1"/>
  <c r="J1308" i="41" s="1"/>
  <c r="L1308" i="41" s="1"/>
  <c r="L1307" i="41"/>
  <c r="A1307" i="41"/>
  <c r="K1307" i="41" s="1"/>
  <c r="O1306" i="41"/>
  <c r="A1306" i="41"/>
  <c r="K1306" i="41" s="1"/>
  <c r="K1305" i="41"/>
  <c r="J1305" i="41" s="1"/>
  <c r="G1305" i="41"/>
  <c r="E1305" i="41"/>
  <c r="K1304" i="41"/>
  <c r="J1304" i="41" s="1"/>
  <c r="G1304" i="41"/>
  <c r="E1304" i="41"/>
  <c r="K1303" i="41"/>
  <c r="J1303" i="41" s="1"/>
  <c r="L1303" i="41" s="1"/>
  <c r="G1303" i="41"/>
  <c r="E1303" i="41"/>
  <c r="K1302" i="41"/>
  <c r="J1302" i="41" s="1"/>
  <c r="G1302" i="41"/>
  <c r="E1302" i="41"/>
  <c r="K1301" i="41"/>
  <c r="J1301" i="41" s="1"/>
  <c r="G1301" i="41"/>
  <c r="E1301" i="41"/>
  <c r="G1300" i="41"/>
  <c r="E1300" i="41"/>
  <c r="A1300" i="41"/>
  <c r="K1300" i="41" s="1"/>
  <c r="L1299" i="41"/>
  <c r="G1299" i="41"/>
  <c r="A1299" i="41"/>
  <c r="K1299" i="41" s="1"/>
  <c r="O1299" i="41" s="1"/>
  <c r="I1298" i="41"/>
  <c r="H1298" i="41"/>
  <c r="I1305" i="41" s="1"/>
  <c r="A1298" i="41"/>
  <c r="K1298" i="41" s="1"/>
  <c r="K1297" i="41"/>
  <c r="J1297" i="41" s="1"/>
  <c r="G1297" i="41"/>
  <c r="E1297" i="41"/>
  <c r="K1296" i="41"/>
  <c r="J1296" i="41" s="1"/>
  <c r="G1296" i="41"/>
  <c r="E1296" i="41"/>
  <c r="K1295" i="41"/>
  <c r="J1295" i="41" s="1"/>
  <c r="G1295" i="41"/>
  <c r="E1295" i="41"/>
  <c r="K1294" i="41"/>
  <c r="J1294" i="41" s="1"/>
  <c r="G1294" i="41"/>
  <c r="E1294" i="41"/>
  <c r="G1293" i="41"/>
  <c r="E1293" i="41"/>
  <c r="A1293" i="41"/>
  <c r="K1293" i="41" s="1"/>
  <c r="J1293" i="41" s="1"/>
  <c r="J1292" i="41"/>
  <c r="G1292" i="41"/>
  <c r="A1292" i="41"/>
  <c r="K1292" i="41" s="1"/>
  <c r="I1291" i="41"/>
  <c r="A1291" i="41"/>
  <c r="K1291" i="41" s="1"/>
  <c r="G1286" i="41"/>
  <c r="E1286" i="41"/>
  <c r="A1286" i="41"/>
  <c r="K1286" i="41" s="1"/>
  <c r="J1286" i="41" s="1"/>
  <c r="G1285" i="41"/>
  <c r="E1285" i="41"/>
  <c r="A1285" i="41"/>
  <c r="K1285" i="41" s="1"/>
  <c r="J1285" i="41" s="1"/>
  <c r="G1284" i="41"/>
  <c r="E1284" i="41"/>
  <c r="A1284" i="41"/>
  <c r="K1284" i="41" s="1"/>
  <c r="J1284" i="41" s="1"/>
  <c r="I1283" i="41"/>
  <c r="I1284" i="41" s="1"/>
  <c r="G1283" i="41"/>
  <c r="E1283" i="41"/>
  <c r="A1283" i="41"/>
  <c r="K1283" i="41" s="1"/>
  <c r="J1283" i="41" s="1"/>
  <c r="L1279" i="41"/>
  <c r="A1279" i="41"/>
  <c r="O1278" i="41"/>
  <c r="A1278" i="41"/>
  <c r="K1278" i="41" s="1"/>
  <c r="K1277" i="41"/>
  <c r="J1277" i="41" s="1"/>
  <c r="G1277" i="41"/>
  <c r="E1277" i="41"/>
  <c r="K1276" i="41"/>
  <c r="J1276" i="41" s="1"/>
  <c r="G1276" i="41"/>
  <c r="E1276" i="41"/>
  <c r="K1275" i="41"/>
  <c r="J1275" i="41" s="1"/>
  <c r="L1275" i="41" s="1"/>
  <c r="G1275" i="41"/>
  <c r="E1275" i="41"/>
  <c r="K1274" i="41"/>
  <c r="J1274" i="41" s="1"/>
  <c r="G1274" i="41"/>
  <c r="E1274" i="41"/>
  <c r="K1273" i="41"/>
  <c r="J1273" i="41" s="1"/>
  <c r="G1273" i="41"/>
  <c r="E1273" i="41"/>
  <c r="G1272" i="41"/>
  <c r="E1272" i="41"/>
  <c r="A1272" i="41"/>
  <c r="K1272" i="41" s="1"/>
  <c r="J1271" i="41"/>
  <c r="L1271" i="41" s="1"/>
  <c r="G1271" i="41"/>
  <c r="A1271" i="41"/>
  <c r="K1271" i="41" s="1"/>
  <c r="O1271" i="41" s="1"/>
  <c r="I1270" i="41"/>
  <c r="H1270" i="41"/>
  <c r="I1277" i="41" s="1"/>
  <c r="A1270" i="41"/>
  <c r="K1270" i="41" s="1"/>
  <c r="K1269" i="41"/>
  <c r="J1269" i="41" s="1"/>
  <c r="G1269" i="41"/>
  <c r="E1269" i="41"/>
  <c r="K1268" i="41"/>
  <c r="J1268" i="41" s="1"/>
  <c r="G1268" i="41"/>
  <c r="E1268" i="41"/>
  <c r="K1267" i="41"/>
  <c r="J1267" i="41" s="1"/>
  <c r="G1267" i="41"/>
  <c r="E1267" i="41"/>
  <c r="K1266" i="41"/>
  <c r="J1266" i="41" s="1"/>
  <c r="G1266" i="41"/>
  <c r="E1266" i="41"/>
  <c r="G1265" i="41"/>
  <c r="E1265" i="41"/>
  <c r="A1265" i="41"/>
  <c r="K1265" i="41" s="1"/>
  <c r="J1265" i="41" s="1"/>
  <c r="A1264" i="41"/>
  <c r="K1264" i="41" s="1"/>
  <c r="O1264" i="41" s="1"/>
  <c r="I1263" i="41"/>
  <c r="H1263" i="41"/>
  <c r="I1267" i="41" s="1"/>
  <c r="A1263" i="41"/>
  <c r="K1263" i="41" s="1"/>
  <c r="G1262" i="41"/>
  <c r="E1262" i="41"/>
  <c r="A1262" i="41"/>
  <c r="K1262" i="41" s="1"/>
  <c r="J1262" i="41" s="1"/>
  <c r="H1261" i="41"/>
  <c r="A1261" i="41"/>
  <c r="K1261" i="41" s="1"/>
  <c r="A1259" i="41"/>
  <c r="K1259" i="41" s="1"/>
  <c r="O1258" i="41"/>
  <c r="H1258" i="41"/>
  <c r="A1258" i="41"/>
  <c r="K1258" i="41" s="1"/>
  <c r="L1257" i="41"/>
  <c r="G1257" i="41"/>
  <c r="A1257" i="41"/>
  <c r="K1257" i="41" s="1"/>
  <c r="R1257" i="41" s="1"/>
  <c r="H1256" i="41"/>
  <c r="A1256" i="41"/>
  <c r="K1256" i="41" s="1"/>
  <c r="L1252" i="41"/>
  <c r="G1252" i="41"/>
  <c r="A1252" i="41"/>
  <c r="K1252" i="41" s="1"/>
  <c r="O1251" i="41"/>
  <c r="H1251" i="41"/>
  <c r="A1251" i="41"/>
  <c r="K1251" i="41" s="1"/>
  <c r="L1250" i="41"/>
  <c r="L1249" i="41" s="1"/>
  <c r="G1250" i="41"/>
  <c r="A1250" i="41"/>
  <c r="K1250" i="41" s="1"/>
  <c r="R1250" i="41" s="1"/>
  <c r="H1249" i="41"/>
  <c r="A1249" i="41"/>
  <c r="K1249" i="41" s="1"/>
  <c r="E1248" i="41"/>
  <c r="G1248" i="41"/>
  <c r="A1248" i="41"/>
  <c r="K1248" i="41" s="1"/>
  <c r="H1247" i="41"/>
  <c r="A1247" i="41"/>
  <c r="K1247" i="41" s="1"/>
  <c r="I917" i="41"/>
  <c r="K913" i="41"/>
  <c r="G913" i="41"/>
  <c r="K915" i="41"/>
  <c r="G915" i="41"/>
  <c r="K914" i="41"/>
  <c r="G914" i="41"/>
  <c r="I911" i="41"/>
  <c r="E911" i="41"/>
  <c r="K911" i="41"/>
  <c r="J911" i="41" s="1"/>
  <c r="G911" i="41"/>
  <c r="I974" i="41"/>
  <c r="J815" i="41"/>
  <c r="J813" i="41"/>
  <c r="I1003" i="41"/>
  <c r="I1005" i="41"/>
  <c r="L1005" i="41" s="1"/>
  <c r="I1004" i="41"/>
  <c r="L1004" i="41" s="1"/>
  <c r="I1000" i="41"/>
  <c r="I1001" i="41"/>
  <c r="E991" i="41"/>
  <c r="E992" i="41"/>
  <c r="E993" i="41"/>
  <c r="E994" i="41"/>
  <c r="E995" i="41"/>
  <c r="E996" i="41"/>
  <c r="E997" i="41"/>
  <c r="L1006" i="41"/>
  <c r="G1006" i="41"/>
  <c r="E1006" i="41"/>
  <c r="A1006" i="41"/>
  <c r="K1006" i="41" s="1"/>
  <c r="G1005" i="41"/>
  <c r="E1005" i="41"/>
  <c r="A1005" i="41"/>
  <c r="K1005" i="41" s="1"/>
  <c r="G1004" i="41"/>
  <c r="E1004" i="41"/>
  <c r="A1004" i="41"/>
  <c r="K1004" i="41" s="1"/>
  <c r="I963" i="41"/>
  <c r="D2800" i="24"/>
  <c r="D2798" i="24"/>
  <c r="H958" i="41"/>
  <c r="H951" i="41"/>
  <c r="E953" i="41"/>
  <c r="D2795" i="24"/>
  <c r="E957" i="41"/>
  <c r="E950" i="41"/>
  <c r="H955" i="41"/>
  <c r="H948" i="41"/>
  <c r="I939" i="41"/>
  <c r="I938" i="41"/>
  <c r="E925" i="41"/>
  <c r="E926" i="41"/>
  <c r="E927" i="41"/>
  <c r="E928" i="41"/>
  <c r="E929" i="41"/>
  <c r="E930" i="41"/>
  <c r="E931" i="41"/>
  <c r="E932" i="41"/>
  <c r="E933" i="41"/>
  <c r="E934" i="41"/>
  <c r="E935" i="41"/>
  <c r="E936" i="41"/>
  <c r="E937" i="41"/>
  <c r="E938" i="41"/>
  <c r="G1035" i="41"/>
  <c r="E1035" i="41"/>
  <c r="A1035" i="41"/>
  <c r="K1035" i="41" s="1"/>
  <c r="J1035" i="41" s="1"/>
  <c r="L1035" i="41" s="1"/>
  <c r="G1034" i="41"/>
  <c r="E1034" i="41"/>
  <c r="A1034" i="41"/>
  <c r="K1034" i="41" s="1"/>
  <c r="J1034" i="41" s="1"/>
  <c r="L1034" i="41" s="1"/>
  <c r="G1033" i="41"/>
  <c r="E1033" i="41"/>
  <c r="A1033" i="41"/>
  <c r="K1033" i="41" s="1"/>
  <c r="J1033" i="41" s="1"/>
  <c r="L1033" i="41" s="1"/>
  <c r="G1032" i="41"/>
  <c r="E1032" i="41"/>
  <c r="A1032" i="41"/>
  <c r="K1032" i="41" s="1"/>
  <c r="J1032" i="41" s="1"/>
  <c r="L1032" i="41" s="1"/>
  <c r="G1031" i="41"/>
  <c r="E1031" i="41"/>
  <c r="A1031" i="41"/>
  <c r="K1031" i="41" s="1"/>
  <c r="J1031" i="41" s="1"/>
  <c r="L1031" i="41" s="1"/>
  <c r="G1036" i="41"/>
  <c r="G1030" i="41"/>
  <c r="G1029" i="41"/>
  <c r="G1028" i="41"/>
  <c r="G1027" i="41"/>
  <c r="G1026" i="41"/>
  <c r="G1025" i="41"/>
  <c r="G1024" i="41"/>
  <c r="G1023" i="41"/>
  <c r="G1022" i="41"/>
  <c r="G1021" i="41"/>
  <c r="G1020" i="41"/>
  <c r="G1019" i="41"/>
  <c r="G1018" i="41"/>
  <c r="G1017" i="41"/>
  <c r="G1016" i="41"/>
  <c r="G1015" i="41"/>
  <c r="G1014" i="41"/>
  <c r="G1013" i="41"/>
  <c r="G1012" i="41"/>
  <c r="G1011" i="41"/>
  <c r="E1021" i="41"/>
  <c r="A1021" i="41"/>
  <c r="K1021" i="41" s="1"/>
  <c r="J1021" i="41" s="1"/>
  <c r="L1021" i="41" s="1"/>
  <c r="E1011" i="41"/>
  <c r="E1012" i="41"/>
  <c r="E1013" i="41"/>
  <c r="E1014" i="41"/>
  <c r="E1015" i="41"/>
  <c r="E1016" i="41"/>
  <c r="E1017" i="41"/>
  <c r="E1018" i="41"/>
  <c r="E1019" i="41"/>
  <c r="E1020" i="41"/>
  <c r="E1022" i="41"/>
  <c r="E1023" i="41"/>
  <c r="E1024" i="41"/>
  <c r="E1025" i="41"/>
  <c r="E1026" i="41"/>
  <c r="E1027" i="41"/>
  <c r="J914" i="41"/>
  <c r="L914" i="41" s="1"/>
  <c r="J847" i="41"/>
  <c r="J913" i="41" s="1"/>
  <c r="L913" i="41" s="1"/>
  <c r="J846" i="41"/>
  <c r="J915" i="41" s="1"/>
  <c r="L915" i="41" s="1"/>
  <c r="J845" i="41"/>
  <c r="J844" i="41"/>
  <c r="L1278" i="41" l="1"/>
  <c r="O1317" i="41"/>
  <c r="O1339" i="41"/>
  <c r="O1292" i="41"/>
  <c r="L1292" i="41"/>
  <c r="O1288" i="41"/>
  <c r="J1288" i="41"/>
  <c r="R1288" i="41" s="1"/>
  <c r="O1289" i="41"/>
  <c r="H1280" i="41"/>
  <c r="J1249" i="41"/>
  <c r="R1249" i="41" s="1"/>
  <c r="O1262" i="41"/>
  <c r="O1257" i="41"/>
  <c r="O1316" i="41"/>
  <c r="L1254" i="41"/>
  <c r="J1254" i="41" s="1"/>
  <c r="I1301" i="41"/>
  <c r="L1301" i="41" s="1"/>
  <c r="O1291" i="41"/>
  <c r="O1319" i="41"/>
  <c r="I1322" i="41"/>
  <c r="L1322" i="41" s="1"/>
  <c r="R1327" i="41"/>
  <c r="O1338" i="41"/>
  <c r="L1311" i="41"/>
  <c r="O1250" i="41"/>
  <c r="I1334" i="41"/>
  <c r="L1334" i="41" s="1"/>
  <c r="I1333" i="41"/>
  <c r="L1333" i="41" s="1"/>
  <c r="L1340" i="41"/>
  <c r="I1321" i="41"/>
  <c r="L1321" i="41" s="1"/>
  <c r="K1341" i="41"/>
  <c r="R1292" i="41"/>
  <c r="L1323" i="41"/>
  <c r="R1328" i="41"/>
  <c r="O1326" i="41"/>
  <c r="L1338" i="41"/>
  <c r="R1320" i="41"/>
  <c r="L1320" i="41"/>
  <c r="I1331" i="41"/>
  <c r="L1331" i="41" s="1"/>
  <c r="O1263" i="41"/>
  <c r="L1295" i="41"/>
  <c r="I1330" i="41"/>
  <c r="L1330" i="41" s="1"/>
  <c r="I1325" i="41"/>
  <c r="L1325" i="41" s="1"/>
  <c r="I1324" i="41"/>
  <c r="L1324" i="41" s="1"/>
  <c r="I1329" i="41"/>
  <c r="L1329" i="41" s="1"/>
  <c r="H1306" i="41"/>
  <c r="I1293" i="41"/>
  <c r="L1293" i="41" s="1"/>
  <c r="O1298" i="41"/>
  <c r="L1305" i="41"/>
  <c r="R1299" i="41"/>
  <c r="O1261" i="41"/>
  <c r="L1316" i="41"/>
  <c r="I1294" i="41"/>
  <c r="L1294" i="41" s="1"/>
  <c r="I1304" i="41"/>
  <c r="L1304" i="41" s="1"/>
  <c r="I1266" i="41"/>
  <c r="L1266" i="41" s="1"/>
  <c r="O1256" i="41"/>
  <c r="R1271" i="41"/>
  <c r="I1302" i="41"/>
  <c r="L1302" i="41" s="1"/>
  <c r="I1297" i="41"/>
  <c r="L1297" i="41" s="1"/>
  <c r="I1296" i="41"/>
  <c r="L1296" i="41" s="1"/>
  <c r="I1300" i="41"/>
  <c r="L1300" i="41" s="1"/>
  <c r="R1264" i="41"/>
  <c r="I1276" i="41"/>
  <c r="L1276" i="41" s="1"/>
  <c r="L1277" i="41"/>
  <c r="I1265" i="41"/>
  <c r="L1265" i="41" s="1"/>
  <c r="L1283" i="41"/>
  <c r="R1262" i="41"/>
  <c r="L1262" i="41"/>
  <c r="L1267" i="41"/>
  <c r="O1270" i="41"/>
  <c r="L1264" i="41"/>
  <c r="I1274" i="41"/>
  <c r="L1274" i="41" s="1"/>
  <c r="I1273" i="41"/>
  <c r="L1273" i="41" s="1"/>
  <c r="I1269" i="41"/>
  <c r="L1269" i="41" s="1"/>
  <c r="K1279" i="41"/>
  <c r="I1268" i="41"/>
  <c r="L1268" i="41" s="1"/>
  <c r="I1272" i="41"/>
  <c r="L1272" i="41" s="1"/>
  <c r="L1256" i="41"/>
  <c r="J1256" i="41" s="1"/>
  <c r="R1256" i="41" s="1"/>
  <c r="L1251" i="41"/>
  <c r="O1249" i="41"/>
  <c r="O1247" i="41"/>
  <c r="O1248" i="41"/>
  <c r="J1248" i="41"/>
  <c r="J912" i="41"/>
  <c r="L911" i="41"/>
  <c r="T1340" i="41" l="1"/>
  <c r="J1340" i="41"/>
  <c r="R1340" i="41" s="1"/>
  <c r="L1326" i="41"/>
  <c r="L1319" i="41"/>
  <c r="L1291" i="41"/>
  <c r="L1298" i="41"/>
  <c r="I1314" i="41"/>
  <c r="L1314" i="41" s="1"/>
  <c r="I1313" i="41"/>
  <c r="L1313" i="41" s="1"/>
  <c r="L1312" i="41"/>
  <c r="L1270" i="41"/>
  <c r="I1286" i="41"/>
  <c r="L1286" i="41" s="1"/>
  <c r="I1285" i="41"/>
  <c r="L1285" i="41" s="1"/>
  <c r="L1284" i="41"/>
  <c r="J1278" i="41"/>
  <c r="R1278" i="41" s="1"/>
  <c r="T1278" i="41"/>
  <c r="L1263" i="41"/>
  <c r="L1261" i="41"/>
  <c r="L1258" i="41"/>
  <c r="J1251" i="41"/>
  <c r="R1251" i="41" s="1"/>
  <c r="T1251" i="41"/>
  <c r="R1248" i="41"/>
  <c r="L1248" i="41"/>
  <c r="L1280" i="41" l="1"/>
  <c r="J1280" i="41" s="1"/>
  <c r="R1280" i="41" s="1"/>
  <c r="J1326" i="41"/>
  <c r="R1326" i="41" s="1"/>
  <c r="J1319" i="41"/>
  <c r="R1319" i="41" s="1"/>
  <c r="L1306" i="41"/>
  <c r="J1298" i="41"/>
  <c r="R1298" i="41" s="1"/>
  <c r="J1291" i="41"/>
  <c r="R1291" i="41" s="1"/>
  <c r="J1263" i="41"/>
  <c r="R1263" i="41" s="1"/>
  <c r="J1261" i="41"/>
  <c r="R1261" i="41" s="1"/>
  <c r="J1270" i="41"/>
  <c r="R1270" i="41" s="1"/>
  <c r="J1258" i="41"/>
  <c r="R1258" i="41" s="1"/>
  <c r="T1258" i="41"/>
  <c r="L1247" i="41"/>
  <c r="J1306" i="41" l="1"/>
  <c r="R1306" i="41" s="1"/>
  <c r="J1247" i="41"/>
  <c r="R1247" i="41" s="1"/>
  <c r="H806" i="41" l="1"/>
  <c r="G739" i="41"/>
  <c r="A739" i="41"/>
  <c r="K739" i="41" s="1"/>
  <c r="L739" i="41" l="1"/>
  <c r="R1315" i="41"/>
  <c r="O1315" i="41"/>
  <c r="A1315" i="41"/>
  <c r="K1315" i="41" s="1"/>
  <c r="R1290" i="41"/>
  <c r="O1290" i="41"/>
  <c r="A1290" i="41"/>
  <c r="K1290" i="41" s="1"/>
  <c r="R1287" i="41"/>
  <c r="O1287" i="41"/>
  <c r="A1287" i="41"/>
  <c r="K1287" i="41" s="1"/>
  <c r="R1260" i="41"/>
  <c r="O1260" i="41"/>
  <c r="A1260" i="41"/>
  <c r="K1260" i="41" s="1"/>
  <c r="R1318" i="41"/>
  <c r="O1318" i="41"/>
  <c r="A1318" i="41"/>
  <c r="K1318" i="41" s="1"/>
  <c r="R1253" i="41"/>
  <c r="O1253" i="41"/>
  <c r="A1253" i="41"/>
  <c r="K1253" i="41" s="1"/>
  <c r="R1335" i="41"/>
  <c r="O1335" i="41"/>
  <c r="A1335" i="41"/>
  <c r="K1335" i="41" s="1"/>
  <c r="I1050" i="41"/>
  <c r="H1153" i="41" s="1"/>
  <c r="I1192" i="41"/>
  <c r="I1193" i="41"/>
  <c r="I1191" i="41"/>
  <c r="L1188" i="41" l="1"/>
  <c r="G1188" i="41"/>
  <c r="A1188" i="41"/>
  <c r="K1188" i="41" s="1"/>
  <c r="R1188" i="41" s="1"/>
  <c r="L1186" i="41"/>
  <c r="G1186" i="41"/>
  <c r="A1186" i="41"/>
  <c r="K1186" i="41" s="1"/>
  <c r="R1186" i="41" s="1"/>
  <c r="L1185" i="41"/>
  <c r="G1185" i="41"/>
  <c r="A1185" i="41"/>
  <c r="K1185" i="41" s="1"/>
  <c r="R1185" i="41" s="1"/>
  <c r="I1175" i="41"/>
  <c r="I1172" i="41"/>
  <c r="L1172" i="41" s="1"/>
  <c r="L1173" i="41"/>
  <c r="G1173" i="41"/>
  <c r="A1173" i="41"/>
  <c r="K1173" i="41" s="1"/>
  <c r="R1173" i="41" s="1"/>
  <c r="G1172" i="41"/>
  <c r="A1172" i="41"/>
  <c r="K1172" i="41" s="1"/>
  <c r="R1172" i="41" s="1"/>
  <c r="G1171" i="41"/>
  <c r="A1171" i="41"/>
  <c r="K1171" i="41" s="1"/>
  <c r="R1171" i="41" s="1"/>
  <c r="G1170" i="41"/>
  <c r="A1170" i="41"/>
  <c r="K1170" i="41" s="1"/>
  <c r="R1170" i="41" s="1"/>
  <c r="G1174" i="41"/>
  <c r="A1174" i="41"/>
  <c r="K1174" i="41" s="1"/>
  <c r="O1174" i="41" s="1"/>
  <c r="D3129" i="24"/>
  <c r="D2812" i="24"/>
  <c r="D2810" i="24"/>
  <c r="G1202" i="41"/>
  <c r="E1204" i="41"/>
  <c r="E1202" i="41"/>
  <c r="E1200" i="41"/>
  <c r="E1199" i="41"/>
  <c r="I327" i="41"/>
  <c r="D2628" i="24"/>
  <c r="D2627" i="24"/>
  <c r="D895" i="24"/>
  <c r="G1119" i="41"/>
  <c r="G1118" i="41"/>
  <c r="G1117" i="41"/>
  <c r="G1116" i="41"/>
  <c r="E1119" i="41"/>
  <c r="E1118" i="41"/>
  <c r="E1117" i="41"/>
  <c r="E1116" i="41"/>
  <c r="H355" i="41"/>
  <c r="H346" i="41" s="1"/>
  <c r="H353" i="41" s="1"/>
  <c r="I345" i="41"/>
  <c r="I354" i="41" s="1"/>
  <c r="G355" i="41"/>
  <c r="E355" i="41"/>
  <c r="A355" i="41"/>
  <c r="K355" i="41" s="1"/>
  <c r="J355" i="41" s="1"/>
  <c r="K354" i="41"/>
  <c r="J354" i="41" s="1"/>
  <c r="G354" i="41"/>
  <c r="E354" i="41"/>
  <c r="G353" i="41"/>
  <c r="E353" i="41"/>
  <c r="A353" i="41"/>
  <c r="K353" i="41" s="1"/>
  <c r="J353" i="41" s="1"/>
  <c r="G352" i="41"/>
  <c r="E352" i="41"/>
  <c r="A352" i="41"/>
  <c r="K352" i="41" s="1"/>
  <c r="J352" i="41" s="1"/>
  <c r="G351" i="41"/>
  <c r="E351" i="41"/>
  <c r="A351" i="41"/>
  <c r="K351" i="41" s="1"/>
  <c r="J351" i="41" s="1"/>
  <c r="G350" i="41"/>
  <c r="E350" i="41"/>
  <c r="A350" i="41"/>
  <c r="K350" i="41" s="1"/>
  <c r="J350" i="41" s="1"/>
  <c r="G349" i="41"/>
  <c r="E349" i="41"/>
  <c r="A349" i="41"/>
  <c r="K349" i="41" s="1"/>
  <c r="J349" i="41" s="1"/>
  <c r="L349" i="41" s="1"/>
  <c r="G348" i="41"/>
  <c r="E348" i="41"/>
  <c r="A348" i="41"/>
  <c r="K348" i="41" s="1"/>
  <c r="J348" i="41" s="1"/>
  <c r="G347" i="41"/>
  <c r="E347" i="41"/>
  <c r="A347" i="41"/>
  <c r="K347" i="41" s="1"/>
  <c r="J347" i="41" s="1"/>
  <c r="L347" i="41" s="1"/>
  <c r="G346" i="41"/>
  <c r="E346" i="41"/>
  <c r="A346" i="41"/>
  <c r="K346" i="41" s="1"/>
  <c r="J346" i="41" s="1"/>
  <c r="G345" i="41"/>
  <c r="E345" i="41"/>
  <c r="A345" i="41"/>
  <c r="K345" i="41" s="1"/>
  <c r="J345" i="41" s="1"/>
  <c r="U344" i="41"/>
  <c r="V344" i="41" s="1"/>
  <c r="G344" i="41"/>
  <c r="E344" i="41"/>
  <c r="A344" i="41"/>
  <c r="K344" i="41" s="1"/>
  <c r="J344" i="41" s="1"/>
  <c r="L344" i="41" s="1"/>
  <c r="U343" i="41"/>
  <c r="V343" i="41" s="1"/>
  <c r="G343" i="41"/>
  <c r="E343" i="41"/>
  <c r="A343" i="41"/>
  <c r="G342" i="41"/>
  <c r="E342" i="41"/>
  <c r="A342" i="41"/>
  <c r="K342" i="41" s="1"/>
  <c r="J342" i="41" s="1"/>
  <c r="L342" i="41" s="1"/>
  <c r="H341" i="41"/>
  <c r="H352" i="41" s="1"/>
  <c r="A341" i="41"/>
  <c r="O1186" i="41" l="1"/>
  <c r="O1185" i="41"/>
  <c r="O1170" i="41"/>
  <c r="O1173" i="41"/>
  <c r="O1188" i="41"/>
  <c r="O1171" i="41"/>
  <c r="I1181" i="41"/>
  <c r="O1172" i="41"/>
  <c r="L1170" i="41"/>
  <c r="L1171" i="41"/>
  <c r="R1174" i="41"/>
  <c r="L1174" i="41"/>
  <c r="K343" i="41"/>
  <c r="J343" i="41" s="1"/>
  <c r="L343" i="41" s="1"/>
  <c r="L353" i="41"/>
  <c r="L355" i="41"/>
  <c r="L345" i="41"/>
  <c r="L352" i="41"/>
  <c r="T347" i="41"/>
  <c r="T349" i="41"/>
  <c r="L354" i="41"/>
  <c r="I350" i="41"/>
  <c r="I351" i="41" s="1"/>
  <c r="L351" i="41" s="1"/>
  <c r="L346" i="41"/>
  <c r="K511" i="41"/>
  <c r="J511" i="41" s="1"/>
  <c r="G511" i="41"/>
  <c r="E511" i="41"/>
  <c r="L1260" i="41" l="1"/>
  <c r="L1318" i="41"/>
  <c r="L1287" i="41"/>
  <c r="L1315" i="41"/>
  <c r="L1290" i="41"/>
  <c r="L350" i="41"/>
  <c r="S350" i="41" s="1"/>
  <c r="T350" i="41" s="1"/>
  <c r="T351" i="41" s="1"/>
  <c r="U342" i="41" s="1"/>
  <c r="V342" i="41" s="1"/>
  <c r="L348" i="41"/>
  <c r="T348" i="41" s="1"/>
  <c r="L511" i="41"/>
  <c r="L341" i="41" l="1"/>
  <c r="J341" i="41" s="1"/>
  <c r="I192" i="41" l="1"/>
  <c r="I77" i="41"/>
  <c r="H65" i="41"/>
  <c r="G708" i="41"/>
  <c r="A708" i="41"/>
  <c r="K708" i="41" s="1"/>
  <c r="G707" i="41"/>
  <c r="A707" i="41"/>
  <c r="K707" i="41" s="1"/>
  <c r="G706" i="41"/>
  <c r="A706" i="41"/>
  <c r="K706" i="41" s="1"/>
  <c r="G705" i="41"/>
  <c r="A705" i="41"/>
  <c r="K705" i="41" s="1"/>
  <c r="G704" i="41"/>
  <c r="A704" i="41"/>
  <c r="K704" i="41" s="1"/>
  <c r="D3044" i="24"/>
  <c r="D3043" i="24"/>
  <c r="D3047" i="24"/>
  <c r="D3046" i="24"/>
  <c r="D3045" i="24"/>
  <c r="H690" i="41"/>
  <c r="E699" i="41"/>
  <c r="E698" i="41"/>
  <c r="E697" i="41"/>
  <c r="E696" i="41"/>
  <c r="E695" i="41"/>
  <c r="E694" i="41"/>
  <c r="E693" i="41"/>
  <c r="E692" i="41"/>
  <c r="E691" i="41"/>
  <c r="D2787" i="24"/>
  <c r="H1236" i="41"/>
  <c r="I1237" i="41" s="1"/>
  <c r="E1237" i="41"/>
  <c r="I35" i="41"/>
  <c r="G34" i="41"/>
  <c r="E34" i="41"/>
  <c r="A34" i="41"/>
  <c r="K34" i="41" s="1"/>
  <c r="I31" i="41"/>
  <c r="L1354" i="41"/>
  <c r="R29" i="45"/>
  <c r="D24" i="45"/>
  <c r="F24" i="45" s="1"/>
  <c r="H24" i="45" s="1"/>
  <c r="J24" i="45" s="1"/>
  <c r="BZ29" i="45"/>
  <c r="BZ25" i="45"/>
  <c r="BZ21" i="45"/>
  <c r="BZ16" i="45"/>
  <c r="BZ13" i="45"/>
  <c r="BZ12" i="45"/>
  <c r="BX32" i="45"/>
  <c r="BZ32" i="45" s="1"/>
  <c r="BX31" i="45"/>
  <c r="BZ31" i="45" s="1"/>
  <c r="BX30" i="45"/>
  <c r="BZ30" i="45" s="1"/>
  <c r="BX29" i="45"/>
  <c r="BX28" i="45"/>
  <c r="BZ28" i="45" s="1"/>
  <c r="BX27" i="45"/>
  <c r="BZ27" i="45" s="1"/>
  <c r="BX26" i="45"/>
  <c r="BZ26" i="45" s="1"/>
  <c r="BX25" i="45"/>
  <c r="BX24" i="45"/>
  <c r="BZ24" i="45" s="1"/>
  <c r="BX23" i="45"/>
  <c r="BZ23" i="45" s="1"/>
  <c r="BX22" i="45"/>
  <c r="BZ22" i="45" s="1"/>
  <c r="BX21" i="45"/>
  <c r="BX20" i="45"/>
  <c r="BZ20" i="45" s="1"/>
  <c r="BX19" i="45"/>
  <c r="BZ19" i="45" s="1"/>
  <c r="BX18" i="45"/>
  <c r="BZ18" i="45" s="1"/>
  <c r="BX16" i="45"/>
  <c r="BX15" i="45"/>
  <c r="BZ15" i="45" s="1"/>
  <c r="BX14" i="45"/>
  <c r="BZ14" i="45" s="1"/>
  <c r="BX13" i="45"/>
  <c r="BX12" i="45"/>
  <c r="BX11" i="45"/>
  <c r="BZ11" i="45" s="1"/>
  <c r="BX10" i="45"/>
  <c r="BZ10" i="45" s="1"/>
  <c r="BT32" i="45"/>
  <c r="BT28" i="45"/>
  <c r="BT27" i="45"/>
  <c r="BT26" i="45"/>
  <c r="BT22" i="45"/>
  <c r="BT21" i="45"/>
  <c r="BT20" i="45"/>
  <c r="BT19" i="45"/>
  <c r="BT18" i="45"/>
  <c r="BT16" i="45"/>
  <c r="BT15" i="45"/>
  <c r="BT14" i="45"/>
  <c r="BT13" i="45"/>
  <c r="BT11" i="45"/>
  <c r="BR32" i="45"/>
  <c r="BR28" i="45"/>
  <c r="BR27" i="45"/>
  <c r="BR26" i="45"/>
  <c r="BR22" i="45"/>
  <c r="BR21" i="45"/>
  <c r="BR20" i="45"/>
  <c r="BR19" i="45"/>
  <c r="BR18" i="45"/>
  <c r="BR16" i="45"/>
  <c r="BR15" i="45"/>
  <c r="BR14" i="45"/>
  <c r="BR13" i="45"/>
  <c r="BR11" i="45"/>
  <c r="BP32" i="45"/>
  <c r="BP28" i="45"/>
  <c r="BP27" i="45"/>
  <c r="BP26" i="45"/>
  <c r="BP22" i="45"/>
  <c r="BP21" i="45"/>
  <c r="BP20" i="45"/>
  <c r="BP19" i="45"/>
  <c r="BP18" i="45"/>
  <c r="BP16" i="45"/>
  <c r="BP15" i="45"/>
  <c r="BP14" i="45"/>
  <c r="BP13" i="45"/>
  <c r="BP11" i="45"/>
  <c r="BN32" i="45"/>
  <c r="BN28" i="45"/>
  <c r="BN27" i="45"/>
  <c r="BN26" i="45"/>
  <c r="BN22" i="45"/>
  <c r="BN21" i="45"/>
  <c r="BN20" i="45"/>
  <c r="BN19" i="45"/>
  <c r="BN18" i="45"/>
  <c r="BN16" i="45"/>
  <c r="BN15" i="45"/>
  <c r="BN14" i="45"/>
  <c r="BN13" i="45"/>
  <c r="BN11" i="45"/>
  <c r="BL32" i="45"/>
  <c r="BL28" i="45"/>
  <c r="BL27" i="45"/>
  <c r="BL26" i="45"/>
  <c r="BL22" i="45"/>
  <c r="BL21" i="45"/>
  <c r="BL20" i="45"/>
  <c r="BL19" i="45"/>
  <c r="BL18" i="45"/>
  <c r="BL16" i="45"/>
  <c r="BL15" i="45"/>
  <c r="BL14" i="45"/>
  <c r="BL13" i="45"/>
  <c r="BL11" i="45"/>
  <c r="BJ32" i="45"/>
  <c r="BJ28" i="45"/>
  <c r="BJ27" i="45"/>
  <c r="BJ26" i="45"/>
  <c r="BJ22" i="45"/>
  <c r="BJ21" i="45"/>
  <c r="BJ20" i="45"/>
  <c r="BJ19" i="45"/>
  <c r="BJ18" i="45"/>
  <c r="BJ16" i="45"/>
  <c r="BJ15" i="45"/>
  <c r="BJ14" i="45"/>
  <c r="BJ13" i="45"/>
  <c r="BJ11" i="45"/>
  <c r="BH32" i="45"/>
  <c r="BH28" i="45"/>
  <c r="BH27" i="45"/>
  <c r="BH26" i="45"/>
  <c r="BH22" i="45"/>
  <c r="BH21" i="45"/>
  <c r="BH20" i="45"/>
  <c r="BH19" i="45"/>
  <c r="BH18" i="45"/>
  <c r="BH16" i="45"/>
  <c r="BH15" i="45"/>
  <c r="BH14" i="45"/>
  <c r="BH13" i="45"/>
  <c r="BH11" i="45"/>
  <c r="BF32" i="45"/>
  <c r="BF28" i="45"/>
  <c r="BF27" i="45"/>
  <c r="BF26" i="45"/>
  <c r="BF22" i="45"/>
  <c r="BF21" i="45"/>
  <c r="BF20" i="45"/>
  <c r="BF19" i="45"/>
  <c r="BF18" i="45"/>
  <c r="BF16" i="45"/>
  <c r="BF15" i="45"/>
  <c r="BF14" i="45"/>
  <c r="BF13" i="45"/>
  <c r="BF11" i="45"/>
  <c r="BD32" i="45"/>
  <c r="BD28" i="45"/>
  <c r="BD27" i="45"/>
  <c r="BD26" i="45"/>
  <c r="BD22" i="45"/>
  <c r="BD21" i="45"/>
  <c r="BD20" i="45"/>
  <c r="BD19" i="45"/>
  <c r="BD18" i="45"/>
  <c r="BD16" i="45"/>
  <c r="BD15" i="45"/>
  <c r="BD14" i="45"/>
  <c r="BD13" i="45"/>
  <c r="BD11" i="45"/>
  <c r="BB32" i="45"/>
  <c r="BB28" i="45"/>
  <c r="BB27" i="45"/>
  <c r="BB26" i="45"/>
  <c r="BB22" i="45"/>
  <c r="BB21" i="45"/>
  <c r="BB20" i="45"/>
  <c r="BB19" i="45"/>
  <c r="BB18" i="45"/>
  <c r="BB16" i="45"/>
  <c r="BB15" i="45"/>
  <c r="BB14" i="45"/>
  <c r="BB13" i="45"/>
  <c r="BB11" i="45"/>
  <c r="AZ32" i="45"/>
  <c r="AZ28" i="45"/>
  <c r="AZ27" i="45"/>
  <c r="AZ26" i="45"/>
  <c r="AZ22" i="45"/>
  <c r="AZ21" i="45"/>
  <c r="AZ20" i="45"/>
  <c r="AZ19" i="45"/>
  <c r="AZ18" i="45"/>
  <c r="AZ16" i="45"/>
  <c r="AZ15" i="45"/>
  <c r="AZ14" i="45"/>
  <c r="AZ13" i="45"/>
  <c r="AZ11" i="45"/>
  <c r="AX32" i="45"/>
  <c r="AX28" i="45"/>
  <c r="AX27" i="45"/>
  <c r="AX26" i="45"/>
  <c r="AX22" i="45"/>
  <c r="AX21" i="45"/>
  <c r="AX20" i="45"/>
  <c r="AX19" i="45"/>
  <c r="AX18" i="45"/>
  <c r="AX16" i="45"/>
  <c r="AX15" i="45"/>
  <c r="AX14" i="45"/>
  <c r="AX13" i="45"/>
  <c r="AX11" i="45"/>
  <c r="AV32" i="45"/>
  <c r="AV28" i="45"/>
  <c r="AV27" i="45"/>
  <c r="AV26" i="45"/>
  <c r="AV22" i="45"/>
  <c r="AV21" i="45"/>
  <c r="AV20" i="45"/>
  <c r="AV19" i="45"/>
  <c r="AV18" i="45"/>
  <c r="AV16" i="45"/>
  <c r="AV15" i="45"/>
  <c r="AV14" i="45"/>
  <c r="AV13" i="45"/>
  <c r="AV11" i="45"/>
  <c r="AT32" i="45"/>
  <c r="AT28" i="45"/>
  <c r="AT27" i="45"/>
  <c r="AT26" i="45"/>
  <c r="AT22" i="45"/>
  <c r="AT21" i="45"/>
  <c r="AT20" i="45"/>
  <c r="AT19" i="45"/>
  <c r="AT18" i="45"/>
  <c r="AT16" i="45"/>
  <c r="AT15" i="45"/>
  <c r="AT14" i="45"/>
  <c r="AT13" i="45"/>
  <c r="AT11" i="45"/>
  <c r="AR32" i="45"/>
  <c r="AR28" i="45"/>
  <c r="AR27" i="45"/>
  <c r="AR26" i="45"/>
  <c r="AR22" i="45"/>
  <c r="AR21" i="45"/>
  <c r="AR20" i="45"/>
  <c r="AR19" i="45"/>
  <c r="AR18" i="45"/>
  <c r="AR16" i="45"/>
  <c r="AR15" i="45"/>
  <c r="AR14" i="45"/>
  <c r="AR13" i="45"/>
  <c r="AR11" i="45"/>
  <c r="AP32" i="45"/>
  <c r="AP28" i="45"/>
  <c r="AP27" i="45"/>
  <c r="AP26" i="45"/>
  <c r="AP22" i="45"/>
  <c r="AP21" i="45"/>
  <c r="AP20" i="45"/>
  <c r="AP19" i="45"/>
  <c r="AP18" i="45"/>
  <c r="AP16" i="45"/>
  <c r="AP15" i="45"/>
  <c r="AP14" i="45"/>
  <c r="AP13" i="45"/>
  <c r="AP11" i="45"/>
  <c r="AN32" i="45"/>
  <c r="AN28" i="45"/>
  <c r="AN27" i="45"/>
  <c r="AN26" i="45"/>
  <c r="AN22" i="45"/>
  <c r="AN21" i="45"/>
  <c r="AN20" i="45"/>
  <c r="AN19" i="45"/>
  <c r="AN18" i="45"/>
  <c r="AN16" i="45"/>
  <c r="AN15" i="45"/>
  <c r="AN14" i="45"/>
  <c r="AN13" i="45"/>
  <c r="AN11" i="45"/>
  <c r="BN45" i="45"/>
  <c r="BL45" i="45"/>
  <c r="BJ45" i="45"/>
  <c r="BH45" i="45"/>
  <c r="BF45" i="45"/>
  <c r="BD45" i="45"/>
  <c r="BB45" i="45"/>
  <c r="AZ45" i="45"/>
  <c r="AX45" i="45"/>
  <c r="AT45" i="45"/>
  <c r="AR45" i="45"/>
  <c r="AP45" i="45"/>
  <c r="AN45" i="45"/>
  <c r="AL45" i="45"/>
  <c r="AJ45" i="45"/>
  <c r="AH45" i="45"/>
  <c r="AJ30" i="45"/>
  <c r="AJ29" i="45"/>
  <c r="I975" i="41"/>
  <c r="T982" i="41"/>
  <c r="V982" i="41" s="1"/>
  <c r="T980" i="41"/>
  <c r="V980" i="41" s="1"/>
  <c r="T981" i="41"/>
  <c r="V981" i="41" s="1"/>
  <c r="H773" i="41" l="1"/>
  <c r="O704" i="41"/>
  <c r="O706" i="41"/>
  <c r="O708" i="41"/>
  <c r="O705" i="41"/>
  <c r="O707" i="41"/>
  <c r="R705" i="41"/>
  <c r="L705" i="41"/>
  <c r="R704" i="41"/>
  <c r="L704" i="41"/>
  <c r="R708" i="41"/>
  <c r="L708" i="41"/>
  <c r="L707" i="41"/>
  <c r="R707" i="41"/>
  <c r="L706" i="41"/>
  <c r="R706" i="41"/>
  <c r="O34" i="41"/>
  <c r="J34" i="41"/>
  <c r="AL30" i="45"/>
  <c r="AL29" i="45"/>
  <c r="AN29" i="45" s="1"/>
  <c r="AP29" i="45" s="1"/>
  <c r="AR29" i="45" s="1"/>
  <c r="AT29" i="45" s="1"/>
  <c r="AV29" i="45" s="1"/>
  <c r="AX29" i="45" s="1"/>
  <c r="AZ29" i="45" s="1"/>
  <c r="BB29" i="45" s="1"/>
  <c r="BD29" i="45" s="1"/>
  <c r="BF29" i="45" s="1"/>
  <c r="BH29" i="45" s="1"/>
  <c r="BJ29" i="45" s="1"/>
  <c r="BL29" i="45" s="1"/>
  <c r="BN29" i="45" s="1"/>
  <c r="BP29" i="45" s="1"/>
  <c r="BR29" i="45" s="1"/>
  <c r="BT29" i="45" s="1"/>
  <c r="V983" i="41"/>
  <c r="L981" i="41"/>
  <c r="A981" i="41"/>
  <c r="K981" i="41" s="1"/>
  <c r="L980" i="41"/>
  <c r="A980" i="41"/>
  <c r="K980" i="41" s="1"/>
  <c r="R979" i="41"/>
  <c r="O979" i="41"/>
  <c r="A979" i="41"/>
  <c r="K979" i="41" s="1"/>
  <c r="L979" i="41" l="1"/>
  <c r="R34" i="41"/>
  <c r="L34" i="41"/>
  <c r="AN30" i="45"/>
  <c r="AP30" i="45" l="1"/>
  <c r="I1190" i="41"/>
  <c r="I1182" i="41" s="1"/>
  <c r="I1183" i="41"/>
  <c r="AR30" i="45" l="1"/>
  <c r="H1224" i="41"/>
  <c r="B18" i="47"/>
  <c r="B22" i="47" s="1"/>
  <c r="H1222" i="41"/>
  <c r="AT30" i="45" l="1"/>
  <c r="I519" i="41"/>
  <c r="L1119" i="41"/>
  <c r="L1118" i="41"/>
  <c r="L1117" i="41"/>
  <c r="L1116" i="41"/>
  <c r="AV30" i="45" l="1"/>
  <c r="H173" i="41"/>
  <c r="G1237" i="41"/>
  <c r="A1237" i="41"/>
  <c r="K1237" i="41" s="1"/>
  <c r="E1028" i="41"/>
  <c r="E1029" i="41"/>
  <c r="E1030" i="41"/>
  <c r="E1036" i="41"/>
  <c r="E1037" i="41"/>
  <c r="G1037" i="41"/>
  <c r="I1008" i="41"/>
  <c r="K994" i="41"/>
  <c r="J994" i="41" s="1"/>
  <c r="L994" i="41" s="1"/>
  <c r="G994" i="41"/>
  <c r="G1067" i="41"/>
  <c r="J1237" i="41" l="1"/>
  <c r="L1237" i="41" s="1"/>
  <c r="AX30" i="45"/>
  <c r="O1237" i="41"/>
  <c r="A6" i="47"/>
  <c r="A5" i="47"/>
  <c r="I114" i="48"/>
  <c r="E114" i="48"/>
  <c r="G114" i="48" s="1"/>
  <c r="A114" i="48"/>
  <c r="I113" i="48"/>
  <c r="E113" i="48"/>
  <c r="G113" i="48" s="1"/>
  <c r="A113" i="48"/>
  <c r="I112" i="48"/>
  <c r="E112" i="48"/>
  <c r="G112" i="48" s="1"/>
  <c r="A112" i="48"/>
  <c r="I111" i="48"/>
  <c r="E111" i="48"/>
  <c r="G111" i="48" s="1"/>
  <c r="A111" i="48"/>
  <c r="I110" i="48"/>
  <c r="E110" i="48"/>
  <c r="G110" i="48" s="1"/>
  <c r="A110" i="48"/>
  <c r="I109" i="48"/>
  <c r="E109" i="48"/>
  <c r="G109" i="48" s="1"/>
  <c r="A109" i="48"/>
  <c r="I108" i="48"/>
  <c r="E108" i="48"/>
  <c r="G108" i="48" s="1"/>
  <c r="A108" i="48"/>
  <c r="I107" i="48"/>
  <c r="E107" i="48"/>
  <c r="G107" i="48" s="1"/>
  <c r="A107" i="48"/>
  <c r="I106" i="48"/>
  <c r="E106" i="48"/>
  <c r="G106" i="48" s="1"/>
  <c r="A106" i="48"/>
  <c r="I105" i="48"/>
  <c r="E105" i="48"/>
  <c r="G105" i="48" s="1"/>
  <c r="A105" i="48"/>
  <c r="I104" i="48"/>
  <c r="E104" i="48"/>
  <c r="G104" i="48" s="1"/>
  <c r="A104" i="48"/>
  <c r="I103" i="48"/>
  <c r="E103" i="48"/>
  <c r="G103" i="48" s="1"/>
  <c r="A103" i="48"/>
  <c r="I102" i="48"/>
  <c r="E102" i="48"/>
  <c r="G102" i="48" s="1"/>
  <c r="A102" i="48"/>
  <c r="I101" i="48"/>
  <c r="E101" i="48"/>
  <c r="G101" i="48" s="1"/>
  <c r="A101" i="48"/>
  <c r="I100" i="48"/>
  <c r="E100" i="48"/>
  <c r="G100" i="48" s="1"/>
  <c r="A100" i="48"/>
  <c r="I99" i="48"/>
  <c r="E99" i="48"/>
  <c r="G99" i="48" s="1"/>
  <c r="A99" i="48"/>
  <c r="I98" i="48"/>
  <c r="E98" i="48"/>
  <c r="G98" i="48" s="1"/>
  <c r="A98" i="48"/>
  <c r="I97" i="48"/>
  <c r="E97" i="48"/>
  <c r="G97" i="48" s="1"/>
  <c r="A97" i="48"/>
  <c r="I96" i="48"/>
  <c r="E96" i="48"/>
  <c r="G96" i="48" s="1"/>
  <c r="A96" i="48"/>
  <c r="I95" i="48"/>
  <c r="E95" i="48"/>
  <c r="G95" i="48" s="1"/>
  <c r="A95" i="48"/>
  <c r="I94" i="48"/>
  <c r="E94" i="48"/>
  <c r="G94" i="48" s="1"/>
  <c r="A94" i="48"/>
  <c r="I93" i="48"/>
  <c r="E93" i="48"/>
  <c r="G93" i="48" s="1"/>
  <c r="A93" i="48"/>
  <c r="I92" i="48"/>
  <c r="E92" i="48"/>
  <c r="G92" i="48" s="1"/>
  <c r="A92" i="48"/>
  <c r="I91" i="48"/>
  <c r="E91" i="48"/>
  <c r="G91" i="48" s="1"/>
  <c r="A91" i="48"/>
  <c r="I90" i="48"/>
  <c r="E90" i="48"/>
  <c r="G90" i="48" s="1"/>
  <c r="A90" i="48"/>
  <c r="I89" i="48"/>
  <c r="E89" i="48"/>
  <c r="G89" i="48" s="1"/>
  <c r="A89" i="48"/>
  <c r="I88" i="48"/>
  <c r="E88" i="48"/>
  <c r="G88" i="48" s="1"/>
  <c r="A88" i="48"/>
  <c r="I87" i="48"/>
  <c r="E87" i="48"/>
  <c r="G87" i="48" s="1"/>
  <c r="A87" i="48"/>
  <c r="I86" i="48"/>
  <c r="E86" i="48"/>
  <c r="G86" i="48" s="1"/>
  <c r="A86" i="48"/>
  <c r="I85" i="48"/>
  <c r="E85" i="48"/>
  <c r="G85" i="48" s="1"/>
  <c r="A85" i="48"/>
  <c r="I84" i="48"/>
  <c r="E84" i="48"/>
  <c r="G84" i="48" s="1"/>
  <c r="A84" i="48"/>
  <c r="I83" i="48"/>
  <c r="E83" i="48"/>
  <c r="G83" i="48" s="1"/>
  <c r="A83" i="48"/>
  <c r="I82" i="48"/>
  <c r="E82" i="48"/>
  <c r="G82" i="48" s="1"/>
  <c r="A82" i="48"/>
  <c r="I81" i="48"/>
  <c r="E81" i="48"/>
  <c r="G81" i="48" s="1"/>
  <c r="A81" i="48"/>
  <c r="I80" i="48"/>
  <c r="E80" i="48"/>
  <c r="G80" i="48" s="1"/>
  <c r="A80" i="48"/>
  <c r="I79" i="48"/>
  <c r="E79" i="48"/>
  <c r="G79" i="48" s="1"/>
  <c r="A79" i="48"/>
  <c r="I78" i="48"/>
  <c r="E78" i="48"/>
  <c r="G78" i="48" s="1"/>
  <c r="A78" i="48"/>
  <c r="I77" i="48"/>
  <c r="E77" i="48"/>
  <c r="G77" i="48" s="1"/>
  <c r="A77" i="48"/>
  <c r="I76" i="48"/>
  <c r="E76" i="48"/>
  <c r="G76" i="48" s="1"/>
  <c r="A76" i="48"/>
  <c r="I75" i="48"/>
  <c r="E75" i="48"/>
  <c r="G75" i="48" s="1"/>
  <c r="A75" i="48"/>
  <c r="I74" i="48"/>
  <c r="C74" i="48"/>
  <c r="E74" i="48" s="1"/>
  <c r="I73" i="48"/>
  <c r="E73" i="48"/>
  <c r="A73" i="48" s="1"/>
  <c r="I72" i="48"/>
  <c r="E72" i="48"/>
  <c r="G72" i="48" s="1"/>
  <c r="A72" i="48"/>
  <c r="I71" i="48"/>
  <c r="E71" i="48"/>
  <c r="A71" i="48" s="1"/>
  <c r="I70" i="48"/>
  <c r="E70" i="48"/>
  <c r="G70" i="48" s="1"/>
  <c r="A70" i="48"/>
  <c r="I69" i="48"/>
  <c r="E69" i="48"/>
  <c r="A69" i="48" s="1"/>
  <c r="I68" i="48"/>
  <c r="E68" i="48"/>
  <c r="G68" i="48" s="1"/>
  <c r="A68" i="48"/>
  <c r="I67" i="48"/>
  <c r="E67" i="48"/>
  <c r="A67" i="48" s="1"/>
  <c r="I66" i="48"/>
  <c r="E66" i="48"/>
  <c r="G66" i="48" s="1"/>
  <c r="A66" i="48"/>
  <c r="I65" i="48"/>
  <c r="I64" i="48" s="1"/>
  <c r="E65" i="48"/>
  <c r="A65" i="48" s="1"/>
  <c r="I61" i="48"/>
  <c r="E61" i="48"/>
  <c r="G61" i="48" s="1"/>
  <c r="A61" i="48"/>
  <c r="I60" i="48"/>
  <c r="E60" i="48"/>
  <c r="A60" i="48" s="1"/>
  <c r="I59" i="48"/>
  <c r="E59" i="48"/>
  <c r="G59" i="48" s="1"/>
  <c r="A59" i="48"/>
  <c r="I58" i="48"/>
  <c r="E58" i="48"/>
  <c r="A58" i="48" s="1"/>
  <c r="I57" i="48"/>
  <c r="E57" i="48"/>
  <c r="G57" i="48" s="1"/>
  <c r="A57" i="48"/>
  <c r="I56" i="48"/>
  <c r="E56" i="48"/>
  <c r="A56" i="48" s="1"/>
  <c r="I55" i="48"/>
  <c r="E55" i="48"/>
  <c r="G55" i="48" s="1"/>
  <c r="A55" i="48"/>
  <c r="I54" i="48"/>
  <c r="E54" i="48"/>
  <c r="A54" i="48" s="1"/>
  <c r="I53" i="48"/>
  <c r="E53" i="48"/>
  <c r="G53" i="48" s="1"/>
  <c r="A53" i="48"/>
  <c r="I52" i="48"/>
  <c r="E52" i="48"/>
  <c r="A52" i="48" s="1"/>
  <c r="I51" i="48"/>
  <c r="E51" i="48"/>
  <c r="G51" i="48" s="1"/>
  <c r="A51" i="48"/>
  <c r="I50" i="48"/>
  <c r="E50" i="48"/>
  <c r="A50" i="48" s="1"/>
  <c r="I49" i="48"/>
  <c r="E49" i="48"/>
  <c r="G49" i="48" s="1"/>
  <c r="A49" i="48"/>
  <c r="I48" i="48"/>
  <c r="E48" i="48"/>
  <c r="A48" i="48" s="1"/>
  <c r="I47" i="48"/>
  <c r="E47" i="48"/>
  <c r="G47" i="48" s="1"/>
  <c r="A47" i="48"/>
  <c r="I46" i="48"/>
  <c r="E46" i="48"/>
  <c r="A46" i="48" s="1"/>
  <c r="I45" i="48"/>
  <c r="E45" i="48"/>
  <c r="G45" i="48" s="1"/>
  <c r="A45" i="48"/>
  <c r="I44" i="48"/>
  <c r="E44" i="48"/>
  <c r="A44" i="48" s="1"/>
  <c r="I43" i="48"/>
  <c r="E43" i="48"/>
  <c r="G43" i="48" s="1"/>
  <c r="A43" i="48"/>
  <c r="I42" i="48"/>
  <c r="E42" i="48"/>
  <c r="A42" i="48" s="1"/>
  <c r="I41" i="48"/>
  <c r="E41" i="48"/>
  <c r="G41" i="48" s="1"/>
  <c r="A41" i="48"/>
  <c r="I40" i="48"/>
  <c r="E40" i="48"/>
  <c r="A40" i="48" s="1"/>
  <c r="I39" i="48"/>
  <c r="E39" i="48"/>
  <c r="G39" i="48" s="1"/>
  <c r="A39" i="48"/>
  <c r="I38" i="48"/>
  <c r="E38" i="48"/>
  <c r="A38" i="48" s="1"/>
  <c r="I37" i="48"/>
  <c r="E37" i="48"/>
  <c r="G37" i="48" s="1"/>
  <c r="A37" i="48"/>
  <c r="I36" i="48"/>
  <c r="E36" i="48"/>
  <c r="A36" i="48" s="1"/>
  <c r="I35" i="48"/>
  <c r="E35" i="48"/>
  <c r="G35" i="48" s="1"/>
  <c r="A35" i="48"/>
  <c r="I34" i="48"/>
  <c r="E34" i="48"/>
  <c r="A34" i="48" s="1"/>
  <c r="I33" i="48"/>
  <c r="E33" i="48"/>
  <c r="G33" i="48" s="1"/>
  <c r="A33" i="48"/>
  <c r="I32" i="48"/>
  <c r="E32" i="48"/>
  <c r="A32" i="48" s="1"/>
  <c r="I31" i="48"/>
  <c r="E31" i="48"/>
  <c r="G31" i="48" s="1"/>
  <c r="A31" i="48"/>
  <c r="I30" i="48"/>
  <c r="E30" i="48"/>
  <c r="A30" i="48" s="1"/>
  <c r="I29" i="48"/>
  <c r="E29" i="48"/>
  <c r="G29" i="48" s="1"/>
  <c r="A29" i="48"/>
  <c r="I28" i="48"/>
  <c r="E28" i="48"/>
  <c r="A28" i="48" s="1"/>
  <c r="I27" i="48"/>
  <c r="E27" i="48"/>
  <c r="G27" i="48" s="1"/>
  <c r="A27" i="48"/>
  <c r="I26" i="48"/>
  <c r="E26" i="48"/>
  <c r="A26" i="48" s="1"/>
  <c r="I25" i="48"/>
  <c r="E25" i="48"/>
  <c r="G25" i="48" s="1"/>
  <c r="A25" i="48"/>
  <c r="I24" i="48"/>
  <c r="E24" i="48"/>
  <c r="A24" i="48" s="1"/>
  <c r="I23" i="48"/>
  <c r="E23" i="48"/>
  <c r="G23" i="48" s="1"/>
  <c r="A23" i="48"/>
  <c r="I22" i="48"/>
  <c r="E22" i="48"/>
  <c r="A22" i="48" s="1"/>
  <c r="I21" i="48"/>
  <c r="E21" i="48"/>
  <c r="G21" i="48" s="1"/>
  <c r="A21" i="48"/>
  <c r="H20" i="48"/>
  <c r="I20" i="48" s="1"/>
  <c r="C20" i="48"/>
  <c r="E20" i="48" s="1"/>
  <c r="C19" i="48"/>
  <c r="H19" i="48" s="1"/>
  <c r="I19" i="48" s="1"/>
  <c r="I18" i="48"/>
  <c r="E18" i="48"/>
  <c r="G18" i="48" s="1"/>
  <c r="A18" i="48"/>
  <c r="I17" i="48"/>
  <c r="E17" i="48"/>
  <c r="A17" i="48" s="1"/>
  <c r="I16" i="48"/>
  <c r="E16" i="48"/>
  <c r="G16" i="48" s="1"/>
  <c r="A16" i="48"/>
  <c r="I15" i="48"/>
  <c r="E15" i="48"/>
  <c r="A15" i="48" s="1"/>
  <c r="C15" i="48"/>
  <c r="I14" i="48"/>
  <c r="E14" i="48"/>
  <c r="G14" i="48" s="1"/>
  <c r="A14" i="48"/>
  <c r="I13" i="48"/>
  <c r="G13" i="48"/>
  <c r="E13" i="48"/>
  <c r="A13" i="48"/>
  <c r="I12" i="48"/>
  <c r="E12" i="48"/>
  <c r="A12" i="48"/>
  <c r="A4" i="47"/>
  <c r="G24" i="47"/>
  <c r="R1237" i="41" l="1"/>
  <c r="AZ30" i="45"/>
  <c r="I11" i="48"/>
  <c r="G74" i="48"/>
  <c r="A74" i="48"/>
  <c r="I62" i="48"/>
  <c r="A20" i="48"/>
  <c r="G20" i="48"/>
  <c r="G32" i="48"/>
  <c r="G36" i="48"/>
  <c r="G40" i="48"/>
  <c r="G44" i="48"/>
  <c r="G48" i="48"/>
  <c r="G52" i="48"/>
  <c r="G54" i="48"/>
  <c r="G58" i="48"/>
  <c r="G60" i="48"/>
  <c r="G65" i="48"/>
  <c r="G69" i="48"/>
  <c r="G73" i="48"/>
  <c r="I115" i="48"/>
  <c r="G15" i="48"/>
  <c r="G17" i="48"/>
  <c r="E19" i="48"/>
  <c r="G22" i="48"/>
  <c r="G24" i="48"/>
  <c r="G26" i="48"/>
  <c r="G28" i="48"/>
  <c r="G30" i="48"/>
  <c r="G34" i="48"/>
  <c r="G38" i="48"/>
  <c r="G42" i="48"/>
  <c r="G46" i="48"/>
  <c r="G50" i="48"/>
  <c r="G56" i="48"/>
  <c r="G67" i="48"/>
  <c r="G71" i="48"/>
  <c r="E115" i="48"/>
  <c r="G12" i="48"/>
  <c r="E64" i="48"/>
  <c r="A64" i="48" s="1"/>
  <c r="BB30" i="45" l="1"/>
  <c r="G64" i="48"/>
  <c r="G115" i="48"/>
  <c r="A19" i="48"/>
  <c r="G19" i="48"/>
  <c r="G62" i="48"/>
  <c r="G11" i="48"/>
  <c r="A115" i="48"/>
  <c r="E62" i="48"/>
  <c r="A62" i="48" s="1"/>
  <c r="I117" i="48"/>
  <c r="E11" i="48"/>
  <c r="A11" i="48" s="1"/>
  <c r="BD30" i="45" l="1"/>
  <c r="E117" i="48"/>
  <c r="A117" i="48" s="1"/>
  <c r="G117" i="48"/>
  <c r="I121" i="48" s="1"/>
  <c r="BF30" i="45" l="1"/>
  <c r="I120" i="48"/>
  <c r="BH30" i="45" l="1"/>
  <c r="C43" i="42"/>
  <c r="BJ30" i="45" l="1"/>
  <c r="BL30" i="45" l="1"/>
  <c r="H897" i="41"/>
  <c r="G898" i="41"/>
  <c r="A898" i="41"/>
  <c r="K898" i="41" s="1"/>
  <c r="A897" i="41"/>
  <c r="K897" i="41" s="1"/>
  <c r="H703" i="41"/>
  <c r="L628" i="41"/>
  <c r="K628" i="41"/>
  <c r="L568" i="41"/>
  <c r="K568" i="41"/>
  <c r="G568" i="41"/>
  <c r="BN30" i="45" l="1"/>
  <c r="O897" i="41"/>
  <c r="R898" i="41"/>
  <c r="BP30" i="45" l="1"/>
  <c r="A1119" i="41"/>
  <c r="K1119" i="41" s="1"/>
  <c r="A1118" i="41"/>
  <c r="K1118" i="41" s="1"/>
  <c r="A1117" i="41"/>
  <c r="K1117" i="41" s="1"/>
  <c r="A1116" i="41"/>
  <c r="K1116" i="41" s="1"/>
  <c r="R1115" i="41"/>
  <c r="O1115" i="41"/>
  <c r="A1115" i="41"/>
  <c r="K1115" i="41" s="1"/>
  <c r="BR30" i="45" l="1"/>
  <c r="H486" i="41"/>
  <c r="H464" i="41"/>
  <c r="H561" i="41"/>
  <c r="I562" i="41" s="1"/>
  <c r="G565" i="41"/>
  <c r="E565" i="41"/>
  <c r="A565" i="41"/>
  <c r="K565" i="41" s="1"/>
  <c r="G564" i="41"/>
  <c r="E564" i="41"/>
  <c r="A564" i="41"/>
  <c r="K564" i="41" s="1"/>
  <c r="O564" i="41" s="1"/>
  <c r="G563" i="41"/>
  <c r="E563" i="41"/>
  <c r="A563" i="41"/>
  <c r="K563" i="41" s="1"/>
  <c r="G562" i="41"/>
  <c r="E562" i="41"/>
  <c r="A562" i="41"/>
  <c r="K562" i="41" s="1"/>
  <c r="J562" i="41" s="1"/>
  <c r="R561" i="41"/>
  <c r="O561" i="41"/>
  <c r="A561" i="41"/>
  <c r="K561" i="41" s="1"/>
  <c r="D32" i="45"/>
  <c r="F32" i="45" s="1"/>
  <c r="H32" i="45" s="1"/>
  <c r="J32" i="45" s="1"/>
  <c r="L32" i="45" s="1"/>
  <c r="N32" i="45" s="1"/>
  <c r="P32" i="45" s="1"/>
  <c r="R32" i="45" s="1"/>
  <c r="D31" i="45"/>
  <c r="F31" i="45" s="1"/>
  <c r="H31" i="45" s="1"/>
  <c r="J31" i="45" s="1"/>
  <c r="L31" i="45" s="1"/>
  <c r="P31" i="45" s="1"/>
  <c r="AB30" i="45"/>
  <c r="AD30" i="45" s="1"/>
  <c r="AF30" i="45" s="1"/>
  <c r="D30" i="45"/>
  <c r="T29" i="45"/>
  <c r="V29" i="45" s="1"/>
  <c r="D29" i="45"/>
  <c r="D28" i="45"/>
  <c r="F28" i="45" s="1"/>
  <c r="H28" i="45" s="1"/>
  <c r="J28" i="45" s="1"/>
  <c r="L28" i="45" s="1"/>
  <c r="N28" i="45" s="1"/>
  <c r="P28" i="45" s="1"/>
  <c r="R28" i="45" s="1"/>
  <c r="D27" i="45"/>
  <c r="F27" i="45" s="1"/>
  <c r="H27" i="45" s="1"/>
  <c r="J27" i="45" s="1"/>
  <c r="L27" i="45" s="1"/>
  <c r="N27" i="45" s="1"/>
  <c r="P27" i="45" s="1"/>
  <c r="R27" i="45" s="1"/>
  <c r="D26" i="45"/>
  <c r="F26" i="45" s="1"/>
  <c r="H26" i="45" s="1"/>
  <c r="J26" i="45" s="1"/>
  <c r="L26" i="45" s="1"/>
  <c r="N26" i="45" s="1"/>
  <c r="P26" i="45" s="1"/>
  <c r="R26" i="45" s="1"/>
  <c r="D25" i="45"/>
  <c r="H25" i="45" s="1"/>
  <c r="J25" i="45" s="1"/>
  <c r="L25" i="45" s="1"/>
  <c r="N25" i="45" s="1"/>
  <c r="P25" i="45" s="1"/>
  <c r="R25" i="45" s="1"/>
  <c r="L24" i="45"/>
  <c r="N24" i="45" s="1"/>
  <c r="P24" i="45" s="1"/>
  <c r="R24" i="45" s="1"/>
  <c r="D23" i="45"/>
  <c r="F23" i="45" s="1"/>
  <c r="H23" i="45" s="1"/>
  <c r="J23" i="45" s="1"/>
  <c r="L23" i="45" s="1"/>
  <c r="N23" i="45" s="1"/>
  <c r="P23" i="45" s="1"/>
  <c r="R23" i="45" s="1"/>
  <c r="D22" i="45"/>
  <c r="F22" i="45" s="1"/>
  <c r="H22" i="45" s="1"/>
  <c r="J22" i="45" s="1"/>
  <c r="L22" i="45" s="1"/>
  <c r="N22" i="45" s="1"/>
  <c r="P22" i="45" s="1"/>
  <c r="R22" i="45" s="1"/>
  <c r="D21" i="45"/>
  <c r="F21" i="45" s="1"/>
  <c r="H21" i="45" s="1"/>
  <c r="J21" i="45" s="1"/>
  <c r="L21" i="45" s="1"/>
  <c r="N21" i="45" s="1"/>
  <c r="P21" i="45" s="1"/>
  <c r="R21" i="45" s="1"/>
  <c r="F30" i="45" l="1"/>
  <c r="BT30" i="45"/>
  <c r="F29" i="45"/>
  <c r="T22" i="45"/>
  <c r="V22" i="45" s="1"/>
  <c r="X22" i="45" s="1"/>
  <c r="Z22" i="45" s="1"/>
  <c r="AB22" i="45" s="1"/>
  <c r="AD22" i="45" s="1"/>
  <c r="AF22" i="45" s="1"/>
  <c r="AH22" i="45"/>
  <c r="AJ22" i="45" s="1"/>
  <c r="T26" i="45"/>
  <c r="V26" i="45" s="1"/>
  <c r="X26" i="45" s="1"/>
  <c r="Z26" i="45" s="1"/>
  <c r="AB26" i="45" s="1"/>
  <c r="AD26" i="45" s="1"/>
  <c r="AF26" i="45" s="1"/>
  <c r="AH26" i="45"/>
  <c r="AJ26" i="45" s="1"/>
  <c r="T24" i="45"/>
  <c r="V24" i="45" s="1"/>
  <c r="X24" i="45" s="1"/>
  <c r="Z24" i="45" s="1"/>
  <c r="AB24" i="45" s="1"/>
  <c r="AD24" i="45" s="1"/>
  <c r="AF24" i="45" s="1"/>
  <c r="AH24" i="45"/>
  <c r="AJ24" i="45" s="1"/>
  <c r="T28" i="45"/>
  <c r="V28" i="45" s="1"/>
  <c r="X28" i="45" s="1"/>
  <c r="Z28" i="45" s="1"/>
  <c r="AB28" i="45" s="1"/>
  <c r="AD28" i="45" s="1"/>
  <c r="AF28" i="45" s="1"/>
  <c r="AH28" i="45"/>
  <c r="AJ28" i="45" s="1"/>
  <c r="T32" i="45"/>
  <c r="V32" i="45" s="1"/>
  <c r="X32" i="45" s="1"/>
  <c r="Z32" i="45" s="1"/>
  <c r="AB32" i="45" s="1"/>
  <c r="AD32" i="45" s="1"/>
  <c r="AF32" i="45" s="1"/>
  <c r="AH32" i="45"/>
  <c r="AJ32" i="45" s="1"/>
  <c r="T21" i="45"/>
  <c r="V21" i="45" s="1"/>
  <c r="X21" i="45" s="1"/>
  <c r="Z21" i="45" s="1"/>
  <c r="AB21" i="45" s="1"/>
  <c r="AD21" i="45" s="1"/>
  <c r="AF21" i="45" s="1"/>
  <c r="AH21" i="45"/>
  <c r="AJ21" i="45" s="1"/>
  <c r="T25" i="45"/>
  <c r="V25" i="45" s="1"/>
  <c r="X25" i="45" s="1"/>
  <c r="AJ25" i="45"/>
  <c r="T23" i="45"/>
  <c r="V23" i="45" s="1"/>
  <c r="X23" i="45" s="1"/>
  <c r="Z23" i="45" s="1"/>
  <c r="AB23" i="45" s="1"/>
  <c r="AD23" i="45" s="1"/>
  <c r="AF23" i="45" s="1"/>
  <c r="AH23" i="45"/>
  <c r="AJ23" i="45" s="1"/>
  <c r="T27" i="45"/>
  <c r="V27" i="45" s="1"/>
  <c r="X27" i="45" s="1"/>
  <c r="Z27" i="45" s="1"/>
  <c r="AB27" i="45" s="1"/>
  <c r="AD27" i="45" s="1"/>
  <c r="AF27" i="45" s="1"/>
  <c r="AH27" i="45"/>
  <c r="AJ27" i="45" s="1"/>
  <c r="AH33" i="45"/>
  <c r="AJ31" i="45"/>
  <c r="O563" i="41"/>
  <c r="J563" i="41"/>
  <c r="L563" i="41" s="1"/>
  <c r="O565" i="41"/>
  <c r="J565" i="41"/>
  <c r="R565" i="41" s="1"/>
  <c r="J564" i="41"/>
  <c r="R564" i="41" s="1"/>
  <c r="L562" i="41"/>
  <c r="R562" i="41"/>
  <c r="O562" i="41"/>
  <c r="X29" i="45"/>
  <c r="H29" i="45"/>
  <c r="H30" i="45" l="1"/>
  <c r="AL23" i="45"/>
  <c r="AN23" i="45" s="1"/>
  <c r="AP23" i="45" s="1"/>
  <c r="AR23" i="45" s="1"/>
  <c r="AT23" i="45" s="1"/>
  <c r="AV23" i="45" s="1"/>
  <c r="AX23" i="45" s="1"/>
  <c r="AZ23" i="45" s="1"/>
  <c r="BB23" i="45" s="1"/>
  <c r="BD23" i="45" s="1"/>
  <c r="BF23" i="45" s="1"/>
  <c r="BH23" i="45" s="1"/>
  <c r="BJ23" i="45" s="1"/>
  <c r="BL23" i="45" s="1"/>
  <c r="BN23" i="45" s="1"/>
  <c r="BP23" i="45" s="1"/>
  <c r="BR23" i="45" s="1"/>
  <c r="BT23" i="45" s="1"/>
  <c r="AL21" i="45"/>
  <c r="AL28" i="45"/>
  <c r="AL27" i="45"/>
  <c r="AL24" i="45"/>
  <c r="AN24" i="45" s="1"/>
  <c r="AP24" i="45" s="1"/>
  <c r="AR24" i="45" s="1"/>
  <c r="AT24" i="45" s="1"/>
  <c r="AV24" i="45" s="1"/>
  <c r="AX24" i="45" s="1"/>
  <c r="AZ24" i="45" s="1"/>
  <c r="BB24" i="45" s="1"/>
  <c r="BD24" i="45" s="1"/>
  <c r="BF24" i="45" s="1"/>
  <c r="BH24" i="45" s="1"/>
  <c r="BJ24" i="45" s="1"/>
  <c r="BL24" i="45" s="1"/>
  <c r="BN24" i="45" s="1"/>
  <c r="BP24" i="45" s="1"/>
  <c r="BR24" i="45" s="1"/>
  <c r="BT24" i="45" s="1"/>
  <c r="AL22" i="45"/>
  <c r="AL31" i="45"/>
  <c r="AJ33" i="45"/>
  <c r="AL26" i="45"/>
  <c r="AL25" i="45"/>
  <c r="AN25" i="45" s="1"/>
  <c r="AP25" i="45" s="1"/>
  <c r="AR25" i="45" s="1"/>
  <c r="AT25" i="45" s="1"/>
  <c r="AV25" i="45" s="1"/>
  <c r="AX25" i="45" s="1"/>
  <c r="AZ25" i="45" s="1"/>
  <c r="BB25" i="45" s="1"/>
  <c r="BD25" i="45" s="1"/>
  <c r="BF25" i="45" s="1"/>
  <c r="BH25" i="45" s="1"/>
  <c r="BJ25" i="45" s="1"/>
  <c r="BL25" i="45" s="1"/>
  <c r="BN25" i="45" s="1"/>
  <c r="BP25" i="45" s="1"/>
  <c r="BR25" i="45" s="1"/>
  <c r="BT25" i="45" s="1"/>
  <c r="AL32" i="45"/>
  <c r="R563" i="41"/>
  <c r="L565" i="41"/>
  <c r="L564" i="41"/>
  <c r="J29" i="45"/>
  <c r="J30" i="45" l="1"/>
  <c r="AN31" i="45"/>
  <c r="AL33" i="45"/>
  <c r="L561" i="41"/>
  <c r="AB29" i="45"/>
  <c r="AD29" i="45" s="1"/>
  <c r="X31" i="45"/>
  <c r="L29" i="45"/>
  <c r="I1061" i="41"/>
  <c r="I58" i="41"/>
  <c r="L30" i="45" l="1"/>
  <c r="AP31" i="45"/>
  <c r="AN33" i="45"/>
  <c r="AF29" i="45"/>
  <c r="N29" i="45"/>
  <c r="Z31" i="45"/>
  <c r="I900" i="41"/>
  <c r="A1026" i="41"/>
  <c r="K1026" i="41" s="1"/>
  <c r="J1026" i="41" s="1"/>
  <c r="L1026" i="41" s="1"/>
  <c r="A1027" i="41"/>
  <c r="K1027" i="41" s="1"/>
  <c r="G1194" i="41"/>
  <c r="E1194" i="41"/>
  <c r="A1194" i="41"/>
  <c r="K1194" i="41" s="1"/>
  <c r="G1168" i="41"/>
  <c r="A1168" i="41"/>
  <c r="K1168" i="41" s="1"/>
  <c r="N30" i="45" l="1"/>
  <c r="J1027" i="41"/>
  <c r="L1027" i="41" s="1"/>
  <c r="AR31" i="45"/>
  <c r="AP33" i="45"/>
  <c r="AB31" i="45"/>
  <c r="AD31" i="45" s="1"/>
  <c r="Z33" i="45"/>
  <c r="P29" i="45"/>
  <c r="R1168" i="41"/>
  <c r="O1168" i="41"/>
  <c r="R1194" i="41"/>
  <c r="L1194" i="41"/>
  <c r="O1194" i="41"/>
  <c r="P30" i="45" l="1"/>
  <c r="AT31" i="45"/>
  <c r="AR33" i="45"/>
  <c r="AF31" i="45"/>
  <c r="AD33" i="45"/>
  <c r="AB33" i="45"/>
  <c r="L1168" i="41"/>
  <c r="R30" i="45" l="1"/>
  <c r="T30" i="45" s="1"/>
  <c r="V30" i="45" s="1"/>
  <c r="AV31" i="45"/>
  <c r="AT33" i="45"/>
  <c r="AF33" i="45"/>
  <c r="I558" i="41"/>
  <c r="I559" i="41" s="1"/>
  <c r="I398" i="41"/>
  <c r="I397" i="41"/>
  <c r="X30" i="45" l="1"/>
  <c r="AX31" i="45"/>
  <c r="AV33" i="45"/>
  <c r="H787" i="41"/>
  <c r="AZ31" i="45" l="1"/>
  <c r="AX33" i="45"/>
  <c r="H812" i="41"/>
  <c r="BB31" i="45" l="1"/>
  <c r="AZ33" i="45"/>
  <c r="BD31" i="45" l="1"/>
  <c r="BB33" i="45"/>
  <c r="D12" i="45"/>
  <c r="F12" i="45" s="1"/>
  <c r="H12" i="45" s="1"/>
  <c r="J12" i="45" s="1"/>
  <c r="BF31" i="45" l="1"/>
  <c r="BD33" i="45"/>
  <c r="I509" i="41"/>
  <c r="BH31" i="45" l="1"/>
  <c r="BF33" i="45"/>
  <c r="E66" i="41"/>
  <c r="BJ31" i="45" l="1"/>
  <c r="BH33" i="45"/>
  <c r="I196" i="41"/>
  <c r="BL31" i="45" l="1"/>
  <c r="BJ33" i="45"/>
  <c r="I195" i="41"/>
  <c r="D2820" i="24"/>
  <c r="D2821" i="24"/>
  <c r="BN31" i="45" l="1"/>
  <c r="BL33" i="45"/>
  <c r="L1214" i="41"/>
  <c r="L1213" i="41" s="1"/>
  <c r="A1214" i="41"/>
  <c r="K1214" i="41" s="1"/>
  <c r="A1213" i="41"/>
  <c r="K1213" i="41" s="1"/>
  <c r="BP31" i="45" l="1"/>
  <c r="BN33" i="45"/>
  <c r="R1214" i="41"/>
  <c r="O1214" i="41"/>
  <c r="BR31" i="45" l="1"/>
  <c r="BP33" i="45"/>
  <c r="H732" i="41"/>
  <c r="BT31" i="45" l="1"/>
  <c r="BT33" i="45" s="1"/>
  <c r="BR33" i="45"/>
  <c r="K569" i="41"/>
  <c r="L569" i="41" s="1"/>
  <c r="G569" i="41"/>
  <c r="G389" i="41"/>
  <c r="E389" i="41"/>
  <c r="A389" i="41"/>
  <c r="K389" i="41" s="1"/>
  <c r="J389" i="41" s="1"/>
  <c r="L389" i="41" s="1"/>
  <c r="G388" i="41"/>
  <c r="E388" i="41"/>
  <c r="A388" i="41"/>
  <c r="K388" i="41" s="1"/>
  <c r="J388" i="41" s="1"/>
  <c r="G402" i="41"/>
  <c r="E402" i="41"/>
  <c r="A402" i="41"/>
  <c r="K402" i="41" s="1"/>
  <c r="J402" i="41" s="1"/>
  <c r="G445" i="41"/>
  <c r="E445" i="41"/>
  <c r="A445" i="41"/>
  <c r="K445" i="41" s="1"/>
  <c r="J445" i="41" s="1"/>
  <c r="L445" i="41" s="1"/>
  <c r="G457" i="41"/>
  <c r="E457" i="41"/>
  <c r="A457" i="41"/>
  <c r="K457" i="41" s="1"/>
  <c r="J457" i="41" s="1"/>
  <c r="L457" i="41" s="1"/>
  <c r="I449" i="41"/>
  <c r="L402" i="41" l="1"/>
  <c r="L388" i="41"/>
  <c r="I450" i="41"/>
  <c r="G386" i="41" l="1"/>
  <c r="E386" i="41"/>
  <c r="A386" i="41"/>
  <c r="K386" i="41" s="1"/>
  <c r="J386" i="41" s="1"/>
  <c r="G385" i="41"/>
  <c r="E385" i="41"/>
  <c r="A385" i="41"/>
  <c r="K385" i="41" s="1"/>
  <c r="J385" i="41" s="1"/>
  <c r="G384" i="41"/>
  <c r="E384" i="41"/>
  <c r="A384" i="41"/>
  <c r="K384" i="41" s="1"/>
  <c r="J384" i="41" s="1"/>
  <c r="G383" i="41"/>
  <c r="E383" i="41"/>
  <c r="A383" i="41"/>
  <c r="K383" i="41" s="1"/>
  <c r="J383" i="41" s="1"/>
  <c r="I399" i="41"/>
  <c r="I400" i="41" s="1"/>
  <c r="I396" i="41"/>
  <c r="I395" i="41"/>
  <c r="I394" i="41"/>
  <c r="G403" i="41"/>
  <c r="E403" i="41"/>
  <c r="A403" i="41"/>
  <c r="K403" i="41" s="1"/>
  <c r="J403" i="41" s="1"/>
  <c r="L403" i="41" s="1"/>
  <c r="G401" i="41"/>
  <c r="E401" i="41"/>
  <c r="A401" i="41"/>
  <c r="K401" i="41" s="1"/>
  <c r="J401" i="41" s="1"/>
  <c r="L401" i="41" s="1"/>
  <c r="G400" i="41"/>
  <c r="E400" i="41"/>
  <c r="A400" i="41"/>
  <c r="K400" i="41" s="1"/>
  <c r="J400" i="41" s="1"/>
  <c r="G399" i="41"/>
  <c r="E399" i="41"/>
  <c r="A399" i="41"/>
  <c r="K399" i="41" s="1"/>
  <c r="J399" i="41" s="1"/>
  <c r="G398" i="41"/>
  <c r="E398" i="41"/>
  <c r="A398" i="41"/>
  <c r="K398" i="41" s="1"/>
  <c r="J398" i="41" s="1"/>
  <c r="L398" i="41" s="1"/>
  <c r="G397" i="41"/>
  <c r="E397" i="41"/>
  <c r="A397" i="41"/>
  <c r="K397" i="41" s="1"/>
  <c r="J397" i="41" s="1"/>
  <c r="L397" i="41" s="1"/>
  <c r="G396" i="41"/>
  <c r="E396" i="41"/>
  <c r="A396" i="41"/>
  <c r="K396" i="41" s="1"/>
  <c r="J396" i="41" s="1"/>
  <c r="G395" i="41"/>
  <c r="E395" i="41"/>
  <c r="A395" i="41"/>
  <c r="K395" i="41" s="1"/>
  <c r="J395" i="41" s="1"/>
  <c r="G394" i="41"/>
  <c r="E394" i="41"/>
  <c r="A394" i="41"/>
  <c r="K394" i="41" s="1"/>
  <c r="J394" i="41" s="1"/>
  <c r="A393" i="41"/>
  <c r="L394" i="41" l="1"/>
  <c r="L399" i="41"/>
  <c r="L400" i="41"/>
  <c r="L396" i="41"/>
  <c r="L395" i="41"/>
  <c r="T398" i="41"/>
  <c r="T397" i="41"/>
  <c r="S399" i="41" l="1"/>
  <c r="T399" i="41" s="1"/>
  <c r="T400" i="41" s="1"/>
  <c r="L393" i="41"/>
  <c r="J393" i="41" s="1"/>
  <c r="I678" i="41" l="1"/>
  <c r="G682" i="41"/>
  <c r="E682" i="41"/>
  <c r="K681" i="41"/>
  <c r="J681" i="41" s="1"/>
  <c r="G681" i="41"/>
  <c r="E681" i="41"/>
  <c r="K680" i="41"/>
  <c r="J680" i="41" s="1"/>
  <c r="G680" i="41"/>
  <c r="E680" i="41"/>
  <c r="G679" i="41"/>
  <c r="E679" i="41"/>
  <c r="A679" i="41"/>
  <c r="K679" i="41" s="1"/>
  <c r="J679" i="41" s="1"/>
  <c r="K678" i="41"/>
  <c r="J678" i="41" s="1"/>
  <c r="G678" i="41"/>
  <c r="E678" i="41"/>
  <c r="O677" i="41"/>
  <c r="A677" i="41"/>
  <c r="K677" i="41" s="1"/>
  <c r="K685" i="41"/>
  <c r="J685" i="41" s="1"/>
  <c r="G685" i="41"/>
  <c r="E685" i="41"/>
  <c r="I681" i="41" l="1"/>
  <c r="I679" i="41"/>
  <c r="L679" i="41" s="1"/>
  <c r="I680" i="41"/>
  <c r="L678" i="41"/>
  <c r="L681" i="41" l="1"/>
  <c r="I682" i="41"/>
  <c r="L680" i="41"/>
  <c r="J1100" i="41" l="1"/>
  <c r="J1098" i="41"/>
  <c r="J1099" i="41"/>
  <c r="E1007" i="41" l="1"/>
  <c r="I685" i="41"/>
  <c r="I686" i="41"/>
  <c r="A686" i="41"/>
  <c r="K686" i="41" s="1"/>
  <c r="A684" i="41"/>
  <c r="K684" i="41" s="1"/>
  <c r="O683" i="41"/>
  <c r="A683" i="41"/>
  <c r="K683" i="41" s="1"/>
  <c r="I1148" i="41"/>
  <c r="I1149" i="41"/>
  <c r="L685" i="41" l="1"/>
  <c r="L686" i="41"/>
  <c r="D3285" i="24" l="1"/>
  <c r="D3294" i="24"/>
  <c r="D3295" i="24"/>
  <c r="D3293" i="24"/>
  <c r="L945" i="41"/>
  <c r="G947" i="41"/>
  <c r="A947" i="41"/>
  <c r="G946" i="41"/>
  <c r="A946" i="41"/>
  <c r="G945" i="41"/>
  <c r="A945" i="41"/>
  <c r="O944" i="41"/>
  <c r="A944" i="41"/>
  <c r="K944" i="41" s="1"/>
  <c r="H944" i="41" l="1"/>
  <c r="K912" i="41" l="1"/>
  <c r="L912" i="41" s="1"/>
  <c r="G912" i="41"/>
  <c r="J851" i="41"/>
  <c r="J850" i="41"/>
  <c r="J852" i="41"/>
  <c r="L847" i="41"/>
  <c r="L846" i="41"/>
  <c r="L845" i="41"/>
  <c r="G848" i="41"/>
  <c r="A848" i="41"/>
  <c r="G847" i="41"/>
  <c r="A847" i="41"/>
  <c r="G846" i="41"/>
  <c r="A846" i="41"/>
  <c r="G845" i="41"/>
  <c r="A845" i="41"/>
  <c r="L848" i="41" l="1"/>
  <c r="H808" i="41" l="1"/>
  <c r="L815" i="41"/>
  <c r="G815" i="41"/>
  <c r="A815" i="41"/>
  <c r="G699" i="41" l="1"/>
  <c r="A699" i="41"/>
  <c r="K699" i="41" s="1"/>
  <c r="G698" i="41"/>
  <c r="A698" i="41"/>
  <c r="K698" i="41" s="1"/>
  <c r="G697" i="41"/>
  <c r="A697" i="41"/>
  <c r="K697" i="41" s="1"/>
  <c r="G696" i="41"/>
  <c r="A696" i="41"/>
  <c r="K696" i="41" s="1"/>
  <c r="G695" i="41"/>
  <c r="A695" i="41"/>
  <c r="K695" i="41" s="1"/>
  <c r="G694" i="41"/>
  <c r="A694" i="41"/>
  <c r="K694" i="41" s="1"/>
  <c r="G693" i="41"/>
  <c r="A693" i="41"/>
  <c r="K693" i="41" s="1"/>
  <c r="G692" i="41"/>
  <c r="A692" i="41"/>
  <c r="K692" i="41" s="1"/>
  <c r="J698" i="41" l="1"/>
  <c r="L698" i="41" s="1"/>
  <c r="J696" i="41"/>
  <c r="L696" i="41" s="1"/>
  <c r="J693" i="41"/>
  <c r="L693" i="41" s="1"/>
  <c r="J692" i="41"/>
  <c r="L692" i="41" s="1"/>
  <c r="J694" i="41"/>
  <c r="L694" i="41" s="1"/>
  <c r="J695" i="41"/>
  <c r="L695" i="41" s="1"/>
  <c r="J699" i="41"/>
  <c r="L699" i="41" s="1"/>
  <c r="J697" i="41"/>
  <c r="L697" i="41" s="1"/>
  <c r="G1200" i="41"/>
  <c r="A1200" i="41"/>
  <c r="K1200" i="41" s="1"/>
  <c r="J1200" i="41" s="1"/>
  <c r="G712" i="41"/>
  <c r="E712" i="41"/>
  <c r="A712" i="41"/>
  <c r="K712" i="41" s="1"/>
  <c r="J712" i="41" s="1"/>
  <c r="L712" i="41" s="1"/>
  <c r="O1200" i="41" l="1"/>
  <c r="R1200" i="41"/>
  <c r="L1200" i="41"/>
  <c r="I372" i="41" l="1"/>
  <c r="H258" i="41" l="1"/>
  <c r="H404" i="41"/>
  <c r="H804" i="41"/>
  <c r="H909" i="41"/>
  <c r="H895" i="41"/>
  <c r="G1007" i="41" l="1"/>
  <c r="D3328" i="24" l="1"/>
  <c r="K823" i="41" l="1"/>
  <c r="J823" i="41" s="1"/>
  <c r="G823" i="41"/>
  <c r="E823" i="41"/>
  <c r="G466" i="41" l="1"/>
  <c r="E466" i="41"/>
  <c r="A466" i="41"/>
  <c r="K466" i="41" s="1"/>
  <c r="J466" i="41" s="1"/>
  <c r="I524" i="41"/>
  <c r="G520" i="41"/>
  <c r="E520" i="41"/>
  <c r="A520" i="41"/>
  <c r="K520" i="41" s="1"/>
  <c r="J520" i="41" s="1"/>
  <c r="I522" i="41" l="1"/>
  <c r="R520" i="41"/>
  <c r="L520" i="41"/>
  <c r="O520" i="41"/>
  <c r="U409" i="41" l="1"/>
  <c r="V409" i="41" s="1"/>
  <c r="G409" i="41"/>
  <c r="E409" i="41"/>
  <c r="A409" i="41"/>
  <c r="K409" i="41" s="1"/>
  <c r="J409" i="41" s="1"/>
  <c r="I315" i="41" l="1"/>
  <c r="I1112" i="41"/>
  <c r="A1066" i="41" l="1"/>
  <c r="K1066" i="41" s="1"/>
  <c r="L1066" i="41" s="1"/>
  <c r="I543" i="41" l="1"/>
  <c r="I549" i="41" s="1"/>
  <c r="R257" i="41" l="1"/>
  <c r="G33" i="41"/>
  <c r="E33" i="41"/>
  <c r="A33" i="41"/>
  <c r="K33" i="41" s="1"/>
  <c r="O33" i="41" s="1"/>
  <c r="E1228" i="41"/>
  <c r="A1228" i="41"/>
  <c r="K1228" i="41" s="1"/>
  <c r="A1227" i="41"/>
  <c r="K1227" i="41" s="1"/>
  <c r="E1226" i="41"/>
  <c r="A1226" i="41"/>
  <c r="K1226" i="41" s="1"/>
  <c r="J1226" i="41" s="1"/>
  <c r="L1226" i="41" s="1"/>
  <c r="A1225" i="41"/>
  <c r="K1225" i="41" s="1"/>
  <c r="A258" i="41"/>
  <c r="K258" i="41" s="1"/>
  <c r="A257" i="41"/>
  <c r="L977" i="41"/>
  <c r="G977" i="41"/>
  <c r="A977" i="41"/>
  <c r="K977" i="41" s="1"/>
  <c r="G976" i="41"/>
  <c r="E976" i="41"/>
  <c r="A976" i="41"/>
  <c r="K976" i="41" s="1"/>
  <c r="J976" i="41" s="1"/>
  <c r="L976" i="41" s="1"/>
  <c r="G963" i="41"/>
  <c r="E963" i="41"/>
  <c r="A963" i="41"/>
  <c r="K963" i="41" s="1"/>
  <c r="J963" i="41" s="1"/>
  <c r="L963" i="41" s="1"/>
  <c r="J33" i="41" l="1"/>
  <c r="O1228" i="41"/>
  <c r="R1226" i="41"/>
  <c r="O1226" i="41"/>
  <c r="R258" i="41"/>
  <c r="H471" i="41"/>
  <c r="R33" i="41" l="1"/>
  <c r="L33" i="41"/>
  <c r="R1228" i="41"/>
  <c r="L1228" i="41"/>
  <c r="I463" i="41"/>
  <c r="L16" i="41"/>
  <c r="G16" i="41"/>
  <c r="E16" i="41"/>
  <c r="A16" i="41"/>
  <c r="K16" i="41" s="1"/>
  <c r="R16" i="41" l="1"/>
  <c r="O16" i="41"/>
  <c r="D2786" i="24"/>
  <c r="G375" i="41" l="1"/>
  <c r="E375" i="41"/>
  <c r="A375" i="41"/>
  <c r="K375" i="41" s="1"/>
  <c r="J375" i="41" s="1"/>
  <c r="L375" i="41" s="1"/>
  <c r="G376" i="41"/>
  <c r="E376" i="41"/>
  <c r="A376" i="41"/>
  <c r="K376" i="41" s="1"/>
  <c r="J376" i="41" s="1"/>
  <c r="L376" i="41" s="1"/>
  <c r="T375" i="41" l="1"/>
  <c r="T376" i="41"/>
  <c r="H373" i="41" l="1"/>
  <c r="H381" i="41" s="1"/>
  <c r="A369" i="41"/>
  <c r="K369" i="41" s="1"/>
  <c r="J369" i="41" s="1"/>
  <c r="L369" i="41" s="1"/>
  <c r="E369" i="41"/>
  <c r="G369" i="41"/>
  <c r="I532" i="41" l="1"/>
  <c r="D3290" i="24"/>
  <c r="D3288" i="24"/>
  <c r="D3287" i="24"/>
  <c r="K947" i="41" s="1"/>
  <c r="L947" i="41" s="1"/>
  <c r="R1164" i="41"/>
  <c r="R1165" i="41"/>
  <c r="R1196" i="41"/>
  <c r="R1197" i="41"/>
  <c r="G1065" i="41" l="1"/>
  <c r="E1065" i="41"/>
  <c r="A1065" i="41"/>
  <c r="K1065" i="41" s="1"/>
  <c r="J1065" i="41" s="1"/>
  <c r="L1065" i="41" s="1"/>
  <c r="L1211" i="41"/>
  <c r="A1211" i="41"/>
  <c r="K1211" i="41" s="1"/>
  <c r="O1210" i="41"/>
  <c r="G1210" i="41"/>
  <c r="E1210" i="41"/>
  <c r="A1210" i="41"/>
  <c r="K1210" i="41" s="1"/>
  <c r="J1210" i="41" s="1"/>
  <c r="R1210" i="41" s="1"/>
  <c r="A1222" i="41"/>
  <c r="K1222" i="41" s="1"/>
  <c r="O1222" i="41" s="1"/>
  <c r="A1221" i="41"/>
  <c r="K1221" i="41" s="1"/>
  <c r="I766" i="41" l="1"/>
  <c r="I765" i="41"/>
  <c r="R1211" i="41"/>
  <c r="O1211" i="41"/>
  <c r="L1210" i="41"/>
  <c r="D2417" i="24"/>
  <c r="D2415" i="24"/>
  <c r="D2416" i="24"/>
  <c r="R1222" i="41" l="1"/>
  <c r="L1222" i="41"/>
  <c r="L1221" i="41" s="1"/>
  <c r="I1097" i="41"/>
  <c r="H1096" i="41" s="1"/>
  <c r="G1098" i="41"/>
  <c r="A1098" i="41"/>
  <c r="K1098" i="41" s="1"/>
  <c r="G1099" i="41"/>
  <c r="A1099" i="41"/>
  <c r="K1099" i="41" s="1"/>
  <c r="G1104" i="41"/>
  <c r="E1104" i="41"/>
  <c r="A1104" i="41"/>
  <c r="K1104" i="41" s="1"/>
  <c r="J1104" i="41" s="1"/>
  <c r="G1103" i="41"/>
  <c r="E1103" i="41"/>
  <c r="A1103" i="41"/>
  <c r="K1103" i="41" s="1"/>
  <c r="J1103" i="41" s="1"/>
  <c r="G1102" i="41"/>
  <c r="E1102" i="41"/>
  <c r="A1102" i="41"/>
  <c r="K1102" i="41" s="1"/>
  <c r="J1102" i="41" s="1"/>
  <c r="G1101" i="41"/>
  <c r="E1101" i="41"/>
  <c r="A1101" i="41"/>
  <c r="K1101" i="41" s="1"/>
  <c r="J1101" i="41" s="1"/>
  <c r="G1100" i="41"/>
  <c r="A1100" i="41"/>
  <c r="K1100" i="41" s="1"/>
  <c r="G1097" i="41"/>
  <c r="E1097" i="41"/>
  <c r="A1097" i="41"/>
  <c r="K1097" i="41" s="1"/>
  <c r="J1097" i="41" s="1"/>
  <c r="O1096" i="41"/>
  <c r="A1096" i="41"/>
  <c r="K1096" i="41" s="1"/>
  <c r="I1102" i="41" l="1"/>
  <c r="I1104" i="41"/>
  <c r="I1103" i="41"/>
  <c r="R1099" i="41"/>
  <c r="O1100" i="41"/>
  <c r="O1099" i="41"/>
  <c r="O1098" i="41"/>
  <c r="O1097" i="41"/>
  <c r="R1098" i="41"/>
  <c r="L1098" i="41"/>
  <c r="L1099" i="41"/>
  <c r="R1101" i="41"/>
  <c r="R1103" i="41"/>
  <c r="R1104" i="41"/>
  <c r="L1100" i="41"/>
  <c r="R1100" i="41"/>
  <c r="R1097" i="41"/>
  <c r="L1097" i="41"/>
  <c r="R1102" i="41"/>
  <c r="I1101" i="41"/>
  <c r="L1102" i="41" l="1"/>
  <c r="O1102" i="41"/>
  <c r="O1103" i="41"/>
  <c r="O1104" i="41"/>
  <c r="O1101" i="41"/>
  <c r="L1103" i="41"/>
  <c r="L1104" i="41"/>
  <c r="L1101" i="41"/>
  <c r="L1096" i="41" l="1"/>
  <c r="G1123" i="41" l="1"/>
  <c r="E1123" i="41"/>
  <c r="A1123" i="41"/>
  <c r="K1123" i="41" s="1"/>
  <c r="O1123" i="41" s="1"/>
  <c r="G1122" i="41"/>
  <c r="E1122" i="41"/>
  <c r="A1122" i="41"/>
  <c r="K1122" i="41" s="1"/>
  <c r="O1122" i="41" s="1"/>
  <c r="G1121" i="41"/>
  <c r="E1121" i="41"/>
  <c r="A1121" i="41"/>
  <c r="K1121" i="41" s="1"/>
  <c r="J1121" i="41" s="1"/>
  <c r="R1120" i="41"/>
  <c r="O1120" i="41"/>
  <c r="A1120" i="41"/>
  <c r="K1120" i="41" l="1"/>
  <c r="O1121" i="41"/>
  <c r="J1123" i="41"/>
  <c r="J1122" i="41"/>
  <c r="R1122" i="41" s="1"/>
  <c r="R1121" i="41"/>
  <c r="L1121" i="41"/>
  <c r="L1123" i="41" l="1"/>
  <c r="R1123" i="41"/>
  <c r="L1122" i="41"/>
  <c r="L1115" i="41" l="1"/>
  <c r="L1120" i="41"/>
  <c r="G711" i="41" l="1"/>
  <c r="A711" i="41"/>
  <c r="K711" i="41" s="1"/>
  <c r="G716" i="41"/>
  <c r="E716" i="41"/>
  <c r="A716" i="41"/>
  <c r="K716" i="41" s="1"/>
  <c r="J716" i="41" s="1"/>
  <c r="L716" i="41" s="1"/>
  <c r="L711" i="41" l="1"/>
  <c r="I255" i="41"/>
  <c r="G255" i="41"/>
  <c r="E255" i="41"/>
  <c r="A255" i="41"/>
  <c r="K255" i="41" s="1"/>
  <c r="J255" i="41" s="1"/>
  <c r="CE41" i="45"/>
  <c r="I68" i="41"/>
  <c r="R255" i="41" l="1"/>
  <c r="L255" i="41"/>
  <c r="O255" i="41"/>
  <c r="CE40" i="45" l="1"/>
  <c r="H368" i="41" l="1"/>
  <c r="I378" i="41"/>
  <c r="G1107" i="41"/>
  <c r="E1107" i="41"/>
  <c r="A1107" i="41"/>
  <c r="K1107" i="41" s="1"/>
  <c r="J1107" i="41" s="1"/>
  <c r="I383" i="41" l="1"/>
  <c r="I384" i="41"/>
  <c r="L384" i="41" s="1"/>
  <c r="T384" i="41" s="1"/>
  <c r="I514" i="41"/>
  <c r="R1107" i="41"/>
  <c r="L1107" i="41"/>
  <c r="O1107" i="41"/>
  <c r="I385" i="41" l="1"/>
  <c r="L383" i="41"/>
  <c r="T383" i="41" s="1"/>
  <c r="E1042" i="41"/>
  <c r="E1041" i="41"/>
  <c r="G1041" i="41"/>
  <c r="A1041" i="41"/>
  <c r="K1041" i="41" s="1"/>
  <c r="J1041" i="41" s="1"/>
  <c r="L1041" i="41" s="1"/>
  <c r="I386" i="41" l="1"/>
  <c r="L386" i="41" s="1"/>
  <c r="L385" i="41"/>
  <c r="A975" i="41"/>
  <c r="K975" i="41" s="1"/>
  <c r="I953" i="41"/>
  <c r="G954" i="41"/>
  <c r="E954" i="41"/>
  <c r="A954" i="41"/>
  <c r="K954" i="41" s="1"/>
  <c r="J954" i="41" s="1"/>
  <c r="L954" i="41" s="1"/>
  <c r="D3319" i="24"/>
  <c r="G953" i="41"/>
  <c r="A953" i="41"/>
  <c r="K953" i="41" s="1"/>
  <c r="J953" i="41" s="1"/>
  <c r="H1094" i="41"/>
  <c r="A1095" i="41"/>
  <c r="K1095" i="41" s="1"/>
  <c r="O1094" i="41"/>
  <c r="A1094" i="41"/>
  <c r="K1094" i="41" s="1"/>
  <c r="S385" i="41" l="1"/>
  <c r="T385" i="41" s="1"/>
  <c r="T386" i="41" s="1"/>
  <c r="L953" i="41"/>
  <c r="L975" i="41"/>
  <c r="L1095" i="41"/>
  <c r="G1040" i="41"/>
  <c r="E1040" i="41"/>
  <c r="A1040" i="41"/>
  <c r="K1040" i="41" s="1"/>
  <c r="J1040" i="41" s="1"/>
  <c r="L1094" i="41" l="1"/>
  <c r="J1094" i="41" s="1"/>
  <c r="L1040" i="41"/>
  <c r="D3216" i="24"/>
  <c r="T1094" i="41" l="1"/>
  <c r="R1094" i="41"/>
  <c r="I415" i="41"/>
  <c r="I422" i="41"/>
  <c r="H1151" i="41" l="1"/>
  <c r="G1161" i="41"/>
  <c r="E1161" i="41"/>
  <c r="A1161" i="41"/>
  <c r="K1161" i="41" s="1"/>
  <c r="O1161" i="41" l="1"/>
  <c r="J1161" i="41"/>
  <c r="D3266" i="24"/>
  <c r="L1161" i="41" l="1"/>
  <c r="R1161" i="41"/>
  <c r="D3263" i="24" l="1"/>
  <c r="D3253" i="24"/>
  <c r="D3255" i="24"/>
  <c r="D3256" i="24"/>
  <c r="D3264" i="24" s="1"/>
  <c r="D3262" i="24"/>
  <c r="K847" i="41" s="1"/>
  <c r="D3260" i="24"/>
  <c r="D3259" i="24"/>
  <c r="D3261" i="24"/>
  <c r="K846" i="41" s="1"/>
  <c r="D3265" i="24"/>
  <c r="D3258" i="24"/>
  <c r="K845" i="41" s="1"/>
  <c r="D3257" i="24"/>
  <c r="D3254" i="24"/>
  <c r="I625" i="41"/>
  <c r="I631" i="41"/>
  <c r="I624" i="41"/>
  <c r="I623" i="41"/>
  <c r="H1105" i="41"/>
  <c r="I1109" i="41" s="1"/>
  <c r="G1109" i="41"/>
  <c r="E1109" i="41"/>
  <c r="A1109" i="41"/>
  <c r="K1109" i="41" s="1"/>
  <c r="J1109" i="41" s="1"/>
  <c r="G1111" i="41"/>
  <c r="E1111" i="41"/>
  <c r="A1111" i="41"/>
  <c r="K1111" i="41" s="1"/>
  <c r="J1111" i="41" s="1"/>
  <c r="R1111" i="41" s="1"/>
  <c r="G1110" i="41"/>
  <c r="E1110" i="41"/>
  <c r="A1110" i="41"/>
  <c r="K1110" i="41" s="1"/>
  <c r="O846" i="41" l="1"/>
  <c r="R846" i="41"/>
  <c r="R845" i="41"/>
  <c r="O845" i="41"/>
  <c r="K848" i="41"/>
  <c r="K815" i="41"/>
  <c r="O847" i="41"/>
  <c r="R847" i="41"/>
  <c r="I1108" i="41"/>
  <c r="I1111" i="41"/>
  <c r="L1111" i="41" s="1"/>
  <c r="O1110" i="41"/>
  <c r="J1110" i="41"/>
  <c r="R1110" i="41" s="1"/>
  <c r="R1109" i="41"/>
  <c r="R815" i="41" l="1"/>
  <c r="O815" i="41"/>
  <c r="O848" i="41"/>
  <c r="R848" i="41"/>
  <c r="O1111" i="41"/>
  <c r="L1110" i="41"/>
  <c r="H1091" i="41"/>
  <c r="H1081" i="41" s="1"/>
  <c r="G1093" i="41"/>
  <c r="A1093" i="41"/>
  <c r="K1093" i="41" s="1"/>
  <c r="A1011" i="41"/>
  <c r="K1011" i="41" s="1"/>
  <c r="J1011" i="41" s="1"/>
  <c r="L1011" i="41" s="1"/>
  <c r="K998" i="41"/>
  <c r="G998" i="41"/>
  <c r="E998" i="41"/>
  <c r="D3244" i="24"/>
  <c r="I940" i="41"/>
  <c r="I941" i="41" s="1"/>
  <c r="D3291" i="24"/>
  <c r="K945" i="41" s="1"/>
  <c r="D3298" i="24"/>
  <c r="G1092" i="41"/>
  <c r="A1092" i="41"/>
  <c r="K1092" i="41" s="1"/>
  <c r="O1091" i="41"/>
  <c r="A1091" i="41"/>
  <c r="K1091" i="41" s="1"/>
  <c r="J998" i="41" l="1"/>
  <c r="L998" i="41" s="1"/>
  <c r="L1093" i="41"/>
  <c r="L1092" i="41"/>
  <c r="O1109" i="41"/>
  <c r="L1109" i="41"/>
  <c r="L1091" i="41" l="1"/>
  <c r="J1091" i="41" s="1"/>
  <c r="R1091" i="41" s="1"/>
  <c r="T1091" i="41" l="1"/>
  <c r="I637" i="41"/>
  <c r="I636" i="41"/>
  <c r="K636" i="41"/>
  <c r="J636" i="41" s="1"/>
  <c r="G636" i="41"/>
  <c r="E636" i="41"/>
  <c r="K637" i="41"/>
  <c r="J637" i="41" s="1"/>
  <c r="G637" i="41"/>
  <c r="E637" i="41"/>
  <c r="K629" i="41"/>
  <c r="J629" i="41" s="1"/>
  <c r="G629" i="41"/>
  <c r="E629" i="41"/>
  <c r="I627" i="41"/>
  <c r="G627" i="41"/>
  <c r="E627" i="41"/>
  <c r="K626" i="41"/>
  <c r="J626" i="41" s="1"/>
  <c r="I626" i="41"/>
  <c r="G626" i="41"/>
  <c r="E626" i="41"/>
  <c r="K625" i="41"/>
  <c r="J625" i="41" s="1"/>
  <c r="G625" i="41"/>
  <c r="E625" i="41"/>
  <c r="G624" i="41"/>
  <c r="E624" i="41"/>
  <c r="A624" i="41"/>
  <c r="K624" i="41" s="1"/>
  <c r="J624" i="41" s="1"/>
  <c r="K623" i="41"/>
  <c r="G623" i="41"/>
  <c r="E623" i="41"/>
  <c r="O622" i="41"/>
  <c r="A622" i="41"/>
  <c r="K622" i="41" s="1"/>
  <c r="L629" i="41" l="1"/>
  <c r="L636" i="41"/>
  <c r="L637" i="41"/>
  <c r="L625" i="41"/>
  <c r="L624" i="41"/>
  <c r="L626" i="41"/>
  <c r="L623" i="41"/>
  <c r="G475" i="41" l="1"/>
  <c r="E475" i="41"/>
  <c r="A475" i="41"/>
  <c r="K475" i="41" s="1"/>
  <c r="J475" i="41" s="1"/>
  <c r="L475" i="41" s="1"/>
  <c r="K422" i="41"/>
  <c r="J422" i="41" s="1"/>
  <c r="E422" i="41"/>
  <c r="G421" i="41"/>
  <c r="E421" i="41"/>
  <c r="A421" i="41"/>
  <c r="K421" i="41" s="1"/>
  <c r="R421" i="41" s="1"/>
  <c r="G420" i="41"/>
  <c r="E420" i="41"/>
  <c r="A420" i="41"/>
  <c r="G419" i="41"/>
  <c r="E419" i="41"/>
  <c r="A419" i="41"/>
  <c r="K419" i="41" s="1"/>
  <c r="J419" i="41" s="1"/>
  <c r="R419" i="41" s="1"/>
  <c r="G418" i="41"/>
  <c r="E418" i="41"/>
  <c r="A418" i="41"/>
  <c r="K418" i="41" s="1"/>
  <c r="J418" i="41" s="1"/>
  <c r="G417" i="41"/>
  <c r="E417" i="41"/>
  <c r="A417" i="41"/>
  <c r="K417" i="41" s="1"/>
  <c r="J417" i="41" s="1"/>
  <c r="R417" i="41" s="1"/>
  <c r="K416" i="41"/>
  <c r="J416" i="41" s="1"/>
  <c r="G416" i="41"/>
  <c r="E416" i="41"/>
  <c r="K415" i="41"/>
  <c r="J415" i="41" s="1"/>
  <c r="G415" i="41"/>
  <c r="E415" i="41"/>
  <c r="G414" i="41"/>
  <c r="E414" i="41"/>
  <c r="A414" i="41"/>
  <c r="K414" i="41" s="1"/>
  <c r="I414" i="41"/>
  <c r="A413" i="41"/>
  <c r="A423" i="41"/>
  <c r="I416" i="41" l="1"/>
  <c r="L416" i="41" s="1"/>
  <c r="I417" i="41"/>
  <c r="I418" i="41" s="1"/>
  <c r="O418" i="41" s="1"/>
  <c r="L422" i="41"/>
  <c r="R418" i="41"/>
  <c r="L415" i="41"/>
  <c r="J414" i="41"/>
  <c r="O414" i="41"/>
  <c r="O417" i="41" l="1"/>
  <c r="L418" i="41"/>
  <c r="L417" i="41"/>
  <c r="H421" i="41"/>
  <c r="I419" i="41"/>
  <c r="L414" i="41"/>
  <c r="R414" i="41"/>
  <c r="I420" i="41" l="1"/>
  <c r="O419" i="41"/>
  <c r="L419" i="41"/>
  <c r="O421" i="41"/>
  <c r="L421" i="41"/>
  <c r="O420" i="41" l="1"/>
  <c r="I407" i="41" l="1"/>
  <c r="L409" i="41" s="1"/>
  <c r="I191" i="41" l="1"/>
  <c r="H251" i="41" l="1"/>
  <c r="I158" i="41"/>
  <c r="I159" i="41"/>
  <c r="G160" i="41"/>
  <c r="E160" i="41"/>
  <c r="A160" i="41"/>
  <c r="K160" i="41" s="1"/>
  <c r="J160" i="41" s="1"/>
  <c r="L160" i="41" s="1"/>
  <c r="G159" i="41"/>
  <c r="E159" i="41"/>
  <c r="A159" i="41"/>
  <c r="K159" i="41" s="1"/>
  <c r="J159" i="41" s="1"/>
  <c r="G161" i="41"/>
  <c r="E161" i="41"/>
  <c r="A161" i="41"/>
  <c r="K161" i="41" s="1"/>
  <c r="J161" i="41" s="1"/>
  <c r="L161" i="41" s="1"/>
  <c r="G162" i="41"/>
  <c r="E162" i="41"/>
  <c r="A162" i="41"/>
  <c r="K162" i="41" s="1"/>
  <c r="J162" i="41" s="1"/>
  <c r="L162" i="41" s="1"/>
  <c r="L159" i="41" l="1"/>
  <c r="I62" i="41"/>
  <c r="L12" i="45"/>
  <c r="N12" i="45" s="1"/>
  <c r="P12" i="45" s="1"/>
  <c r="R12" i="45" s="1"/>
  <c r="I540" i="41"/>
  <c r="K538" i="41"/>
  <c r="J538" i="41" s="1"/>
  <c r="L538" i="41" s="1"/>
  <c r="G538" i="41"/>
  <c r="E538" i="41"/>
  <c r="K539" i="41"/>
  <c r="J539" i="41" s="1"/>
  <c r="L539" i="41" s="1"/>
  <c r="G539" i="41"/>
  <c r="E539" i="41"/>
  <c r="K540" i="41"/>
  <c r="J540" i="41" s="1"/>
  <c r="G540" i="41"/>
  <c r="E540" i="41"/>
  <c r="T12" i="45" l="1"/>
  <c r="V12" i="45" s="1"/>
  <c r="X12" i="45" s="1"/>
  <c r="AB12" i="45" s="1"/>
  <c r="AD12" i="45" s="1"/>
  <c r="AF12" i="45" s="1"/>
  <c r="AJ12" i="45" s="1"/>
  <c r="L540" i="41"/>
  <c r="AL12" i="45" l="1"/>
  <c r="AN12" i="45" s="1"/>
  <c r="AP12" i="45" s="1"/>
  <c r="AR12" i="45" s="1"/>
  <c r="AT12" i="45" s="1"/>
  <c r="AV12" i="45" s="1"/>
  <c r="AX12" i="45" s="1"/>
  <c r="AZ12" i="45" s="1"/>
  <c r="BB12" i="45" s="1"/>
  <c r="BD12" i="45" s="1"/>
  <c r="BF12" i="45" s="1"/>
  <c r="BH12" i="45" s="1"/>
  <c r="BJ12" i="45" s="1"/>
  <c r="BL12" i="45" s="1"/>
  <c r="BN12" i="45" s="1"/>
  <c r="BP12" i="45" s="1"/>
  <c r="BR12" i="45" s="1"/>
  <c r="BT12" i="45" s="1"/>
  <c r="CB12" i="45"/>
  <c r="K541" i="41"/>
  <c r="J541" i="41" s="1"/>
  <c r="L541" i="41" s="1"/>
  <c r="G541" i="41"/>
  <c r="E541" i="41"/>
  <c r="K537" i="41"/>
  <c r="J537" i="41" s="1"/>
  <c r="L537" i="41" s="1"/>
  <c r="G537" i="41"/>
  <c r="E537" i="41"/>
  <c r="L536" i="41" l="1"/>
  <c r="D3297" i="24"/>
  <c r="D3296" i="24"/>
  <c r="D3207" i="24"/>
  <c r="D3206" i="24"/>
  <c r="D3201" i="24"/>
  <c r="D3205" i="24" s="1"/>
  <c r="D3200" i="24"/>
  <c r="D3199" i="24"/>
  <c r="D3198" i="24"/>
  <c r="D3204" i="24" s="1"/>
  <c r="D3197" i="24"/>
  <c r="D3196" i="24"/>
  <c r="D3195" i="24"/>
  <c r="D3193" i="24"/>
  <c r="D3192" i="24"/>
  <c r="D3191" i="24"/>
  <c r="D3187" i="24"/>
  <c r="D3179" i="24"/>
  <c r="D3161" i="24"/>
  <c r="D3141" i="24"/>
  <c r="D3124" i="24"/>
  <c r="D3117" i="24"/>
  <c r="D3114" i="24"/>
  <c r="D3113" i="24"/>
  <c r="D3086" i="24"/>
  <c r="D3085" i="24"/>
  <c r="K946" i="41" s="1"/>
  <c r="J946" i="41" s="1"/>
  <c r="L946" i="41" s="1"/>
  <c r="L944" i="41" s="1"/>
  <c r="J944" i="41" s="1"/>
  <c r="R944" i="41" s="1"/>
  <c r="D3084" i="24"/>
  <c r="D3083" i="24"/>
  <c r="D3082" i="24"/>
  <c r="D3081" i="24"/>
  <c r="D3065" i="24"/>
  <c r="D3064" i="24"/>
  <c r="D3062" i="24"/>
  <c r="D3060" i="24"/>
  <c r="D3010" i="24"/>
  <c r="D3002" i="24"/>
  <c r="D2998" i="24"/>
  <c r="D2990" i="24"/>
  <c r="D2892" i="24"/>
  <c r="D2891" i="24"/>
  <c r="D2890" i="24"/>
  <c r="D2889" i="24"/>
  <c r="D2888" i="24"/>
  <c r="D2887" i="24"/>
  <c r="D2886" i="24"/>
  <c r="D2885" i="24"/>
  <c r="D2884" i="24"/>
  <c r="D2883" i="24"/>
  <c r="D2882" i="24"/>
  <c r="D2881" i="24"/>
  <c r="D2858" i="24"/>
  <c r="D2856" i="24"/>
  <c r="D2854" i="24"/>
  <c r="D2852" i="24"/>
  <c r="D2850" i="24"/>
  <c r="D2848" i="24"/>
  <c r="D2846" i="24"/>
  <c r="D2836" i="24"/>
  <c r="D2832" i="24"/>
  <c r="D2830" i="24"/>
  <c r="D2828" i="24"/>
  <c r="D2826" i="24"/>
  <c r="D2824" i="24"/>
  <c r="D2808" i="24"/>
  <c r="D2764" i="24"/>
  <c r="D2763" i="24"/>
  <c r="D2757" i="24"/>
  <c r="D2753" i="24"/>
  <c r="D2751" i="24"/>
  <c r="D2748" i="24"/>
  <c r="D2742" i="24"/>
  <c r="D2736" i="24"/>
  <c r="D2731" i="24"/>
  <c r="D2727" i="24"/>
  <c r="D2726" i="24"/>
  <c r="D2724" i="24"/>
  <c r="D2714" i="24"/>
  <c r="D2713" i="24"/>
  <c r="D2711" i="24"/>
  <c r="D2710" i="24"/>
  <c r="D2709" i="24"/>
  <c r="D2702" i="24"/>
  <c r="D2700" i="24"/>
  <c r="D2696" i="24"/>
  <c r="D2695" i="24"/>
  <c r="D2693" i="24"/>
  <c r="K420" i="41" s="1"/>
  <c r="J420" i="41" s="1"/>
  <c r="D2688" i="24"/>
  <c r="D2679" i="24"/>
  <c r="D2669" i="24"/>
  <c r="D2668" i="24"/>
  <c r="D2667" i="24"/>
  <c r="D2666" i="24"/>
  <c r="D2665" i="24"/>
  <c r="D2664" i="24"/>
  <c r="D2663" i="24"/>
  <c r="D2648" i="24"/>
  <c r="D2642" i="24"/>
  <c r="D2639" i="24"/>
  <c r="D2590" i="24"/>
  <c r="D2587" i="24"/>
  <c r="D2585" i="24"/>
  <c r="D2583" i="24"/>
  <c r="D2579" i="24"/>
  <c r="D2578" i="24"/>
  <c r="D2577" i="24"/>
  <c r="D2568" i="24"/>
  <c r="D2567" i="24"/>
  <c r="D2500" i="24"/>
  <c r="D2496" i="24"/>
  <c r="D2488" i="24"/>
  <c r="D2487" i="24"/>
  <c r="D2481" i="24"/>
  <c r="D2478" i="24"/>
  <c r="D2466" i="24"/>
  <c r="D2454" i="24"/>
  <c r="D2446" i="24"/>
  <c r="D2445" i="24"/>
  <c r="D2444" i="24"/>
  <c r="D2443" i="24"/>
  <c r="D2442" i="24"/>
  <c r="D2441" i="24"/>
  <c r="D2440" i="24"/>
  <c r="D2439" i="24"/>
  <c r="D2438" i="24"/>
  <c r="D2437" i="24"/>
  <c r="D2436" i="24"/>
  <c r="D2435" i="24"/>
  <c r="D2434" i="24"/>
  <c r="D2433" i="24"/>
  <c r="D2430" i="24"/>
  <c r="D2429" i="24"/>
  <c r="D2428" i="24"/>
  <c r="D2427" i="24"/>
  <c r="D2421" i="24"/>
  <c r="D2414" i="24"/>
  <c r="D2412" i="24"/>
  <c r="D2411" i="24"/>
  <c r="D2410" i="24"/>
  <c r="D2407" i="24"/>
  <c r="D2406" i="24"/>
  <c r="D2393" i="24"/>
  <c r="D2387" i="24"/>
  <c r="D2352" i="24"/>
  <c r="D2351" i="24"/>
  <c r="D2350" i="24"/>
  <c r="D2349" i="24"/>
  <c r="D2276" i="24"/>
  <c r="D2275" i="24"/>
  <c r="D2274" i="24"/>
  <c r="D2273" i="24"/>
  <c r="D2254" i="24"/>
  <c r="D2227" i="24"/>
  <c r="D2226" i="24"/>
  <c r="D2223" i="24"/>
  <c r="D2221" i="24"/>
  <c r="D2220" i="24"/>
  <c r="D2219" i="24"/>
  <c r="D2191" i="24"/>
  <c r="D2190" i="24"/>
  <c r="D2188" i="24"/>
  <c r="D2187" i="24"/>
  <c r="D2186" i="24"/>
  <c r="D2185" i="24"/>
  <c r="D2184" i="24"/>
  <c r="D2183" i="24"/>
  <c r="D2182" i="24"/>
  <c r="D2178" i="24"/>
  <c r="D2172" i="24"/>
  <c r="D2171" i="24"/>
  <c r="D2170" i="24"/>
  <c r="D2169" i="24"/>
  <c r="D2168" i="24"/>
  <c r="D2167" i="24"/>
  <c r="D2136" i="24"/>
  <c r="D2132" i="24"/>
  <c r="D2131" i="24"/>
  <c r="D2130" i="24"/>
  <c r="D2121" i="24"/>
  <c r="D2107" i="24"/>
  <c r="D2094" i="24"/>
  <c r="D2038" i="24"/>
  <c r="D2037" i="24"/>
  <c r="D2036" i="24"/>
  <c r="D2035" i="24"/>
  <c r="D2026" i="24"/>
  <c r="D2024" i="24"/>
  <c r="D2018" i="24"/>
  <c r="D1992" i="24"/>
  <c r="D1949" i="24"/>
  <c r="D1935" i="24"/>
  <c r="D1844" i="24"/>
  <c r="D1824" i="24"/>
  <c r="D1822" i="24"/>
  <c r="D1706" i="24"/>
  <c r="D1705" i="24"/>
  <c r="D1704" i="24"/>
  <c r="D1703" i="24"/>
  <c r="D1700" i="24"/>
  <c r="D1604" i="24"/>
  <c r="D1365" i="24"/>
  <c r="D1363" i="24"/>
  <c r="D1324" i="24"/>
  <c r="D1323" i="24"/>
  <c r="D1322" i="24"/>
  <c r="D1321" i="24"/>
  <c r="D1320" i="24"/>
  <c r="D1319" i="24"/>
  <c r="D1318" i="24"/>
  <c r="D1317" i="24"/>
  <c r="D1316" i="24"/>
  <c r="D1315" i="24"/>
  <c r="D1314" i="24"/>
  <c r="D1313" i="24"/>
  <c r="D1312" i="24"/>
  <c r="D1311" i="24"/>
  <c r="D1310" i="24"/>
  <c r="D1309" i="24"/>
  <c r="D1306" i="24"/>
  <c r="D1294" i="24"/>
  <c r="D1293" i="24"/>
  <c r="D1288" i="24"/>
  <c r="D1287" i="24"/>
  <c r="D1281" i="24"/>
  <c r="D1280" i="24"/>
  <c r="D1276" i="24"/>
  <c r="D1274" i="24"/>
  <c r="D1273" i="24"/>
  <c r="D1272" i="24"/>
  <c r="D1271" i="24"/>
  <c r="D1270" i="24"/>
  <c r="D1269" i="24"/>
  <c r="D1268" i="24"/>
  <c r="D1267" i="24"/>
  <c r="D1266" i="24"/>
  <c r="D1265" i="24"/>
  <c r="D1264" i="24"/>
  <c r="D1263" i="24"/>
  <c r="D1252" i="24"/>
  <c r="D1251" i="24"/>
  <c r="D1250" i="24"/>
  <c r="D1249" i="24"/>
  <c r="D1244" i="24"/>
  <c r="D1243" i="24"/>
  <c r="D1240" i="24"/>
  <c r="D1239" i="24"/>
  <c r="D1231" i="24"/>
  <c r="D1224" i="24"/>
  <c r="D1223" i="24"/>
  <c r="D1222" i="24"/>
  <c r="D1216" i="24"/>
  <c r="D1214" i="24"/>
  <c r="D1211" i="24"/>
  <c r="D1210" i="24"/>
  <c r="D1206" i="24"/>
  <c r="D1205" i="24"/>
  <c r="D1204" i="24"/>
  <c r="D1203" i="24"/>
  <c r="D1202" i="24"/>
  <c r="D1201" i="24"/>
  <c r="D1200" i="24"/>
  <c r="D1185" i="24"/>
  <c r="D1166" i="24"/>
  <c r="D1163" i="24"/>
  <c r="D1162" i="24"/>
  <c r="D1158" i="24"/>
  <c r="D1157" i="24"/>
  <c r="D1154" i="24"/>
  <c r="D1149" i="24"/>
  <c r="D1148" i="24"/>
  <c r="D1147" i="24"/>
  <c r="D1146" i="24"/>
  <c r="D1145" i="24"/>
  <c r="D1144" i="24"/>
  <c r="D1143" i="24"/>
  <c r="D1129" i="24"/>
  <c r="D1121" i="24"/>
  <c r="D1120" i="24"/>
  <c r="D1119" i="24"/>
  <c r="D1118" i="24"/>
  <c r="D1117" i="24"/>
  <c r="D1115" i="24"/>
  <c r="D1113" i="24"/>
  <c r="D1099" i="24"/>
  <c r="D1098" i="24"/>
  <c r="D1089" i="24"/>
  <c r="D1088" i="24"/>
  <c r="D1087" i="24"/>
  <c r="D1034" i="24"/>
  <c r="D1017" i="24"/>
  <c r="D1018" i="24" s="1"/>
  <c r="D1016" i="24"/>
  <c r="D1015" i="24"/>
  <c r="D1012" i="24"/>
  <c r="D1164" i="24" s="1"/>
  <c r="D1011" i="24"/>
  <c r="D1010" i="24"/>
  <c r="D1009" i="24"/>
  <c r="D1004" i="24"/>
  <c r="D997" i="24"/>
  <c r="D996" i="24"/>
  <c r="D995" i="24"/>
  <c r="D990" i="24"/>
  <c r="D989" i="24"/>
  <c r="D987" i="24"/>
  <c r="D979" i="24"/>
  <c r="D967" i="24"/>
  <c r="D943" i="24"/>
  <c r="D928" i="24"/>
  <c r="D911" i="24"/>
  <c r="D910" i="24"/>
  <c r="D908" i="24"/>
  <c r="D907" i="24"/>
  <c r="D903" i="24"/>
  <c r="D880" i="24"/>
  <c r="D849" i="24"/>
  <c r="D842" i="24"/>
  <c r="D841" i="24"/>
  <c r="D840" i="24"/>
  <c r="D839" i="24"/>
  <c r="D838" i="24"/>
  <c r="D837" i="24"/>
  <c r="D835" i="24"/>
  <c r="D832" i="24"/>
  <c r="D814" i="24"/>
  <c r="D795" i="24"/>
  <c r="D784" i="24"/>
  <c r="D779" i="24"/>
  <c r="D777" i="24"/>
  <c r="D758" i="24"/>
  <c r="D752" i="24"/>
  <c r="D747" i="24"/>
  <c r="D740" i="24"/>
  <c r="D737" i="24"/>
  <c r="D730" i="24"/>
  <c r="D718" i="24"/>
  <c r="D702" i="24"/>
  <c r="D696" i="24"/>
  <c r="D665" i="24"/>
  <c r="D664" i="24"/>
  <c r="D663" i="24"/>
  <c r="D662" i="24"/>
  <c r="D660" i="24"/>
  <c r="D659" i="24"/>
  <c r="D658" i="24"/>
  <c r="D593" i="24"/>
  <c r="D552" i="24"/>
  <c r="D511" i="24"/>
  <c r="D501" i="24"/>
  <c r="D499" i="24"/>
  <c r="D497" i="24"/>
  <c r="D493" i="24"/>
  <c r="D491" i="24"/>
  <c r="D466" i="24"/>
  <c r="D464" i="24"/>
  <c r="D455" i="24"/>
  <c r="D454" i="24"/>
  <c r="D453" i="24"/>
  <c r="D452" i="24"/>
  <c r="D451" i="24"/>
  <c r="D450" i="24"/>
  <c r="D449" i="24"/>
  <c r="D448" i="24"/>
  <c r="D433" i="24"/>
  <c r="D426" i="24"/>
  <c r="D423" i="24"/>
  <c r="D421" i="24"/>
  <c r="D415" i="24"/>
  <c r="D409" i="24"/>
  <c r="D408" i="24"/>
  <c r="D391" i="24"/>
  <c r="D372" i="24"/>
  <c r="D371" i="24"/>
  <c r="D367" i="24"/>
  <c r="D366" i="24"/>
  <c r="D365" i="24"/>
  <c r="D364" i="24"/>
  <c r="D354" i="24"/>
  <c r="D348" i="24"/>
  <c r="D346" i="24"/>
  <c r="D337" i="24"/>
  <c r="D336" i="24"/>
  <c r="D334" i="24"/>
  <c r="D321" i="24"/>
  <c r="D320" i="24"/>
  <c r="D313" i="24"/>
  <c r="D309" i="24"/>
  <c r="D308" i="24"/>
  <c r="D306" i="24"/>
  <c r="D284" i="24"/>
  <c r="D283" i="24"/>
  <c r="D282" i="24"/>
  <c r="D281" i="24"/>
  <c r="D280" i="24"/>
  <c r="D277" i="24"/>
  <c r="D266" i="24"/>
  <c r="D265" i="24"/>
  <c r="D264" i="24"/>
  <c r="D263" i="24"/>
  <c r="D257" i="24"/>
  <c r="D256" i="24"/>
  <c r="D242" i="24"/>
  <c r="D240" i="24"/>
  <c r="D239" i="24"/>
  <c r="D238" i="24"/>
  <c r="D237" i="24"/>
  <c r="D236" i="24"/>
  <c r="D235" i="24"/>
  <c r="D234" i="24"/>
  <c r="D233" i="24"/>
  <c r="D232" i="24"/>
  <c r="D231" i="24"/>
  <c r="D230" i="24"/>
  <c r="D229" i="24"/>
  <c r="D228" i="24"/>
  <c r="D227" i="24"/>
  <c r="D226" i="24"/>
  <c r="D225" i="24"/>
  <c r="D224" i="24"/>
  <c r="D223" i="24"/>
  <c r="D222" i="24"/>
  <c r="D221" i="24"/>
  <c r="D220" i="24"/>
  <c r="D219" i="24"/>
  <c r="D218" i="24"/>
  <c r="D217" i="24"/>
  <c r="D216" i="24"/>
  <c r="D215" i="24"/>
  <c r="D214" i="24"/>
  <c r="D213" i="24"/>
  <c r="D211" i="24"/>
  <c r="D200" i="24"/>
  <c r="D182" i="24"/>
  <c r="D174" i="24"/>
  <c r="D167" i="24"/>
  <c r="D166" i="24"/>
  <c r="D165" i="24"/>
  <c r="D164" i="24"/>
  <c r="D162" i="24"/>
  <c r="D161" i="24"/>
  <c r="D160" i="24"/>
  <c r="D159" i="24"/>
  <c r="D158" i="24"/>
  <c r="D151" i="24"/>
  <c r="D149" i="24"/>
  <c r="D147" i="24"/>
  <c r="D138" i="24"/>
  <c r="D133" i="24"/>
  <c r="D131" i="24"/>
  <c r="D93" i="24"/>
  <c r="D86" i="24"/>
  <c r="D66" i="24"/>
  <c r="D61" i="24"/>
  <c r="D47" i="24"/>
  <c r="D37" i="24"/>
  <c r="D28" i="24"/>
  <c r="D15" i="24"/>
  <c r="D10" i="24"/>
  <c r="R420" i="41" l="1"/>
  <c r="L420" i="41"/>
  <c r="L413" i="41" s="1"/>
  <c r="D998" i="24"/>
  <c r="K682" i="41"/>
  <c r="J682" i="41" s="1"/>
  <c r="K627" i="41"/>
  <c r="J627" i="41" s="1"/>
  <c r="L627" i="41" s="1"/>
  <c r="L622" i="41" s="1"/>
  <c r="J622" i="41" s="1"/>
  <c r="R622" i="41" s="1"/>
  <c r="I1062" i="41"/>
  <c r="L682" i="41" l="1"/>
  <c r="L677" i="41" s="1"/>
  <c r="G930" i="41"/>
  <c r="A930" i="41"/>
  <c r="K930" i="41" s="1"/>
  <c r="J930" i="41" s="1"/>
  <c r="L930" i="41" s="1"/>
  <c r="G931" i="41"/>
  <c r="A931" i="41"/>
  <c r="K931" i="41" s="1"/>
  <c r="J931" i="41" s="1"/>
  <c r="L931" i="41" s="1"/>
  <c r="A926" i="41"/>
  <c r="K926" i="41" s="1"/>
  <c r="L926" i="41" s="1"/>
  <c r="G935" i="41"/>
  <c r="A935" i="41"/>
  <c r="K935" i="41" s="1"/>
  <c r="J935" i="41" s="1"/>
  <c r="L935" i="41" s="1"/>
  <c r="G937" i="41"/>
  <c r="A937" i="41"/>
  <c r="K937" i="41" s="1"/>
  <c r="J937" i="41" s="1"/>
  <c r="L937" i="41" s="1"/>
  <c r="G936" i="41"/>
  <c r="A936" i="41"/>
  <c r="K936" i="41" s="1"/>
  <c r="J936" i="41" s="1"/>
  <c r="L936" i="41" s="1"/>
  <c r="G933" i="41"/>
  <c r="A933" i="41"/>
  <c r="K933" i="41" s="1"/>
  <c r="J933" i="41" s="1"/>
  <c r="L933" i="41" s="1"/>
  <c r="G934" i="41"/>
  <c r="A934" i="41"/>
  <c r="K934" i="41" s="1"/>
  <c r="J934" i="41" s="1"/>
  <c r="L934" i="41" s="1"/>
  <c r="G939" i="41"/>
  <c r="E939" i="41"/>
  <c r="A939" i="41"/>
  <c r="K939" i="41" s="1"/>
  <c r="J939" i="41" s="1"/>
  <c r="G938" i="41"/>
  <c r="A938" i="41"/>
  <c r="K938" i="41" s="1"/>
  <c r="J938" i="41" s="1"/>
  <c r="L938" i="41" s="1"/>
  <c r="A924" i="41"/>
  <c r="K924" i="41" s="1"/>
  <c r="L924" i="41" s="1"/>
  <c r="G925" i="41"/>
  <c r="A925" i="41"/>
  <c r="K925" i="41" s="1"/>
  <c r="J925" i="41" s="1"/>
  <c r="L925" i="41" s="1"/>
  <c r="G927" i="41"/>
  <c r="A927" i="41"/>
  <c r="K927" i="41" s="1"/>
  <c r="J927" i="41" s="1"/>
  <c r="L927" i="41" s="1"/>
  <c r="G967" i="41"/>
  <c r="E967" i="41"/>
  <c r="A967" i="41"/>
  <c r="K967" i="41" s="1"/>
  <c r="J967" i="41" s="1"/>
  <c r="L967" i="41" s="1"/>
  <c r="G957" i="41"/>
  <c r="A957" i="41"/>
  <c r="K957" i="41" s="1"/>
  <c r="J957" i="41" s="1"/>
  <c r="I426" i="41"/>
  <c r="I425" i="41"/>
  <c r="G434" i="41"/>
  <c r="E434" i="41"/>
  <c r="A434" i="41"/>
  <c r="K434" i="41" s="1"/>
  <c r="J434" i="41" s="1"/>
  <c r="L434" i="41" s="1"/>
  <c r="G433" i="41"/>
  <c r="E433" i="41"/>
  <c r="A433" i="41"/>
  <c r="K433" i="41" s="1"/>
  <c r="J433" i="41" s="1"/>
  <c r="L433" i="41" s="1"/>
  <c r="G432" i="41"/>
  <c r="E432" i="41"/>
  <c r="A432" i="41"/>
  <c r="K432" i="41" s="1"/>
  <c r="J432" i="41" s="1"/>
  <c r="L432" i="41" s="1"/>
  <c r="G431" i="41"/>
  <c r="E431" i="41"/>
  <c r="A431" i="41"/>
  <c r="K431" i="41" s="1"/>
  <c r="J431" i="41" s="1"/>
  <c r="L431" i="41" s="1"/>
  <c r="G430" i="41"/>
  <c r="E430" i="41"/>
  <c r="A430" i="41"/>
  <c r="K430" i="41" s="1"/>
  <c r="J430" i="41" s="1"/>
  <c r="I429" i="41"/>
  <c r="I430" i="41" s="1"/>
  <c r="G429" i="41"/>
  <c r="E429" i="41"/>
  <c r="A429" i="41"/>
  <c r="K429" i="41" s="1"/>
  <c r="J429" i="41" s="1"/>
  <c r="G428" i="41"/>
  <c r="E428" i="41"/>
  <c r="A428" i="41"/>
  <c r="K428" i="41" s="1"/>
  <c r="J428" i="41" s="1"/>
  <c r="L428" i="41" s="1"/>
  <c r="G427" i="41"/>
  <c r="E427" i="41"/>
  <c r="A427" i="41"/>
  <c r="K427" i="41" s="1"/>
  <c r="J427" i="41" s="1"/>
  <c r="L427" i="41" s="1"/>
  <c r="G426" i="41"/>
  <c r="E426" i="41"/>
  <c r="A426" i="41"/>
  <c r="K426" i="41" s="1"/>
  <c r="J426" i="41" s="1"/>
  <c r="G425" i="41"/>
  <c r="E425" i="41"/>
  <c r="A425" i="41"/>
  <c r="K425" i="41" s="1"/>
  <c r="J425" i="41" s="1"/>
  <c r="G424" i="41"/>
  <c r="E424" i="41"/>
  <c r="A424" i="41"/>
  <c r="K424" i="41" s="1"/>
  <c r="J424" i="41" s="1"/>
  <c r="I424" i="41"/>
  <c r="L939" i="41" l="1"/>
  <c r="H923" i="41"/>
  <c r="H965" i="41"/>
  <c r="L429" i="41"/>
  <c r="L430" i="41"/>
  <c r="L424" i="41"/>
  <c r="T428" i="41"/>
  <c r="T427" i="41"/>
  <c r="I943" i="41" l="1"/>
  <c r="I942" i="41"/>
  <c r="S429" i="41"/>
  <c r="T429" i="41" s="1"/>
  <c r="T430" i="41" s="1"/>
  <c r="H1086" i="41" l="1"/>
  <c r="I1090" i="41" s="1"/>
  <c r="G1143" i="41"/>
  <c r="A1143" i="41"/>
  <c r="K1143" i="41" s="1"/>
  <c r="L1143" i="41" s="1"/>
  <c r="G1144" i="41"/>
  <c r="A1144" i="41"/>
  <c r="K1144" i="41" s="1"/>
  <c r="L1144" i="41" s="1"/>
  <c r="I1063" i="41" l="1"/>
  <c r="I1064" i="41"/>
  <c r="G916" i="41"/>
  <c r="E916" i="41"/>
  <c r="G852" i="41"/>
  <c r="A852" i="41"/>
  <c r="K852" i="41" s="1"/>
  <c r="G851" i="41"/>
  <c r="A851" i="41"/>
  <c r="K851" i="41" s="1"/>
  <c r="G850" i="41"/>
  <c r="A850" i="41"/>
  <c r="K850" i="41" s="1"/>
  <c r="A814" i="41"/>
  <c r="K814" i="41" s="1"/>
  <c r="G817" i="41"/>
  <c r="E817" i="41"/>
  <c r="A817" i="41"/>
  <c r="K817" i="41" s="1"/>
  <c r="J817" i="41" s="1"/>
  <c r="G816" i="41"/>
  <c r="A816" i="41"/>
  <c r="K816" i="41" s="1"/>
  <c r="J816" i="41" s="1"/>
  <c r="I823" i="41" l="1"/>
  <c r="L823" i="41" s="1"/>
  <c r="I819" i="41"/>
  <c r="O850" i="41"/>
  <c r="O851" i="41"/>
  <c r="O852" i="41"/>
  <c r="L851" i="41"/>
  <c r="R851" i="41"/>
  <c r="L850" i="41"/>
  <c r="R850" i="41"/>
  <c r="R852" i="41"/>
  <c r="L852" i="41"/>
  <c r="O816" i="41"/>
  <c r="O817" i="41"/>
  <c r="O814" i="41"/>
  <c r="L814" i="41"/>
  <c r="R814" i="41"/>
  <c r="L816" i="41"/>
  <c r="R816" i="41"/>
  <c r="R817" i="41"/>
  <c r="L817" i="41"/>
  <c r="I670" i="41"/>
  <c r="I673" i="41"/>
  <c r="I672" i="41"/>
  <c r="I669" i="41"/>
  <c r="I671" i="41"/>
  <c r="K635" i="41" l="1"/>
  <c r="J635" i="41" s="1"/>
  <c r="G635" i="41"/>
  <c r="E635" i="41"/>
  <c r="I635" i="41"/>
  <c r="K674" i="41"/>
  <c r="J674" i="41" s="1"/>
  <c r="H674" i="41"/>
  <c r="G674" i="41"/>
  <c r="E674" i="41"/>
  <c r="K673" i="41"/>
  <c r="J673" i="41" s="1"/>
  <c r="L673" i="41" s="1"/>
  <c r="G673" i="41"/>
  <c r="E673" i="41"/>
  <c r="K672" i="41"/>
  <c r="J672" i="41" s="1"/>
  <c r="L672" i="41" s="1"/>
  <c r="G672" i="41"/>
  <c r="E672" i="41"/>
  <c r="K671" i="41"/>
  <c r="J671" i="41" s="1"/>
  <c r="L671" i="41" s="1"/>
  <c r="G671" i="41"/>
  <c r="E671" i="41"/>
  <c r="K670" i="41"/>
  <c r="J670" i="41" s="1"/>
  <c r="G670" i="41"/>
  <c r="E670" i="41"/>
  <c r="G669" i="41"/>
  <c r="E669" i="41"/>
  <c r="A669" i="41"/>
  <c r="K669" i="41" s="1"/>
  <c r="L669" i="41" s="1"/>
  <c r="O668" i="41"/>
  <c r="A668" i="41"/>
  <c r="K668" i="41" s="1"/>
  <c r="L674" i="41" l="1"/>
  <c r="L670" i="41"/>
  <c r="L668" i="41" l="1"/>
  <c r="J668" i="41" s="1"/>
  <c r="R668" i="41" s="1"/>
  <c r="K665" i="41" l="1"/>
  <c r="J665" i="41" s="1"/>
  <c r="I665" i="41"/>
  <c r="G665" i="41"/>
  <c r="E665" i="41"/>
  <c r="L665" i="41" l="1"/>
  <c r="G452" i="41" l="1"/>
  <c r="E452" i="41"/>
  <c r="A452" i="41"/>
  <c r="K452" i="41" s="1"/>
  <c r="J452" i="41" s="1"/>
  <c r="G366" i="41"/>
  <c r="E366" i="41"/>
  <c r="A366" i="41"/>
  <c r="K366" i="41" s="1"/>
  <c r="J366" i="41" s="1"/>
  <c r="L366" i="41" s="1"/>
  <c r="G365" i="41"/>
  <c r="E365" i="41"/>
  <c r="A365" i="41"/>
  <c r="K365" i="41" s="1"/>
  <c r="J365" i="41" s="1"/>
  <c r="L452" i="41" l="1"/>
  <c r="T452" i="41" s="1"/>
  <c r="L365" i="41"/>
  <c r="G367" i="41" l="1"/>
  <c r="E367" i="41"/>
  <c r="A367" i="41"/>
  <c r="K367" i="41" s="1"/>
  <c r="J367" i="41" s="1"/>
  <c r="L367" i="41" s="1"/>
  <c r="G364" i="41"/>
  <c r="E364" i="41"/>
  <c r="A364" i="41"/>
  <c r="K364" i="41" s="1"/>
  <c r="J364" i="41" s="1"/>
  <c r="L364" i="41" s="1"/>
  <c r="G363" i="41"/>
  <c r="E363" i="41"/>
  <c r="A363" i="41"/>
  <c r="K363" i="41" s="1"/>
  <c r="J363" i="41" s="1"/>
  <c r="G362" i="41"/>
  <c r="E362" i="41"/>
  <c r="A362" i="41"/>
  <c r="K362" i="41" s="1"/>
  <c r="J362" i="41" s="1"/>
  <c r="G361" i="41"/>
  <c r="E361" i="41"/>
  <c r="A361" i="41"/>
  <c r="K361" i="41" s="1"/>
  <c r="J361" i="41" s="1"/>
  <c r="L361" i="41" s="1"/>
  <c r="G360" i="41"/>
  <c r="E360" i="41"/>
  <c r="A360" i="41"/>
  <c r="K360" i="41" s="1"/>
  <c r="J360" i="41" s="1"/>
  <c r="G359" i="41"/>
  <c r="E359" i="41"/>
  <c r="A359" i="41"/>
  <c r="K359" i="41" s="1"/>
  <c r="J359" i="41" s="1"/>
  <c r="G358" i="41"/>
  <c r="E358" i="41"/>
  <c r="A358" i="41"/>
  <c r="K358" i="41" s="1"/>
  <c r="J358" i="41" s="1"/>
  <c r="G357" i="41"/>
  <c r="E357" i="41"/>
  <c r="A357" i="41"/>
  <c r="K357" i="41" s="1"/>
  <c r="J357" i="41" s="1"/>
  <c r="A356" i="41"/>
  <c r="G458" i="41"/>
  <c r="E458" i="41"/>
  <c r="A458" i="41"/>
  <c r="K458" i="41" s="1"/>
  <c r="J458" i="41" s="1"/>
  <c r="L458" i="41" s="1"/>
  <c r="G456" i="41"/>
  <c r="E456" i="41"/>
  <c r="A456" i="41"/>
  <c r="K456" i="41" s="1"/>
  <c r="J456" i="41" s="1"/>
  <c r="L456" i="41" s="1"/>
  <c r="G455" i="41"/>
  <c r="E455" i="41"/>
  <c r="A455" i="41"/>
  <c r="K455" i="41" s="1"/>
  <c r="J455" i="41" s="1"/>
  <c r="I454" i="41"/>
  <c r="I455" i="41" s="1"/>
  <c r="G454" i="41"/>
  <c r="E454" i="41"/>
  <c r="A454" i="41"/>
  <c r="K454" i="41" s="1"/>
  <c r="J454" i="41" s="1"/>
  <c r="G453" i="41"/>
  <c r="E453" i="41"/>
  <c r="A453" i="41"/>
  <c r="K453" i="41" s="1"/>
  <c r="J453" i="41" s="1"/>
  <c r="L453" i="41" s="1"/>
  <c r="G451" i="41"/>
  <c r="E451" i="41"/>
  <c r="A451" i="41"/>
  <c r="K451" i="41" s="1"/>
  <c r="J451" i="41" s="1"/>
  <c r="L451" i="41" s="1"/>
  <c r="G450" i="41"/>
  <c r="E450" i="41"/>
  <c r="A450" i="41"/>
  <c r="K450" i="41" s="1"/>
  <c r="J450" i="41" s="1"/>
  <c r="G449" i="41"/>
  <c r="E449" i="41"/>
  <c r="A449" i="41"/>
  <c r="K449" i="41" s="1"/>
  <c r="J449" i="41" s="1"/>
  <c r="I448" i="41"/>
  <c r="G448" i="41"/>
  <c r="E448" i="41"/>
  <c r="A448" i="41"/>
  <c r="K448" i="41" s="1"/>
  <c r="J448" i="41" s="1"/>
  <c r="A447" i="41"/>
  <c r="L426" i="41" l="1"/>
  <c r="L425" i="41"/>
  <c r="I357" i="41"/>
  <c r="L357" i="41" s="1"/>
  <c r="I362" i="41"/>
  <c r="I363" i="41" s="1"/>
  <c r="L363" i="41" s="1"/>
  <c r="I358" i="41"/>
  <c r="L358" i="41" s="1"/>
  <c r="I359" i="41"/>
  <c r="L359" i="41" s="1"/>
  <c r="L448" i="41"/>
  <c r="L454" i="41"/>
  <c r="L455" i="41"/>
  <c r="T361" i="41"/>
  <c r="L449" i="41"/>
  <c r="L450" i="41"/>
  <c r="T453" i="41"/>
  <c r="T451" i="41"/>
  <c r="L423" i="41" l="1"/>
  <c r="J423" i="41" s="1"/>
  <c r="J413" i="41"/>
  <c r="L362" i="41"/>
  <c r="S362" i="41" s="1"/>
  <c r="T362" i="41" s="1"/>
  <c r="T363" i="41" s="1"/>
  <c r="L360" i="41"/>
  <c r="T360" i="41" s="1"/>
  <c r="S454" i="41"/>
  <c r="T454" i="41" s="1"/>
  <c r="T455" i="41" s="1"/>
  <c r="L447" i="41"/>
  <c r="J447" i="41" s="1"/>
  <c r="L356" i="41" l="1"/>
  <c r="J356" i="41" s="1"/>
  <c r="G221" i="41" l="1"/>
  <c r="A221" i="41"/>
  <c r="K221" i="41" s="1"/>
  <c r="J221" i="41" s="1"/>
  <c r="G220" i="41"/>
  <c r="A220" i="41"/>
  <c r="K220" i="41" s="1"/>
  <c r="J220" i="41" s="1"/>
  <c r="G224" i="41"/>
  <c r="A224" i="41"/>
  <c r="K224" i="41" s="1"/>
  <c r="J224" i="41" s="1"/>
  <c r="G223" i="41"/>
  <c r="A223" i="41"/>
  <c r="K223" i="41" s="1"/>
  <c r="J223" i="41" s="1"/>
  <c r="G222" i="41"/>
  <c r="A222" i="41"/>
  <c r="K222" i="41" s="1"/>
  <c r="J222" i="41" s="1"/>
  <c r="G219" i="41"/>
  <c r="A219" i="41"/>
  <c r="K219" i="41" s="1"/>
  <c r="J219" i="41" s="1"/>
  <c r="G218" i="41"/>
  <c r="A218" i="41"/>
  <c r="K218" i="41" s="1"/>
  <c r="J218" i="41" s="1"/>
  <c r="G217" i="41"/>
  <c r="A217" i="41"/>
  <c r="K217" i="41" s="1"/>
  <c r="J217" i="41" s="1"/>
  <c r="B1310" i="24"/>
  <c r="E217" i="41" s="1"/>
  <c r="B1311" i="24"/>
  <c r="E218" i="41" s="1"/>
  <c r="B1312" i="24"/>
  <c r="E219" i="41" s="1"/>
  <c r="B1313" i="24"/>
  <c r="E220" i="41" s="1"/>
  <c r="B1314" i="24"/>
  <c r="E221" i="41" s="1"/>
  <c r="B1315" i="24"/>
  <c r="E222" i="41" s="1"/>
  <c r="B1316" i="24"/>
  <c r="E223" i="41" s="1"/>
  <c r="B1317" i="24"/>
  <c r="E224" i="41" s="1"/>
  <c r="B1318" i="24"/>
  <c r="B1319" i="24"/>
  <c r="B1320" i="24"/>
  <c r="B1321" i="24"/>
  <c r="B1322" i="24"/>
  <c r="B1323" i="24"/>
  <c r="B1324" i="24"/>
  <c r="B1309" i="24"/>
  <c r="B2664" i="24"/>
  <c r="B2665" i="24"/>
  <c r="B2666" i="24"/>
  <c r="B2667" i="24"/>
  <c r="B2668" i="24"/>
  <c r="B2669" i="24"/>
  <c r="B2663" i="24"/>
  <c r="R221" i="41" l="1"/>
  <c r="R220" i="41"/>
  <c r="R219" i="41"/>
  <c r="R222" i="41"/>
  <c r="R217" i="41"/>
  <c r="R218" i="41"/>
  <c r="R223" i="41"/>
  <c r="R224" i="41"/>
  <c r="G240" i="41"/>
  <c r="E240" i="41"/>
  <c r="A240" i="41"/>
  <c r="K240" i="41" s="1"/>
  <c r="R239" i="41"/>
  <c r="O239" i="41"/>
  <c r="A239" i="41"/>
  <c r="K239" i="41" s="1"/>
  <c r="B3011" i="24"/>
  <c r="B36" i="45"/>
  <c r="B44" i="45"/>
  <c r="B43" i="45"/>
  <c r="B42" i="45"/>
  <c r="B41" i="45"/>
  <c r="B40" i="45"/>
  <c r="B39" i="45"/>
  <c r="B38" i="45" s="1"/>
  <c r="B37" i="45"/>
  <c r="D13" i="45"/>
  <c r="F13" i="45" s="1"/>
  <c r="H13" i="45" s="1"/>
  <c r="J13" i="45" s="1"/>
  <c r="L13" i="45" s="1"/>
  <c r="N13" i="45" s="1"/>
  <c r="P13" i="45" s="1"/>
  <c r="R13" i="45" s="1"/>
  <c r="D20" i="45"/>
  <c r="F20" i="45" s="1"/>
  <c r="D10" i="45"/>
  <c r="F10" i="45" s="1"/>
  <c r="H10" i="45" s="1"/>
  <c r="J10" i="45" s="1"/>
  <c r="L10" i="45" s="1"/>
  <c r="N10" i="45" s="1"/>
  <c r="P10" i="45" s="1"/>
  <c r="R10" i="45" s="1"/>
  <c r="D11" i="45"/>
  <c r="F11" i="45" s="1"/>
  <c r="H11" i="45" s="1"/>
  <c r="J11" i="45" s="1"/>
  <c r="L11" i="45" s="1"/>
  <c r="N11" i="45" s="1"/>
  <c r="P11" i="45" s="1"/>
  <c r="R11" i="45" s="1"/>
  <c r="D14" i="45"/>
  <c r="F14" i="45" s="1"/>
  <c r="H14" i="45" s="1"/>
  <c r="J14" i="45" s="1"/>
  <c r="L14" i="45" s="1"/>
  <c r="N14" i="45" s="1"/>
  <c r="P14" i="45" s="1"/>
  <c r="R14" i="45" s="1"/>
  <c r="D15" i="45"/>
  <c r="F15" i="45" s="1"/>
  <c r="H15" i="45" s="1"/>
  <c r="J15" i="45" s="1"/>
  <c r="L15" i="45" s="1"/>
  <c r="N15" i="45" s="1"/>
  <c r="P15" i="45" s="1"/>
  <c r="R15" i="45" s="1"/>
  <c r="D16" i="45"/>
  <c r="F16" i="45" s="1"/>
  <c r="H16" i="45" s="1"/>
  <c r="J16" i="45" s="1"/>
  <c r="L16" i="45" s="1"/>
  <c r="N16" i="45" s="1"/>
  <c r="P16" i="45" s="1"/>
  <c r="R16" i="45" s="1"/>
  <c r="D18" i="45"/>
  <c r="F18" i="45" s="1"/>
  <c r="H18" i="45" s="1"/>
  <c r="J18" i="45" s="1"/>
  <c r="L18" i="45" s="1"/>
  <c r="N18" i="45" s="1"/>
  <c r="P18" i="45" s="1"/>
  <c r="R18" i="45" s="1"/>
  <c r="D19" i="45"/>
  <c r="F19" i="45" s="1"/>
  <c r="T14" i="45" l="1"/>
  <c r="V14" i="45" s="1"/>
  <c r="X14" i="45" s="1"/>
  <c r="Z14" i="45" s="1"/>
  <c r="AB14" i="45" s="1"/>
  <c r="AD14" i="45" s="1"/>
  <c r="AF14" i="45" s="1"/>
  <c r="AH14" i="45"/>
  <c r="AJ14" i="45" s="1"/>
  <c r="T18" i="45"/>
  <c r="V18" i="45" s="1"/>
  <c r="X18" i="45" s="1"/>
  <c r="Z18" i="45" s="1"/>
  <c r="AB18" i="45" s="1"/>
  <c r="AD18" i="45" s="1"/>
  <c r="AF18" i="45" s="1"/>
  <c r="AH18" i="45"/>
  <c r="T13" i="45"/>
  <c r="V13" i="45" s="1"/>
  <c r="X13" i="45" s="1"/>
  <c r="Z13" i="45" s="1"/>
  <c r="AB13" i="45" s="1"/>
  <c r="AD13" i="45" s="1"/>
  <c r="AF13" i="45" s="1"/>
  <c r="AH13" i="45"/>
  <c r="AJ13" i="45" s="1"/>
  <c r="T11" i="45"/>
  <c r="V11" i="45" s="1"/>
  <c r="X11" i="45" s="1"/>
  <c r="Z11" i="45" s="1"/>
  <c r="AB11" i="45" s="1"/>
  <c r="AD11" i="45" s="1"/>
  <c r="AF11" i="45" s="1"/>
  <c r="AH11" i="45"/>
  <c r="AJ11" i="45" s="1"/>
  <c r="T16" i="45"/>
  <c r="V16" i="45" s="1"/>
  <c r="X16" i="45" s="1"/>
  <c r="Z16" i="45" s="1"/>
  <c r="AB16" i="45" s="1"/>
  <c r="AD16" i="45" s="1"/>
  <c r="AF16" i="45" s="1"/>
  <c r="AH16" i="45"/>
  <c r="AJ16" i="45" s="1"/>
  <c r="T10" i="45"/>
  <c r="V10" i="45" s="1"/>
  <c r="X10" i="45" s="1"/>
  <c r="Z10" i="45" s="1"/>
  <c r="AB10" i="45" s="1"/>
  <c r="AD10" i="45" s="1"/>
  <c r="AF10" i="45" s="1"/>
  <c r="AH10" i="45"/>
  <c r="T15" i="45"/>
  <c r="V15" i="45" s="1"/>
  <c r="X15" i="45" s="1"/>
  <c r="Z15" i="45" s="1"/>
  <c r="AB15" i="45" s="1"/>
  <c r="AD15" i="45" s="1"/>
  <c r="AF15" i="45" s="1"/>
  <c r="AH15" i="45"/>
  <c r="AJ15" i="45" s="1"/>
  <c r="B45" i="45"/>
  <c r="B47" i="45" s="1"/>
  <c r="X36" i="45"/>
  <c r="F36" i="45"/>
  <c r="AB36" i="45"/>
  <c r="L36" i="45"/>
  <c r="D36" i="45"/>
  <c r="AF36" i="45"/>
  <c r="P36" i="45"/>
  <c r="H36" i="45"/>
  <c r="N36" i="45"/>
  <c r="R36" i="45"/>
  <c r="J36" i="45"/>
  <c r="R240" i="41"/>
  <c r="H20" i="45"/>
  <c r="J20" i="45" s="1"/>
  <c r="L20" i="45" s="1"/>
  <c r="N20" i="45" s="1"/>
  <c r="P20" i="45" s="1"/>
  <c r="R20" i="45" s="1"/>
  <c r="H19" i="45"/>
  <c r="J19" i="45" s="1"/>
  <c r="L19" i="45" s="1"/>
  <c r="N19" i="45" s="1"/>
  <c r="P19" i="45" s="1"/>
  <c r="R19" i="45" s="1"/>
  <c r="AL11" i="45" l="1"/>
  <c r="Z36" i="45"/>
  <c r="T36" i="45"/>
  <c r="V36" i="45"/>
  <c r="T20" i="45"/>
  <c r="V20" i="45" s="1"/>
  <c r="X20" i="45" s="1"/>
  <c r="Z20" i="45" s="1"/>
  <c r="AB20" i="45" s="1"/>
  <c r="AD20" i="45" s="1"/>
  <c r="AF20" i="45" s="1"/>
  <c r="AH20" i="45"/>
  <c r="AJ20" i="45" s="1"/>
  <c r="AJ18" i="45"/>
  <c r="AH36" i="45"/>
  <c r="AJ10" i="45"/>
  <c r="AL10" i="45" s="1"/>
  <c r="AN10" i="45" s="1"/>
  <c r="AP10" i="45" s="1"/>
  <c r="AR10" i="45" s="1"/>
  <c r="AT10" i="45" s="1"/>
  <c r="AV10" i="45" s="1"/>
  <c r="T19" i="45"/>
  <c r="V19" i="45" s="1"/>
  <c r="X19" i="45" s="1"/>
  <c r="Z19" i="45" s="1"/>
  <c r="AB19" i="45" s="1"/>
  <c r="AD19" i="45" s="1"/>
  <c r="AF19" i="45" s="1"/>
  <c r="AH19" i="45"/>
  <c r="AJ19" i="45" s="1"/>
  <c r="AL15" i="45"/>
  <c r="AL16" i="45"/>
  <c r="AL13" i="45"/>
  <c r="AL14" i="45"/>
  <c r="AD36" i="45"/>
  <c r="CB11" i="45"/>
  <c r="CB10" i="45"/>
  <c r="CB23" i="45"/>
  <c r="AX10" i="45" l="1"/>
  <c r="AZ10" i="45" s="1"/>
  <c r="BB10" i="45" s="1"/>
  <c r="BD10" i="45" s="1"/>
  <c r="BF10" i="45" s="1"/>
  <c r="BH10" i="45" s="1"/>
  <c r="BJ10" i="45" s="1"/>
  <c r="BL10" i="45" s="1"/>
  <c r="BN10" i="45" s="1"/>
  <c r="BP10" i="45" s="1"/>
  <c r="BR10" i="45" s="1"/>
  <c r="BT10" i="45" s="1"/>
  <c r="AV36" i="45"/>
  <c r="CB15" i="45"/>
  <c r="AX37" i="45"/>
  <c r="AX39" i="45"/>
  <c r="AX38" i="45" s="1"/>
  <c r="AX41" i="45"/>
  <c r="AH44" i="45"/>
  <c r="CB18" i="45"/>
  <c r="AZ37" i="45"/>
  <c r="AZ43" i="45"/>
  <c r="AZ39" i="45"/>
  <c r="AZ38" i="45" s="1"/>
  <c r="AZ41" i="45"/>
  <c r="CB14" i="45"/>
  <c r="CB16" i="45"/>
  <c r="CD16" i="45" s="1"/>
  <c r="AX42" i="45"/>
  <c r="AX35" i="45"/>
  <c r="AX36" i="45"/>
  <c r="AZ44" i="45"/>
  <c r="AZ36" i="45"/>
  <c r="AZ42" i="45"/>
  <c r="AZ35" i="45"/>
  <c r="AZ40" i="45"/>
  <c r="BL36" i="45"/>
  <c r="BP36" i="45"/>
  <c r="AJ37" i="45"/>
  <c r="AL18" i="45"/>
  <c r="AJ43" i="45"/>
  <c r="AJ39" i="45"/>
  <c r="AJ38" i="45" s="1"/>
  <c r="AJ41" i="45"/>
  <c r="AL19" i="45"/>
  <c r="AH35" i="45"/>
  <c r="AH41" i="45"/>
  <c r="AH37" i="45"/>
  <c r="AJ42" i="45"/>
  <c r="AJ35" i="45"/>
  <c r="AJ44" i="45"/>
  <c r="AJ36" i="45"/>
  <c r="AJ40" i="45"/>
  <c r="AT36" i="45"/>
  <c r="AH42" i="45"/>
  <c r="AH39" i="45"/>
  <c r="AH38" i="45" s="1"/>
  <c r="AL20" i="45"/>
  <c r="AH40" i="45"/>
  <c r="AH43" i="45"/>
  <c r="CB22" i="45"/>
  <c r="CD22" i="45"/>
  <c r="CB21" i="45"/>
  <c r="CD23" i="45"/>
  <c r="AJ47" i="45" l="1"/>
  <c r="AZ47" i="45"/>
  <c r="AH47" i="45"/>
  <c r="BR36" i="45"/>
  <c r="BN42" i="45"/>
  <c r="BN44" i="45"/>
  <c r="BN35" i="45"/>
  <c r="BN36" i="45"/>
  <c r="BN40" i="45"/>
  <c r="BB44" i="45"/>
  <c r="BB36" i="45"/>
  <c r="BB35" i="45"/>
  <c r="BB42" i="45"/>
  <c r="BB40" i="45"/>
  <c r="BN37" i="45"/>
  <c r="BN43" i="45"/>
  <c r="BN39" i="45"/>
  <c r="BN38" i="45" s="1"/>
  <c r="BN41" i="45"/>
  <c r="BB43" i="45"/>
  <c r="BB39" i="45"/>
  <c r="BB38" i="45" s="1"/>
  <c r="BB37" i="45"/>
  <c r="BB41" i="45"/>
  <c r="AX40" i="45"/>
  <c r="AX44" i="45"/>
  <c r="CB19" i="45"/>
  <c r="AX43" i="45"/>
  <c r="AL42" i="45"/>
  <c r="AL35" i="45"/>
  <c r="AL44" i="45"/>
  <c r="AL36" i="45"/>
  <c r="AL40" i="45"/>
  <c r="AL43" i="45"/>
  <c r="AL39" i="45"/>
  <c r="AL38" i="45" s="1"/>
  <c r="AL37" i="45"/>
  <c r="AL41" i="45"/>
  <c r="AP37" i="45"/>
  <c r="AP43" i="45"/>
  <c r="AP39" i="45"/>
  <c r="AP38" i="45" s="1"/>
  <c r="AP41" i="45"/>
  <c r="CF23" i="45"/>
  <c r="I221" i="41"/>
  <c r="CD21" i="45"/>
  <c r="CF21" i="45" s="1"/>
  <c r="CF22" i="45"/>
  <c r="I220" i="41"/>
  <c r="CF16" i="45"/>
  <c r="I214" i="41"/>
  <c r="H214" i="41" s="1"/>
  <c r="CB13" i="45"/>
  <c r="BZ36" i="45"/>
  <c r="CD19" i="45"/>
  <c r="AX47" i="45" l="1"/>
  <c r="BB47" i="45"/>
  <c r="AL47" i="45"/>
  <c r="BN47" i="45"/>
  <c r="CD20" i="45"/>
  <c r="CB20" i="45"/>
  <c r="BD43" i="45"/>
  <c r="BD39" i="45"/>
  <c r="BD38" i="45" s="1"/>
  <c r="BD37" i="45"/>
  <c r="BD41" i="45"/>
  <c r="BH37" i="45"/>
  <c r="BH43" i="45"/>
  <c r="BH39" i="45"/>
  <c r="BH38" i="45" s="1"/>
  <c r="BH41" i="45"/>
  <c r="BT36" i="45"/>
  <c r="BD35" i="45"/>
  <c r="BD42" i="45"/>
  <c r="BD44" i="45"/>
  <c r="BD36" i="45"/>
  <c r="BD40" i="45"/>
  <c r="AR37" i="45"/>
  <c r="AR43" i="45"/>
  <c r="AR39" i="45"/>
  <c r="AR38" i="45" s="1"/>
  <c r="AR41" i="45"/>
  <c r="AN43" i="45"/>
  <c r="AN39" i="45"/>
  <c r="AN38" i="45" s="1"/>
  <c r="AN37" i="45"/>
  <c r="AN41" i="45"/>
  <c r="AN35" i="45"/>
  <c r="AN44" i="45"/>
  <c r="AN36" i="45"/>
  <c r="AN42" i="45"/>
  <c r="AN40" i="45"/>
  <c r="CF19" i="45"/>
  <c r="I217" i="41"/>
  <c r="H221" i="41"/>
  <c r="L221" i="41" s="1"/>
  <c r="I219" i="41"/>
  <c r="H219" i="41" s="1"/>
  <c r="L219" i="41" s="1"/>
  <c r="H220" i="41"/>
  <c r="L220" i="41" s="1"/>
  <c r="CB36" i="45"/>
  <c r="A95" i="41"/>
  <c r="K95" i="41" s="1"/>
  <c r="AN47" i="45" l="1"/>
  <c r="BD47" i="45"/>
  <c r="BX36" i="45"/>
  <c r="BV36" i="45"/>
  <c r="BJ43" i="45"/>
  <c r="BJ39" i="45"/>
  <c r="BJ38" i="45" s="1"/>
  <c r="BJ37" i="45"/>
  <c r="BJ41" i="45"/>
  <c r="BF42" i="45"/>
  <c r="BF44" i="45"/>
  <c r="BF36" i="45"/>
  <c r="BF35" i="45"/>
  <c r="BF40" i="45"/>
  <c r="BF37" i="45"/>
  <c r="BF39" i="45"/>
  <c r="BF38" i="45" s="1"/>
  <c r="BF43" i="45"/>
  <c r="BF41" i="45"/>
  <c r="CF20" i="45"/>
  <c r="I218" i="41"/>
  <c r="AP44" i="45"/>
  <c r="AP36" i="45"/>
  <c r="AP42" i="45"/>
  <c r="AP35" i="45"/>
  <c r="AP40" i="45"/>
  <c r="AT43" i="45"/>
  <c r="AT39" i="45"/>
  <c r="AT38" i="45" s="1"/>
  <c r="AT37" i="45"/>
  <c r="AT41" i="45"/>
  <c r="AT42" i="45"/>
  <c r="AT40" i="45"/>
  <c r="AT35" i="45"/>
  <c r="AT44" i="45"/>
  <c r="CD18" i="45"/>
  <c r="H217" i="41"/>
  <c r="L217" i="41" s="1"/>
  <c r="O217" i="41"/>
  <c r="O221" i="41"/>
  <c r="O219" i="41"/>
  <c r="O220" i="41"/>
  <c r="BF47" i="45" l="1"/>
  <c r="AT47" i="45"/>
  <c r="AP47" i="45"/>
  <c r="BL43" i="45"/>
  <c r="BL39" i="45"/>
  <c r="BL38" i="45" s="1"/>
  <c r="BL37" i="45"/>
  <c r="BL41" i="45"/>
  <c r="BL44" i="45"/>
  <c r="BL40" i="45"/>
  <c r="BL35" i="45"/>
  <c r="BL42" i="45"/>
  <c r="BH44" i="45"/>
  <c r="BH36" i="45"/>
  <c r="BH42" i="45"/>
  <c r="BH35" i="45"/>
  <c r="BH40" i="45"/>
  <c r="H218" i="41"/>
  <c r="L218" i="41" s="1"/>
  <c r="O218" i="41"/>
  <c r="CF18" i="45"/>
  <c r="I216" i="41"/>
  <c r="H216" i="41" s="1"/>
  <c r="AR42" i="45"/>
  <c r="AR35" i="45"/>
  <c r="AR44" i="45"/>
  <c r="AR36" i="45"/>
  <c r="AR40" i="45"/>
  <c r="AA31" i="46"/>
  <c r="AC31" i="46" s="1"/>
  <c r="AA30" i="46"/>
  <c r="AC30" i="46" s="1"/>
  <c r="AA29" i="46"/>
  <c r="AC29" i="46" s="1"/>
  <c r="AA28" i="46"/>
  <c r="AC28" i="46" s="1"/>
  <c r="D27" i="46"/>
  <c r="E27" i="46" s="1"/>
  <c r="F27" i="46" s="1"/>
  <c r="G27" i="46" s="1"/>
  <c r="H27" i="46" s="1"/>
  <c r="I27" i="46" s="1"/>
  <c r="J27" i="46" s="1"/>
  <c r="K27" i="46" s="1"/>
  <c r="L27" i="46" s="1"/>
  <c r="M27" i="46" s="1"/>
  <c r="N27" i="46" s="1"/>
  <c r="O27" i="46" s="1"/>
  <c r="P27" i="46" s="1"/>
  <c r="Q27" i="46" s="1"/>
  <c r="R27" i="46" s="1"/>
  <c r="S27" i="46" s="1"/>
  <c r="T27" i="46" s="1"/>
  <c r="Z26" i="46"/>
  <c r="G26" i="46"/>
  <c r="H26" i="46" s="1"/>
  <c r="I26" i="46" s="1"/>
  <c r="J26" i="46" s="1"/>
  <c r="K26" i="46" s="1"/>
  <c r="L26" i="46" s="1"/>
  <c r="M26" i="46" s="1"/>
  <c r="N26" i="46" s="1"/>
  <c r="O26" i="46" s="1"/>
  <c r="P26" i="46" s="1"/>
  <c r="Q26" i="46" s="1"/>
  <c r="R26" i="46" s="1"/>
  <c r="S26" i="46" s="1"/>
  <c r="T26" i="46" s="1"/>
  <c r="D26" i="46"/>
  <c r="D25" i="46"/>
  <c r="E25" i="46" s="1"/>
  <c r="F25" i="46" s="1"/>
  <c r="D24" i="46"/>
  <c r="E24" i="46" s="1"/>
  <c r="F24" i="46" s="1"/>
  <c r="G24" i="46" s="1"/>
  <c r="H24" i="46" s="1"/>
  <c r="I24" i="46" s="1"/>
  <c r="J24" i="46" s="1"/>
  <c r="K24" i="46" s="1"/>
  <c r="L24" i="46" s="1"/>
  <c r="M24" i="46" s="1"/>
  <c r="N24" i="46" s="1"/>
  <c r="O24" i="46" s="1"/>
  <c r="P24" i="46" s="1"/>
  <c r="Q24" i="46" s="1"/>
  <c r="R24" i="46" s="1"/>
  <c r="S24" i="46" s="1"/>
  <c r="T24" i="46" s="1"/>
  <c r="D23" i="46"/>
  <c r="O22" i="46"/>
  <c r="P22" i="46" s="1"/>
  <c r="Q22" i="46" s="1"/>
  <c r="R22" i="46" s="1"/>
  <c r="S22" i="46" s="1"/>
  <c r="T22" i="46" s="1"/>
  <c r="M22" i="46"/>
  <c r="G22" i="46"/>
  <c r="H22" i="46" s="1"/>
  <c r="I22" i="46" s="1"/>
  <c r="J22" i="46" s="1"/>
  <c r="K22" i="46" s="1"/>
  <c r="D22" i="46"/>
  <c r="E22" i="46" s="1"/>
  <c r="Z21" i="46"/>
  <c r="O21" i="46"/>
  <c r="P21" i="46" s="1"/>
  <c r="Q21" i="46" s="1"/>
  <c r="R21" i="46" s="1"/>
  <c r="S21" i="46" s="1"/>
  <c r="T21" i="46" s="1"/>
  <c r="H21" i="46"/>
  <c r="I21" i="46" s="1"/>
  <c r="J21" i="46" s="1"/>
  <c r="K21" i="46" s="1"/>
  <c r="D21" i="46"/>
  <c r="E21" i="46" s="1"/>
  <c r="F21" i="46" s="1"/>
  <c r="D20" i="46"/>
  <c r="E20" i="46" s="1"/>
  <c r="F20" i="46" s="1"/>
  <c r="G20" i="46" s="1"/>
  <c r="H20" i="46" s="1"/>
  <c r="I20" i="46" s="1"/>
  <c r="J20" i="46" s="1"/>
  <c r="K20" i="46" s="1"/>
  <c r="L20" i="46" s="1"/>
  <c r="M20" i="46" s="1"/>
  <c r="N20" i="46" s="1"/>
  <c r="O20" i="46" s="1"/>
  <c r="P20" i="46" s="1"/>
  <c r="Q20" i="46" s="1"/>
  <c r="R20" i="46" s="1"/>
  <c r="S20" i="46" s="1"/>
  <c r="T20" i="46" s="1"/>
  <c r="Y19" i="46"/>
  <c r="Z19" i="46" s="1"/>
  <c r="X19" i="46"/>
  <c r="L19" i="46"/>
  <c r="M19" i="46" s="1"/>
  <c r="N19" i="46" s="1"/>
  <c r="O19" i="46" s="1"/>
  <c r="P19" i="46" s="1"/>
  <c r="Q19" i="46" s="1"/>
  <c r="R19" i="46" s="1"/>
  <c r="S19" i="46" s="1"/>
  <c r="T19" i="46" s="1"/>
  <c r="U19" i="46" s="1"/>
  <c r="D19" i="46"/>
  <c r="E19" i="46" s="1"/>
  <c r="F19" i="46" s="1"/>
  <c r="G19" i="46" s="1"/>
  <c r="H19" i="46" s="1"/>
  <c r="I19" i="46" s="1"/>
  <c r="J19" i="46" s="1"/>
  <c r="D18" i="46"/>
  <c r="D17" i="46"/>
  <c r="E17" i="46" s="1"/>
  <c r="F17" i="46" s="1"/>
  <c r="G17" i="46" s="1"/>
  <c r="H17" i="46" s="1"/>
  <c r="I17" i="46" s="1"/>
  <c r="J17" i="46" s="1"/>
  <c r="K17" i="46" s="1"/>
  <c r="L17" i="46" s="1"/>
  <c r="M17" i="46" s="1"/>
  <c r="N17" i="46" s="1"/>
  <c r="O17" i="46" s="1"/>
  <c r="P17" i="46" s="1"/>
  <c r="Q17" i="46" s="1"/>
  <c r="R17" i="46" s="1"/>
  <c r="S17" i="46" s="1"/>
  <c r="T17" i="46" s="1"/>
  <c r="D16" i="46"/>
  <c r="E16" i="46" s="1"/>
  <c r="F16" i="46" s="1"/>
  <c r="H15" i="46"/>
  <c r="D14" i="46"/>
  <c r="E14" i="46" s="1"/>
  <c r="F14" i="46" s="1"/>
  <c r="G14" i="46" s="1"/>
  <c r="H14" i="46" s="1"/>
  <c r="I14" i="46" s="1"/>
  <c r="J14" i="46" s="1"/>
  <c r="K14" i="46" s="1"/>
  <c r="L14" i="46" s="1"/>
  <c r="M14" i="46" s="1"/>
  <c r="D13" i="46"/>
  <c r="AA12" i="46"/>
  <c r="AC12" i="46" s="1"/>
  <c r="AA11" i="46"/>
  <c r="AC11" i="46" s="1"/>
  <c r="Z10" i="46"/>
  <c r="J10" i="46"/>
  <c r="D10" i="46"/>
  <c r="AA9" i="46"/>
  <c r="AC9" i="46" s="1"/>
  <c r="AA8" i="46"/>
  <c r="AC8" i="46" s="1"/>
  <c r="AC3" i="46"/>
  <c r="CF3" i="45"/>
  <c r="B35" i="45"/>
  <c r="CD34" i="45"/>
  <c r="CF34" i="45" s="1"/>
  <c r="CB29" i="45"/>
  <c r="CB27" i="45"/>
  <c r="CD14" i="45"/>
  <c r="CD13" i="45"/>
  <c r="CD11" i="45"/>
  <c r="CD10" i="45"/>
  <c r="BH47" i="45" l="1"/>
  <c r="BL47" i="45"/>
  <c r="AR47" i="45"/>
  <c r="BJ44" i="45"/>
  <c r="BJ36" i="45"/>
  <c r="BJ35" i="45"/>
  <c r="BJ42" i="45"/>
  <c r="BJ40" i="45"/>
  <c r="CF10" i="45"/>
  <c r="I208" i="41"/>
  <c r="CF11" i="45"/>
  <c r="I209" i="41"/>
  <c r="H209" i="41" s="1"/>
  <c r="CF13" i="45"/>
  <c r="I211" i="41"/>
  <c r="H211" i="41" s="1"/>
  <c r="CF14" i="45"/>
  <c r="I212" i="41"/>
  <c r="H212" i="41" s="1"/>
  <c r="N14" i="46"/>
  <c r="O14" i="46" s="1"/>
  <c r="P14" i="46" s="1"/>
  <c r="Q14" i="46" s="1"/>
  <c r="R14" i="46" s="1"/>
  <c r="S14" i="46" s="1"/>
  <c r="T14" i="46" s="1"/>
  <c r="U17" i="46"/>
  <c r="V17" i="46" s="1"/>
  <c r="Y17" i="46" s="1"/>
  <c r="Z17" i="46" s="1"/>
  <c r="W17" i="46"/>
  <c r="X17" i="46" s="1"/>
  <c r="U21" i="46"/>
  <c r="V21" i="46" s="1"/>
  <c r="W21" i="46"/>
  <c r="X21" i="46" s="1"/>
  <c r="G16" i="46"/>
  <c r="H16" i="46" s="1"/>
  <c r="I16" i="46" s="1"/>
  <c r="J16" i="46" s="1"/>
  <c r="K16" i="46" s="1"/>
  <c r="L16" i="46" s="1"/>
  <c r="M16" i="46" s="1"/>
  <c r="N16" i="46" s="1"/>
  <c r="O16" i="46" s="1"/>
  <c r="P16" i="46" s="1"/>
  <c r="Q16" i="46" s="1"/>
  <c r="R16" i="46" s="1"/>
  <c r="S16" i="46" s="1"/>
  <c r="T16" i="46" s="1"/>
  <c r="U20" i="46"/>
  <c r="V20" i="46" s="1"/>
  <c r="Y20" i="46" s="1"/>
  <c r="Z20" i="46" s="1"/>
  <c r="W20" i="46"/>
  <c r="X20" i="46" s="1"/>
  <c r="W24" i="46"/>
  <c r="X24" i="46" s="1"/>
  <c r="U24" i="46"/>
  <c r="V24" i="46" s="1"/>
  <c r="Y24" i="46" s="1"/>
  <c r="Z24" i="46" s="1"/>
  <c r="E10" i="46"/>
  <c r="K10" i="46"/>
  <c r="W22" i="46"/>
  <c r="X22" i="46" s="1"/>
  <c r="U22" i="46"/>
  <c r="V22" i="46" s="1"/>
  <c r="Y22" i="46" s="1"/>
  <c r="Z22" i="46" s="1"/>
  <c r="G25" i="46"/>
  <c r="H25" i="46" s="1"/>
  <c r="I25" i="46" s="1"/>
  <c r="J25" i="46" s="1"/>
  <c r="K25" i="46" s="1"/>
  <c r="L25" i="46" s="1"/>
  <c r="M25" i="46" s="1"/>
  <c r="N25" i="46" s="1"/>
  <c r="O25" i="46" s="1"/>
  <c r="P25" i="46" s="1"/>
  <c r="Q25" i="46" s="1"/>
  <c r="R25" i="46" s="1"/>
  <c r="S25" i="46" s="1"/>
  <c r="T25" i="46" s="1"/>
  <c r="W26" i="46"/>
  <c r="X26" i="46" s="1"/>
  <c r="U26" i="46"/>
  <c r="V26" i="46" s="1"/>
  <c r="W27" i="46"/>
  <c r="X27" i="46" s="1"/>
  <c r="U27" i="46"/>
  <c r="V27" i="46" s="1"/>
  <c r="Y27" i="46" s="1"/>
  <c r="Z27" i="46" s="1"/>
  <c r="AA19" i="46"/>
  <c r="AC19" i="46" s="1"/>
  <c r="AA24" i="46"/>
  <c r="AC24" i="46" s="1"/>
  <c r="E26" i="46"/>
  <c r="AA26" i="46" s="1"/>
  <c r="AC26" i="46" s="1"/>
  <c r="E23" i="46"/>
  <c r="F23" i="46" s="1"/>
  <c r="G23" i="46" s="1"/>
  <c r="H23" i="46" s="1"/>
  <c r="I23" i="46" s="1"/>
  <c r="J23" i="46" s="1"/>
  <c r="K23" i="46" s="1"/>
  <c r="L23" i="46" s="1"/>
  <c r="M23" i="46" s="1"/>
  <c r="N23" i="46" s="1"/>
  <c r="O23" i="46" s="1"/>
  <c r="P23" i="46" s="1"/>
  <c r="Q23" i="46" s="1"/>
  <c r="R23" i="46" s="1"/>
  <c r="S23" i="46" s="1"/>
  <c r="T23" i="46" s="1"/>
  <c r="E13" i="46"/>
  <c r="I15" i="46"/>
  <c r="J15" i="46" s="1"/>
  <c r="K15" i="46" s="1"/>
  <c r="L15" i="46" s="1"/>
  <c r="M15" i="46" s="1"/>
  <c r="N15" i="46" s="1"/>
  <c r="O15" i="46" s="1"/>
  <c r="P15" i="46" s="1"/>
  <c r="Q15" i="46" s="1"/>
  <c r="R15" i="46" s="1"/>
  <c r="S15" i="46" s="1"/>
  <c r="T15" i="46" s="1"/>
  <c r="E18" i="46"/>
  <c r="F18" i="46" s="1"/>
  <c r="G18" i="46" s="1"/>
  <c r="H18" i="46" s="1"/>
  <c r="I18" i="46" s="1"/>
  <c r="J18" i="46" s="1"/>
  <c r="K18" i="46" s="1"/>
  <c r="L18" i="46" s="1"/>
  <c r="M18" i="46" s="1"/>
  <c r="N18" i="46" s="1"/>
  <c r="O18" i="46" s="1"/>
  <c r="P18" i="46" s="1"/>
  <c r="Q18" i="46" s="1"/>
  <c r="R18" i="46" s="1"/>
  <c r="S18" i="46" s="1"/>
  <c r="T18" i="46" s="1"/>
  <c r="AA22" i="46"/>
  <c r="AC22" i="46" s="1"/>
  <c r="C32" i="46"/>
  <c r="CB32" i="45"/>
  <c r="D35" i="45"/>
  <c r="BJ47" i="45" l="1"/>
  <c r="H208" i="41"/>
  <c r="D37" i="45"/>
  <c r="D43" i="45"/>
  <c r="D39" i="45"/>
  <c r="D38" i="45" s="1"/>
  <c r="D41" i="45"/>
  <c r="D44" i="45"/>
  <c r="D42" i="45"/>
  <c r="D40" i="45"/>
  <c r="CB30" i="45"/>
  <c r="CD32" i="45"/>
  <c r="AA21" i="46"/>
  <c r="AC21" i="46" s="1"/>
  <c r="AA17" i="46"/>
  <c r="AC17" i="46" s="1"/>
  <c r="AA20" i="46"/>
  <c r="AC20" i="46" s="1"/>
  <c r="W25" i="46"/>
  <c r="X25" i="46" s="1"/>
  <c r="U25" i="46"/>
  <c r="W18" i="46"/>
  <c r="X18" i="46" s="1"/>
  <c r="U18" i="46"/>
  <c r="W23" i="46"/>
  <c r="X23" i="46" s="1"/>
  <c r="U23" i="46"/>
  <c r="V23" i="46" s="1"/>
  <c r="Y23" i="46" s="1"/>
  <c r="Z23" i="46" s="1"/>
  <c r="AA27" i="46"/>
  <c r="AC27" i="46" s="1"/>
  <c r="U15" i="46"/>
  <c r="V15" i="46" s="1"/>
  <c r="W15" i="46"/>
  <c r="X15" i="46" s="1"/>
  <c r="L10" i="46"/>
  <c r="U16" i="46"/>
  <c r="W16" i="46"/>
  <c r="X16" i="46" s="1"/>
  <c r="W14" i="46"/>
  <c r="X14" i="46" s="1"/>
  <c r="U14" i="46"/>
  <c r="F10" i="46"/>
  <c r="F13" i="46"/>
  <c r="D32" i="46"/>
  <c r="AA15" i="46"/>
  <c r="AC15" i="46" s="1"/>
  <c r="CB26" i="45"/>
  <c r="CF32" i="45" l="1"/>
  <c r="I230" i="41"/>
  <c r="H230" i="41" s="1"/>
  <c r="CB28" i="45"/>
  <c r="H43" i="45"/>
  <c r="D45" i="45"/>
  <c r="D47" i="45" s="1"/>
  <c r="F39" i="45"/>
  <c r="F38" i="45" s="1"/>
  <c r="F42" i="45"/>
  <c r="F37" i="45"/>
  <c r="F44" i="45"/>
  <c r="F43" i="45"/>
  <c r="F40" i="45"/>
  <c r="F41" i="45"/>
  <c r="F35" i="45"/>
  <c r="CD26" i="45"/>
  <c r="AA23" i="46"/>
  <c r="AC23" i="46" s="1"/>
  <c r="V14" i="46"/>
  <c r="AA14" i="46"/>
  <c r="AC14" i="46" s="1"/>
  <c r="V25" i="46"/>
  <c r="Y25" i="46" s="1"/>
  <c r="Z25" i="46" s="1"/>
  <c r="V16" i="46"/>
  <c r="Y16" i="46" s="1"/>
  <c r="Z16" i="46" s="1"/>
  <c r="AA16" i="46"/>
  <c r="AC16" i="46" s="1"/>
  <c r="G13" i="46"/>
  <c r="G10" i="46"/>
  <c r="M10" i="46"/>
  <c r="V18" i="46"/>
  <c r="Y18" i="46" s="1"/>
  <c r="Z18" i="46" s="1"/>
  <c r="AA18" i="46"/>
  <c r="AC18" i="46" s="1"/>
  <c r="CB25" i="45"/>
  <c r="CD28" i="45" l="1"/>
  <c r="I226" i="41" s="1"/>
  <c r="H226" i="41" s="1"/>
  <c r="H35" i="45"/>
  <c r="H42" i="45"/>
  <c r="H44" i="45"/>
  <c r="H40" i="45"/>
  <c r="H39" i="45"/>
  <c r="H38" i="45" s="1"/>
  <c r="H41" i="45"/>
  <c r="CF26" i="45"/>
  <c r="I224" i="41"/>
  <c r="H37" i="45"/>
  <c r="J41" i="45"/>
  <c r="J37" i="45"/>
  <c r="CB24" i="45"/>
  <c r="CD24" i="45" s="1"/>
  <c r="CF24" i="45" s="1"/>
  <c r="F45" i="45"/>
  <c r="F47" i="45" s="1"/>
  <c r="N10" i="46"/>
  <c r="H13" i="46"/>
  <c r="F32" i="46"/>
  <c r="AA25" i="46"/>
  <c r="AC25" i="46" s="1"/>
  <c r="CD25" i="45"/>
  <c r="CF28" i="45" l="1"/>
  <c r="CD30" i="45"/>
  <c r="CF30" i="45" s="1"/>
  <c r="H45" i="45"/>
  <c r="H47" i="45" s="1"/>
  <c r="J39" i="45"/>
  <c r="J38" i="45" s="1"/>
  <c r="J45" i="45" s="1"/>
  <c r="H224" i="41"/>
  <c r="L224" i="41" s="1"/>
  <c r="J40" i="45"/>
  <c r="J43" i="45"/>
  <c r="CF25" i="45"/>
  <c r="I223" i="41"/>
  <c r="J42" i="45"/>
  <c r="J35" i="45"/>
  <c r="J44" i="45"/>
  <c r="L41" i="45"/>
  <c r="I222" i="41"/>
  <c r="H222" i="41" s="1"/>
  <c r="L222" i="41" s="1"/>
  <c r="I13" i="46"/>
  <c r="G32" i="46"/>
  <c r="E32" i="46"/>
  <c r="O10" i="46"/>
  <c r="I228" i="41" l="1"/>
  <c r="H228" i="41" s="1"/>
  <c r="O224" i="41"/>
  <c r="J47" i="45"/>
  <c r="H223" i="41"/>
  <c r="L223" i="41" s="1"/>
  <c r="L44" i="45"/>
  <c r="L35" i="45"/>
  <c r="L40" i="45"/>
  <c r="L37" i="45"/>
  <c r="L39" i="45"/>
  <c r="L38" i="45" s="1"/>
  <c r="N40" i="45"/>
  <c r="L42" i="45"/>
  <c r="L43" i="45"/>
  <c r="O222" i="41"/>
  <c r="J13" i="46"/>
  <c r="H32" i="46"/>
  <c r="P10" i="46"/>
  <c r="O223" i="41" l="1"/>
  <c r="N35" i="45"/>
  <c r="N39" i="45"/>
  <c r="N38" i="45" s="1"/>
  <c r="N43" i="45"/>
  <c r="P39" i="45"/>
  <c r="P38" i="45" s="1"/>
  <c r="N42" i="45"/>
  <c r="N41" i="45"/>
  <c r="L45" i="45"/>
  <c r="L47" i="45" s="1"/>
  <c r="N37" i="45"/>
  <c r="N44" i="45"/>
  <c r="I32" i="46"/>
  <c r="Q10" i="46"/>
  <c r="K13" i="46"/>
  <c r="N45" i="45" l="1"/>
  <c r="N47" i="45" s="1"/>
  <c r="P35" i="45"/>
  <c r="P40" i="45"/>
  <c r="P37" i="45"/>
  <c r="P41" i="45"/>
  <c r="R42" i="45"/>
  <c r="P44" i="45"/>
  <c r="P43" i="45"/>
  <c r="P42" i="45"/>
  <c r="J32" i="46"/>
  <c r="L13" i="46"/>
  <c r="R10" i="46"/>
  <c r="R39" i="45" l="1"/>
  <c r="R38" i="45" s="1"/>
  <c r="R35" i="45"/>
  <c r="R40" i="45"/>
  <c r="R44" i="45"/>
  <c r="R43" i="45"/>
  <c r="R37" i="45"/>
  <c r="T42" i="45"/>
  <c r="R41" i="45"/>
  <c r="P45" i="45"/>
  <c r="P47" i="45" s="1"/>
  <c r="BP41" i="45"/>
  <c r="BP39" i="45"/>
  <c r="BP38" i="45" s="1"/>
  <c r="BP37" i="45"/>
  <c r="BP43" i="45"/>
  <c r="BP44" i="45"/>
  <c r="BP40" i="45"/>
  <c r="BP42" i="45"/>
  <c r="K32" i="46"/>
  <c r="M13" i="46"/>
  <c r="S10" i="46"/>
  <c r="X37" i="45" l="1"/>
  <c r="X44" i="45"/>
  <c r="X39" i="45"/>
  <c r="X38" i="45" s="1"/>
  <c r="X40" i="45"/>
  <c r="X43" i="45"/>
  <c r="X42" i="45"/>
  <c r="X41" i="45"/>
  <c r="T41" i="45"/>
  <c r="T35" i="45"/>
  <c r="T44" i="45"/>
  <c r="T39" i="45"/>
  <c r="T38" i="45" s="1"/>
  <c r="V40" i="45"/>
  <c r="V43" i="45"/>
  <c r="T43" i="45"/>
  <c r="R45" i="45"/>
  <c r="R47" i="45" s="1"/>
  <c r="T37" i="45"/>
  <c r="T40" i="45"/>
  <c r="BX42" i="45"/>
  <c r="BX40" i="45"/>
  <c r="BX39" i="45"/>
  <c r="BX38" i="45" s="1"/>
  <c r="BX43" i="45"/>
  <c r="BX41" i="45"/>
  <c r="BX37" i="45"/>
  <c r="BX44" i="45"/>
  <c r="BV44" i="45"/>
  <c r="BV42" i="45"/>
  <c r="BV39" i="45"/>
  <c r="BV38" i="45" s="1"/>
  <c r="BV37" i="45"/>
  <c r="BV41" i="45"/>
  <c r="BV43" i="45"/>
  <c r="BV40" i="45"/>
  <c r="BP45" i="45"/>
  <c r="BP47" i="45" s="1"/>
  <c r="BR39" i="45"/>
  <c r="BR38" i="45" s="1"/>
  <c r="BR43" i="45"/>
  <c r="BR41" i="45"/>
  <c r="BR37" i="45"/>
  <c r="BR42" i="45"/>
  <c r="BR40" i="45"/>
  <c r="BR44" i="45"/>
  <c r="CD27" i="45"/>
  <c r="T10" i="46"/>
  <c r="L32" i="46"/>
  <c r="N13" i="46"/>
  <c r="BZ37" i="45" l="1"/>
  <c r="BZ39" i="45"/>
  <c r="BZ38" i="45" s="1"/>
  <c r="BZ41" i="45"/>
  <c r="BZ43" i="45"/>
  <c r="BZ40" i="45"/>
  <c r="BZ44" i="45"/>
  <c r="BZ42" i="45"/>
  <c r="X45" i="45"/>
  <c r="X47" i="45" s="1"/>
  <c r="T45" i="45"/>
  <c r="T47" i="45" s="1"/>
  <c r="X35" i="45"/>
  <c r="V41" i="45"/>
  <c r="Z35" i="45"/>
  <c r="Z37" i="45"/>
  <c r="Z44" i="45"/>
  <c r="Z43" i="45"/>
  <c r="V39" i="45"/>
  <c r="V38" i="45" s="1"/>
  <c r="V42" i="45"/>
  <c r="V44" i="45"/>
  <c r="V37" i="45"/>
  <c r="V35" i="45"/>
  <c r="BX45" i="45"/>
  <c r="BX47" i="45" s="1"/>
  <c r="BV45" i="45"/>
  <c r="BV47" i="45" s="1"/>
  <c r="BT42" i="45"/>
  <c r="BT41" i="45"/>
  <c r="BT40" i="45"/>
  <c r="BT43" i="45"/>
  <c r="BT37" i="45"/>
  <c r="BT44" i="45"/>
  <c r="BT39" i="45"/>
  <c r="BT38" i="45" s="1"/>
  <c r="BR45" i="45"/>
  <c r="BR47" i="45" s="1"/>
  <c r="CF27" i="45"/>
  <c r="I225" i="41"/>
  <c r="H225" i="41" s="1"/>
  <c r="CB31" i="45"/>
  <c r="M32" i="46"/>
  <c r="U10" i="46"/>
  <c r="W10" i="46"/>
  <c r="O13" i="46"/>
  <c r="BZ45" i="45" l="1"/>
  <c r="BZ47" i="45" s="1"/>
  <c r="V45" i="45"/>
  <c r="V47" i="45" s="1"/>
  <c r="Z42" i="45"/>
  <c r="Z41" i="45"/>
  <c r="Z40" i="45"/>
  <c r="AB35" i="45"/>
  <c r="AB37" i="45"/>
  <c r="Z39" i="45"/>
  <c r="Z38" i="45" s="1"/>
  <c r="Z45" i="45" s="1"/>
  <c r="BT45" i="45"/>
  <c r="BT47" i="45" s="1"/>
  <c r="CD31" i="45"/>
  <c r="P13" i="46"/>
  <c r="V10" i="46"/>
  <c r="N32" i="46"/>
  <c r="X10" i="46"/>
  <c r="CF31" i="45" l="1"/>
  <c r="I229" i="41"/>
  <c r="H229" i="41" s="1"/>
  <c r="Z47" i="45"/>
  <c r="AB43" i="45"/>
  <c r="AB39" i="45"/>
  <c r="AB38" i="45" s="1"/>
  <c r="AB45" i="45" s="1"/>
  <c r="AD35" i="45"/>
  <c r="AB44" i="45"/>
  <c r="AB42" i="45"/>
  <c r="AB40" i="45"/>
  <c r="AB41" i="45"/>
  <c r="CB43" i="45"/>
  <c r="CB37" i="45"/>
  <c r="CB42" i="45"/>
  <c r="CB41" i="45"/>
  <c r="CB44" i="45"/>
  <c r="CB40" i="45"/>
  <c r="CB39" i="45"/>
  <c r="CB38" i="45" s="1"/>
  <c r="AA10" i="46"/>
  <c r="AC10" i="46" s="1"/>
  <c r="Q13" i="46"/>
  <c r="O32" i="46"/>
  <c r="CD12" i="45"/>
  <c r="AD40" i="45" l="1"/>
  <c r="AD42" i="45"/>
  <c r="AD44" i="45"/>
  <c r="AD43" i="45"/>
  <c r="AD39" i="45"/>
  <c r="AD38" i="45" s="1"/>
  <c r="AF35" i="45"/>
  <c r="AF41" i="45"/>
  <c r="AF37" i="45"/>
  <c r="CD29" i="45"/>
  <c r="AD37" i="45"/>
  <c r="AB47" i="45"/>
  <c r="AD41" i="45"/>
  <c r="CB45" i="45"/>
  <c r="CB47" i="45" s="1"/>
  <c r="CF12" i="45"/>
  <c r="I210" i="41"/>
  <c r="P32" i="46"/>
  <c r="R13" i="46"/>
  <c r="AD45" i="45" l="1"/>
  <c r="AD47" i="45" s="1"/>
  <c r="AF42" i="45"/>
  <c r="AF40" i="45"/>
  <c r="AF44" i="45"/>
  <c r="CF29" i="45"/>
  <c r="I227" i="41"/>
  <c r="H227" i="41" s="1"/>
  <c r="AF43" i="45"/>
  <c r="AV37" i="45"/>
  <c r="AV41" i="45"/>
  <c r="AV39" i="45"/>
  <c r="AV38" i="45" s="1"/>
  <c r="AF39" i="45"/>
  <c r="AF38" i="45" s="1"/>
  <c r="AF45" i="45" s="1"/>
  <c r="H210" i="41"/>
  <c r="Q32" i="46"/>
  <c r="S13" i="46"/>
  <c r="BP35" i="45"/>
  <c r="AF47" i="45" l="1"/>
  <c r="AV45" i="45"/>
  <c r="AV35" i="45"/>
  <c r="CD33" i="45"/>
  <c r="AV44" i="45"/>
  <c r="CF37" i="45"/>
  <c r="AV43" i="45"/>
  <c r="AV40" i="45"/>
  <c r="AV42" i="45"/>
  <c r="R32" i="46"/>
  <c r="T13" i="46"/>
  <c r="BR35" i="45"/>
  <c r="BV35" i="45"/>
  <c r="AV47" i="45" l="1"/>
  <c r="I231" i="41"/>
  <c r="H231" i="41" s="1"/>
  <c r="CF33" i="45"/>
  <c r="CF17" i="45" s="1"/>
  <c r="S32" i="46"/>
  <c r="U13" i="46"/>
  <c r="W13" i="46"/>
  <c r="BT35" i="45"/>
  <c r="BX35" i="45"/>
  <c r="T32" i="46" l="1"/>
  <c r="X13" i="46"/>
  <c r="V13" i="46"/>
  <c r="BZ35" i="45"/>
  <c r="CF36" i="45"/>
  <c r="W32" i="46" l="1"/>
  <c r="Y13" i="46"/>
  <c r="U32" i="46"/>
  <c r="CF43" i="45"/>
  <c r="H247" i="41" s="1"/>
  <c r="CF41" i="45"/>
  <c r="H249" i="41" s="1"/>
  <c r="CB35" i="45"/>
  <c r="CF40" i="45"/>
  <c r="H245" i="41" s="1"/>
  <c r="CF42" i="45"/>
  <c r="H240" i="41" s="1"/>
  <c r="CF44" i="45"/>
  <c r="CD15" i="45"/>
  <c r="CF15" i="45" l="1"/>
  <c r="CF9" i="45" s="1"/>
  <c r="I213" i="41"/>
  <c r="V32" i="46"/>
  <c r="X32" i="46"/>
  <c r="Z13" i="46"/>
  <c r="CF39" i="45"/>
  <c r="H238" i="41" s="1"/>
  <c r="H213" i="41" l="1"/>
  <c r="L240" i="41"/>
  <c r="L239" i="41" s="1"/>
  <c r="O240" i="41"/>
  <c r="CF38" i="45"/>
  <c r="H236" i="41" s="1"/>
  <c r="CF45" i="45"/>
  <c r="H242" i="41" s="1"/>
  <c r="AA13" i="46"/>
  <c r="AC13" i="46" s="1"/>
  <c r="Y32" i="46"/>
  <c r="O258" i="41" l="1"/>
  <c r="L258" i="41"/>
  <c r="L257" i="41" s="1"/>
  <c r="CF47" i="45"/>
  <c r="Z32" i="46" l="1"/>
  <c r="AC32" i="46"/>
  <c r="G1083" i="41" l="1"/>
  <c r="E1083" i="41"/>
  <c r="A1083" i="41"/>
  <c r="K1083" i="41" s="1"/>
  <c r="G1088" i="41"/>
  <c r="E1088" i="41"/>
  <c r="A1088" i="41"/>
  <c r="K1088" i="41" s="1"/>
  <c r="R1083" i="41" l="1"/>
  <c r="R1088" i="41"/>
  <c r="I664" i="41" l="1"/>
  <c r="I663" i="41"/>
  <c r="I662" i="41"/>
  <c r="I548" i="41" l="1"/>
  <c r="G548" i="41"/>
  <c r="E548" i="41"/>
  <c r="A548" i="41"/>
  <c r="K548" i="41" s="1"/>
  <c r="O548" i="41" l="1"/>
  <c r="J548" i="41"/>
  <c r="R548" i="41" l="1"/>
  <c r="L548" i="41"/>
  <c r="A660" i="41" l="1"/>
  <c r="H1146" i="41"/>
  <c r="G1149" i="41"/>
  <c r="E1149" i="41"/>
  <c r="A1149" i="41"/>
  <c r="K1149" i="41" s="1"/>
  <c r="J1149" i="41" s="1"/>
  <c r="L1149" i="41" s="1"/>
  <c r="G901" i="41"/>
  <c r="E901" i="41"/>
  <c r="A901" i="41"/>
  <c r="K901" i="41" s="1"/>
  <c r="J901" i="41" s="1"/>
  <c r="R901" i="41" l="1"/>
  <c r="L901" i="41"/>
  <c r="O901" i="41"/>
  <c r="K523" i="41" l="1"/>
  <c r="J523" i="41" s="1"/>
  <c r="G523" i="41"/>
  <c r="E523" i="41"/>
  <c r="I586" i="41"/>
  <c r="I585" i="41"/>
  <c r="K585" i="41"/>
  <c r="J585" i="41" s="1"/>
  <c r="G585" i="41"/>
  <c r="E585" i="41"/>
  <c r="I579" i="41"/>
  <c r="I578" i="41"/>
  <c r="K578" i="41"/>
  <c r="J578" i="41" s="1"/>
  <c r="G578" i="41"/>
  <c r="E578" i="41"/>
  <c r="L585" i="41" l="1"/>
  <c r="L578" i="41"/>
  <c r="K916" i="41" l="1"/>
  <c r="J916" i="41" s="1"/>
  <c r="L916" i="41" s="1"/>
  <c r="G715" i="41"/>
  <c r="E715" i="41"/>
  <c r="A715" i="41"/>
  <c r="K715" i="41" s="1"/>
  <c r="J715" i="41" s="1"/>
  <c r="L715" i="41" s="1"/>
  <c r="H1159" i="41" l="1"/>
  <c r="K996" i="41"/>
  <c r="G996" i="41"/>
  <c r="K995" i="41"/>
  <c r="G995" i="41"/>
  <c r="K993" i="41"/>
  <c r="G993" i="41"/>
  <c r="K992" i="41"/>
  <c r="G992" i="41"/>
  <c r="G1060" i="41"/>
  <c r="E1060" i="41"/>
  <c r="A1060" i="41"/>
  <c r="K1060" i="41" s="1"/>
  <c r="G1055" i="41"/>
  <c r="E1055" i="41"/>
  <c r="A1055" i="41"/>
  <c r="K1055" i="41" s="1"/>
  <c r="J1055" i="41" s="1"/>
  <c r="L1055" i="41" s="1"/>
  <c r="G1054" i="41"/>
  <c r="E1054" i="41"/>
  <c r="A1054" i="41"/>
  <c r="K1054" i="41" s="1"/>
  <c r="J1054" i="41" s="1"/>
  <c r="L1054" i="41" s="1"/>
  <c r="G1053" i="41"/>
  <c r="E1053" i="41"/>
  <c r="A1053" i="41"/>
  <c r="K1053" i="41" s="1"/>
  <c r="J1053" i="41" s="1"/>
  <c r="L1053" i="41" s="1"/>
  <c r="G1057" i="41"/>
  <c r="A1057" i="41"/>
  <c r="K1057" i="41" s="1"/>
  <c r="L1057" i="41" s="1"/>
  <c r="G1056" i="41"/>
  <c r="E1056" i="41"/>
  <c r="A1056" i="41"/>
  <c r="K1056" i="41" s="1"/>
  <c r="J1056" i="41" s="1"/>
  <c r="L1056" i="41" s="1"/>
  <c r="G1135" i="41"/>
  <c r="A1135" i="41"/>
  <c r="K1135" i="41" s="1"/>
  <c r="G1134" i="41"/>
  <c r="A1134" i="41"/>
  <c r="K1134" i="41" s="1"/>
  <c r="L1134" i="41" s="1"/>
  <c r="A1136" i="41"/>
  <c r="K1136" i="41" s="1"/>
  <c r="L1136" i="41" s="1"/>
  <c r="A1138" i="41"/>
  <c r="K1138" i="41" s="1"/>
  <c r="L1138" i="41" s="1"/>
  <c r="A1137" i="41"/>
  <c r="K1137" i="41" s="1"/>
  <c r="L1137" i="41" s="1"/>
  <c r="A1139" i="41"/>
  <c r="K1139" i="41" s="1"/>
  <c r="L1139" i="41" s="1"/>
  <c r="G1148" i="41"/>
  <c r="A1148" i="41"/>
  <c r="K1148" i="41" s="1"/>
  <c r="J1148" i="41" s="1"/>
  <c r="L1148" i="41" s="1"/>
  <c r="H1141" i="41"/>
  <c r="G1142" i="41"/>
  <c r="A1142" i="41"/>
  <c r="K1142" i="41" s="1"/>
  <c r="L1142" i="41" s="1"/>
  <c r="J993" i="41" l="1"/>
  <c r="L993" i="41" s="1"/>
  <c r="J995" i="41"/>
  <c r="L995" i="41" s="1"/>
  <c r="J996" i="41"/>
  <c r="L996" i="41" s="1"/>
  <c r="J992" i="41"/>
  <c r="L992" i="41" s="1"/>
  <c r="J1135" i="41"/>
  <c r="L1135" i="41" s="1"/>
  <c r="L1060" i="41"/>
  <c r="H410" i="41"/>
  <c r="G408" i="41"/>
  <c r="E408" i="41"/>
  <c r="A408" i="41"/>
  <c r="K408" i="41" s="1"/>
  <c r="J408" i="41" s="1"/>
  <c r="U407" i="41"/>
  <c r="V407" i="41" s="1"/>
  <c r="G407" i="41"/>
  <c r="E407" i="41"/>
  <c r="A407" i="41"/>
  <c r="K407" i="41" s="1"/>
  <c r="G412" i="41"/>
  <c r="E412" i="41"/>
  <c r="A412" i="41"/>
  <c r="K412" i="41" s="1"/>
  <c r="J412" i="41" s="1"/>
  <c r="G411" i="41"/>
  <c r="E411" i="41"/>
  <c r="A411" i="41"/>
  <c r="K411" i="41" s="1"/>
  <c r="J411" i="41" s="1"/>
  <c r="U410" i="41"/>
  <c r="V410" i="41" s="1"/>
  <c r="G410" i="41"/>
  <c r="E410" i="41"/>
  <c r="A410" i="41"/>
  <c r="K410" i="41" s="1"/>
  <c r="J410" i="41" s="1"/>
  <c r="U406" i="41"/>
  <c r="V406" i="41" s="1"/>
  <c r="G406" i="41"/>
  <c r="E406" i="41"/>
  <c r="A406" i="41"/>
  <c r="K406" i="41" s="1"/>
  <c r="J406" i="41" s="1"/>
  <c r="U405" i="41"/>
  <c r="V405" i="41" s="1"/>
  <c r="G405" i="41"/>
  <c r="E405" i="41"/>
  <c r="A405" i="41"/>
  <c r="K405" i="41" s="1"/>
  <c r="J405" i="41" s="1"/>
  <c r="L405" i="41" s="1"/>
  <c r="A404" i="41"/>
  <c r="A370" i="41"/>
  <c r="K370" i="41" s="1"/>
  <c r="J370" i="41" s="1"/>
  <c r="L370" i="41" s="1"/>
  <c r="E370" i="41"/>
  <c r="G370" i="41"/>
  <c r="U370" i="41"/>
  <c r="V370" i="41" s="1"/>
  <c r="A371" i="41"/>
  <c r="K371" i="41" s="1"/>
  <c r="J371" i="41" s="1"/>
  <c r="L371" i="41" s="1"/>
  <c r="E371" i="41"/>
  <c r="G371" i="41"/>
  <c r="U371" i="41"/>
  <c r="V371" i="41" s="1"/>
  <c r="G391" i="41"/>
  <c r="E391" i="41"/>
  <c r="A391" i="41"/>
  <c r="K391" i="41" s="1"/>
  <c r="J391" i="41" s="1"/>
  <c r="L391" i="41" s="1"/>
  <c r="I408" i="41" l="1"/>
  <c r="L408" i="41" s="1"/>
  <c r="L411" i="41"/>
  <c r="L412" i="41"/>
  <c r="L407" i="41"/>
  <c r="L406" i="41"/>
  <c r="L410" i="41"/>
  <c r="K316" i="41"/>
  <c r="J316" i="41" s="1"/>
  <c r="G316" i="41"/>
  <c r="E316" i="41"/>
  <c r="K315" i="41"/>
  <c r="J315" i="41" s="1"/>
  <c r="G315" i="41"/>
  <c r="E315" i="41"/>
  <c r="K314" i="41"/>
  <c r="J314" i="41" s="1"/>
  <c r="G314" i="41"/>
  <c r="E314" i="41"/>
  <c r="K313" i="41"/>
  <c r="J313" i="41" s="1"/>
  <c r="L313" i="41" s="1"/>
  <c r="G313" i="41"/>
  <c r="E313" i="41"/>
  <c r="R311" i="41"/>
  <c r="O311" i="41"/>
  <c r="A311" i="41"/>
  <c r="K311" i="41" s="1"/>
  <c r="G256" i="41"/>
  <c r="E256" i="41"/>
  <c r="A256" i="41"/>
  <c r="K256" i="41" s="1"/>
  <c r="J256" i="41" s="1"/>
  <c r="R254" i="41"/>
  <c r="A254" i="41"/>
  <c r="G230" i="41"/>
  <c r="E230" i="41"/>
  <c r="A230" i="41"/>
  <c r="K230" i="41" s="1"/>
  <c r="J230" i="41" s="1"/>
  <c r="I157" i="41"/>
  <c r="L315" i="41" l="1"/>
  <c r="L404" i="41"/>
  <c r="J404" i="41" s="1"/>
  <c r="L316" i="41"/>
  <c r="R256" i="41"/>
  <c r="R230" i="41"/>
  <c r="L230" i="41"/>
  <c r="O230" i="41"/>
  <c r="E77" i="41" l="1"/>
  <c r="G76" i="41" l="1"/>
  <c r="E76" i="41"/>
  <c r="A76" i="41"/>
  <c r="K76" i="41" s="1"/>
  <c r="O76" i="41" s="1"/>
  <c r="H1157" i="41"/>
  <c r="G1108" i="41"/>
  <c r="E1108" i="41"/>
  <c r="A1108" i="41"/>
  <c r="K1108" i="41" s="1"/>
  <c r="J1108" i="41" s="1"/>
  <c r="G1106" i="41"/>
  <c r="E1106" i="41"/>
  <c r="A1106" i="41"/>
  <c r="I1113" i="41"/>
  <c r="G1112" i="41"/>
  <c r="E1112" i="41"/>
  <c r="A1112" i="41"/>
  <c r="K1112" i="41" s="1"/>
  <c r="J1112" i="41" s="1"/>
  <c r="G1113" i="41"/>
  <c r="E1113" i="41"/>
  <c r="A1113" i="41"/>
  <c r="K1113" i="41" s="1"/>
  <c r="J1113" i="41" s="1"/>
  <c r="K910" i="41"/>
  <c r="L910" i="41" s="1"/>
  <c r="G910" i="41"/>
  <c r="K1106" i="41" l="1"/>
  <c r="J1106" i="41" s="1"/>
  <c r="R1106" i="41" s="1"/>
  <c r="O1108" i="41"/>
  <c r="I1114" i="41"/>
  <c r="O1112" i="41"/>
  <c r="J76" i="41"/>
  <c r="R1108" i="41"/>
  <c r="R1112" i="41"/>
  <c r="R1113" i="41"/>
  <c r="L1113" i="41"/>
  <c r="O1113" i="41"/>
  <c r="L1108" i="41" l="1"/>
  <c r="L1112" i="41"/>
  <c r="R76" i="41"/>
  <c r="L76" i="41"/>
  <c r="I545" i="41" l="1"/>
  <c r="I546" i="41" s="1"/>
  <c r="I544" i="41"/>
  <c r="G543" i="41" l="1"/>
  <c r="E543" i="41"/>
  <c r="A543" i="41"/>
  <c r="K543" i="41" s="1"/>
  <c r="J543" i="41" s="1"/>
  <c r="G546" i="41"/>
  <c r="E546" i="41"/>
  <c r="A546" i="41"/>
  <c r="K546" i="41" s="1"/>
  <c r="J546" i="41" s="1"/>
  <c r="G545" i="41"/>
  <c r="E545" i="41"/>
  <c r="A545" i="41"/>
  <c r="K545" i="41" s="1"/>
  <c r="J545" i="41" s="1"/>
  <c r="I551" i="41" l="1"/>
  <c r="I552" i="41" s="1"/>
  <c r="I550" i="41"/>
  <c r="O545" i="41"/>
  <c r="O546" i="41"/>
  <c r="O543" i="41"/>
  <c r="R543" i="41"/>
  <c r="L543" i="41"/>
  <c r="L545" i="41"/>
  <c r="R545" i="41"/>
  <c r="R546" i="41"/>
  <c r="L546" i="41"/>
  <c r="K382" i="41"/>
  <c r="J382" i="41" s="1"/>
  <c r="G382" i="41"/>
  <c r="E382" i="41"/>
  <c r="G381" i="41"/>
  <c r="E381" i="41"/>
  <c r="A381" i="41"/>
  <c r="K381" i="41" s="1"/>
  <c r="J381" i="41" s="1"/>
  <c r="K472" i="41"/>
  <c r="J472" i="41" s="1"/>
  <c r="G472" i="41"/>
  <c r="E472" i="41"/>
  <c r="G471" i="41"/>
  <c r="E471" i="41"/>
  <c r="A471" i="41"/>
  <c r="K471" i="41" s="1"/>
  <c r="J471" i="41" s="1"/>
  <c r="K510" i="41"/>
  <c r="J510" i="41" s="1"/>
  <c r="L510" i="41" s="1"/>
  <c r="G510" i="41"/>
  <c r="E510" i="41"/>
  <c r="I758" i="41" l="1"/>
  <c r="G758" i="41"/>
  <c r="E758" i="41"/>
  <c r="A758" i="41"/>
  <c r="K758" i="41" s="1"/>
  <c r="J758" i="41" s="1"/>
  <c r="I768" i="41"/>
  <c r="H687" i="41"/>
  <c r="L758" i="41" l="1"/>
  <c r="G519" i="41" l="1"/>
  <c r="E519" i="41"/>
  <c r="A519" i="41"/>
  <c r="K519" i="41" s="1"/>
  <c r="J519" i="41" s="1"/>
  <c r="G392" i="41"/>
  <c r="E392" i="41"/>
  <c r="A392" i="41"/>
  <c r="K392" i="41" s="1"/>
  <c r="J392" i="41" s="1"/>
  <c r="L392" i="41" s="1"/>
  <c r="G390" i="41"/>
  <c r="E390" i="41"/>
  <c r="A390" i="41"/>
  <c r="K390" i="41" s="1"/>
  <c r="J390" i="41" s="1"/>
  <c r="L390" i="41" l="1"/>
  <c r="G387" i="41"/>
  <c r="E387" i="41"/>
  <c r="A387" i="41"/>
  <c r="K387" i="41" s="1"/>
  <c r="J387" i="41" s="1"/>
  <c r="G380" i="41"/>
  <c r="E380" i="41"/>
  <c r="A380" i="41"/>
  <c r="K380" i="41" s="1"/>
  <c r="J380" i="41" s="1"/>
  <c r="G465" i="41"/>
  <c r="E465" i="41"/>
  <c r="A465" i="41"/>
  <c r="K465" i="41" s="1"/>
  <c r="J465" i="41" s="1"/>
  <c r="G374" i="41"/>
  <c r="E374" i="41"/>
  <c r="A374" i="41"/>
  <c r="K374" i="41" s="1"/>
  <c r="J374" i="41" s="1"/>
  <c r="L374" i="41" s="1"/>
  <c r="L381" i="41" l="1"/>
  <c r="L314" i="41"/>
  <c r="R519" i="41"/>
  <c r="L387" i="41"/>
  <c r="L312" i="41" l="1"/>
  <c r="J312" i="41" s="1"/>
  <c r="G470" i="41" l="1"/>
  <c r="E470" i="41"/>
  <c r="A470" i="41"/>
  <c r="K470" i="41" s="1"/>
  <c r="J470" i="41" s="1"/>
  <c r="G379" i="41" l="1"/>
  <c r="E379" i="41"/>
  <c r="A379" i="41"/>
  <c r="K379" i="41" s="1"/>
  <c r="J379" i="41" s="1"/>
  <c r="G378" i="41"/>
  <c r="E378" i="41"/>
  <c r="A378" i="41"/>
  <c r="K378" i="41" s="1"/>
  <c r="J378" i="41" s="1"/>
  <c r="G377" i="41"/>
  <c r="E377" i="41"/>
  <c r="A377" i="41"/>
  <c r="K377" i="41" s="1"/>
  <c r="J377" i="41" s="1"/>
  <c r="G373" i="41"/>
  <c r="E373" i="41"/>
  <c r="A373" i="41"/>
  <c r="K373" i="41" s="1"/>
  <c r="J373" i="41" s="1"/>
  <c r="G372" i="41"/>
  <c r="E372" i="41"/>
  <c r="A372" i="41"/>
  <c r="K372" i="41" s="1"/>
  <c r="J372" i="41" s="1"/>
  <c r="A368" i="41"/>
  <c r="U461" i="41"/>
  <c r="V461" i="41" s="1"/>
  <c r="G461" i="41"/>
  <c r="E461" i="41"/>
  <c r="A461" i="41"/>
  <c r="K461" i="41" s="1"/>
  <c r="J461" i="41" s="1"/>
  <c r="U462" i="41"/>
  <c r="V462" i="41" s="1"/>
  <c r="G462" i="41"/>
  <c r="E462" i="41"/>
  <c r="A462" i="41"/>
  <c r="K462" i="41" s="1"/>
  <c r="J462" i="41" s="1"/>
  <c r="H323" i="41" l="1"/>
  <c r="L372" i="41"/>
  <c r="L471" i="41"/>
  <c r="L461" i="41"/>
  <c r="L373" i="41"/>
  <c r="L462" i="41"/>
  <c r="I382" i="41" l="1"/>
  <c r="I472" i="41"/>
  <c r="I260" i="41"/>
  <c r="H380" i="41"/>
  <c r="L380" i="41" s="1"/>
  <c r="L472" i="41" l="1"/>
  <c r="L382" i="41"/>
  <c r="L18" i="41" l="1"/>
  <c r="G18" i="41"/>
  <c r="E18" i="41"/>
  <c r="A18" i="41"/>
  <c r="K18" i="41" s="1"/>
  <c r="G557" i="41"/>
  <c r="E557" i="41"/>
  <c r="A557" i="41"/>
  <c r="K557" i="41" s="1"/>
  <c r="O1088" i="41" l="1"/>
  <c r="L1088" i="41"/>
  <c r="R18" i="41"/>
  <c r="O18" i="41"/>
  <c r="J557" i="41"/>
  <c r="O1083" i="41" l="1"/>
  <c r="L1083" i="41"/>
  <c r="R557" i="41"/>
  <c r="G233" i="41" l="1"/>
  <c r="E233" i="41"/>
  <c r="A233" i="41"/>
  <c r="K233" i="41" s="1"/>
  <c r="J233" i="41" s="1"/>
  <c r="L233" i="41" s="1"/>
  <c r="G234" i="41"/>
  <c r="E234" i="41"/>
  <c r="A234" i="41"/>
  <c r="K234" i="41" s="1"/>
  <c r="J234" i="41" s="1"/>
  <c r="L234" i="41" s="1"/>
  <c r="R232" i="41"/>
  <c r="O232" i="41"/>
  <c r="A232" i="41"/>
  <c r="K232" i="41" s="1"/>
  <c r="L232" i="41" l="1"/>
  <c r="R233" i="41"/>
  <c r="O233" i="41"/>
  <c r="R234" i="41"/>
  <c r="O234" i="41"/>
  <c r="K567" i="41" l="1"/>
  <c r="L567" i="41" s="1"/>
  <c r="G567" i="41"/>
  <c r="G212" i="41"/>
  <c r="E212" i="41"/>
  <c r="A212" i="41"/>
  <c r="K212" i="41" s="1"/>
  <c r="I166" i="41"/>
  <c r="O212" i="41" l="1"/>
  <c r="J212" i="41"/>
  <c r="R212" i="41" l="1"/>
  <c r="L212" i="41"/>
  <c r="L17" i="41" l="1"/>
  <c r="G17" i="41"/>
  <c r="E17" i="41"/>
  <c r="A17" i="41"/>
  <c r="K17" i="41" s="1"/>
  <c r="R17" i="41" s="1"/>
  <c r="O17" i="41" l="1"/>
  <c r="G210" i="41"/>
  <c r="E210" i="41"/>
  <c r="A210" i="41"/>
  <c r="K210" i="41" s="1"/>
  <c r="O210" i="41" s="1"/>
  <c r="J210" i="41" l="1"/>
  <c r="R210" i="41" l="1"/>
  <c r="L210" i="41"/>
  <c r="A974" i="41" l="1"/>
  <c r="K974" i="41" s="1"/>
  <c r="G818" i="41"/>
  <c r="E818" i="41"/>
  <c r="A818" i="41"/>
  <c r="K818" i="41" s="1"/>
  <c r="J818" i="41" s="1"/>
  <c r="L974" i="41" l="1"/>
  <c r="O818" i="41"/>
  <c r="R818" i="41" l="1"/>
  <c r="L818" i="41"/>
  <c r="H277" i="41" l="1"/>
  <c r="G796" i="41"/>
  <c r="E796" i="41"/>
  <c r="A796" i="41"/>
  <c r="K796" i="41" s="1"/>
  <c r="J796" i="41" s="1"/>
  <c r="R797" i="41"/>
  <c r="A797" i="41"/>
  <c r="K797" i="41" s="1"/>
  <c r="O797" i="41" s="1"/>
  <c r="R796" i="41" l="1"/>
  <c r="L796" i="41"/>
  <c r="O796" i="41"/>
  <c r="G247" i="41" l="1"/>
  <c r="E247" i="41"/>
  <c r="A247" i="41"/>
  <c r="K247" i="41" s="1"/>
  <c r="J247" i="41" s="1"/>
  <c r="R246" i="41"/>
  <c r="O246" i="41"/>
  <c r="A246" i="41"/>
  <c r="R247" i="41" l="1"/>
  <c r="L247" i="41"/>
  <c r="O247" i="41"/>
  <c r="L246" i="41" l="1"/>
  <c r="G789" i="41" l="1"/>
  <c r="E789" i="41"/>
  <c r="A789" i="41"/>
  <c r="K789" i="41" s="1"/>
  <c r="K856" i="41"/>
  <c r="J856" i="41" s="1"/>
  <c r="G856" i="41"/>
  <c r="E856" i="41"/>
  <c r="G689" i="41"/>
  <c r="E689" i="41"/>
  <c r="A689" i="41"/>
  <c r="K689" i="41" s="1"/>
  <c r="J689" i="41" s="1"/>
  <c r="O789" i="41" l="1"/>
  <c r="L856" i="41"/>
  <c r="L689" i="41"/>
  <c r="K855" i="41"/>
  <c r="J855" i="41" s="1"/>
  <c r="G855" i="41"/>
  <c r="E855" i="41"/>
  <c r="K858" i="41"/>
  <c r="J858" i="41" s="1"/>
  <c r="G858" i="41"/>
  <c r="E858" i="41"/>
  <c r="K857" i="41"/>
  <c r="J857" i="41" s="1"/>
  <c r="G857" i="41"/>
  <c r="E857" i="41"/>
  <c r="K821" i="41"/>
  <c r="J821" i="41" s="1"/>
  <c r="G821" i="41"/>
  <c r="E821" i="41"/>
  <c r="K822" i="41"/>
  <c r="J822" i="41" s="1"/>
  <c r="G822" i="41"/>
  <c r="E822" i="41"/>
  <c r="H843" i="41"/>
  <c r="I855" i="41" l="1"/>
  <c r="L855" i="41" s="1"/>
  <c r="R789" i="41"/>
  <c r="L789" i="41"/>
  <c r="I857" i="41"/>
  <c r="L857" i="41" s="1"/>
  <c r="I858" i="41"/>
  <c r="L858" i="41" s="1"/>
  <c r="I854" i="41"/>
  <c r="C6" i="29" l="1"/>
  <c r="C7" i="29"/>
  <c r="C8" i="29"/>
  <c r="C5" i="29"/>
  <c r="I790" i="41" l="1"/>
  <c r="I553" i="41"/>
  <c r="I557" i="41"/>
  <c r="O557" i="41" l="1"/>
  <c r="L557" i="41"/>
  <c r="G553" i="41" l="1"/>
  <c r="E553" i="41"/>
  <c r="A553" i="41"/>
  <c r="K553" i="41" s="1"/>
  <c r="G552" i="41"/>
  <c r="E552" i="41"/>
  <c r="A552" i="41"/>
  <c r="K552" i="41" s="1"/>
  <c r="J552" i="41" s="1"/>
  <c r="G551" i="41"/>
  <c r="E551" i="41"/>
  <c r="A551" i="41"/>
  <c r="K551" i="41" s="1"/>
  <c r="J551" i="41" s="1"/>
  <c r="G550" i="41"/>
  <c r="E550" i="41"/>
  <c r="A550" i="41"/>
  <c r="K550" i="41" s="1"/>
  <c r="G549" i="41"/>
  <c r="E549" i="41"/>
  <c r="A549" i="41"/>
  <c r="K549" i="41" s="1"/>
  <c r="J549" i="41" s="1"/>
  <c r="G547" i="41"/>
  <c r="E547" i="41"/>
  <c r="A547" i="41"/>
  <c r="K547" i="41" s="1"/>
  <c r="J547" i="41" s="1"/>
  <c r="G544" i="41"/>
  <c r="E544" i="41"/>
  <c r="A544" i="41"/>
  <c r="K544" i="41" s="1"/>
  <c r="J544" i="41" s="1"/>
  <c r="I33" i="33"/>
  <c r="I30" i="33"/>
  <c r="I27" i="33"/>
  <c r="I24" i="33"/>
  <c r="I17" i="33"/>
  <c r="I16" i="33"/>
  <c r="O553" i="41" l="1"/>
  <c r="R552" i="41"/>
  <c r="R551" i="41"/>
  <c r="L551" i="41"/>
  <c r="O551" i="41"/>
  <c r="R549" i="41"/>
  <c r="O550" i="41"/>
  <c r="J550" i="41"/>
  <c r="O547" i="41"/>
  <c r="L547" i="41"/>
  <c r="R547" i="41"/>
  <c r="R544" i="41"/>
  <c r="O544" i="41"/>
  <c r="R553" i="41" l="1"/>
  <c r="L553" i="41"/>
  <c r="L544" i="41"/>
  <c r="R550" i="41"/>
  <c r="L550" i="41"/>
  <c r="G249" i="41"/>
  <c r="E249" i="41"/>
  <c r="A249" i="41"/>
  <c r="K249" i="41" s="1"/>
  <c r="J249" i="41" s="1"/>
  <c r="R248" i="41"/>
  <c r="O248" i="41"/>
  <c r="A248" i="41"/>
  <c r="R249" i="41" l="1"/>
  <c r="L249" i="41"/>
  <c r="O249" i="41"/>
  <c r="L248" i="41" l="1"/>
  <c r="H92" i="41"/>
  <c r="G444" i="41" l="1"/>
  <c r="E444" i="41"/>
  <c r="A444" i="41"/>
  <c r="K444" i="41" s="1"/>
  <c r="J444" i="41" s="1"/>
  <c r="L444" i="41" l="1"/>
  <c r="D12" i="33" l="1"/>
  <c r="I12" i="33" s="1"/>
  <c r="D11" i="33"/>
  <c r="I11" i="33" s="1"/>
  <c r="D20" i="33"/>
  <c r="I20" i="33" s="1"/>
  <c r="D15" i="33"/>
  <c r="D21" i="33"/>
  <c r="D23" i="33"/>
  <c r="D32" i="33"/>
  <c r="D29" i="33"/>
  <c r="D26" i="33"/>
  <c r="D19" i="33" l="1"/>
  <c r="I21" i="33"/>
  <c r="D13" i="33"/>
  <c r="I13" i="33" s="1"/>
  <c r="I15" i="33"/>
  <c r="D10" i="33" l="1"/>
  <c r="D8" i="33" s="1"/>
  <c r="G229" i="41"/>
  <c r="E229" i="41"/>
  <c r="A229" i="41"/>
  <c r="K229" i="41" s="1"/>
  <c r="J229" i="41" s="1"/>
  <c r="E15" i="41"/>
  <c r="R229" i="41" l="1"/>
  <c r="I56" i="41"/>
  <c r="G56" i="41"/>
  <c r="E56" i="41"/>
  <c r="A56" i="41"/>
  <c r="K56" i="41" s="1"/>
  <c r="J56" i="41" s="1"/>
  <c r="G15" i="41"/>
  <c r="A15" i="41"/>
  <c r="K15" i="41" s="1"/>
  <c r="O15" i="41" s="1"/>
  <c r="L56" i="41" l="1"/>
  <c r="R15" i="41" l="1"/>
  <c r="L15" i="41"/>
  <c r="G1002" i="41" l="1"/>
  <c r="E1002" i="41"/>
  <c r="A1002" i="41"/>
  <c r="K1002" i="41" s="1"/>
  <c r="J1002" i="41" s="1"/>
  <c r="G849" i="41"/>
  <c r="A849" i="41"/>
  <c r="K849" i="41" s="1"/>
  <c r="G844" i="41"/>
  <c r="A844" i="41"/>
  <c r="K844" i="41" s="1"/>
  <c r="G813" i="41"/>
  <c r="A813" i="41"/>
  <c r="K813" i="41" s="1"/>
  <c r="I821" i="41" l="1"/>
  <c r="L821" i="41" s="1"/>
  <c r="I822" i="41"/>
  <c r="L822" i="41" s="1"/>
  <c r="L1002" i="41"/>
  <c r="O849" i="41"/>
  <c r="O844" i="41"/>
  <c r="R849" i="41"/>
  <c r="L849" i="41"/>
  <c r="O813" i="41"/>
  <c r="L844" i="41"/>
  <c r="R844" i="41"/>
  <c r="R813" i="41"/>
  <c r="L813" i="41"/>
  <c r="O549" i="41" l="1"/>
  <c r="I860" i="41"/>
  <c r="I23" i="33"/>
  <c r="I26" i="33"/>
  <c r="I29" i="33"/>
  <c r="H493" i="41" l="1"/>
  <c r="L549" i="41"/>
  <c r="O552" i="41"/>
  <c r="L552" i="41"/>
  <c r="I3" i="41"/>
  <c r="H254" i="41" l="1"/>
  <c r="I256" i="41" s="1"/>
  <c r="L256" i="41" s="1"/>
  <c r="L254" i="41" s="1"/>
  <c r="H287" i="41"/>
  <c r="I288" i="41" s="1"/>
  <c r="I275" i="41"/>
  <c r="H283" i="41"/>
  <c r="L542" i="41"/>
  <c r="J542" i="41" s="1"/>
  <c r="I273" i="41"/>
  <c r="I274" i="41"/>
  <c r="I293" i="41"/>
  <c r="I294" i="41"/>
  <c r="I296" i="41"/>
  <c r="K1128" i="41"/>
  <c r="G1128" i="41"/>
  <c r="E1128" i="41"/>
  <c r="O256" i="41" l="1"/>
  <c r="O229" i="41"/>
  <c r="L229" i="41"/>
  <c r="G1209" i="41"/>
  <c r="E1209" i="41"/>
  <c r="G1208" i="41"/>
  <c r="E1208" i="41"/>
  <c r="G1204" i="41"/>
  <c r="C44" i="42"/>
  <c r="C44" i="29" s="1"/>
  <c r="C43" i="29"/>
  <c r="G1233" i="41"/>
  <c r="E1233" i="41"/>
  <c r="A1233" i="41"/>
  <c r="K1233" i="41" s="1"/>
  <c r="G1232" i="41"/>
  <c r="E1232" i="41"/>
  <c r="A1232" i="41"/>
  <c r="K1232" i="41" s="1"/>
  <c r="G1231" i="41"/>
  <c r="E1231" i="41"/>
  <c r="A1231" i="41"/>
  <c r="K1231" i="41" s="1"/>
  <c r="G1230" i="41"/>
  <c r="E1230" i="41"/>
  <c r="A1230" i="41"/>
  <c r="K1230" i="41" s="1"/>
  <c r="G1229" i="41"/>
  <c r="E1229" i="41"/>
  <c r="A1229" i="41"/>
  <c r="K1229" i="41" s="1"/>
  <c r="A1224" i="41"/>
  <c r="K1224" i="41" s="1"/>
  <c r="A1223" i="41"/>
  <c r="K1223" i="41" s="1"/>
  <c r="G1220" i="41"/>
  <c r="E1220" i="41"/>
  <c r="A1220" i="41"/>
  <c r="K1220" i="41" s="1"/>
  <c r="I1219" i="41"/>
  <c r="O1219" i="41" s="1"/>
  <c r="G1219" i="41"/>
  <c r="E1219" i="41"/>
  <c r="A1219" i="41"/>
  <c r="K1219" i="41" s="1"/>
  <c r="J1219" i="41" s="1"/>
  <c r="G1218" i="41"/>
  <c r="E1218" i="41"/>
  <c r="A1218" i="41"/>
  <c r="K1218" i="41" s="1"/>
  <c r="G1217" i="41"/>
  <c r="E1217" i="41"/>
  <c r="A1217" i="41"/>
  <c r="K1217" i="41" s="1"/>
  <c r="A1216" i="41"/>
  <c r="K1216" i="41" s="1"/>
  <c r="A1215" i="41"/>
  <c r="K1215" i="41" s="1"/>
  <c r="A1212" i="41"/>
  <c r="K1212" i="41" s="1"/>
  <c r="A1209" i="41"/>
  <c r="K1209" i="41" s="1"/>
  <c r="J1209" i="41" s="1"/>
  <c r="A1208" i="41"/>
  <c r="K1208" i="41" s="1"/>
  <c r="J1208" i="41" s="1"/>
  <c r="A1207" i="41"/>
  <c r="K1207" i="41" s="1"/>
  <c r="R1206" i="41"/>
  <c r="O1206" i="41"/>
  <c r="A1206" i="41"/>
  <c r="K1206" i="41" s="1"/>
  <c r="R1205" i="41"/>
  <c r="O1205" i="41"/>
  <c r="A1205" i="41"/>
  <c r="O1218" i="41" l="1"/>
  <c r="J1218" i="41"/>
  <c r="O1230" i="41"/>
  <c r="J1230" i="41"/>
  <c r="O1208" i="41"/>
  <c r="O1220" i="41"/>
  <c r="J1220" i="41"/>
  <c r="O1229" i="41"/>
  <c r="J1229" i="41"/>
  <c r="O1233" i="41"/>
  <c r="J1233" i="41"/>
  <c r="O1217" i="41"/>
  <c r="J1217" i="41"/>
  <c r="O1212" i="41"/>
  <c r="O1224" i="41"/>
  <c r="O1232" i="41"/>
  <c r="J1232" i="41"/>
  <c r="R1208" i="41"/>
  <c r="L1208" i="41"/>
  <c r="O1209" i="41"/>
  <c r="O1216" i="41"/>
  <c r="L1219" i="41"/>
  <c r="R1219" i="41"/>
  <c r="O1231" i="41"/>
  <c r="J1231" i="41"/>
  <c r="L1230" i="41" l="1"/>
  <c r="R1230" i="41"/>
  <c r="L1216" i="41"/>
  <c r="R1216" i="41"/>
  <c r="L1224" i="41"/>
  <c r="L1223" i="41" s="1"/>
  <c r="R1224" i="41"/>
  <c r="L1217" i="41"/>
  <c r="R1217" i="41"/>
  <c r="R1229" i="41"/>
  <c r="L1229" i="41"/>
  <c r="L1231" i="41"/>
  <c r="R1231" i="41"/>
  <c r="L1218" i="41"/>
  <c r="R1218" i="41"/>
  <c r="L1209" i="41"/>
  <c r="R1209" i="41"/>
  <c r="L1232" i="41"/>
  <c r="R1232" i="41"/>
  <c r="L1212" i="41"/>
  <c r="R1212" i="41"/>
  <c r="R1233" i="41"/>
  <c r="L1233" i="41"/>
  <c r="R1220" i="41"/>
  <c r="L1220" i="41"/>
  <c r="L1227" i="41" l="1"/>
  <c r="L1215" i="41"/>
  <c r="L1207" i="41"/>
  <c r="G896" i="41" l="1"/>
  <c r="A896" i="41"/>
  <c r="K896" i="41" s="1"/>
  <c r="A895" i="41"/>
  <c r="K895" i="41" s="1"/>
  <c r="O895" i="41" s="1"/>
  <c r="C13" i="42"/>
  <c r="C13" i="29" s="1"/>
  <c r="G894" i="41"/>
  <c r="E894" i="41"/>
  <c r="A894" i="41"/>
  <c r="K894" i="41" s="1"/>
  <c r="J894" i="41" s="1"/>
  <c r="G893" i="41"/>
  <c r="E893" i="41"/>
  <c r="A893" i="41"/>
  <c r="K893" i="41" s="1"/>
  <c r="J893" i="41" s="1"/>
  <c r="A892" i="41"/>
  <c r="K892" i="41" s="1"/>
  <c r="L1128" i="41"/>
  <c r="G1127" i="41"/>
  <c r="A1127" i="41"/>
  <c r="G942" i="41"/>
  <c r="E942" i="41"/>
  <c r="A942" i="41"/>
  <c r="K942" i="41" s="1"/>
  <c r="J942" i="41" s="1"/>
  <c r="G105" i="41"/>
  <c r="E105" i="41"/>
  <c r="A105" i="41"/>
  <c r="K105" i="41" s="1"/>
  <c r="L105" i="41" s="1"/>
  <c r="G941" i="41"/>
  <c r="E941" i="41"/>
  <c r="A941" i="41"/>
  <c r="K941" i="41" s="1"/>
  <c r="J941" i="41" s="1"/>
  <c r="G940" i="41"/>
  <c r="E940" i="41"/>
  <c r="A940" i="41"/>
  <c r="K940" i="41" s="1"/>
  <c r="J940" i="41" s="1"/>
  <c r="L940" i="41" s="1"/>
  <c r="A943" i="41"/>
  <c r="K943" i="41" s="1"/>
  <c r="J943" i="41" s="1"/>
  <c r="E943" i="41"/>
  <c r="G943" i="41"/>
  <c r="G1160" i="41"/>
  <c r="G1062" i="41"/>
  <c r="E1062" i="41"/>
  <c r="A1062" i="41"/>
  <c r="K1062" i="41" s="1"/>
  <c r="J1062" i="41" s="1"/>
  <c r="I838" i="41"/>
  <c r="G766" i="41"/>
  <c r="E766" i="41"/>
  <c r="A766" i="41"/>
  <c r="K766" i="41" s="1"/>
  <c r="J766" i="41" s="1"/>
  <c r="G765" i="41"/>
  <c r="E765" i="41"/>
  <c r="A765" i="41"/>
  <c r="O764" i="41"/>
  <c r="A764" i="41"/>
  <c r="L1062" i="41" l="1"/>
  <c r="K765" i="41"/>
  <c r="J765" i="41" s="1"/>
  <c r="R896" i="41"/>
  <c r="L896" i="41"/>
  <c r="L895" i="41" s="1"/>
  <c r="O896" i="41"/>
  <c r="R893" i="41"/>
  <c r="L942" i="41"/>
  <c r="L941" i="41"/>
  <c r="L943" i="41"/>
  <c r="R766" i="41"/>
  <c r="K1127" i="41" l="1"/>
  <c r="J1127" i="41" s="1"/>
  <c r="I867" i="41"/>
  <c r="I862" i="41"/>
  <c r="O1127" i="41" l="1"/>
  <c r="G714" i="41"/>
  <c r="E714" i="41"/>
  <c r="A714" i="41"/>
  <c r="K714" i="41" s="1"/>
  <c r="J714" i="41" s="1"/>
  <c r="L714" i="41" l="1"/>
  <c r="R1127" i="41"/>
  <c r="L1127" i="41"/>
  <c r="A1195" i="41" l="1"/>
  <c r="K1195" i="41" s="1"/>
  <c r="R1195" i="41" s="1"/>
  <c r="E1195" i="41"/>
  <c r="G1195" i="41"/>
  <c r="O1195" i="41" l="1"/>
  <c r="L1195" i="41"/>
  <c r="G1191" i="41" l="1"/>
  <c r="A1191" i="41"/>
  <c r="K1191" i="41" s="1"/>
  <c r="R1191" i="41" s="1"/>
  <c r="G1190" i="41"/>
  <c r="A1190" i="41"/>
  <c r="K1190" i="41" s="1"/>
  <c r="R1190" i="41" s="1"/>
  <c r="G1192" i="41"/>
  <c r="A1192" i="41"/>
  <c r="K1192" i="41" s="1"/>
  <c r="R1192" i="41" s="1"/>
  <c r="G1193" i="41"/>
  <c r="A1193" i="41"/>
  <c r="K1193" i="41" s="1"/>
  <c r="R1193" i="41" s="1"/>
  <c r="G1187" i="41"/>
  <c r="A1187" i="41"/>
  <c r="K1187" i="41" s="1"/>
  <c r="R1187" i="41" s="1"/>
  <c r="G1184" i="41"/>
  <c r="A1184" i="41"/>
  <c r="K1184" i="41" s="1"/>
  <c r="R1184" i="41" s="1"/>
  <c r="G1183" i="41"/>
  <c r="A1183" i="41"/>
  <c r="K1183" i="41" s="1"/>
  <c r="R1183" i="41" s="1"/>
  <c r="O1183" i="41" l="1"/>
  <c r="O1184" i="41"/>
  <c r="O1193" i="41"/>
  <c r="O1192" i="41"/>
  <c r="O1190" i="41"/>
  <c r="O1191" i="41"/>
  <c r="L1191" i="41"/>
  <c r="L1190" i="41"/>
  <c r="L1192" i="41"/>
  <c r="L1193" i="41"/>
  <c r="O1187" i="41"/>
  <c r="L1187" i="41"/>
  <c r="L1183" i="41"/>
  <c r="L1184" i="41"/>
  <c r="I960" i="41" l="1"/>
  <c r="I959" i="41"/>
  <c r="I968" i="41"/>
  <c r="G956" i="41"/>
  <c r="E956" i="41"/>
  <c r="A956" i="41"/>
  <c r="K956" i="41" s="1"/>
  <c r="O955" i="41"/>
  <c r="A955" i="41"/>
  <c r="K955" i="41" s="1"/>
  <c r="G968" i="41"/>
  <c r="E968" i="41"/>
  <c r="A968" i="41"/>
  <c r="K968" i="41" s="1"/>
  <c r="G966" i="41"/>
  <c r="A966" i="41"/>
  <c r="K966" i="41" s="1"/>
  <c r="O965" i="41"/>
  <c r="A965" i="41"/>
  <c r="K965" i="41" s="1"/>
  <c r="G929" i="41"/>
  <c r="A929" i="41"/>
  <c r="K929" i="41" s="1"/>
  <c r="J929" i="41" s="1"/>
  <c r="L929" i="41" s="1"/>
  <c r="G928" i="41"/>
  <c r="A928" i="41"/>
  <c r="K928" i="41" s="1"/>
  <c r="J928" i="41" s="1"/>
  <c r="L928" i="41" s="1"/>
  <c r="A932" i="41"/>
  <c r="K932" i="41" s="1"/>
  <c r="L932" i="41" s="1"/>
  <c r="L968" i="41" l="1"/>
  <c r="L966" i="41"/>
  <c r="L965" i="41" l="1"/>
  <c r="J965" i="41" s="1"/>
  <c r="R965" i="41" s="1"/>
  <c r="I870" i="41" l="1"/>
  <c r="I774" i="41"/>
  <c r="G774" i="41"/>
  <c r="E774" i="41"/>
  <c r="A774" i="41"/>
  <c r="K774" i="41" s="1"/>
  <c r="I763" i="41"/>
  <c r="I762" i="41"/>
  <c r="I761" i="41"/>
  <c r="I770" i="41"/>
  <c r="G725" i="41"/>
  <c r="E725" i="41"/>
  <c r="A725" i="41"/>
  <c r="K725" i="41" s="1"/>
  <c r="J725" i="41" s="1"/>
  <c r="G722" i="41"/>
  <c r="E722" i="41"/>
  <c r="A722" i="41"/>
  <c r="K722" i="41" s="1"/>
  <c r="J722" i="41" s="1"/>
  <c r="G721" i="41"/>
  <c r="E721" i="41"/>
  <c r="A721" i="41"/>
  <c r="K721" i="41" s="1"/>
  <c r="G723" i="41"/>
  <c r="E723" i="41"/>
  <c r="A723" i="41"/>
  <c r="K723" i="41" s="1"/>
  <c r="J723" i="41" s="1"/>
  <c r="G720" i="41"/>
  <c r="E720" i="41"/>
  <c r="A720" i="41"/>
  <c r="K720" i="41" s="1"/>
  <c r="J720" i="41" s="1"/>
  <c r="G724" i="41"/>
  <c r="E724" i="41"/>
  <c r="A724" i="41"/>
  <c r="K724" i="41" s="1"/>
  <c r="J724" i="41" s="1"/>
  <c r="G719" i="41"/>
  <c r="E719" i="41"/>
  <c r="A719" i="41"/>
  <c r="K719" i="41" s="1"/>
  <c r="G726" i="41"/>
  <c r="E726" i="41"/>
  <c r="A726" i="41"/>
  <c r="K726" i="41" s="1"/>
  <c r="J726" i="41" s="1"/>
  <c r="R774" i="41" l="1"/>
  <c r="O719" i="41"/>
  <c r="O722" i="41"/>
  <c r="O720" i="41"/>
  <c r="O723" i="41"/>
  <c r="R725" i="41"/>
  <c r="L725" i="41"/>
  <c r="O725" i="41"/>
  <c r="R722" i="41"/>
  <c r="L722" i="41"/>
  <c r="O721" i="41"/>
  <c r="J721" i="41"/>
  <c r="R723" i="41"/>
  <c r="L723" i="41"/>
  <c r="L720" i="41"/>
  <c r="R720" i="41"/>
  <c r="R724" i="41"/>
  <c r="L724" i="41"/>
  <c r="L719" i="41"/>
  <c r="R719" i="41"/>
  <c r="O724" i="41"/>
  <c r="R726" i="41"/>
  <c r="L726" i="41"/>
  <c r="O726" i="41"/>
  <c r="L721" i="41" l="1"/>
  <c r="R721" i="41"/>
  <c r="G238" i="41" l="1"/>
  <c r="E238" i="41"/>
  <c r="A238" i="41"/>
  <c r="K238" i="41" s="1"/>
  <c r="R237" i="41"/>
  <c r="O237" i="41"/>
  <c r="A237" i="41"/>
  <c r="K237" i="41" s="1"/>
  <c r="G236" i="41"/>
  <c r="E236" i="41"/>
  <c r="A236" i="41"/>
  <c r="K236" i="41" s="1"/>
  <c r="R235" i="41"/>
  <c r="O235" i="41"/>
  <c r="A235" i="41"/>
  <c r="K235" i="41" s="1"/>
  <c r="O238" i="41" l="1"/>
  <c r="R238" i="41" l="1"/>
  <c r="L238" i="41"/>
  <c r="R236" i="41"/>
  <c r="L237" i="41" l="1"/>
  <c r="G153" i="41" l="1"/>
  <c r="E153" i="41"/>
  <c r="A153" i="41"/>
  <c r="K153" i="41" s="1"/>
  <c r="J153" i="41" s="1"/>
  <c r="I69" i="41"/>
  <c r="L153" i="41" l="1"/>
  <c r="I1241" i="41"/>
  <c r="H121" i="41"/>
  <c r="I123" i="41" s="1"/>
  <c r="G41" i="41"/>
  <c r="E41" i="41"/>
  <c r="A41" i="41"/>
  <c r="K41" i="41" s="1"/>
  <c r="R40" i="41"/>
  <c r="A40" i="41"/>
  <c r="K40" i="41" s="1"/>
  <c r="K14" i="41"/>
  <c r="G14" i="41"/>
  <c r="E14" i="41"/>
  <c r="I122" i="41" l="1"/>
  <c r="O41" i="41"/>
  <c r="R41" i="41"/>
  <c r="L41" i="41"/>
  <c r="L14" i="41"/>
  <c r="L40" i="41" l="1"/>
  <c r="G713" i="41" l="1"/>
  <c r="E713" i="41"/>
  <c r="A713" i="41"/>
  <c r="K713" i="41" s="1"/>
  <c r="J713" i="41" s="1"/>
  <c r="L713" i="41" l="1"/>
  <c r="G1000" i="41"/>
  <c r="E1000" i="41"/>
  <c r="A1000" i="41"/>
  <c r="K1000" i="41" s="1"/>
  <c r="J1000" i="41" s="1"/>
  <c r="K999" i="41"/>
  <c r="J999" i="41" s="1"/>
  <c r="L999" i="41" s="1"/>
  <c r="G999" i="41"/>
  <c r="E999" i="41"/>
  <c r="K997" i="41"/>
  <c r="J997" i="41" s="1"/>
  <c r="G997" i="41"/>
  <c r="A1007" i="41"/>
  <c r="K1007" i="41" s="1"/>
  <c r="J1007" i="41" s="1"/>
  <c r="L1000" i="41" l="1"/>
  <c r="L1007" i="41"/>
  <c r="L997" i="41" l="1"/>
  <c r="G288" i="41"/>
  <c r="E288" i="41"/>
  <c r="A288" i="41"/>
  <c r="K288" i="41" s="1"/>
  <c r="R287" i="41"/>
  <c r="A287" i="41"/>
  <c r="K287" i="41" s="1"/>
  <c r="G37" i="41"/>
  <c r="E37" i="41"/>
  <c r="A37" i="41"/>
  <c r="K37" i="41" s="1"/>
  <c r="R36" i="41"/>
  <c r="A36" i="41"/>
  <c r="K36" i="41" s="1"/>
  <c r="R288" i="41" l="1"/>
  <c r="L288" i="41"/>
  <c r="O288" i="41"/>
  <c r="O37" i="41"/>
  <c r="L287" i="41" l="1"/>
  <c r="R37" i="41"/>
  <c r="L37" i="41"/>
  <c r="L36" i="41" s="1"/>
  <c r="G809" i="41" l="1"/>
  <c r="A809" i="41"/>
  <c r="K809" i="41" s="1"/>
  <c r="A808" i="41"/>
  <c r="K808" i="41" s="1"/>
  <c r="O808" i="41" s="1"/>
  <c r="I807" i="41"/>
  <c r="G807" i="41"/>
  <c r="A807" i="41"/>
  <c r="K807" i="41" s="1"/>
  <c r="A806" i="41"/>
  <c r="K806" i="41" s="1"/>
  <c r="O806" i="41" s="1"/>
  <c r="O774" i="41" l="1"/>
  <c r="L774" i="41"/>
  <c r="R809" i="41"/>
  <c r="L809" i="41"/>
  <c r="O809" i="41"/>
  <c r="R807" i="41"/>
  <c r="L807" i="41"/>
  <c r="O807" i="41"/>
  <c r="L808" i="41" l="1"/>
  <c r="J808" i="41" s="1"/>
  <c r="R808" i="41" s="1"/>
  <c r="L806" i="41"/>
  <c r="J806" i="41" s="1"/>
  <c r="R806" i="41" s="1"/>
  <c r="H4" i="40" l="1"/>
  <c r="H3" i="40" s="1"/>
  <c r="H16" i="40"/>
  <c r="H14" i="40"/>
  <c r="J14" i="40" s="1"/>
  <c r="H12" i="40"/>
  <c r="H10" i="40"/>
  <c r="J15" i="40"/>
  <c r="I15" i="40"/>
  <c r="H7" i="40"/>
  <c r="J8" i="40"/>
  <c r="I8" i="40"/>
  <c r="N6" i="40"/>
  <c r="N5" i="40"/>
  <c r="I14" i="40" l="1"/>
  <c r="G768" i="41" l="1"/>
  <c r="E768" i="41"/>
  <c r="A768" i="41"/>
  <c r="K768" i="41" s="1"/>
  <c r="J768" i="41" s="1"/>
  <c r="L768" i="41" s="1"/>
  <c r="R767" i="41"/>
  <c r="O767" i="41"/>
  <c r="A767" i="41"/>
  <c r="L767" i="41" l="1"/>
  <c r="N763" i="41"/>
  <c r="G763" i="41"/>
  <c r="E763" i="41"/>
  <c r="A763" i="41"/>
  <c r="K763" i="41" s="1"/>
  <c r="J763" i="41" s="1"/>
  <c r="L763" i="41" s="1"/>
  <c r="G762" i="41"/>
  <c r="E762" i="41"/>
  <c r="A762" i="41"/>
  <c r="K762" i="41" s="1"/>
  <c r="J762" i="41" s="1"/>
  <c r="G761" i="41"/>
  <c r="E761" i="41"/>
  <c r="A761" i="41"/>
  <c r="O760" i="41"/>
  <c r="A760" i="41"/>
  <c r="I633" i="41"/>
  <c r="I632" i="41"/>
  <c r="I634" i="41"/>
  <c r="I618" i="41"/>
  <c r="I617" i="41"/>
  <c r="I620" i="41"/>
  <c r="I619" i="41"/>
  <c r="I584" i="41"/>
  <c r="I577" i="41"/>
  <c r="I576" i="41"/>
  <c r="I575" i="41"/>
  <c r="I583" i="41"/>
  <c r="I582" i="41"/>
  <c r="K761" i="41" l="1"/>
  <c r="J761" i="41" s="1"/>
  <c r="L761" i="41" s="1"/>
  <c r="L765" i="41"/>
  <c r="O762" i="41"/>
  <c r="R762" i="41"/>
  <c r="L762" i="41"/>
  <c r="L760" i="41" l="1"/>
  <c r="J760" i="41" s="1"/>
  <c r="R760" i="41" s="1"/>
  <c r="O766" i="41"/>
  <c r="L766" i="41"/>
  <c r="L764" i="41" s="1"/>
  <c r="I556" i="41"/>
  <c r="G558" i="41"/>
  <c r="E558" i="41"/>
  <c r="A558" i="41"/>
  <c r="K558" i="41" s="1"/>
  <c r="J558" i="41" s="1"/>
  <c r="G559" i="41"/>
  <c r="E559" i="41"/>
  <c r="A559" i="41"/>
  <c r="K559" i="41" s="1"/>
  <c r="J559" i="41" s="1"/>
  <c r="G556" i="41"/>
  <c r="E556" i="41"/>
  <c r="A556" i="41"/>
  <c r="K556" i="41" s="1"/>
  <c r="J556" i="41" s="1"/>
  <c r="G555" i="41"/>
  <c r="E555" i="41"/>
  <c r="A555" i="41"/>
  <c r="K555" i="41" s="1"/>
  <c r="J555" i="41" s="1"/>
  <c r="G560" i="41"/>
  <c r="E560" i="41"/>
  <c r="A560" i="41"/>
  <c r="K560" i="41" s="1"/>
  <c r="J560" i="41" s="1"/>
  <c r="J764" i="41" l="1"/>
  <c r="R764" i="41" s="1"/>
  <c r="O560" i="41"/>
  <c r="L559" i="41"/>
  <c r="I555" i="41"/>
  <c r="O555" i="41" s="1"/>
  <c r="L558" i="41"/>
  <c r="R558" i="41"/>
  <c r="R559" i="41"/>
  <c r="R556" i="41"/>
  <c r="L556" i="41"/>
  <c r="O556" i="41"/>
  <c r="R555" i="41"/>
  <c r="R560" i="41"/>
  <c r="G532" i="41"/>
  <c r="E532" i="41"/>
  <c r="A532" i="41"/>
  <c r="K532" i="41" s="1"/>
  <c r="J532" i="41" s="1"/>
  <c r="L555" i="41" l="1"/>
  <c r="L560" i="41"/>
  <c r="O559" i="41"/>
  <c r="O558" i="41"/>
  <c r="O532" i="41"/>
  <c r="R532" i="41"/>
  <c r="L532" i="41"/>
  <c r="L554" i="41" l="1"/>
  <c r="J554" i="41" s="1"/>
  <c r="I442" i="41"/>
  <c r="G440" i="41"/>
  <c r="E440" i="41"/>
  <c r="A440" i="41"/>
  <c r="K440" i="41" s="1"/>
  <c r="J440" i="41" s="1"/>
  <c r="G441" i="41"/>
  <c r="E441" i="41"/>
  <c r="A441" i="41"/>
  <c r="K441" i="41" s="1"/>
  <c r="J441" i="41" s="1"/>
  <c r="I487" i="41"/>
  <c r="I439" i="41" l="1"/>
  <c r="I438" i="41"/>
  <c r="L465" i="41" l="1"/>
  <c r="G33" i="43"/>
  <c r="H33" i="43" s="1"/>
  <c r="H34" i="43"/>
  <c r="G29" i="43"/>
  <c r="H30" i="43"/>
  <c r="H26" i="43"/>
  <c r="G709" i="41"/>
  <c r="A709" i="41"/>
  <c r="K709" i="41" s="1"/>
  <c r="J709" i="41" s="1"/>
  <c r="O4" i="40"/>
  <c r="O5" i="40"/>
  <c r="O6" i="40"/>
  <c r="O7" i="40"/>
  <c r="O8" i="40"/>
  <c r="O3" i="40"/>
  <c r="R20" i="43"/>
  <c r="O23" i="43"/>
  <c r="Q23" i="43" s="1"/>
  <c r="R23" i="43" s="1"/>
  <c r="Q22" i="43"/>
  <c r="Q25" i="43" s="1"/>
  <c r="P22" i="43"/>
  <c r="P25" i="43" s="1"/>
  <c r="R25" i="43" s="1"/>
  <c r="I20" i="43"/>
  <c r="F22" i="43"/>
  <c r="G22" i="43" s="1"/>
  <c r="F18" i="43"/>
  <c r="O709" i="41" l="1"/>
  <c r="T374" i="41"/>
  <c r="T465" i="41"/>
  <c r="R22" i="43"/>
  <c r="H35" i="43"/>
  <c r="I33" i="43" s="1"/>
  <c r="J33" i="43" s="1"/>
  <c r="H29" i="43"/>
  <c r="H31" i="43" s="1"/>
  <c r="I29" i="43" s="1"/>
  <c r="O9" i="40"/>
  <c r="R709" i="41"/>
  <c r="L709" i="41"/>
  <c r="J4" i="40"/>
  <c r="I4" i="40"/>
  <c r="J5" i="40"/>
  <c r="I5" i="40"/>
  <c r="I12" i="40"/>
  <c r="J29" i="43" l="1"/>
  <c r="O1106" i="41" l="1"/>
  <c r="L1106" i="41"/>
  <c r="G231" i="41"/>
  <c r="E231" i="41"/>
  <c r="A231" i="41"/>
  <c r="G228" i="41"/>
  <c r="E228" i="41"/>
  <c r="A228" i="41"/>
  <c r="K228" i="41" s="1"/>
  <c r="J228" i="41" s="1"/>
  <c r="G227" i="41"/>
  <c r="E227" i="41"/>
  <c r="A227" i="41"/>
  <c r="K227" i="41" s="1"/>
  <c r="J227" i="41" s="1"/>
  <c r="G226" i="41"/>
  <c r="E226" i="41"/>
  <c r="A226" i="41"/>
  <c r="K226" i="41" s="1"/>
  <c r="J226" i="41" s="1"/>
  <c r="G225" i="41"/>
  <c r="E225" i="41"/>
  <c r="A225" i="41"/>
  <c r="K225" i="41" s="1"/>
  <c r="G216" i="41"/>
  <c r="E216" i="41"/>
  <c r="A216" i="41"/>
  <c r="K216" i="41" s="1"/>
  <c r="R215" i="41"/>
  <c r="O215" i="41"/>
  <c r="A215" i="41"/>
  <c r="K215" i="41" s="1"/>
  <c r="O226" i="41" l="1"/>
  <c r="R228" i="41"/>
  <c r="L228" i="41"/>
  <c r="O228" i="41"/>
  <c r="O225" i="41"/>
  <c r="J225" i="41"/>
  <c r="L226" i="41"/>
  <c r="R226" i="41"/>
  <c r="O216" i="41"/>
  <c r="J216" i="41"/>
  <c r="R227" i="41"/>
  <c r="L227" i="41"/>
  <c r="O227" i="41"/>
  <c r="L225" i="41" l="1"/>
  <c r="R225" i="41"/>
  <c r="L216" i="41"/>
  <c r="R216" i="41"/>
  <c r="K231" i="41" l="1"/>
  <c r="O231" i="41" l="1"/>
  <c r="J231" i="41"/>
  <c r="Q14" i="43"/>
  <c r="G1051" i="41"/>
  <c r="E1051" i="41"/>
  <c r="A1051" i="41"/>
  <c r="K1051" i="41" s="1"/>
  <c r="J1051" i="41" s="1"/>
  <c r="L1051" i="41" s="1"/>
  <c r="Q11" i="43"/>
  <c r="Q10" i="43"/>
  <c r="R231" i="41" l="1"/>
  <c r="L231" i="41"/>
  <c r="L215" i="41" s="1"/>
  <c r="O236" i="41" l="1"/>
  <c r="L236" i="41"/>
  <c r="L235" i="41" s="1"/>
  <c r="G1003" i="41"/>
  <c r="E1003" i="41"/>
  <c r="A1003" i="41"/>
  <c r="K1003" i="41" s="1"/>
  <c r="L1003" i="41" l="1"/>
  <c r="G1001" i="41" l="1"/>
  <c r="E1001" i="41"/>
  <c r="A1001" i="41"/>
  <c r="K1001" i="41" s="1"/>
  <c r="I970" i="41"/>
  <c r="I971" i="41" s="1"/>
  <c r="I949" i="41"/>
  <c r="I950" i="41" s="1"/>
  <c r="J1001" i="41" l="1"/>
  <c r="L1001" i="41" s="1"/>
  <c r="I871" i="41"/>
  <c r="I861" i="41"/>
  <c r="I880" i="41"/>
  <c r="I886" i="41"/>
  <c r="I885" i="41"/>
  <c r="I876" i="41"/>
  <c r="I875" i="41"/>
  <c r="I868" i="41"/>
  <c r="I863" i="41"/>
  <c r="I834" i="41"/>
  <c r="I833" i="41"/>
  <c r="K16" i="43"/>
  <c r="J16" i="43"/>
  <c r="I839" i="41"/>
  <c r="I881" i="41" l="1"/>
  <c r="I820" i="41"/>
  <c r="A755" i="41" l="1"/>
  <c r="K755" i="41" s="1"/>
  <c r="L755" i="41" l="1"/>
  <c r="K703" i="41"/>
  <c r="L703" i="41" s="1"/>
  <c r="G703" i="41"/>
  <c r="E703" i="41"/>
  <c r="A675" i="41"/>
  <c r="I3" i="43" l="1"/>
  <c r="I2" i="43"/>
  <c r="H2" i="43"/>
  <c r="I7" i="43"/>
  <c r="H8" i="43"/>
  <c r="I8" i="43" s="1"/>
  <c r="H7" i="43"/>
  <c r="I9" i="43" l="1"/>
  <c r="J8" i="43" s="1"/>
  <c r="D3" i="43"/>
  <c r="D4" i="43"/>
  <c r="D5" i="43"/>
  <c r="D6" i="43"/>
  <c r="D7" i="43"/>
  <c r="D8" i="43"/>
  <c r="D9" i="43"/>
  <c r="D10" i="43"/>
  <c r="D11" i="43"/>
  <c r="D12" i="43"/>
  <c r="D13" i="43"/>
  <c r="D2" i="43"/>
  <c r="D14" i="43" s="1"/>
  <c r="C14" i="43" s="1"/>
  <c r="B14" i="43"/>
  <c r="K326" i="41"/>
  <c r="J326" i="41" s="1"/>
  <c r="G326" i="41"/>
  <c r="E326" i="41"/>
  <c r="K325" i="41"/>
  <c r="J325" i="41" s="1"/>
  <c r="G325" i="41"/>
  <c r="E325" i="41"/>
  <c r="H490" i="41"/>
  <c r="I759" i="41"/>
  <c r="G759" i="41"/>
  <c r="E759" i="41"/>
  <c r="A759" i="41"/>
  <c r="K759" i="41" s="1"/>
  <c r="J759" i="41" s="1"/>
  <c r="O757" i="41"/>
  <c r="A757" i="41"/>
  <c r="K757" i="41" s="1"/>
  <c r="A754" i="41"/>
  <c r="K754" i="41" s="1"/>
  <c r="A750" i="41"/>
  <c r="I7" i="40"/>
  <c r="I10" i="40"/>
  <c r="I11" i="40"/>
  <c r="I13" i="40"/>
  <c r="I16" i="40"/>
  <c r="I17" i="40"/>
  <c r="I3" i="40"/>
  <c r="J7" i="43" l="1"/>
  <c r="K750" i="41"/>
  <c r="L750" i="41" s="1"/>
  <c r="L759" i="41"/>
  <c r="L326" i="41"/>
  <c r="L325" i="41"/>
  <c r="L754" i="41"/>
  <c r="L757" i="41" l="1"/>
  <c r="J17" i="40"/>
  <c r="J16" i="40"/>
  <c r="J13" i="40"/>
  <c r="J12" i="40"/>
  <c r="J11" i="40"/>
  <c r="J10" i="40"/>
  <c r="J9" i="40"/>
  <c r="J7" i="40"/>
  <c r="J19" i="40"/>
  <c r="J6" i="40"/>
  <c r="J3" i="40"/>
  <c r="J757" i="41" l="1"/>
  <c r="R757" i="41" s="1"/>
  <c r="J18" i="40"/>
  <c r="J20" i="40" s="1"/>
  <c r="I18" i="40"/>
  <c r="I20" i="40" s="1"/>
  <c r="I1239" i="41" l="1"/>
  <c r="G1189" i="41"/>
  <c r="A1189" i="41"/>
  <c r="K1189" i="41" s="1"/>
  <c r="K1182" i="41"/>
  <c r="G1182" i="41"/>
  <c r="G1181" i="41"/>
  <c r="A1181" i="41"/>
  <c r="K1181" i="41" s="1"/>
  <c r="G1180" i="41"/>
  <c r="A1180" i="41"/>
  <c r="K1180" i="41" s="1"/>
  <c r="G1179" i="41"/>
  <c r="A1179" i="41"/>
  <c r="K1179" i="41" s="1"/>
  <c r="G1178" i="41"/>
  <c r="A1178" i="41"/>
  <c r="K1178" i="41" s="1"/>
  <c r="G1177" i="41"/>
  <c r="E1177" i="41"/>
  <c r="A1177" i="41"/>
  <c r="K1177" i="41" s="1"/>
  <c r="R1177" i="41" s="1"/>
  <c r="O1176" i="41"/>
  <c r="A1176" i="41"/>
  <c r="K1176" i="41" s="1"/>
  <c r="O1178" i="41" l="1"/>
  <c r="O1182" i="41"/>
  <c r="O1179" i="41"/>
  <c r="R1179" i="41"/>
  <c r="O1189" i="41"/>
  <c r="R1189" i="41"/>
  <c r="R1178" i="41"/>
  <c r="L1177" i="41"/>
  <c r="O1180" i="41"/>
  <c r="O1181" i="41"/>
  <c r="O1177" i="41"/>
  <c r="L1181" i="41" l="1"/>
  <c r="R1181" i="41"/>
  <c r="L1182" i="41"/>
  <c r="R1182" i="41"/>
  <c r="L1180" i="41"/>
  <c r="R1180" i="41"/>
  <c r="L1189" i="41"/>
  <c r="L1179" i="41"/>
  <c r="L1178" i="41"/>
  <c r="G1150" i="41"/>
  <c r="E1150" i="41"/>
  <c r="A1150" i="41"/>
  <c r="K1150" i="41" s="1"/>
  <c r="J1150" i="41" s="1"/>
  <c r="G1147" i="41"/>
  <c r="E1147" i="41"/>
  <c r="A1147" i="41"/>
  <c r="K1147" i="41" s="1"/>
  <c r="J1147" i="41" s="1"/>
  <c r="L1147" i="41" s="1"/>
  <c r="O1146" i="41"/>
  <c r="A1146" i="41"/>
  <c r="K1146" i="41" s="1"/>
  <c r="A1140" i="41"/>
  <c r="K1140" i="41" s="1"/>
  <c r="L1140" i="41" s="1"/>
  <c r="G1133" i="41"/>
  <c r="A1133" i="41"/>
  <c r="K1133" i="41" l="1"/>
  <c r="L1176" i="41"/>
  <c r="I1044" i="41"/>
  <c r="I1045" i="41"/>
  <c r="I1046" i="41"/>
  <c r="I1047" i="41"/>
  <c r="I1048" i="41"/>
  <c r="A1030" i="41"/>
  <c r="K1030" i="41" s="1"/>
  <c r="A1029" i="41"/>
  <c r="K1029" i="41" s="1"/>
  <c r="A1028" i="41"/>
  <c r="K1028" i="41" s="1"/>
  <c r="A1025" i="41"/>
  <c r="K1025" i="41" s="1"/>
  <c r="A1024" i="41"/>
  <c r="K1024" i="41" s="1"/>
  <c r="G1042" i="41"/>
  <c r="A1042" i="41"/>
  <c r="K1042" i="41" s="1"/>
  <c r="J1042" i="41" s="1"/>
  <c r="L1042" i="41" s="1"/>
  <c r="G1039" i="41"/>
  <c r="E1039" i="41"/>
  <c r="A1039" i="41"/>
  <c r="K1039" i="41" s="1"/>
  <c r="J1039" i="41" s="1"/>
  <c r="L1039" i="41" s="1"/>
  <c r="G1038" i="41"/>
  <c r="E1038" i="41"/>
  <c r="A1038" i="41"/>
  <c r="K1038" i="41" s="1"/>
  <c r="J1038" i="41" s="1"/>
  <c r="L1038" i="41" s="1"/>
  <c r="A1037" i="41"/>
  <c r="K1037" i="41" s="1"/>
  <c r="J1037" i="41" s="1"/>
  <c r="L1037" i="41" s="1"/>
  <c r="A1036" i="41"/>
  <c r="K1036" i="41" s="1"/>
  <c r="J1036" i="41" s="1"/>
  <c r="L1036" i="41" s="1"/>
  <c r="A1023" i="41"/>
  <c r="K1023" i="41" s="1"/>
  <c r="A1022" i="41"/>
  <c r="K1022" i="41" s="1"/>
  <c r="A1020" i="41"/>
  <c r="K1020" i="41" s="1"/>
  <c r="A1019" i="41"/>
  <c r="K1019" i="41" s="1"/>
  <c r="A1018" i="41"/>
  <c r="K1018" i="41" s="1"/>
  <c r="A1017" i="41"/>
  <c r="K1017" i="41" s="1"/>
  <c r="A1016" i="41"/>
  <c r="K1016" i="41" s="1"/>
  <c r="A1015" i="41"/>
  <c r="K1015" i="41" s="1"/>
  <c r="J1015" i="41" s="1"/>
  <c r="A1014" i="41"/>
  <c r="K1014" i="41" s="1"/>
  <c r="A1013" i="41"/>
  <c r="K1013" i="41" s="1"/>
  <c r="J1013" i="41" s="1"/>
  <c r="A1012" i="41"/>
  <c r="K1012" i="41" s="1"/>
  <c r="J1012" i="41" s="1"/>
  <c r="L1012" i="41" s="1"/>
  <c r="G1010" i="41"/>
  <c r="E1010" i="41"/>
  <c r="A1010" i="41"/>
  <c r="K1010" i="41" s="1"/>
  <c r="J1017" i="41" l="1"/>
  <c r="L1017" i="41" s="1"/>
  <c r="J1018" i="41"/>
  <c r="L1018" i="41" s="1"/>
  <c r="J1024" i="41"/>
  <c r="L1024" i="41" s="1"/>
  <c r="J1019" i="41"/>
  <c r="L1019" i="41" s="1"/>
  <c r="J1025" i="41"/>
  <c r="L1025" i="41" s="1"/>
  <c r="J1023" i="41"/>
  <c r="L1023" i="41" s="1"/>
  <c r="J1020" i="41"/>
  <c r="L1020" i="41" s="1"/>
  <c r="J1014" i="41"/>
  <c r="L1014" i="41" s="1"/>
  <c r="J1016" i="41"/>
  <c r="L1016" i="41" s="1"/>
  <c r="J1022" i="41"/>
  <c r="L1022" i="41" s="1"/>
  <c r="J1030" i="41"/>
  <c r="L1030" i="41" s="1"/>
  <c r="J1028" i="41"/>
  <c r="L1028" i="41" s="1"/>
  <c r="J1029" i="41"/>
  <c r="L1029" i="41" s="1"/>
  <c r="J1176" i="41"/>
  <c r="R1176" i="41" s="1"/>
  <c r="L1013" i="41"/>
  <c r="L1015" i="41"/>
  <c r="L1010" i="41"/>
  <c r="L1009" i="41" l="1"/>
  <c r="G1008" i="41"/>
  <c r="E1008" i="41"/>
  <c r="K991" i="41"/>
  <c r="G991" i="41"/>
  <c r="J991" i="41" l="1"/>
  <c r="L991" i="41" s="1"/>
  <c r="K917" i="41"/>
  <c r="G917" i="41"/>
  <c r="K909" i="41"/>
  <c r="K891" i="41"/>
  <c r="J891" i="41" s="1"/>
  <c r="G891" i="41"/>
  <c r="E891" i="41"/>
  <c r="K890" i="41"/>
  <c r="J890" i="41" s="1"/>
  <c r="G890" i="41"/>
  <c r="E890" i="41"/>
  <c r="G889" i="41"/>
  <c r="E889" i="41"/>
  <c r="A889" i="41"/>
  <c r="K889" i="41" s="1"/>
  <c r="J889" i="41" s="1"/>
  <c r="G888" i="41"/>
  <c r="E888" i="41"/>
  <c r="A888" i="41"/>
  <c r="K888" i="41" s="1"/>
  <c r="J888" i="41" s="1"/>
  <c r="I887" i="41"/>
  <c r="A887" i="41"/>
  <c r="K887" i="41" s="1"/>
  <c r="K886" i="41"/>
  <c r="G886" i="41"/>
  <c r="E886" i="41"/>
  <c r="K885" i="41"/>
  <c r="G885" i="41"/>
  <c r="E885" i="41"/>
  <c r="I884" i="41"/>
  <c r="G884" i="41"/>
  <c r="E884" i="41"/>
  <c r="A884" i="41"/>
  <c r="K884" i="41" s="1"/>
  <c r="I883" i="41"/>
  <c r="G883" i="41"/>
  <c r="E883" i="41"/>
  <c r="A883" i="41"/>
  <c r="O882" i="41"/>
  <c r="A882" i="41"/>
  <c r="K882" i="41" s="1"/>
  <c r="K876" i="41"/>
  <c r="J876" i="41" s="1"/>
  <c r="G876" i="41"/>
  <c r="E876" i="41"/>
  <c r="K875" i="41"/>
  <c r="J875" i="41" s="1"/>
  <c r="G875" i="41"/>
  <c r="E875" i="41"/>
  <c r="G874" i="41"/>
  <c r="E874" i="41"/>
  <c r="A874" i="41"/>
  <c r="K874" i="41" s="1"/>
  <c r="J874" i="41" s="1"/>
  <c r="G873" i="41"/>
  <c r="E873" i="41"/>
  <c r="A873" i="41"/>
  <c r="K873" i="41" s="1"/>
  <c r="J873" i="41" s="1"/>
  <c r="I872" i="41"/>
  <c r="A872" i="41"/>
  <c r="K872" i="41" s="1"/>
  <c r="K868" i="41"/>
  <c r="J868" i="41" s="1"/>
  <c r="G868" i="41"/>
  <c r="E868" i="41"/>
  <c r="K867" i="41"/>
  <c r="J867" i="41" s="1"/>
  <c r="G867" i="41"/>
  <c r="E867" i="41"/>
  <c r="I866" i="41"/>
  <c r="G866" i="41"/>
  <c r="E866" i="41"/>
  <c r="I865" i="41"/>
  <c r="G865" i="41"/>
  <c r="E865" i="41"/>
  <c r="A866" i="41"/>
  <c r="K866" i="41" s="1"/>
  <c r="J866" i="41" s="1"/>
  <c r="A865" i="41"/>
  <c r="K865" i="41" s="1"/>
  <c r="J865" i="41" s="1"/>
  <c r="A864" i="41"/>
  <c r="K864" i="41" s="1"/>
  <c r="K863" i="41"/>
  <c r="J863" i="41" s="1"/>
  <c r="G863" i="41"/>
  <c r="E863" i="41"/>
  <c r="K862" i="41"/>
  <c r="J862" i="41" s="1"/>
  <c r="G862" i="41"/>
  <c r="E862" i="41"/>
  <c r="G861" i="41"/>
  <c r="E861" i="41"/>
  <c r="A861" i="41"/>
  <c r="K861" i="41" s="1"/>
  <c r="J861" i="41" s="1"/>
  <c r="G860" i="41"/>
  <c r="E860" i="41"/>
  <c r="A860" i="41"/>
  <c r="K860" i="41" s="1"/>
  <c r="J860" i="41" s="1"/>
  <c r="R860" i="41" s="1"/>
  <c r="I859" i="41"/>
  <c r="A859" i="41"/>
  <c r="K859" i="41" s="1"/>
  <c r="E853" i="41"/>
  <c r="G853" i="41"/>
  <c r="E854" i="41"/>
  <c r="G854" i="41"/>
  <c r="K854" i="41"/>
  <c r="J854" i="41" s="1"/>
  <c r="I843" i="41"/>
  <c r="G871" i="41"/>
  <c r="E871" i="41"/>
  <c r="A871" i="41"/>
  <c r="K871" i="41" s="1"/>
  <c r="J871" i="41" s="1"/>
  <c r="G870" i="41"/>
  <c r="E870" i="41"/>
  <c r="A870" i="41"/>
  <c r="I869" i="41"/>
  <c r="A869" i="41"/>
  <c r="K869" i="41" s="1"/>
  <c r="K829" i="41"/>
  <c r="J829" i="41" s="1"/>
  <c r="I829" i="41"/>
  <c r="G829" i="41"/>
  <c r="E829" i="41"/>
  <c r="K828" i="41"/>
  <c r="J828" i="41" s="1"/>
  <c r="I828" i="41"/>
  <c r="G828" i="41"/>
  <c r="E828" i="41"/>
  <c r="I827" i="41"/>
  <c r="G827" i="41"/>
  <c r="E827" i="41"/>
  <c r="A827" i="41"/>
  <c r="K827" i="41" s="1"/>
  <c r="J827" i="41" s="1"/>
  <c r="I826" i="41"/>
  <c r="G826" i="41"/>
  <c r="E826" i="41"/>
  <c r="A826" i="41"/>
  <c r="K826" i="41" s="1"/>
  <c r="J826" i="41" s="1"/>
  <c r="O825" i="41"/>
  <c r="A825" i="41"/>
  <c r="K825" i="41" s="1"/>
  <c r="I841" i="41"/>
  <c r="G841" i="41"/>
  <c r="E841" i="41"/>
  <c r="A841" i="41"/>
  <c r="K841" i="41" s="1"/>
  <c r="J841" i="41" s="1"/>
  <c r="R840" i="41"/>
  <c r="O840" i="41"/>
  <c r="A840" i="41"/>
  <c r="K840" i="41" s="1"/>
  <c r="K834" i="41"/>
  <c r="J834" i="41" s="1"/>
  <c r="G834" i="41"/>
  <c r="E834" i="41"/>
  <c r="K833" i="41"/>
  <c r="J833" i="41" s="1"/>
  <c r="G833" i="41"/>
  <c r="E833" i="41"/>
  <c r="I832" i="41"/>
  <c r="G832" i="41"/>
  <c r="E832" i="41"/>
  <c r="A832" i="41"/>
  <c r="K832" i="41" s="1"/>
  <c r="J832" i="41" s="1"/>
  <c r="I831" i="41"/>
  <c r="G831" i="41"/>
  <c r="E831" i="41"/>
  <c r="A831" i="41"/>
  <c r="K831" i="41" s="1"/>
  <c r="J831" i="41" s="1"/>
  <c r="O830" i="41"/>
  <c r="A830" i="41"/>
  <c r="K830" i="41" s="1"/>
  <c r="R841" i="41" l="1"/>
  <c r="K883" i="41"/>
  <c r="J883" i="41" s="1"/>
  <c r="R883" i="41" s="1"/>
  <c r="I891" i="41"/>
  <c r="L891" i="41" s="1"/>
  <c r="I890" i="41"/>
  <c r="L890" i="41" s="1"/>
  <c r="L917" i="41"/>
  <c r="I888" i="41"/>
  <c r="L888" i="41" s="1"/>
  <c r="I889" i="41"/>
  <c r="L889" i="41" s="1"/>
  <c r="O884" i="41"/>
  <c r="O887" i="41"/>
  <c r="R888" i="41"/>
  <c r="L866" i="41"/>
  <c r="L867" i="41"/>
  <c r="O885" i="41"/>
  <c r="L868" i="41"/>
  <c r="O886" i="41"/>
  <c r="L865" i="41"/>
  <c r="O883" i="41"/>
  <c r="O872" i="41"/>
  <c r="I873" i="41"/>
  <c r="I874" i="41"/>
  <c r="J884" i="41"/>
  <c r="L884" i="41" s="1"/>
  <c r="J885" i="41"/>
  <c r="L885" i="41" s="1"/>
  <c r="J886" i="41"/>
  <c r="L886" i="41" s="1"/>
  <c r="R873" i="41"/>
  <c r="L863" i="41"/>
  <c r="O864" i="41"/>
  <c r="R865" i="41"/>
  <c r="L862" i="41"/>
  <c r="L861" i="41"/>
  <c r="O860" i="41"/>
  <c r="O859" i="41"/>
  <c r="L829" i="41"/>
  <c r="L860" i="41"/>
  <c r="O869" i="41"/>
  <c r="L871" i="41"/>
  <c r="O832" i="41"/>
  <c r="O833" i="41"/>
  <c r="O831" i="41"/>
  <c r="O834" i="41"/>
  <c r="O828" i="41"/>
  <c r="O826" i="41"/>
  <c r="O829" i="41"/>
  <c r="O827" i="41"/>
  <c r="L828" i="41"/>
  <c r="L827" i="41"/>
  <c r="L826" i="41"/>
  <c r="R826" i="41"/>
  <c r="L834" i="41"/>
  <c r="L832" i="41"/>
  <c r="L833" i="41"/>
  <c r="O841" i="41"/>
  <c r="L841" i="41"/>
  <c r="L831" i="41"/>
  <c r="R831" i="41"/>
  <c r="L909" i="41" l="1"/>
  <c r="J909" i="41" s="1"/>
  <c r="L883" i="41"/>
  <c r="L882" i="41" s="1"/>
  <c r="O888" i="41"/>
  <c r="L864" i="41"/>
  <c r="J864" i="41" s="1"/>
  <c r="L887" i="41"/>
  <c r="J887" i="41" l="1"/>
  <c r="R887" i="41" s="1"/>
  <c r="J882" i="41"/>
  <c r="R882" i="41" s="1"/>
  <c r="L859" i="41"/>
  <c r="J859" i="41" s="1"/>
  <c r="R859" i="41" s="1"/>
  <c r="L825" i="41"/>
  <c r="J825" i="41" s="1"/>
  <c r="R825" i="41" s="1"/>
  <c r="L830" i="41"/>
  <c r="J830" i="41" s="1"/>
  <c r="R830" i="41" s="1"/>
  <c r="G676" i="41" l="1"/>
  <c r="E676" i="41"/>
  <c r="A676" i="41"/>
  <c r="K676" i="41" s="1"/>
  <c r="J676" i="41" s="1"/>
  <c r="R675" i="41"/>
  <c r="O675" i="41"/>
  <c r="K675" i="41"/>
  <c r="K337" i="41" l="1"/>
  <c r="J337" i="41" s="1"/>
  <c r="L337" i="41" s="1"/>
  <c r="G337" i="41"/>
  <c r="E337" i="41"/>
  <c r="K338" i="41"/>
  <c r="J338" i="41" s="1"/>
  <c r="L338" i="41" s="1"/>
  <c r="G338" i="41"/>
  <c r="E338" i="41"/>
  <c r="K340" i="41"/>
  <c r="J340" i="41" s="1"/>
  <c r="G340" i="41"/>
  <c r="E340" i="41"/>
  <c r="K339" i="41"/>
  <c r="J339" i="41" s="1"/>
  <c r="G339" i="41"/>
  <c r="E339" i="41"/>
  <c r="K336" i="41"/>
  <c r="J336" i="41" s="1"/>
  <c r="L336" i="41" s="1"/>
  <c r="G336" i="41"/>
  <c r="E336" i="41"/>
  <c r="A335" i="41"/>
  <c r="O334" i="41"/>
  <c r="A334" i="41"/>
  <c r="K334" i="41" s="1"/>
  <c r="K335" i="41" l="1"/>
  <c r="I490" i="41"/>
  <c r="L339" i="41"/>
  <c r="L340" i="41"/>
  <c r="L335" i="41" l="1"/>
  <c r="G25" i="43" l="1"/>
  <c r="H25" i="43" l="1"/>
  <c r="H27" i="43" s="1"/>
  <c r="I25" i="43" s="1"/>
  <c r="I613" i="41"/>
  <c r="I612" i="41"/>
  <c r="I611" i="41"/>
  <c r="I610" i="41"/>
  <c r="I609" i="41"/>
  <c r="I592" i="41"/>
  <c r="I591" i="41"/>
  <c r="I590" i="41"/>
  <c r="I589" i="41"/>
  <c r="I588" i="41"/>
  <c r="I606" i="41"/>
  <c r="I605" i="41"/>
  <c r="I604" i="41"/>
  <c r="I603" i="41"/>
  <c r="I602" i="41"/>
  <c r="I599" i="41"/>
  <c r="I598" i="41"/>
  <c r="I597" i="41"/>
  <c r="I596" i="41"/>
  <c r="I595" i="41"/>
  <c r="I574" i="41"/>
  <c r="K614" i="41"/>
  <c r="J614" i="41" s="1"/>
  <c r="H614" i="41"/>
  <c r="G614" i="41"/>
  <c r="E614" i="41"/>
  <c r="K613" i="41"/>
  <c r="J613" i="41" s="1"/>
  <c r="G613" i="41"/>
  <c r="E613" i="41"/>
  <c r="K612" i="41"/>
  <c r="J612" i="41" s="1"/>
  <c r="G612" i="41"/>
  <c r="E612" i="41"/>
  <c r="K611" i="41"/>
  <c r="J611" i="41" s="1"/>
  <c r="G611" i="41"/>
  <c r="E611" i="41"/>
  <c r="K610" i="41"/>
  <c r="J610" i="41" s="1"/>
  <c r="G610" i="41"/>
  <c r="E610" i="41"/>
  <c r="G609" i="41"/>
  <c r="E609" i="41"/>
  <c r="A609" i="41"/>
  <c r="K609" i="41" s="1"/>
  <c r="J609" i="41" s="1"/>
  <c r="O608" i="41"/>
  <c r="A608" i="41"/>
  <c r="K608" i="41" s="1"/>
  <c r="K607" i="41"/>
  <c r="J607" i="41" s="1"/>
  <c r="H607" i="41"/>
  <c r="G607" i="41"/>
  <c r="E607" i="41"/>
  <c r="K606" i="41"/>
  <c r="J606" i="41" s="1"/>
  <c r="G606" i="41"/>
  <c r="E606" i="41"/>
  <c r="K605" i="41"/>
  <c r="J605" i="41" s="1"/>
  <c r="G605" i="41"/>
  <c r="E605" i="41"/>
  <c r="K604" i="41"/>
  <c r="J604" i="41" s="1"/>
  <c r="G604" i="41"/>
  <c r="E604" i="41"/>
  <c r="G603" i="41"/>
  <c r="E603" i="41"/>
  <c r="A603" i="41"/>
  <c r="K603" i="41" s="1"/>
  <c r="J603" i="41" s="1"/>
  <c r="K602" i="41"/>
  <c r="J602" i="41" s="1"/>
  <c r="G602" i="41"/>
  <c r="E602" i="41"/>
  <c r="O601" i="41"/>
  <c r="A601" i="41"/>
  <c r="K601" i="41" s="1"/>
  <c r="K600" i="41"/>
  <c r="J600" i="41" s="1"/>
  <c r="H600" i="41"/>
  <c r="G600" i="41"/>
  <c r="E600" i="41"/>
  <c r="K599" i="41"/>
  <c r="J599" i="41" s="1"/>
  <c r="G599" i="41"/>
  <c r="E599" i="41"/>
  <c r="K598" i="41"/>
  <c r="J598" i="41" s="1"/>
  <c r="G598" i="41"/>
  <c r="E598" i="41"/>
  <c r="K597" i="41"/>
  <c r="J597" i="41" s="1"/>
  <c r="G597" i="41"/>
  <c r="E597" i="41"/>
  <c r="G596" i="41"/>
  <c r="E596" i="41"/>
  <c r="A596" i="41"/>
  <c r="K596" i="41" s="1"/>
  <c r="J596" i="41" s="1"/>
  <c r="K595" i="41"/>
  <c r="J595" i="41" s="1"/>
  <c r="G595" i="41"/>
  <c r="E595" i="41"/>
  <c r="O594" i="41"/>
  <c r="A594" i="41"/>
  <c r="K594" i="41" s="1"/>
  <c r="I661" i="41"/>
  <c r="I658" i="41"/>
  <c r="I657" i="41"/>
  <c r="I656" i="41"/>
  <c r="I655" i="41"/>
  <c r="I654" i="41"/>
  <c r="I651" i="41"/>
  <c r="I650" i="41"/>
  <c r="I649" i="41"/>
  <c r="I648" i="41"/>
  <c r="I647" i="41"/>
  <c r="H593" i="41"/>
  <c r="I616" i="41"/>
  <c r="I644" i="41"/>
  <c r="I643" i="41"/>
  <c r="I642" i="41"/>
  <c r="I641" i="41"/>
  <c r="I640" i="41"/>
  <c r="K667" i="41"/>
  <c r="J667" i="41" s="1"/>
  <c r="H667" i="41"/>
  <c r="G667" i="41"/>
  <c r="E667" i="41"/>
  <c r="K666" i="41"/>
  <c r="J666" i="41" s="1"/>
  <c r="G666" i="41"/>
  <c r="E666" i="41"/>
  <c r="K664" i="41"/>
  <c r="J664" i="41" s="1"/>
  <c r="G664" i="41"/>
  <c r="E664" i="41"/>
  <c r="K663" i="41"/>
  <c r="J663" i="41" s="1"/>
  <c r="G663" i="41"/>
  <c r="E663" i="41"/>
  <c r="K662" i="41"/>
  <c r="J662" i="41" s="1"/>
  <c r="G662" i="41"/>
  <c r="E662" i="41"/>
  <c r="G661" i="41"/>
  <c r="E661" i="41"/>
  <c r="A661" i="41"/>
  <c r="K661" i="41" s="1"/>
  <c r="J661" i="41" s="1"/>
  <c r="O660" i="41"/>
  <c r="K660" i="41"/>
  <c r="K659" i="41"/>
  <c r="J659" i="41" s="1"/>
  <c r="H659" i="41"/>
  <c r="G659" i="41"/>
  <c r="E659" i="41"/>
  <c r="K658" i="41"/>
  <c r="J658" i="41" s="1"/>
  <c r="G658" i="41"/>
  <c r="E658" i="41"/>
  <c r="K657" i="41"/>
  <c r="J657" i="41" s="1"/>
  <c r="G657" i="41"/>
  <c r="E657" i="41"/>
  <c r="K656" i="41"/>
  <c r="J656" i="41" s="1"/>
  <c r="G656" i="41"/>
  <c r="E656" i="41"/>
  <c r="G655" i="41"/>
  <c r="E655" i="41"/>
  <c r="A655" i="41"/>
  <c r="K655" i="41" s="1"/>
  <c r="J655" i="41" s="1"/>
  <c r="K654" i="41"/>
  <c r="J654" i="41" s="1"/>
  <c r="G654" i="41"/>
  <c r="E654" i="41"/>
  <c r="O653" i="41"/>
  <c r="A653" i="41"/>
  <c r="K653" i="41" s="1"/>
  <c r="K652" i="41"/>
  <c r="J652" i="41" s="1"/>
  <c r="H652" i="41"/>
  <c r="G652" i="41"/>
  <c r="E652" i="41"/>
  <c r="K651" i="41"/>
  <c r="J651" i="41" s="1"/>
  <c r="G651" i="41"/>
  <c r="E651" i="41"/>
  <c r="K650" i="41"/>
  <c r="J650" i="41" s="1"/>
  <c r="G650" i="41"/>
  <c r="E650" i="41"/>
  <c r="K649" i="41"/>
  <c r="J649" i="41" s="1"/>
  <c r="G649" i="41"/>
  <c r="E649" i="41"/>
  <c r="G648" i="41"/>
  <c r="E648" i="41"/>
  <c r="A648" i="41"/>
  <c r="K648" i="41" s="1"/>
  <c r="J648" i="41" s="1"/>
  <c r="K647" i="41"/>
  <c r="J647" i="41" s="1"/>
  <c r="G647" i="41"/>
  <c r="E647" i="41"/>
  <c r="O646" i="41"/>
  <c r="A646" i="41"/>
  <c r="K646" i="41" s="1"/>
  <c r="K645" i="41"/>
  <c r="J645" i="41" s="1"/>
  <c r="G645" i="41"/>
  <c r="E645" i="41"/>
  <c r="K644" i="41"/>
  <c r="J644" i="41" s="1"/>
  <c r="G644" i="41"/>
  <c r="E644" i="41"/>
  <c r="K643" i="41"/>
  <c r="J643" i="41" s="1"/>
  <c r="G643" i="41"/>
  <c r="E643" i="41"/>
  <c r="K642" i="41"/>
  <c r="J642" i="41" s="1"/>
  <c r="G642" i="41"/>
  <c r="E642" i="41"/>
  <c r="K641" i="41"/>
  <c r="J641" i="41" s="1"/>
  <c r="G641" i="41"/>
  <c r="E641" i="41"/>
  <c r="G640" i="41"/>
  <c r="E640" i="41"/>
  <c r="A640" i="41"/>
  <c r="K640" i="41" s="1"/>
  <c r="J640" i="41" s="1"/>
  <c r="O639" i="41"/>
  <c r="H645" i="41"/>
  <c r="A639" i="41"/>
  <c r="K639" i="41" s="1"/>
  <c r="K638" i="41"/>
  <c r="J638" i="41" s="1"/>
  <c r="G638" i="41"/>
  <c r="E638" i="41"/>
  <c r="K634" i="41"/>
  <c r="J634" i="41" s="1"/>
  <c r="G634" i="41"/>
  <c r="E634" i="41"/>
  <c r="K633" i="41"/>
  <c r="J633" i="41" s="1"/>
  <c r="G633" i="41"/>
  <c r="E633" i="41"/>
  <c r="G632" i="41"/>
  <c r="E632" i="41"/>
  <c r="A632" i="41"/>
  <c r="K632" i="41" s="1"/>
  <c r="J632" i="41" s="1"/>
  <c r="K631" i="41"/>
  <c r="G631" i="41"/>
  <c r="E631" i="41"/>
  <c r="O630" i="41"/>
  <c r="A630" i="41"/>
  <c r="K630" i="41" s="1"/>
  <c r="K621" i="41"/>
  <c r="J621" i="41" s="1"/>
  <c r="H621" i="41"/>
  <c r="L635" i="41" s="1"/>
  <c r="G621" i="41"/>
  <c r="E621" i="41"/>
  <c r="K620" i="41"/>
  <c r="J620" i="41" s="1"/>
  <c r="G620" i="41"/>
  <c r="E620" i="41"/>
  <c r="K619" i="41"/>
  <c r="J619" i="41" s="1"/>
  <c r="G619" i="41"/>
  <c r="E619" i="41"/>
  <c r="K618" i="41"/>
  <c r="J618" i="41" s="1"/>
  <c r="G618" i="41"/>
  <c r="E618" i="41"/>
  <c r="G617" i="41"/>
  <c r="E617" i="41"/>
  <c r="A617" i="41"/>
  <c r="K617" i="41" s="1"/>
  <c r="J617" i="41" s="1"/>
  <c r="K616" i="41"/>
  <c r="J616" i="41" s="1"/>
  <c r="G616" i="41"/>
  <c r="E616" i="41"/>
  <c r="O615" i="41"/>
  <c r="A615" i="41"/>
  <c r="K615" i="41" s="1"/>
  <c r="J25" i="43" l="1"/>
  <c r="L606" i="41"/>
  <c r="L603" i="41"/>
  <c r="L604" i="41"/>
  <c r="L611" i="41"/>
  <c r="L614" i="41"/>
  <c r="L597" i="41"/>
  <c r="L613" i="41"/>
  <c r="L596" i="41"/>
  <c r="L605" i="41"/>
  <c r="L612" i="41"/>
  <c r="L610" i="41"/>
  <c r="L650" i="41"/>
  <c r="L649" i="41"/>
  <c r="L658" i="41"/>
  <c r="L647" i="41"/>
  <c r="L666" i="41"/>
  <c r="L657" i="41"/>
  <c r="L652" i="41"/>
  <c r="L663" i="41"/>
  <c r="L651" i="41"/>
  <c r="L600" i="41"/>
  <c r="L599" i="41"/>
  <c r="L602" i="41"/>
  <c r="L664" i="41"/>
  <c r="L598" i="41"/>
  <c r="L609" i="41"/>
  <c r="L654" i="41"/>
  <c r="L662" i="41"/>
  <c r="L595" i="41"/>
  <c r="L607" i="41"/>
  <c r="L667" i="41"/>
  <c r="L645" i="41"/>
  <c r="L638" i="41"/>
  <c r="L661" i="41"/>
  <c r="L656" i="41"/>
  <c r="L655" i="41"/>
  <c r="L648" i="41"/>
  <c r="L633" i="41"/>
  <c r="L644" i="41"/>
  <c r="L642" i="41"/>
  <c r="L659" i="41"/>
  <c r="L621" i="41"/>
  <c r="L632" i="41"/>
  <c r="L634" i="41"/>
  <c r="L643" i="41"/>
  <c r="L641" i="41"/>
  <c r="L640" i="41"/>
  <c r="L619" i="41"/>
  <c r="L620" i="41"/>
  <c r="L617" i="41"/>
  <c r="L616" i="41"/>
  <c r="L618" i="41"/>
  <c r="L631" i="41"/>
  <c r="I581" i="41"/>
  <c r="K586" i="41"/>
  <c r="J586" i="41" s="1"/>
  <c r="G586" i="41"/>
  <c r="E586" i="41"/>
  <c r="K584" i="41"/>
  <c r="J584" i="41" s="1"/>
  <c r="G584" i="41"/>
  <c r="E584" i="41"/>
  <c r="K583" i="41"/>
  <c r="J583" i="41" s="1"/>
  <c r="G583" i="41"/>
  <c r="E583" i="41"/>
  <c r="G582" i="41"/>
  <c r="E582" i="41"/>
  <c r="A582" i="41"/>
  <c r="K582" i="41" s="1"/>
  <c r="J582" i="41" s="1"/>
  <c r="K581" i="41"/>
  <c r="G581" i="41"/>
  <c r="E581" i="41"/>
  <c r="O580" i="41"/>
  <c r="A580" i="41"/>
  <c r="K580" i="41" s="1"/>
  <c r="K593" i="41"/>
  <c r="J593" i="41" s="1"/>
  <c r="G593" i="41"/>
  <c r="E593" i="41"/>
  <c r="K592" i="41"/>
  <c r="J592" i="41" s="1"/>
  <c r="G592" i="41"/>
  <c r="E592" i="41"/>
  <c r="K591" i="41"/>
  <c r="J591" i="41" s="1"/>
  <c r="G591" i="41"/>
  <c r="E591" i="41"/>
  <c r="K590" i="41"/>
  <c r="J590" i="41" s="1"/>
  <c r="G590" i="41"/>
  <c r="E590" i="41"/>
  <c r="K589" i="41"/>
  <c r="J589" i="41" s="1"/>
  <c r="G589" i="41"/>
  <c r="E589" i="41"/>
  <c r="G588" i="41"/>
  <c r="E588" i="41"/>
  <c r="A588" i="41"/>
  <c r="K588" i="41" s="1"/>
  <c r="J588" i="41" s="1"/>
  <c r="O587" i="41"/>
  <c r="A587" i="41"/>
  <c r="K587" i="41" l="1"/>
  <c r="L608" i="41"/>
  <c r="J608" i="41" s="1"/>
  <c r="R608" i="41" s="1"/>
  <c r="L646" i="41"/>
  <c r="J646" i="41" s="1"/>
  <c r="R646" i="41" s="1"/>
  <c r="L601" i="41"/>
  <c r="J601" i="41" s="1"/>
  <c r="R601" i="41" s="1"/>
  <c r="L653" i="41"/>
  <c r="J653" i="41" s="1"/>
  <c r="R653" i="41" s="1"/>
  <c r="L594" i="41"/>
  <c r="J594" i="41" s="1"/>
  <c r="R594" i="41" s="1"/>
  <c r="L660" i="41"/>
  <c r="J660" i="41" s="1"/>
  <c r="L639" i="41"/>
  <c r="J639" i="41" s="1"/>
  <c r="R639" i="41" s="1"/>
  <c r="L615" i="41"/>
  <c r="J615" i="41" s="1"/>
  <c r="R615" i="41" s="1"/>
  <c r="L593" i="41"/>
  <c r="R660" i="41" l="1"/>
  <c r="E819" i="41"/>
  <c r="E820" i="41"/>
  <c r="E824" i="41"/>
  <c r="C46" i="42" l="1"/>
  <c r="C46" i="29" s="1"/>
  <c r="C45" i="42"/>
  <c r="C45" i="29" s="1"/>
  <c r="C42" i="42"/>
  <c r="C42" i="29" s="1"/>
  <c r="C41" i="42"/>
  <c r="C41" i="29" s="1"/>
  <c r="C40" i="42"/>
  <c r="C40" i="29" s="1"/>
  <c r="C39" i="42"/>
  <c r="C39" i="29" s="1"/>
  <c r="C38" i="42"/>
  <c r="C38" i="29" s="1"/>
  <c r="C37" i="42"/>
  <c r="C37" i="29" s="1"/>
  <c r="C36" i="42"/>
  <c r="C36" i="29" s="1"/>
  <c r="C35" i="42"/>
  <c r="C35" i="29" s="1"/>
  <c r="C34" i="42"/>
  <c r="C34" i="29" s="1"/>
  <c r="C33" i="42"/>
  <c r="C33" i="29" s="1"/>
  <c r="C32" i="42"/>
  <c r="C32" i="29" s="1"/>
  <c r="C31" i="42"/>
  <c r="C31" i="29" s="1"/>
  <c r="C30" i="42"/>
  <c r="C30" i="29" s="1"/>
  <c r="C29" i="42"/>
  <c r="C29" i="29" s="1"/>
  <c r="C28" i="42"/>
  <c r="C28" i="29" s="1"/>
  <c r="C26" i="42"/>
  <c r="C26" i="29" s="1"/>
  <c r="C25" i="42"/>
  <c r="C25" i="29" s="1"/>
  <c r="C24" i="42"/>
  <c r="C24" i="29" s="1"/>
  <c r="C23" i="42"/>
  <c r="C23" i="29" s="1"/>
  <c r="C22" i="42"/>
  <c r="C22" i="29" s="1"/>
  <c r="C21" i="42"/>
  <c r="C21" i="29" s="1"/>
  <c r="E63" i="42"/>
  <c r="E64" i="42" s="1"/>
  <c r="D63" i="42"/>
  <c r="D49" i="42"/>
  <c r="F49" i="42" s="1"/>
  <c r="C49" i="42"/>
  <c r="D48" i="42"/>
  <c r="F48" i="42" s="1"/>
  <c r="C48" i="42"/>
  <c r="D47" i="42"/>
  <c r="F47" i="42" s="1"/>
  <c r="C47" i="42"/>
  <c r="E49" i="42" l="1"/>
  <c r="E48" i="42"/>
  <c r="I784" i="41"/>
  <c r="I60" i="42" l="1"/>
  <c r="L840" i="41"/>
  <c r="G793" i="41"/>
  <c r="E793" i="41"/>
  <c r="A793" i="41"/>
  <c r="K793" i="41" s="1"/>
  <c r="J793" i="41" s="1"/>
  <c r="G1090" i="41"/>
  <c r="E1090" i="41"/>
  <c r="A1090" i="41"/>
  <c r="K1090" i="41" s="1"/>
  <c r="J1090" i="41" s="1"/>
  <c r="G1084" i="41"/>
  <c r="E1084" i="41"/>
  <c r="A1084" i="41"/>
  <c r="K1084" i="41" s="1"/>
  <c r="J1084" i="41" s="1"/>
  <c r="G784" i="41"/>
  <c r="E784" i="41"/>
  <c r="A784" i="41"/>
  <c r="K784" i="41" s="1"/>
  <c r="G779" i="41"/>
  <c r="E779" i="41"/>
  <c r="A779" i="41"/>
  <c r="K779" i="41" s="1"/>
  <c r="J779" i="41" s="1"/>
  <c r="G775" i="41"/>
  <c r="E775" i="41"/>
  <c r="A775" i="41"/>
  <c r="K775" i="41" s="1"/>
  <c r="J775" i="41" s="1"/>
  <c r="M1357" i="41"/>
  <c r="R1246" i="41"/>
  <c r="O1246" i="41"/>
  <c r="A1246" i="41"/>
  <c r="K1246" i="41" s="1"/>
  <c r="R1245" i="41"/>
  <c r="O1245" i="41"/>
  <c r="A1245" i="41"/>
  <c r="G1244" i="41"/>
  <c r="E1244" i="41"/>
  <c r="A1244" i="41"/>
  <c r="K1244" i="41" s="1"/>
  <c r="G1243" i="41"/>
  <c r="E1243" i="41"/>
  <c r="A1243" i="41"/>
  <c r="K1243" i="41" s="1"/>
  <c r="O1243" i="41" s="1"/>
  <c r="R1242" i="41"/>
  <c r="O1242" i="41"/>
  <c r="A1242" i="41"/>
  <c r="K1242" i="41" s="1"/>
  <c r="G1241" i="41"/>
  <c r="E1241" i="41"/>
  <c r="A1241" i="41"/>
  <c r="K1241" i="41" s="1"/>
  <c r="R1240" i="41"/>
  <c r="O1240" i="41"/>
  <c r="A1240" i="41"/>
  <c r="K1240" i="41" s="1"/>
  <c r="G1239" i="41"/>
  <c r="E1239" i="41"/>
  <c r="A1239" i="41"/>
  <c r="K1239" i="41" s="1"/>
  <c r="R1238" i="41"/>
  <c r="O1238" i="41"/>
  <c r="A1238" i="41"/>
  <c r="K1238" i="41" s="1"/>
  <c r="R1236" i="41"/>
  <c r="O1236" i="41"/>
  <c r="A1236" i="41"/>
  <c r="R1235" i="41"/>
  <c r="O1235" i="41"/>
  <c r="A1235" i="41"/>
  <c r="K1235" i="41" s="1"/>
  <c r="R1234" i="41"/>
  <c r="O1234" i="41"/>
  <c r="A1234" i="41"/>
  <c r="A1204" i="41"/>
  <c r="K1204" i="41" s="1"/>
  <c r="J1204" i="41" s="1"/>
  <c r="A1203" i="41"/>
  <c r="K1203" i="41" s="1"/>
  <c r="A1202" i="41"/>
  <c r="K1202" i="41" s="1"/>
  <c r="A1201" i="41"/>
  <c r="K1201" i="41" s="1"/>
  <c r="A1199" i="41"/>
  <c r="K1199" i="41" s="1"/>
  <c r="A1198" i="41"/>
  <c r="O1197" i="41"/>
  <c r="A1197" i="41"/>
  <c r="K1197" i="41" s="1"/>
  <c r="O1196" i="41"/>
  <c r="A1196" i="41"/>
  <c r="G1175" i="41"/>
  <c r="A1175" i="41"/>
  <c r="K1175" i="41" s="1"/>
  <c r="R1175" i="41" s="1"/>
  <c r="G1169" i="41"/>
  <c r="A1169" i="41"/>
  <c r="K1169" i="41" s="1"/>
  <c r="A1167" i="41"/>
  <c r="K1167" i="41" s="1"/>
  <c r="O1166" i="41"/>
  <c r="A1166" i="41"/>
  <c r="O1165" i="41"/>
  <c r="A1165" i="41"/>
  <c r="K1165" i="41" s="1"/>
  <c r="O1164" i="41"/>
  <c r="A1164" i="41"/>
  <c r="I1163" i="41"/>
  <c r="G1163" i="41"/>
  <c r="E1163" i="41"/>
  <c r="A1163" i="41"/>
  <c r="K1163" i="41" s="1"/>
  <c r="A1162" i="41"/>
  <c r="K1162" i="41" s="1"/>
  <c r="O1162" i="41" s="1"/>
  <c r="I1160" i="41"/>
  <c r="E1160" i="41"/>
  <c r="A1160" i="41"/>
  <c r="K1160" i="41" s="1"/>
  <c r="A1159" i="41"/>
  <c r="K1159" i="41" s="1"/>
  <c r="O1159" i="41" s="1"/>
  <c r="I1158" i="41"/>
  <c r="G1158" i="41"/>
  <c r="E1158" i="41"/>
  <c r="A1158" i="41"/>
  <c r="K1158" i="41" s="1"/>
  <c r="A1157" i="41"/>
  <c r="K1157" i="41" s="1"/>
  <c r="O1157" i="41" s="1"/>
  <c r="I1156" i="41"/>
  <c r="G1156" i="41"/>
  <c r="E1156" i="41"/>
  <c r="A1156" i="41"/>
  <c r="K1156" i="41" s="1"/>
  <c r="R1155" i="41"/>
  <c r="A1155" i="41"/>
  <c r="K1155" i="41" s="1"/>
  <c r="O1155" i="41" s="1"/>
  <c r="I1154" i="41"/>
  <c r="G1154" i="41"/>
  <c r="E1154" i="41"/>
  <c r="A1154" i="41"/>
  <c r="K1154" i="41" s="1"/>
  <c r="A1153" i="41"/>
  <c r="K1153" i="41" s="1"/>
  <c r="O1153" i="41" s="1"/>
  <c r="I1152" i="41"/>
  <c r="G1152" i="41"/>
  <c r="E1152" i="41"/>
  <c r="A1152" i="41"/>
  <c r="K1152" i="41" s="1"/>
  <c r="A1151" i="41"/>
  <c r="K1151" i="41" s="1"/>
  <c r="O1151" i="41" s="1"/>
  <c r="G1145" i="41"/>
  <c r="A1145" i="41"/>
  <c r="K1145" i="41" s="1"/>
  <c r="J1145" i="41" s="1"/>
  <c r="A1141" i="41"/>
  <c r="K1141" i="41" s="1"/>
  <c r="O1132" i="41"/>
  <c r="A1132" i="41"/>
  <c r="K1132" i="41" s="1"/>
  <c r="R1131" i="41"/>
  <c r="O1131" i="41"/>
  <c r="A1131" i="41"/>
  <c r="K1131" i="41" s="1"/>
  <c r="R1130" i="41"/>
  <c r="O1130" i="41"/>
  <c r="A1130" i="41"/>
  <c r="G1129" i="41"/>
  <c r="E1129" i="41"/>
  <c r="A1129" i="41"/>
  <c r="K1129" i="41" s="1"/>
  <c r="O1126" i="41"/>
  <c r="A1126" i="41"/>
  <c r="R1125" i="41"/>
  <c r="O1125" i="41"/>
  <c r="A1125" i="41"/>
  <c r="K1125" i="41" s="1"/>
  <c r="R1124" i="41"/>
  <c r="O1124" i="41"/>
  <c r="A1124" i="41"/>
  <c r="G1114" i="41"/>
  <c r="E1114" i="41"/>
  <c r="A1114" i="41"/>
  <c r="A1105" i="41"/>
  <c r="G1089" i="41"/>
  <c r="E1089" i="41"/>
  <c r="A1089" i="41"/>
  <c r="K1089" i="41" s="1"/>
  <c r="J1089" i="41" s="1"/>
  <c r="G1087" i="41"/>
  <c r="E1087" i="41"/>
  <c r="A1087" i="41"/>
  <c r="O1086" i="41"/>
  <c r="A1086" i="41"/>
  <c r="K1086" i="41" s="1"/>
  <c r="G1085" i="41"/>
  <c r="E1085" i="41"/>
  <c r="A1085" i="41"/>
  <c r="K1085" i="41" s="1"/>
  <c r="J1085" i="41" s="1"/>
  <c r="G1082" i="41"/>
  <c r="E1082" i="41"/>
  <c r="A1082" i="41"/>
  <c r="K1082" i="41" s="1"/>
  <c r="O1081" i="41"/>
  <c r="A1081" i="41"/>
  <c r="K1081" i="41" s="1"/>
  <c r="R1080" i="41"/>
  <c r="O1080" i="41"/>
  <c r="A1080" i="41"/>
  <c r="K1080" i="41" s="1"/>
  <c r="R1079" i="41"/>
  <c r="O1079" i="41"/>
  <c r="A1079" i="41"/>
  <c r="G1078" i="41"/>
  <c r="E1078" i="41"/>
  <c r="A1078" i="41"/>
  <c r="K1078" i="41" s="1"/>
  <c r="G1077" i="41"/>
  <c r="E1077" i="41"/>
  <c r="A1077" i="41"/>
  <c r="K1077" i="41" s="1"/>
  <c r="J1077" i="41" s="1"/>
  <c r="L1077" i="41" s="1"/>
  <c r="G1076" i="41"/>
  <c r="E1076" i="41"/>
  <c r="A1076" i="41"/>
  <c r="K1076" i="41" s="1"/>
  <c r="J1076" i="41" s="1"/>
  <c r="L1076" i="41" s="1"/>
  <c r="G1075" i="41"/>
  <c r="E1075" i="41"/>
  <c r="A1075" i="41"/>
  <c r="K1075" i="41" s="1"/>
  <c r="J1075" i="41" s="1"/>
  <c r="L1075" i="41" s="1"/>
  <c r="G1074" i="41"/>
  <c r="E1074" i="41"/>
  <c r="A1074" i="41"/>
  <c r="K1074" i="41" s="1"/>
  <c r="J1074" i="41" s="1"/>
  <c r="L1074" i="41" s="1"/>
  <c r="G1073" i="41"/>
  <c r="E1073" i="41"/>
  <c r="A1073" i="41"/>
  <c r="K1073" i="41" s="1"/>
  <c r="J1073" i="41" s="1"/>
  <c r="L1073" i="41" s="1"/>
  <c r="A1072" i="41"/>
  <c r="G1071" i="41"/>
  <c r="E1071" i="41"/>
  <c r="A1071" i="41"/>
  <c r="K1071" i="41" s="1"/>
  <c r="J1071" i="41" s="1"/>
  <c r="A1070" i="41"/>
  <c r="G1069" i="41"/>
  <c r="E1069" i="41"/>
  <c r="A1069" i="41"/>
  <c r="K1069" i="41" s="1"/>
  <c r="J1069" i="41" s="1"/>
  <c r="A1068" i="41"/>
  <c r="E1067" i="41"/>
  <c r="A1067" i="41"/>
  <c r="K1067" i="41" s="1"/>
  <c r="J1067" i="41" s="1"/>
  <c r="G1064" i="41"/>
  <c r="E1064" i="41"/>
  <c r="A1064" i="41"/>
  <c r="K1064" i="41" s="1"/>
  <c r="J1064" i="41" s="1"/>
  <c r="G1063" i="41"/>
  <c r="E1063" i="41"/>
  <c r="A1063" i="41"/>
  <c r="K1063" i="41" s="1"/>
  <c r="J1063" i="41" s="1"/>
  <c r="G1061" i="41"/>
  <c r="E1061" i="41"/>
  <c r="A1061" i="41"/>
  <c r="K1061" i="41" s="1"/>
  <c r="J1061" i="41" s="1"/>
  <c r="G1059" i="41"/>
  <c r="E1059" i="41"/>
  <c r="A1059" i="41"/>
  <c r="K1059" i="41" s="1"/>
  <c r="J1059" i="41" s="1"/>
  <c r="G1058" i="41"/>
  <c r="E1058" i="41"/>
  <c r="A1058" i="41"/>
  <c r="K1058" i="41" s="1"/>
  <c r="G1050" i="41"/>
  <c r="E1050" i="41"/>
  <c r="A1050" i="41"/>
  <c r="K1050" i="41" s="1"/>
  <c r="J1050" i="41" s="1"/>
  <c r="A1049" i="41"/>
  <c r="G1048" i="41"/>
  <c r="E1048" i="41"/>
  <c r="A1048" i="41"/>
  <c r="K1048" i="41" s="1"/>
  <c r="J1048" i="41" s="1"/>
  <c r="G1047" i="41"/>
  <c r="E1047" i="41"/>
  <c r="A1047" i="41"/>
  <c r="K1047" i="41" s="1"/>
  <c r="J1047" i="41" s="1"/>
  <c r="G1046" i="41"/>
  <c r="E1046" i="41"/>
  <c r="A1046" i="41"/>
  <c r="K1046" i="41" s="1"/>
  <c r="J1046" i="41" s="1"/>
  <c r="G1045" i="41"/>
  <c r="E1045" i="41"/>
  <c r="A1045" i="41"/>
  <c r="K1045" i="41" s="1"/>
  <c r="J1045" i="41" s="1"/>
  <c r="G1044" i="41"/>
  <c r="E1044" i="41"/>
  <c r="A1044" i="41"/>
  <c r="K1044" i="41" s="1"/>
  <c r="A1043" i="41"/>
  <c r="L1078" i="41"/>
  <c r="A1009" i="41"/>
  <c r="A1008" i="41"/>
  <c r="K1008" i="41" s="1"/>
  <c r="L1008" i="41" s="1"/>
  <c r="G990" i="41"/>
  <c r="E990" i="41"/>
  <c r="A990" i="41"/>
  <c r="R989" i="41"/>
  <c r="O989" i="41"/>
  <c r="A989" i="41"/>
  <c r="K989" i="41" s="1"/>
  <c r="R988" i="41"/>
  <c r="O988" i="41"/>
  <c r="A988" i="41"/>
  <c r="R987" i="41"/>
  <c r="O987" i="41"/>
  <c r="A987" i="41"/>
  <c r="I986" i="41"/>
  <c r="G986" i="41"/>
  <c r="E986" i="41"/>
  <c r="A986" i="41"/>
  <c r="K986" i="41" s="1"/>
  <c r="J986" i="41" s="1"/>
  <c r="G985" i="41"/>
  <c r="E985" i="41"/>
  <c r="A985" i="41"/>
  <c r="K985" i="41" s="1"/>
  <c r="J985" i="41" s="1"/>
  <c r="L985" i="41" s="1"/>
  <c r="R984" i="41"/>
  <c r="O984" i="41"/>
  <c r="A984" i="41"/>
  <c r="K984" i="41" s="1"/>
  <c r="I983" i="41"/>
  <c r="G983" i="41"/>
  <c r="E983" i="41"/>
  <c r="A983" i="41"/>
  <c r="K983" i="41" s="1"/>
  <c r="J983" i="41" s="1"/>
  <c r="R982" i="41"/>
  <c r="O982" i="41"/>
  <c r="A982" i="41"/>
  <c r="K982" i="41" s="1"/>
  <c r="A978" i="41"/>
  <c r="K978" i="41" s="1"/>
  <c r="O973" i="41"/>
  <c r="A973" i="41"/>
  <c r="R972" i="41"/>
  <c r="O972" i="41"/>
  <c r="A972" i="41"/>
  <c r="K972" i="41" s="1"/>
  <c r="G971" i="41"/>
  <c r="E971" i="41"/>
  <c r="A971" i="41"/>
  <c r="K971" i="41" s="1"/>
  <c r="J971" i="41" s="1"/>
  <c r="G970" i="41"/>
  <c r="E970" i="41"/>
  <c r="A970" i="41"/>
  <c r="K970" i="41" s="1"/>
  <c r="J970" i="41" s="1"/>
  <c r="O969" i="41"/>
  <c r="A969" i="41"/>
  <c r="K969" i="41" s="1"/>
  <c r="G964" i="41"/>
  <c r="A964" i="41"/>
  <c r="K964" i="41" s="1"/>
  <c r="G962" i="41"/>
  <c r="E962" i="41"/>
  <c r="A962" i="41"/>
  <c r="K962" i="41" s="1"/>
  <c r="J962" i="41" s="1"/>
  <c r="O961" i="41"/>
  <c r="A961" i="41"/>
  <c r="K961" i="41" s="1"/>
  <c r="G960" i="41"/>
  <c r="E960" i="41"/>
  <c r="A960" i="41"/>
  <c r="K960" i="41" s="1"/>
  <c r="G959" i="41"/>
  <c r="E959" i="41"/>
  <c r="A959" i="41"/>
  <c r="K959" i="41" s="1"/>
  <c r="L959" i="41" s="1"/>
  <c r="O958" i="41"/>
  <c r="A958" i="41"/>
  <c r="K958" i="41" s="1"/>
  <c r="G952" i="41"/>
  <c r="E952" i="41"/>
  <c r="A952" i="41"/>
  <c r="K952" i="41" s="1"/>
  <c r="O951" i="41"/>
  <c r="A951" i="41"/>
  <c r="K951" i="41" s="1"/>
  <c r="G950" i="41"/>
  <c r="A950" i="41"/>
  <c r="K950" i="41" s="1"/>
  <c r="J950" i="41" s="1"/>
  <c r="G949" i="41"/>
  <c r="E949" i="41"/>
  <c r="A949" i="41"/>
  <c r="K949" i="41" s="1"/>
  <c r="O948" i="41"/>
  <c r="A948" i="41"/>
  <c r="K948" i="41" s="1"/>
  <c r="O923" i="41"/>
  <c r="A923" i="41"/>
  <c r="K923" i="41" s="1"/>
  <c r="R922" i="41"/>
  <c r="O922" i="41"/>
  <c r="A922" i="41"/>
  <c r="K922" i="41" s="1"/>
  <c r="R921" i="41"/>
  <c r="O921" i="41"/>
  <c r="A921" i="41"/>
  <c r="K920" i="41"/>
  <c r="J920" i="41" s="1"/>
  <c r="I920" i="41"/>
  <c r="G920" i="41"/>
  <c r="E920" i="41"/>
  <c r="K919" i="41"/>
  <c r="J919" i="41" s="1"/>
  <c r="I919" i="41"/>
  <c r="G919" i="41"/>
  <c r="E919" i="41"/>
  <c r="K918" i="41"/>
  <c r="K908" i="41"/>
  <c r="J908" i="41" s="1"/>
  <c r="I908" i="41"/>
  <c r="G908" i="41"/>
  <c r="E908" i="41"/>
  <c r="K907" i="41"/>
  <c r="J907" i="41" s="1"/>
  <c r="I907" i="41"/>
  <c r="G907" i="41"/>
  <c r="E907" i="41"/>
  <c r="K906" i="41"/>
  <c r="J906" i="41" s="1"/>
  <c r="I906" i="41"/>
  <c r="G906" i="41"/>
  <c r="E906" i="41"/>
  <c r="K905" i="41"/>
  <c r="A904" i="41"/>
  <c r="K903" i="41"/>
  <c r="J903" i="41" s="1"/>
  <c r="G903" i="41"/>
  <c r="E903" i="41"/>
  <c r="G902" i="41"/>
  <c r="E902" i="41"/>
  <c r="A902" i="41"/>
  <c r="K902" i="41" s="1"/>
  <c r="J902" i="41" s="1"/>
  <c r="G900" i="41"/>
  <c r="E900" i="41"/>
  <c r="A900" i="41"/>
  <c r="K900" i="41" s="1"/>
  <c r="J900" i="41" s="1"/>
  <c r="A899" i="41"/>
  <c r="K899" i="41" s="1"/>
  <c r="K881" i="41"/>
  <c r="J881" i="41" s="1"/>
  <c r="G881" i="41"/>
  <c r="E881" i="41"/>
  <c r="K880" i="41"/>
  <c r="J880" i="41" s="1"/>
  <c r="G880" i="41"/>
  <c r="E880" i="41"/>
  <c r="G879" i="41"/>
  <c r="E879" i="41"/>
  <c r="A879" i="41"/>
  <c r="K879" i="41" s="1"/>
  <c r="J879" i="41" s="1"/>
  <c r="G878" i="41"/>
  <c r="E878" i="41"/>
  <c r="A878" i="41"/>
  <c r="K878" i="41" s="1"/>
  <c r="J878" i="41" s="1"/>
  <c r="R878" i="41" s="1"/>
  <c r="I877" i="41"/>
  <c r="A877" i="41"/>
  <c r="K877" i="41" s="1"/>
  <c r="A853" i="41"/>
  <c r="K853" i="41" s="1"/>
  <c r="A843" i="41"/>
  <c r="A842" i="41"/>
  <c r="K839" i="41"/>
  <c r="J839" i="41" s="1"/>
  <c r="G839" i="41"/>
  <c r="E839" i="41"/>
  <c r="K838" i="41"/>
  <c r="J838" i="41" s="1"/>
  <c r="G838" i="41"/>
  <c r="E838" i="41"/>
  <c r="I837" i="41"/>
  <c r="G837" i="41"/>
  <c r="E837" i="41"/>
  <c r="A837" i="41"/>
  <c r="K837" i="41" s="1"/>
  <c r="J837" i="41" s="1"/>
  <c r="I836" i="41"/>
  <c r="G836" i="41"/>
  <c r="E836" i="41"/>
  <c r="A836" i="41"/>
  <c r="K836" i="41" s="1"/>
  <c r="J836" i="41" s="1"/>
  <c r="O835" i="41"/>
  <c r="A835" i="41"/>
  <c r="K835" i="41" s="1"/>
  <c r="K824" i="41"/>
  <c r="J824" i="41" s="1"/>
  <c r="G824" i="41"/>
  <c r="K820" i="41"/>
  <c r="J820" i="41" s="1"/>
  <c r="G820" i="41"/>
  <c r="G819" i="41"/>
  <c r="A819" i="41"/>
  <c r="K819" i="41" s="1"/>
  <c r="I812" i="41"/>
  <c r="A812" i="41"/>
  <c r="K812" i="41" s="1"/>
  <c r="R811" i="41"/>
  <c r="O811" i="41"/>
  <c r="A811" i="41"/>
  <c r="R810" i="41"/>
  <c r="O810" i="41"/>
  <c r="A810" i="41"/>
  <c r="G805" i="41"/>
  <c r="A805" i="41"/>
  <c r="K805" i="41" s="1"/>
  <c r="A804" i="41"/>
  <c r="K804" i="41" s="1"/>
  <c r="O804" i="41" s="1"/>
  <c r="R803" i="41"/>
  <c r="O803" i="41"/>
  <c r="A803" i="41"/>
  <c r="K803" i="41" s="1"/>
  <c r="R802" i="41"/>
  <c r="O802" i="41"/>
  <c r="A802" i="41"/>
  <c r="I801" i="41"/>
  <c r="O801" i="41" s="1"/>
  <c r="G801" i="41"/>
  <c r="E801" i="41"/>
  <c r="A801" i="41"/>
  <c r="K801" i="41" s="1"/>
  <c r="J801" i="41" s="1"/>
  <c r="I800" i="41"/>
  <c r="O800" i="41" s="1"/>
  <c r="G800" i="41"/>
  <c r="E800" i="41"/>
  <c r="A800" i="41"/>
  <c r="R799" i="41"/>
  <c r="A799" i="41"/>
  <c r="K799" i="41" s="1"/>
  <c r="O799" i="41" s="1"/>
  <c r="I798" i="41"/>
  <c r="G798" i="41"/>
  <c r="E798" i="41"/>
  <c r="A798" i="41"/>
  <c r="K798" i="41" s="1"/>
  <c r="J798" i="41" s="1"/>
  <c r="G795" i="41"/>
  <c r="E795" i="41"/>
  <c r="A795" i="41"/>
  <c r="K795" i="41" s="1"/>
  <c r="J795" i="41" s="1"/>
  <c r="G794" i="41"/>
  <c r="E794" i="41"/>
  <c r="A794" i="41"/>
  <c r="K794" i="41" s="1"/>
  <c r="G792" i="41"/>
  <c r="E792" i="41"/>
  <c r="A792" i="41"/>
  <c r="K792" i="41" s="1"/>
  <c r="O791" i="41"/>
  <c r="A791" i="41"/>
  <c r="G790" i="41"/>
  <c r="E790" i="41"/>
  <c r="A790" i="41"/>
  <c r="K790" i="41" s="1"/>
  <c r="G788" i="41"/>
  <c r="E788" i="41"/>
  <c r="A788" i="41"/>
  <c r="K788" i="41" s="1"/>
  <c r="R787" i="41"/>
  <c r="A787" i="41"/>
  <c r="K787" i="41" s="1"/>
  <c r="O787" i="41" s="1"/>
  <c r="I786" i="41"/>
  <c r="G786" i="41"/>
  <c r="E786" i="41"/>
  <c r="A786" i="41"/>
  <c r="K786" i="41" s="1"/>
  <c r="J786" i="41" s="1"/>
  <c r="I785" i="41"/>
  <c r="G785" i="41"/>
  <c r="E785" i="41"/>
  <c r="A785" i="41"/>
  <c r="K785" i="41" s="1"/>
  <c r="J785" i="41" s="1"/>
  <c r="I783" i="41"/>
  <c r="G783" i="41"/>
  <c r="E783" i="41"/>
  <c r="A783" i="41"/>
  <c r="K783" i="41" s="1"/>
  <c r="J783" i="41" s="1"/>
  <c r="R782" i="41"/>
  <c r="O782" i="41"/>
  <c r="A782" i="41"/>
  <c r="K782" i="41" s="1"/>
  <c r="G781" i="41"/>
  <c r="E781" i="41"/>
  <c r="A781" i="41"/>
  <c r="K781" i="41" s="1"/>
  <c r="J781" i="41" s="1"/>
  <c r="G780" i="41"/>
  <c r="E780" i="41"/>
  <c r="A780" i="41"/>
  <c r="K780" i="41" s="1"/>
  <c r="G778" i="41"/>
  <c r="E778" i="41"/>
  <c r="A778" i="41"/>
  <c r="K778" i="41" s="1"/>
  <c r="O777" i="41"/>
  <c r="A777" i="41"/>
  <c r="K777" i="41" s="1"/>
  <c r="G776" i="41"/>
  <c r="E776" i="41"/>
  <c r="A776" i="41"/>
  <c r="K776" i="41" s="1"/>
  <c r="J776" i="41" s="1"/>
  <c r="O773" i="41"/>
  <c r="A773" i="41"/>
  <c r="R772" i="41"/>
  <c r="O772" i="41"/>
  <c r="A772" i="41"/>
  <c r="K772" i="41" s="1"/>
  <c r="R771" i="41"/>
  <c r="O771" i="41"/>
  <c r="A771" i="41"/>
  <c r="G770" i="41"/>
  <c r="E770" i="41"/>
  <c r="A770" i="41"/>
  <c r="K770" i="41" s="1"/>
  <c r="J770" i="41" s="1"/>
  <c r="L770" i="41" s="1"/>
  <c r="R769" i="41"/>
  <c r="O769" i="41"/>
  <c r="A769" i="41"/>
  <c r="A756" i="41"/>
  <c r="A749" i="41"/>
  <c r="G748" i="41"/>
  <c r="A748" i="41"/>
  <c r="K748" i="41" s="1"/>
  <c r="O738" i="41"/>
  <c r="A738" i="41"/>
  <c r="R737" i="41"/>
  <c r="O737" i="41"/>
  <c r="A737" i="41"/>
  <c r="K737" i="41" s="1"/>
  <c r="R736" i="41"/>
  <c r="O736" i="41"/>
  <c r="A736" i="41"/>
  <c r="G735" i="41"/>
  <c r="E735" i="41"/>
  <c r="A735" i="41"/>
  <c r="K735" i="41" s="1"/>
  <c r="J735" i="41" s="1"/>
  <c r="G734" i="41"/>
  <c r="E734" i="41"/>
  <c r="A734" i="41"/>
  <c r="K734" i="41" s="1"/>
  <c r="J734" i="41" s="1"/>
  <c r="L734" i="41" s="1"/>
  <c r="G733" i="41"/>
  <c r="E733" i="41"/>
  <c r="A733" i="41"/>
  <c r="K733" i="41" s="1"/>
  <c r="J733" i="41" s="1"/>
  <c r="L733" i="41" s="1"/>
  <c r="G732" i="41"/>
  <c r="E732" i="41"/>
  <c r="A732" i="41"/>
  <c r="K732" i="41" s="1"/>
  <c r="J732" i="41" s="1"/>
  <c r="L732" i="41" s="1"/>
  <c r="G731" i="41"/>
  <c r="E731" i="41"/>
  <c r="A731" i="41"/>
  <c r="K731" i="41" s="1"/>
  <c r="J731" i="41" s="1"/>
  <c r="L731" i="41" s="1"/>
  <c r="G730" i="41"/>
  <c r="E730" i="41"/>
  <c r="A730" i="41"/>
  <c r="K730" i="41" s="1"/>
  <c r="J730" i="41" s="1"/>
  <c r="L730" i="41" s="1"/>
  <c r="R729" i="41"/>
  <c r="O729" i="41"/>
  <c r="A729" i="41"/>
  <c r="R728" i="41"/>
  <c r="O728" i="41"/>
  <c r="A728" i="41"/>
  <c r="G727" i="41"/>
  <c r="E727" i="41"/>
  <c r="A727" i="41"/>
  <c r="K727" i="41" s="1"/>
  <c r="J727" i="41" s="1"/>
  <c r="R727" i="41" s="1"/>
  <c r="R718" i="41"/>
  <c r="O718" i="41"/>
  <c r="A718" i="41"/>
  <c r="K718" i="41" s="1"/>
  <c r="G717" i="41"/>
  <c r="E717" i="41"/>
  <c r="A717" i="41"/>
  <c r="K717" i="41" s="1"/>
  <c r="J717" i="41" s="1"/>
  <c r="K710" i="41"/>
  <c r="O702" i="41"/>
  <c r="A702" i="41"/>
  <c r="K702" i="41" s="1"/>
  <c r="R701" i="41"/>
  <c r="O701" i="41"/>
  <c r="A701" i="41"/>
  <c r="K701" i="41" s="1"/>
  <c r="R700" i="41"/>
  <c r="O700" i="41"/>
  <c r="A700" i="41"/>
  <c r="G691" i="41"/>
  <c r="A691" i="41"/>
  <c r="K691" i="41" s="1"/>
  <c r="J691" i="41" s="1"/>
  <c r="O690" i="41"/>
  <c r="A690" i="41"/>
  <c r="K690" i="41" s="1"/>
  <c r="G688" i="41"/>
  <c r="E688" i="41"/>
  <c r="A688" i="41"/>
  <c r="K688" i="41" s="1"/>
  <c r="J688" i="41" s="1"/>
  <c r="O687" i="41"/>
  <c r="A687" i="41"/>
  <c r="K579" i="41"/>
  <c r="J579" i="41" s="1"/>
  <c r="G579" i="41"/>
  <c r="E579" i="41"/>
  <c r="K577" i="41"/>
  <c r="J577" i="41" s="1"/>
  <c r="G577" i="41"/>
  <c r="E577" i="41"/>
  <c r="K576" i="41"/>
  <c r="J576" i="41" s="1"/>
  <c r="G576" i="41"/>
  <c r="E576" i="41"/>
  <c r="G575" i="41"/>
  <c r="E575" i="41"/>
  <c r="A575" i="41"/>
  <c r="K575" i="41" s="1"/>
  <c r="J575" i="41" s="1"/>
  <c r="K574" i="41"/>
  <c r="G574" i="41"/>
  <c r="E574" i="41"/>
  <c r="O573" i="41"/>
  <c r="A573" i="41"/>
  <c r="R572" i="41"/>
  <c r="O572" i="41"/>
  <c r="A572" i="41"/>
  <c r="K572" i="41" s="1"/>
  <c r="R571" i="41"/>
  <c r="O571" i="41"/>
  <c r="A571" i="41"/>
  <c r="K570" i="41"/>
  <c r="J570" i="41" s="1"/>
  <c r="G570" i="41"/>
  <c r="E570" i="41"/>
  <c r="G535" i="41"/>
  <c r="E535" i="41"/>
  <c r="A535" i="41"/>
  <c r="K535" i="41" s="1"/>
  <c r="J535" i="41" s="1"/>
  <c r="G533" i="41"/>
  <c r="E533" i="41"/>
  <c r="A533" i="41"/>
  <c r="K533" i="41" s="1"/>
  <c r="G531" i="41"/>
  <c r="E531" i="41"/>
  <c r="A531" i="41"/>
  <c r="K531" i="41" s="1"/>
  <c r="J531" i="41" s="1"/>
  <c r="G530" i="41"/>
  <c r="E530" i="41"/>
  <c r="A530" i="41"/>
  <c r="K530" i="41" s="1"/>
  <c r="J530" i="41" s="1"/>
  <c r="G529" i="41"/>
  <c r="E529" i="41"/>
  <c r="A529" i="41"/>
  <c r="K529" i="41" s="1"/>
  <c r="J529" i="41" s="1"/>
  <c r="K528" i="41"/>
  <c r="J528" i="41" s="1"/>
  <c r="G528" i="41"/>
  <c r="E528" i="41"/>
  <c r="G527" i="41"/>
  <c r="E527" i="41"/>
  <c r="A527" i="41"/>
  <c r="K527" i="41" s="1"/>
  <c r="G526" i="41"/>
  <c r="E526" i="41"/>
  <c r="A526" i="41"/>
  <c r="K526" i="41" s="1"/>
  <c r="J526" i="41" s="1"/>
  <c r="K524" i="41"/>
  <c r="J524" i="41" s="1"/>
  <c r="G524" i="41"/>
  <c r="E524" i="41"/>
  <c r="K522" i="41"/>
  <c r="J522" i="41" s="1"/>
  <c r="G522" i="41"/>
  <c r="E522" i="41"/>
  <c r="K521" i="41"/>
  <c r="J521" i="41" s="1"/>
  <c r="G521" i="41"/>
  <c r="E521" i="41"/>
  <c r="O518" i="41"/>
  <c r="A518" i="41"/>
  <c r="R517" i="41"/>
  <c r="O517" i="41"/>
  <c r="A517" i="41"/>
  <c r="K517" i="41" s="1"/>
  <c r="R516" i="41"/>
  <c r="O516" i="41"/>
  <c r="A516" i="41"/>
  <c r="E515" i="41"/>
  <c r="A515" i="41"/>
  <c r="K515" i="41" s="1"/>
  <c r="J515" i="41" s="1"/>
  <c r="R515" i="41" s="1"/>
  <c r="K514" i="41"/>
  <c r="J514" i="41" s="1"/>
  <c r="G514" i="41"/>
  <c r="E514" i="41"/>
  <c r="E513" i="41"/>
  <c r="A513" i="41"/>
  <c r="K513" i="41" s="1"/>
  <c r="J513" i="41" s="1"/>
  <c r="K512" i="41"/>
  <c r="J512" i="41" s="1"/>
  <c r="L512" i="41" s="1"/>
  <c r="G512" i="41"/>
  <c r="E512" i="41"/>
  <c r="K509" i="41"/>
  <c r="J509" i="41" s="1"/>
  <c r="E509" i="41"/>
  <c r="E508" i="41"/>
  <c r="A508" i="41"/>
  <c r="K495" i="41"/>
  <c r="J495" i="41" s="1"/>
  <c r="E495" i="41"/>
  <c r="I495" i="41"/>
  <c r="K493" i="41"/>
  <c r="G493" i="41"/>
  <c r="E493" i="41"/>
  <c r="K492" i="41"/>
  <c r="J492" i="41" s="1"/>
  <c r="G492" i="41"/>
  <c r="E492" i="41"/>
  <c r="K491" i="41"/>
  <c r="J491" i="41" s="1"/>
  <c r="G491" i="41"/>
  <c r="E491" i="41"/>
  <c r="K490" i="41"/>
  <c r="J490" i="41" s="1"/>
  <c r="G490" i="41"/>
  <c r="E490" i="41"/>
  <c r="K489" i="41"/>
  <c r="J489" i="41" s="1"/>
  <c r="G489" i="41"/>
  <c r="E489" i="41"/>
  <c r="K488" i="41"/>
  <c r="J488" i="41" s="1"/>
  <c r="G488" i="41"/>
  <c r="E488" i="41"/>
  <c r="K487" i="41"/>
  <c r="J487" i="41" s="1"/>
  <c r="G487" i="41"/>
  <c r="E487" i="41"/>
  <c r="K485" i="41"/>
  <c r="J485" i="41" s="1"/>
  <c r="I485" i="41"/>
  <c r="G485" i="41"/>
  <c r="E485" i="41"/>
  <c r="K484" i="41"/>
  <c r="J484" i="41" s="1"/>
  <c r="G484" i="41"/>
  <c r="E484" i="41"/>
  <c r="K483" i="41"/>
  <c r="J483" i="41" s="1"/>
  <c r="I483" i="41"/>
  <c r="G483" i="41"/>
  <c r="E483" i="41"/>
  <c r="K481" i="41"/>
  <c r="J481" i="41" s="1"/>
  <c r="G481" i="41"/>
  <c r="E481" i="41"/>
  <c r="K480" i="41"/>
  <c r="J480" i="41" s="1"/>
  <c r="G480" i="41"/>
  <c r="E480" i="41"/>
  <c r="K479" i="41"/>
  <c r="J479" i="41" s="1"/>
  <c r="G479" i="41"/>
  <c r="E479" i="41"/>
  <c r="K478" i="41"/>
  <c r="J478" i="41" s="1"/>
  <c r="G478" i="41"/>
  <c r="E478" i="41"/>
  <c r="G476" i="41"/>
  <c r="E476" i="41"/>
  <c r="A476" i="41"/>
  <c r="K476" i="41" s="1"/>
  <c r="A474" i="41"/>
  <c r="G473" i="41"/>
  <c r="E473" i="41"/>
  <c r="A473" i="41"/>
  <c r="K473" i="41" s="1"/>
  <c r="J473" i="41" s="1"/>
  <c r="G469" i="41"/>
  <c r="E469" i="41"/>
  <c r="A469" i="41"/>
  <c r="G468" i="41"/>
  <c r="E468" i="41"/>
  <c r="A468" i="41"/>
  <c r="K468" i="41" s="1"/>
  <c r="J468" i="41" s="1"/>
  <c r="G467" i="41"/>
  <c r="E467" i="41"/>
  <c r="A467" i="41"/>
  <c r="K467" i="41" s="1"/>
  <c r="J467" i="41" s="1"/>
  <c r="G464" i="41"/>
  <c r="E464" i="41"/>
  <c r="A464" i="41"/>
  <c r="K464" i="41" s="1"/>
  <c r="J464" i="41" s="1"/>
  <c r="G463" i="41"/>
  <c r="E463" i="41"/>
  <c r="A463" i="41"/>
  <c r="K463" i="41" s="1"/>
  <c r="J463" i="41" s="1"/>
  <c r="G460" i="41"/>
  <c r="E460" i="41"/>
  <c r="A460" i="41"/>
  <c r="K460" i="41" s="1"/>
  <c r="J460" i="41" s="1"/>
  <c r="A459" i="41"/>
  <c r="G446" i="41"/>
  <c r="E446" i="41"/>
  <c r="A446" i="41"/>
  <c r="K446" i="41" s="1"/>
  <c r="G443" i="41"/>
  <c r="E443" i="41"/>
  <c r="A443" i="41"/>
  <c r="K443" i="41" s="1"/>
  <c r="J443" i="41" s="1"/>
  <c r="G442" i="41"/>
  <c r="E442" i="41"/>
  <c r="A442" i="41"/>
  <c r="K442" i="41" s="1"/>
  <c r="J442" i="41" s="1"/>
  <c r="G439" i="41"/>
  <c r="E439" i="41"/>
  <c r="A439" i="41"/>
  <c r="K439" i="41" s="1"/>
  <c r="J439" i="41" s="1"/>
  <c r="L439" i="41" s="1"/>
  <c r="G438" i="41"/>
  <c r="E438" i="41"/>
  <c r="A438" i="41"/>
  <c r="K438" i="41" s="1"/>
  <c r="J438" i="41" s="1"/>
  <c r="L438" i="41" s="1"/>
  <c r="G437" i="41"/>
  <c r="E437" i="41"/>
  <c r="A437" i="41"/>
  <c r="K437" i="41" s="1"/>
  <c r="J437" i="41" s="1"/>
  <c r="A436" i="41"/>
  <c r="R435" i="41"/>
  <c r="O435" i="41"/>
  <c r="A435" i="41"/>
  <c r="K435" i="41" s="1"/>
  <c r="K333" i="41"/>
  <c r="J333" i="41" s="1"/>
  <c r="L333" i="41" s="1"/>
  <c r="G333" i="41"/>
  <c r="E333" i="41"/>
  <c r="K332" i="41"/>
  <c r="J332" i="41" s="1"/>
  <c r="L332" i="41" s="1"/>
  <c r="G332" i="41"/>
  <c r="E332" i="41"/>
  <c r="K331" i="41"/>
  <c r="J331" i="41" s="1"/>
  <c r="L331" i="41" s="1"/>
  <c r="G331" i="41"/>
  <c r="E331" i="41"/>
  <c r="A330" i="41"/>
  <c r="K330" i="41" s="1"/>
  <c r="O329" i="41"/>
  <c r="A329" i="41"/>
  <c r="O328" i="41"/>
  <c r="A328" i="41"/>
  <c r="K327" i="41"/>
  <c r="J327" i="41" s="1"/>
  <c r="G327" i="41"/>
  <c r="E327" i="41"/>
  <c r="K324" i="41"/>
  <c r="J324" i="41" s="1"/>
  <c r="G324" i="41"/>
  <c r="E324" i="41"/>
  <c r="K322" i="41"/>
  <c r="J322" i="41" s="1"/>
  <c r="G322" i="41"/>
  <c r="E322" i="41"/>
  <c r="K321" i="41"/>
  <c r="J321" i="41" s="1"/>
  <c r="I321" i="41"/>
  <c r="I322" i="41" s="1"/>
  <c r="G321" i="41"/>
  <c r="E321" i="41"/>
  <c r="K320" i="41"/>
  <c r="J320" i="41" s="1"/>
  <c r="G320" i="41"/>
  <c r="E320" i="41"/>
  <c r="K319" i="41"/>
  <c r="J319" i="41" s="1"/>
  <c r="L319" i="41" s="1"/>
  <c r="G319" i="41"/>
  <c r="E319" i="41"/>
  <c r="R317" i="41"/>
  <c r="O317" i="41"/>
  <c r="A317" i="41"/>
  <c r="G310" i="41"/>
  <c r="E310" i="41"/>
  <c r="A310" i="41"/>
  <c r="K310" i="41" s="1"/>
  <c r="G309" i="41"/>
  <c r="E309" i="41"/>
  <c r="A309" i="41"/>
  <c r="K309" i="41" s="1"/>
  <c r="O308" i="41"/>
  <c r="G308" i="41"/>
  <c r="E308" i="41"/>
  <c r="A308" i="41"/>
  <c r="K308" i="41" s="1"/>
  <c r="J308" i="41" s="1"/>
  <c r="I307" i="41"/>
  <c r="I310" i="41" s="1"/>
  <c r="G307" i="41"/>
  <c r="E307" i="41"/>
  <c r="A307" i="41"/>
  <c r="K307" i="41" s="1"/>
  <c r="T306" i="41"/>
  <c r="G306" i="41"/>
  <c r="E306" i="41"/>
  <c r="A306" i="41"/>
  <c r="K306" i="41" s="1"/>
  <c r="J306" i="41" s="1"/>
  <c r="L306" i="41" s="1"/>
  <c r="G305" i="41"/>
  <c r="E305" i="41"/>
  <c r="A305" i="41"/>
  <c r="K305" i="41" s="1"/>
  <c r="O305" i="41" s="1"/>
  <c r="G304" i="41"/>
  <c r="E304" i="41"/>
  <c r="A304" i="41"/>
  <c r="K304" i="41" s="1"/>
  <c r="J304" i="41" s="1"/>
  <c r="L304" i="41" s="1"/>
  <c r="G303" i="41"/>
  <c r="E303" i="41"/>
  <c r="A303" i="41"/>
  <c r="K303" i="41" s="1"/>
  <c r="J303" i="41" s="1"/>
  <c r="L303" i="41" s="1"/>
  <c r="G302" i="41"/>
  <c r="E302" i="41"/>
  <c r="A302" i="41"/>
  <c r="K302" i="41" s="1"/>
  <c r="G301" i="41"/>
  <c r="E301" i="41"/>
  <c r="A301" i="41"/>
  <c r="R300" i="41"/>
  <c r="O300" i="41"/>
  <c r="A300" i="41"/>
  <c r="R299" i="41"/>
  <c r="O299" i="41"/>
  <c r="A299" i="41"/>
  <c r="K299" i="41" s="1"/>
  <c r="R298" i="41"/>
  <c r="O298" i="41"/>
  <c r="A298" i="41"/>
  <c r="R297" i="41"/>
  <c r="O297" i="41"/>
  <c r="A297" i="41"/>
  <c r="G296" i="41"/>
  <c r="E296" i="41"/>
  <c r="A296" i="41"/>
  <c r="K296" i="41" s="1"/>
  <c r="O296" i="41" s="1"/>
  <c r="G295" i="41"/>
  <c r="E295" i="41"/>
  <c r="A295" i="41"/>
  <c r="K295" i="41" s="1"/>
  <c r="G294" i="41"/>
  <c r="E294" i="41"/>
  <c r="A294" i="41"/>
  <c r="K294" i="41" s="1"/>
  <c r="O294" i="41" s="1"/>
  <c r="G293" i="41"/>
  <c r="E293" i="41"/>
  <c r="A293" i="41"/>
  <c r="K293" i="41" s="1"/>
  <c r="R292" i="41"/>
  <c r="O292" i="41"/>
  <c r="A292" i="41"/>
  <c r="K292" i="41" s="1"/>
  <c r="R291" i="41"/>
  <c r="O291" i="41"/>
  <c r="A291" i="41"/>
  <c r="K291" i="41" s="1"/>
  <c r="G290" i="41"/>
  <c r="E290" i="41"/>
  <c r="A290" i="41"/>
  <c r="K290" i="41" s="1"/>
  <c r="R289" i="41"/>
  <c r="A289" i="41"/>
  <c r="K289" i="41" s="1"/>
  <c r="K286" i="41"/>
  <c r="J286" i="41" s="1"/>
  <c r="I286" i="41"/>
  <c r="A286" i="41"/>
  <c r="R285" i="41"/>
  <c r="O285" i="41"/>
  <c r="A285" i="41"/>
  <c r="K285" i="41" s="1"/>
  <c r="I284" i="41"/>
  <c r="G284" i="41"/>
  <c r="E284" i="41"/>
  <c r="A284" i="41"/>
  <c r="K284" i="41" s="1"/>
  <c r="R283" i="41"/>
  <c r="O283" i="41"/>
  <c r="A283" i="41"/>
  <c r="R282" i="41"/>
  <c r="O282" i="41"/>
  <c r="A282" i="41"/>
  <c r="K282" i="41" s="1"/>
  <c r="G281" i="41"/>
  <c r="E281" i="41"/>
  <c r="A281" i="41"/>
  <c r="K281" i="41" s="1"/>
  <c r="R280" i="41"/>
  <c r="O280" i="41"/>
  <c r="I281" i="41"/>
  <c r="A280" i="41"/>
  <c r="K280" i="41" s="1"/>
  <c r="R279" i="41"/>
  <c r="O279" i="41"/>
  <c r="A279" i="41"/>
  <c r="K279" i="41" s="1"/>
  <c r="G278" i="41"/>
  <c r="E278" i="41"/>
  <c r="A278" i="41"/>
  <c r="K278" i="41" s="1"/>
  <c r="J278" i="41" s="1"/>
  <c r="G277" i="41"/>
  <c r="E277" i="41"/>
  <c r="A277" i="41"/>
  <c r="K277" i="41" s="1"/>
  <c r="R276" i="41"/>
  <c r="O276" i="41"/>
  <c r="A276" i="41"/>
  <c r="K276" i="41" s="1"/>
  <c r="G275" i="41"/>
  <c r="E275" i="41"/>
  <c r="A275" i="41"/>
  <c r="K275" i="41" s="1"/>
  <c r="J275" i="41" s="1"/>
  <c r="G274" i="41"/>
  <c r="E274" i="41"/>
  <c r="A274" i="41"/>
  <c r="K274" i="41" s="1"/>
  <c r="J274" i="41" s="1"/>
  <c r="G273" i="41"/>
  <c r="E273" i="41"/>
  <c r="A273" i="41"/>
  <c r="K273" i="41" s="1"/>
  <c r="J273" i="41" s="1"/>
  <c r="R272" i="41"/>
  <c r="O272" i="41"/>
  <c r="A272" i="41"/>
  <c r="R271" i="41"/>
  <c r="O271" i="41"/>
  <c r="A271" i="41"/>
  <c r="K271" i="41" s="1"/>
  <c r="R270" i="41"/>
  <c r="O270" i="41"/>
  <c r="A270" i="41"/>
  <c r="G269" i="41"/>
  <c r="E269" i="41"/>
  <c r="A269" i="41"/>
  <c r="K269" i="41" s="1"/>
  <c r="J269" i="41" s="1"/>
  <c r="L269" i="41" s="1"/>
  <c r="A268" i="41"/>
  <c r="G267" i="41"/>
  <c r="E267" i="41"/>
  <c r="A267" i="41"/>
  <c r="K267" i="41" s="1"/>
  <c r="J267" i="41" s="1"/>
  <c r="L267" i="41" s="1"/>
  <c r="A266" i="41"/>
  <c r="A265" i="41"/>
  <c r="G264" i="41"/>
  <c r="E264" i="41"/>
  <c r="A264" i="41"/>
  <c r="K264" i="41" s="1"/>
  <c r="J264" i="41" s="1"/>
  <c r="R263" i="41"/>
  <c r="O263" i="41"/>
  <c r="I264" i="41"/>
  <c r="A263" i="41"/>
  <c r="R262" i="41"/>
  <c r="O262" i="41"/>
  <c r="A262" i="41"/>
  <c r="G261" i="41"/>
  <c r="E261" i="41"/>
  <c r="A261" i="41"/>
  <c r="K261" i="41" s="1"/>
  <c r="J261" i="41" s="1"/>
  <c r="G260" i="41"/>
  <c r="E260" i="41"/>
  <c r="A260" i="41"/>
  <c r="K260" i="41" s="1"/>
  <c r="J260" i="41" s="1"/>
  <c r="R259" i="41"/>
  <c r="A259" i="41"/>
  <c r="G253" i="41"/>
  <c r="E253" i="41"/>
  <c r="A253" i="41"/>
  <c r="K253" i="41" s="1"/>
  <c r="G252" i="41"/>
  <c r="E252" i="41"/>
  <c r="A252" i="41"/>
  <c r="K252" i="41" s="1"/>
  <c r="A251" i="41"/>
  <c r="R250" i="41"/>
  <c r="O250" i="41"/>
  <c r="A250" i="41"/>
  <c r="G245" i="41"/>
  <c r="E245" i="41"/>
  <c r="A245" i="41"/>
  <c r="K245" i="41" s="1"/>
  <c r="J245" i="41" s="1"/>
  <c r="R244" i="41"/>
  <c r="O244" i="41"/>
  <c r="A244" i="41"/>
  <c r="R243" i="41"/>
  <c r="O243" i="41"/>
  <c r="A243" i="41"/>
  <c r="G242" i="41"/>
  <c r="E242" i="41"/>
  <c r="A242" i="41"/>
  <c r="K242" i="41" s="1"/>
  <c r="R241" i="41"/>
  <c r="O241" i="41"/>
  <c r="A241" i="41"/>
  <c r="K241" i="41" s="1"/>
  <c r="G214" i="41"/>
  <c r="E214" i="41"/>
  <c r="A214" i="41"/>
  <c r="K214" i="41" s="1"/>
  <c r="G213" i="41"/>
  <c r="E213" i="41"/>
  <c r="A213" i="41"/>
  <c r="K213" i="41" s="1"/>
  <c r="J213" i="41" s="1"/>
  <c r="G211" i="41"/>
  <c r="E211" i="41"/>
  <c r="A211" i="41"/>
  <c r="K211" i="41" s="1"/>
  <c r="J211" i="41" s="1"/>
  <c r="G209" i="41"/>
  <c r="E209" i="41"/>
  <c r="A209" i="41"/>
  <c r="K209" i="41" s="1"/>
  <c r="J209" i="41" s="1"/>
  <c r="G208" i="41"/>
  <c r="E208" i="41"/>
  <c r="A208" i="41"/>
  <c r="K208" i="41" s="1"/>
  <c r="J208" i="41" s="1"/>
  <c r="R207" i="41"/>
  <c r="O207" i="41"/>
  <c r="A207" i="41"/>
  <c r="R206" i="41"/>
  <c r="O206" i="41"/>
  <c r="A206" i="41"/>
  <c r="R205" i="41"/>
  <c r="O205" i="41"/>
  <c r="A205" i="41"/>
  <c r="O204" i="41"/>
  <c r="G204" i="41"/>
  <c r="E204" i="41"/>
  <c r="A204" i="41"/>
  <c r="K204" i="41" s="1"/>
  <c r="J204" i="41" s="1"/>
  <c r="G203" i="41"/>
  <c r="E203" i="41"/>
  <c r="A203" i="41"/>
  <c r="G202" i="41"/>
  <c r="E202" i="41"/>
  <c r="A202" i="41"/>
  <c r="K202" i="41" s="1"/>
  <c r="J202" i="41" s="1"/>
  <c r="L202" i="41" s="1"/>
  <c r="G201" i="41"/>
  <c r="E201" i="41"/>
  <c r="A201" i="41"/>
  <c r="K201" i="41" s="1"/>
  <c r="J201" i="41" s="1"/>
  <c r="L201" i="41" s="1"/>
  <c r="G200" i="41"/>
  <c r="E200" i="41"/>
  <c r="A200" i="41"/>
  <c r="K200" i="41" s="1"/>
  <c r="J200" i="41" s="1"/>
  <c r="L200" i="41" s="1"/>
  <c r="G199" i="41"/>
  <c r="E199" i="41"/>
  <c r="A199" i="41"/>
  <c r="K199" i="41" s="1"/>
  <c r="J199" i="41" s="1"/>
  <c r="L199" i="41" s="1"/>
  <c r="G198" i="41"/>
  <c r="E198" i="41"/>
  <c r="A198" i="41"/>
  <c r="K198" i="41" s="1"/>
  <c r="J198" i="41" s="1"/>
  <c r="L198" i="41" s="1"/>
  <c r="G197" i="41"/>
  <c r="E197" i="41"/>
  <c r="A197" i="41"/>
  <c r="K197" i="41" s="1"/>
  <c r="J197" i="41" s="1"/>
  <c r="L197" i="41" s="1"/>
  <c r="G196" i="41"/>
  <c r="E196" i="41"/>
  <c r="A196" i="41"/>
  <c r="G195" i="41"/>
  <c r="E195" i="41"/>
  <c r="A195" i="41"/>
  <c r="G194" i="41"/>
  <c r="E194" i="41"/>
  <c r="A194" i="41"/>
  <c r="K194" i="41" s="1"/>
  <c r="J194" i="41" s="1"/>
  <c r="G193" i="41"/>
  <c r="E193" i="41"/>
  <c r="A193" i="41"/>
  <c r="K193" i="41" s="1"/>
  <c r="J193" i="41" s="1"/>
  <c r="L193" i="41" s="1"/>
  <c r="G192" i="41"/>
  <c r="E192" i="41"/>
  <c r="A192" i="41"/>
  <c r="K192" i="41" s="1"/>
  <c r="J192" i="41" s="1"/>
  <c r="L192" i="41" s="1"/>
  <c r="G191" i="41"/>
  <c r="E191" i="41"/>
  <c r="A191" i="41"/>
  <c r="K191" i="41" s="1"/>
  <c r="J191" i="41" s="1"/>
  <c r="R190" i="41"/>
  <c r="O190" i="41"/>
  <c r="A190" i="41"/>
  <c r="R189" i="41"/>
  <c r="O189" i="41"/>
  <c r="A189" i="41"/>
  <c r="K189" i="41" s="1"/>
  <c r="G188" i="41"/>
  <c r="E188" i="41"/>
  <c r="A188" i="41"/>
  <c r="K188" i="41" s="1"/>
  <c r="J188" i="41" s="1"/>
  <c r="L188" i="41" s="1"/>
  <c r="A187" i="41"/>
  <c r="G186" i="41"/>
  <c r="E186" i="41"/>
  <c r="A186" i="41"/>
  <c r="K186" i="41" s="1"/>
  <c r="J186" i="41" s="1"/>
  <c r="L186" i="41" s="1"/>
  <c r="G185" i="41"/>
  <c r="E185" i="41"/>
  <c r="A185" i="41"/>
  <c r="K185" i="41" s="1"/>
  <c r="J185" i="41" s="1"/>
  <c r="L185" i="41" s="1"/>
  <c r="G184" i="41"/>
  <c r="E184" i="41"/>
  <c r="A184" i="41"/>
  <c r="G183" i="41"/>
  <c r="E183" i="41"/>
  <c r="A183" i="41"/>
  <c r="K183" i="41" s="1"/>
  <c r="J183" i="41" s="1"/>
  <c r="L183" i="41" s="1"/>
  <c r="A182" i="41"/>
  <c r="I181" i="41"/>
  <c r="G181" i="41"/>
  <c r="E181" i="41"/>
  <c r="A181" i="41"/>
  <c r="K181" i="41" s="1"/>
  <c r="R180" i="41"/>
  <c r="O180" i="41"/>
  <c r="A180" i="41"/>
  <c r="K180" i="41" s="1"/>
  <c r="R179" i="41"/>
  <c r="O179" i="41"/>
  <c r="A179" i="41"/>
  <c r="K179" i="41" s="1"/>
  <c r="O178" i="41"/>
  <c r="G178" i="41"/>
  <c r="E178" i="41"/>
  <c r="A178" i="41"/>
  <c r="K178" i="41" s="1"/>
  <c r="J178" i="41" s="1"/>
  <c r="R177" i="41"/>
  <c r="O177" i="41"/>
  <c r="A177" i="41"/>
  <c r="K177" i="41" s="1"/>
  <c r="I176" i="41"/>
  <c r="G176" i="41"/>
  <c r="E176" i="41"/>
  <c r="A176" i="41"/>
  <c r="K176" i="41" s="1"/>
  <c r="J176" i="41" s="1"/>
  <c r="G175" i="41"/>
  <c r="E175" i="41"/>
  <c r="A175" i="41"/>
  <c r="K175" i="41" s="1"/>
  <c r="O175" i="41" s="1"/>
  <c r="R174" i="41"/>
  <c r="O174" i="41"/>
  <c r="A174" i="41"/>
  <c r="K174" i="41" s="1"/>
  <c r="G173" i="41"/>
  <c r="E173" i="41"/>
  <c r="A173" i="41"/>
  <c r="K173" i="41" s="1"/>
  <c r="R172" i="41"/>
  <c r="O172" i="41"/>
  <c r="A172" i="41"/>
  <c r="K172" i="41" s="1"/>
  <c r="G171" i="41"/>
  <c r="E171" i="41"/>
  <c r="A171" i="41"/>
  <c r="K171" i="41" s="1"/>
  <c r="L171" i="41" s="1"/>
  <c r="G170" i="41"/>
  <c r="E170" i="41"/>
  <c r="A170" i="41"/>
  <c r="K170" i="41" s="1"/>
  <c r="J170" i="41" s="1"/>
  <c r="G169" i="41"/>
  <c r="E169" i="41"/>
  <c r="A169" i="41"/>
  <c r="K169" i="41" s="1"/>
  <c r="J169" i="41" s="1"/>
  <c r="I168" i="41"/>
  <c r="G168" i="41"/>
  <c r="E168" i="41"/>
  <c r="A168" i="41"/>
  <c r="K168" i="41" s="1"/>
  <c r="J168" i="41" s="1"/>
  <c r="A167" i="41"/>
  <c r="K167" i="41" s="1"/>
  <c r="O167" i="41" s="1"/>
  <c r="G166" i="41"/>
  <c r="E166" i="41"/>
  <c r="A166" i="41"/>
  <c r="K166" i="41" s="1"/>
  <c r="J166" i="41" s="1"/>
  <c r="G165" i="41"/>
  <c r="E165" i="41"/>
  <c r="A165" i="41"/>
  <c r="K165" i="41" s="1"/>
  <c r="J165" i="41" s="1"/>
  <c r="L165" i="41" s="1"/>
  <c r="O164" i="41"/>
  <c r="A164" i="41"/>
  <c r="K164" i="41" s="1"/>
  <c r="G163" i="41"/>
  <c r="E163" i="41"/>
  <c r="A163" i="41"/>
  <c r="K163" i="41" s="1"/>
  <c r="J163" i="41" s="1"/>
  <c r="L163" i="41" s="1"/>
  <c r="G158" i="41"/>
  <c r="E158" i="41"/>
  <c r="A158" i="41"/>
  <c r="K158" i="41" s="1"/>
  <c r="J158" i="41" s="1"/>
  <c r="G157" i="41"/>
  <c r="E157" i="41"/>
  <c r="A157" i="41"/>
  <c r="K157" i="41" s="1"/>
  <c r="J157" i="41" s="1"/>
  <c r="G156" i="41"/>
  <c r="E156" i="41"/>
  <c r="A156" i="41"/>
  <c r="K156" i="41" s="1"/>
  <c r="J156" i="41" s="1"/>
  <c r="L156" i="41" s="1"/>
  <c r="O155" i="41"/>
  <c r="A155" i="41"/>
  <c r="K155" i="41" s="1"/>
  <c r="E154" i="41"/>
  <c r="A154" i="41"/>
  <c r="K154" i="41" s="1"/>
  <c r="J154" i="41" s="1"/>
  <c r="G152" i="41"/>
  <c r="E152" i="41"/>
  <c r="A152" i="41"/>
  <c r="K152" i="41" s="1"/>
  <c r="J152" i="41" s="1"/>
  <c r="L152" i="41" s="1"/>
  <c r="G151" i="41"/>
  <c r="E151" i="41"/>
  <c r="A151" i="41"/>
  <c r="K151" i="41" s="1"/>
  <c r="J151" i="41" s="1"/>
  <c r="L151" i="41" s="1"/>
  <c r="G150" i="41"/>
  <c r="E150" i="41"/>
  <c r="A150" i="41"/>
  <c r="K150" i="41" s="1"/>
  <c r="J150" i="41" s="1"/>
  <c r="L150" i="41" s="1"/>
  <c r="G149" i="41"/>
  <c r="E149" i="41"/>
  <c r="A149" i="41"/>
  <c r="G148" i="41"/>
  <c r="E148" i="41"/>
  <c r="A148" i="41"/>
  <c r="K148" i="41" s="1"/>
  <c r="J148" i="41" s="1"/>
  <c r="L148" i="41" s="1"/>
  <c r="G147" i="41"/>
  <c r="E147" i="41"/>
  <c r="A147" i="41"/>
  <c r="K147" i="41" s="1"/>
  <c r="J147" i="41" s="1"/>
  <c r="L147" i="41" s="1"/>
  <c r="G146" i="41"/>
  <c r="E146" i="41"/>
  <c r="A146" i="41"/>
  <c r="K146" i="41" s="1"/>
  <c r="J146" i="41" s="1"/>
  <c r="L146" i="41" s="1"/>
  <c r="G145" i="41"/>
  <c r="E145" i="41"/>
  <c r="A145" i="41"/>
  <c r="K145" i="41" s="1"/>
  <c r="J145" i="41" s="1"/>
  <c r="L145" i="41" s="1"/>
  <c r="G144" i="41"/>
  <c r="E144" i="41"/>
  <c r="A144" i="41"/>
  <c r="K144" i="41" s="1"/>
  <c r="J144" i="41" s="1"/>
  <c r="L144" i="41" s="1"/>
  <c r="G143" i="41"/>
  <c r="E143" i="41"/>
  <c r="A143" i="41"/>
  <c r="K143" i="41" s="1"/>
  <c r="J143" i="41" s="1"/>
  <c r="L143" i="41" s="1"/>
  <c r="G142" i="41"/>
  <c r="E142" i="41"/>
  <c r="A142" i="41"/>
  <c r="K142" i="41" s="1"/>
  <c r="J142" i="41" s="1"/>
  <c r="L142" i="41" s="1"/>
  <c r="G141" i="41"/>
  <c r="E141" i="41"/>
  <c r="A141" i="41"/>
  <c r="K141" i="41" s="1"/>
  <c r="J141" i="41" s="1"/>
  <c r="L141" i="41" s="1"/>
  <c r="G140" i="41"/>
  <c r="E140" i="41"/>
  <c r="A140" i="41"/>
  <c r="K140" i="41" s="1"/>
  <c r="J140" i="41" s="1"/>
  <c r="L140" i="41" s="1"/>
  <c r="G139" i="41"/>
  <c r="E139" i="41"/>
  <c r="A139" i="41"/>
  <c r="K139" i="41" s="1"/>
  <c r="J139" i="41" s="1"/>
  <c r="L139" i="41" s="1"/>
  <c r="G138" i="41"/>
  <c r="E138" i="41"/>
  <c r="A138" i="41"/>
  <c r="K138" i="41" s="1"/>
  <c r="J138" i="41" s="1"/>
  <c r="L138" i="41" s="1"/>
  <c r="G137" i="41"/>
  <c r="E137" i="41"/>
  <c r="A137" i="41"/>
  <c r="K137" i="41" s="1"/>
  <c r="J137" i="41" s="1"/>
  <c r="L137" i="41" s="1"/>
  <c r="G136" i="41"/>
  <c r="E136" i="41"/>
  <c r="A136" i="41"/>
  <c r="K136" i="41" s="1"/>
  <c r="J136" i="41" s="1"/>
  <c r="L136" i="41" s="1"/>
  <c r="I135" i="41"/>
  <c r="G135" i="41"/>
  <c r="E135" i="41"/>
  <c r="A135" i="41"/>
  <c r="K135" i="41" s="1"/>
  <c r="J135" i="41" s="1"/>
  <c r="I134" i="41"/>
  <c r="G134" i="41"/>
  <c r="E134" i="41"/>
  <c r="A134" i="41"/>
  <c r="K134" i="41" s="1"/>
  <c r="J134" i="41" s="1"/>
  <c r="G133" i="41"/>
  <c r="E133" i="41"/>
  <c r="A133" i="41"/>
  <c r="K133" i="41" s="1"/>
  <c r="J133" i="41" s="1"/>
  <c r="L133" i="41" s="1"/>
  <c r="G132" i="41"/>
  <c r="E132" i="41"/>
  <c r="A132" i="41"/>
  <c r="G131" i="41"/>
  <c r="E131" i="41"/>
  <c r="A131" i="41"/>
  <c r="K131" i="41" s="1"/>
  <c r="J131" i="41" s="1"/>
  <c r="L131" i="41" s="1"/>
  <c r="G130" i="41"/>
  <c r="E130" i="41"/>
  <c r="A130" i="41"/>
  <c r="K130" i="41" s="1"/>
  <c r="J130" i="41" s="1"/>
  <c r="L130" i="41" s="1"/>
  <c r="G129" i="41"/>
  <c r="E129" i="41"/>
  <c r="A129" i="41"/>
  <c r="K129" i="41" s="1"/>
  <c r="J129" i="41" s="1"/>
  <c r="L129" i="41" s="1"/>
  <c r="G128" i="41"/>
  <c r="E128" i="41"/>
  <c r="A128" i="41"/>
  <c r="K128" i="41" s="1"/>
  <c r="J128" i="41" s="1"/>
  <c r="L128" i="41" s="1"/>
  <c r="I127" i="41"/>
  <c r="G127" i="41"/>
  <c r="E127" i="41"/>
  <c r="A127" i="41"/>
  <c r="K127" i="41" s="1"/>
  <c r="R126" i="41"/>
  <c r="O126" i="41"/>
  <c r="A126" i="41"/>
  <c r="R125" i="41"/>
  <c r="O125" i="41"/>
  <c r="A125" i="41"/>
  <c r="R124" i="41"/>
  <c r="O124" i="41"/>
  <c r="A124" i="41"/>
  <c r="G123" i="41"/>
  <c r="E123" i="41"/>
  <c r="A123" i="41"/>
  <c r="G122" i="41"/>
  <c r="E122" i="41"/>
  <c r="A122" i="41"/>
  <c r="K122" i="41" s="1"/>
  <c r="J122" i="41" s="1"/>
  <c r="R121" i="41"/>
  <c r="O121" i="41"/>
  <c r="A121" i="41"/>
  <c r="R120" i="41"/>
  <c r="O120" i="41"/>
  <c r="A120" i="41"/>
  <c r="K120" i="41" s="1"/>
  <c r="G119" i="41"/>
  <c r="E119" i="41"/>
  <c r="A119" i="41"/>
  <c r="G118" i="41"/>
  <c r="E118" i="41"/>
  <c r="A118" i="41"/>
  <c r="K118" i="41" s="1"/>
  <c r="J118" i="41" s="1"/>
  <c r="G117" i="41"/>
  <c r="E117" i="41"/>
  <c r="A117" i="41"/>
  <c r="K117" i="41" s="1"/>
  <c r="J117" i="41" s="1"/>
  <c r="I116" i="41"/>
  <c r="G116" i="41"/>
  <c r="E116" i="41"/>
  <c r="A116" i="41"/>
  <c r="K116" i="41" s="1"/>
  <c r="J116" i="41" s="1"/>
  <c r="G115" i="41"/>
  <c r="E115" i="41"/>
  <c r="A115" i="41"/>
  <c r="K115" i="41" s="1"/>
  <c r="J115" i="41" s="1"/>
  <c r="L115" i="41" s="1"/>
  <c r="G114" i="41"/>
  <c r="E114" i="41"/>
  <c r="A114" i="41"/>
  <c r="K114" i="41" s="1"/>
  <c r="J114" i="41" s="1"/>
  <c r="G113" i="41"/>
  <c r="E113" i="41"/>
  <c r="A113" i="41"/>
  <c r="K113" i="41" s="1"/>
  <c r="J113" i="41" s="1"/>
  <c r="I112" i="41"/>
  <c r="G112" i="41"/>
  <c r="E112" i="41"/>
  <c r="A112" i="41"/>
  <c r="K112" i="41" s="1"/>
  <c r="J112" i="41" s="1"/>
  <c r="I111" i="41"/>
  <c r="G111" i="41"/>
  <c r="E111" i="41"/>
  <c r="A111" i="41"/>
  <c r="K111" i="41" s="1"/>
  <c r="J111" i="41" s="1"/>
  <c r="I110" i="41"/>
  <c r="I114" i="41" s="1"/>
  <c r="G110" i="41"/>
  <c r="E110" i="41"/>
  <c r="A110" i="41"/>
  <c r="K110" i="41" s="1"/>
  <c r="J110" i="41" s="1"/>
  <c r="I109" i="41"/>
  <c r="G109" i="41"/>
  <c r="E109" i="41"/>
  <c r="A109" i="41"/>
  <c r="R108" i="41"/>
  <c r="O108" i="41"/>
  <c r="A108" i="41"/>
  <c r="R107" i="41"/>
  <c r="O107" i="41"/>
  <c r="A107" i="41"/>
  <c r="K107" i="41" s="1"/>
  <c r="G106" i="41"/>
  <c r="E106" i="41"/>
  <c r="A106" i="41"/>
  <c r="K106" i="41" s="1"/>
  <c r="J106" i="41" s="1"/>
  <c r="G104" i="41"/>
  <c r="E104" i="41"/>
  <c r="A104" i="41"/>
  <c r="K104" i="41" s="1"/>
  <c r="J104" i="41" s="1"/>
  <c r="G97" i="41"/>
  <c r="E97" i="41"/>
  <c r="A97" i="41"/>
  <c r="K97" i="41" s="1"/>
  <c r="J97" i="41" s="1"/>
  <c r="A96" i="41"/>
  <c r="G94" i="41"/>
  <c r="E94" i="41"/>
  <c r="A94" i="41"/>
  <c r="K94" i="41" s="1"/>
  <c r="J94" i="41" s="1"/>
  <c r="L94" i="41" s="1"/>
  <c r="G93" i="41"/>
  <c r="E93" i="41"/>
  <c r="A93" i="41"/>
  <c r="K93" i="41" s="1"/>
  <c r="J93" i="41" s="1"/>
  <c r="L93" i="41" s="1"/>
  <c r="G92" i="41"/>
  <c r="E92" i="41"/>
  <c r="A92" i="41"/>
  <c r="K92" i="41" s="1"/>
  <c r="J92" i="41" s="1"/>
  <c r="L92" i="41" s="1"/>
  <c r="G91" i="41"/>
  <c r="E91" i="41"/>
  <c r="A91" i="41"/>
  <c r="K91" i="41" s="1"/>
  <c r="J91" i="41" s="1"/>
  <c r="G90" i="41"/>
  <c r="E90" i="41"/>
  <c r="A90" i="41"/>
  <c r="K90" i="41" s="1"/>
  <c r="J90" i="41" s="1"/>
  <c r="L90" i="41" s="1"/>
  <c r="G89" i="41"/>
  <c r="E89" i="41"/>
  <c r="A89" i="41"/>
  <c r="K89" i="41" s="1"/>
  <c r="J89" i="41" s="1"/>
  <c r="G88" i="41"/>
  <c r="E88" i="41"/>
  <c r="A88" i="41"/>
  <c r="K88" i="41" s="1"/>
  <c r="J88" i="41" s="1"/>
  <c r="G87" i="41"/>
  <c r="E87" i="41"/>
  <c r="A87" i="41"/>
  <c r="K87" i="41" s="1"/>
  <c r="J87" i="41" s="1"/>
  <c r="L87" i="41" s="1"/>
  <c r="G86" i="41"/>
  <c r="E86" i="41"/>
  <c r="A86" i="41"/>
  <c r="K86" i="41" s="1"/>
  <c r="J86" i="41" s="1"/>
  <c r="L86" i="41" s="1"/>
  <c r="G85" i="41"/>
  <c r="E85" i="41"/>
  <c r="A85" i="41"/>
  <c r="K85" i="41" s="1"/>
  <c r="J85" i="41" s="1"/>
  <c r="L85" i="41" s="1"/>
  <c r="G84" i="41"/>
  <c r="E84" i="41"/>
  <c r="A84" i="41"/>
  <c r="K84" i="41" s="1"/>
  <c r="J84" i="41" s="1"/>
  <c r="L84" i="41" s="1"/>
  <c r="G83" i="41"/>
  <c r="E83" i="41"/>
  <c r="A83" i="41"/>
  <c r="K83" i="41" s="1"/>
  <c r="J83" i="41" s="1"/>
  <c r="L83" i="41" s="1"/>
  <c r="G82" i="41"/>
  <c r="E82" i="41"/>
  <c r="A82" i="41"/>
  <c r="K82" i="41" s="1"/>
  <c r="J82" i="41" s="1"/>
  <c r="L82" i="41" s="1"/>
  <c r="G81" i="41"/>
  <c r="E81" i="41"/>
  <c r="A81" i="41"/>
  <c r="K81" i="41" s="1"/>
  <c r="J81" i="41" s="1"/>
  <c r="L81" i="41" s="1"/>
  <c r="G80" i="41"/>
  <c r="E80" i="41"/>
  <c r="A80" i="41"/>
  <c r="K80" i="41" s="1"/>
  <c r="J80" i="41" s="1"/>
  <c r="L80" i="41" s="1"/>
  <c r="A79" i="41"/>
  <c r="A78" i="41"/>
  <c r="K78" i="41" s="1"/>
  <c r="G77" i="41"/>
  <c r="A77" i="41"/>
  <c r="K77" i="41" s="1"/>
  <c r="J77" i="41" s="1"/>
  <c r="G75" i="41"/>
  <c r="E75" i="41"/>
  <c r="A75" i="41"/>
  <c r="R74" i="41"/>
  <c r="O74" i="41"/>
  <c r="A74" i="41"/>
  <c r="R73" i="41"/>
  <c r="O73" i="41"/>
  <c r="A73" i="41"/>
  <c r="K73" i="41" s="1"/>
  <c r="R72" i="41"/>
  <c r="O72" i="41"/>
  <c r="A72" i="41"/>
  <c r="G71" i="41"/>
  <c r="E71" i="41"/>
  <c r="A71" i="41"/>
  <c r="K71" i="41" s="1"/>
  <c r="J71" i="41" s="1"/>
  <c r="R70" i="41"/>
  <c r="O70" i="41"/>
  <c r="A70" i="41"/>
  <c r="K70" i="41" s="1"/>
  <c r="G69" i="41"/>
  <c r="E69" i="41"/>
  <c r="A69" i="41"/>
  <c r="K69" i="41" s="1"/>
  <c r="J69" i="41" s="1"/>
  <c r="G68" i="41"/>
  <c r="E68" i="41"/>
  <c r="A68" i="41"/>
  <c r="K68" i="41" s="1"/>
  <c r="J68" i="41" s="1"/>
  <c r="G67" i="41"/>
  <c r="E67" i="41"/>
  <c r="A67" i="41"/>
  <c r="K67" i="41" s="1"/>
  <c r="J67" i="41" s="1"/>
  <c r="G66" i="41"/>
  <c r="A66" i="41"/>
  <c r="K66" i="41" s="1"/>
  <c r="R65" i="41"/>
  <c r="O65" i="41"/>
  <c r="A65" i="41"/>
  <c r="K65" i="41" s="1"/>
  <c r="G64" i="41"/>
  <c r="E64" i="41"/>
  <c r="A64" i="41"/>
  <c r="K64" i="41" s="1"/>
  <c r="J64" i="41" s="1"/>
  <c r="L64" i="41" s="1"/>
  <c r="G63" i="41"/>
  <c r="E63" i="41"/>
  <c r="A63" i="41"/>
  <c r="K63" i="41" s="1"/>
  <c r="J63" i="41" s="1"/>
  <c r="L63" i="41" s="1"/>
  <c r="E62" i="41"/>
  <c r="A62" i="41"/>
  <c r="K62" i="41" s="1"/>
  <c r="R61" i="41"/>
  <c r="O61" i="41"/>
  <c r="A61" i="41"/>
  <c r="K61" i="41" s="1"/>
  <c r="I60" i="41"/>
  <c r="G60" i="41"/>
  <c r="E60" i="41"/>
  <c r="A60" i="41"/>
  <c r="K60" i="41" s="1"/>
  <c r="J60" i="41" s="1"/>
  <c r="R59" i="41"/>
  <c r="O59" i="41"/>
  <c r="A59" i="41"/>
  <c r="K59" i="41" s="1"/>
  <c r="G58" i="41"/>
  <c r="E58" i="41"/>
  <c r="A58" i="41"/>
  <c r="K58" i="41" s="1"/>
  <c r="J58" i="41" s="1"/>
  <c r="R57" i="41"/>
  <c r="O57" i="41"/>
  <c r="A57" i="41"/>
  <c r="K57" i="41" s="1"/>
  <c r="G55" i="41"/>
  <c r="E55" i="41"/>
  <c r="A55" i="41"/>
  <c r="G54" i="41"/>
  <c r="E54" i="41"/>
  <c r="A54" i="41"/>
  <c r="K54" i="41" s="1"/>
  <c r="L54" i="41" s="1"/>
  <c r="G53" i="41"/>
  <c r="E53" i="41"/>
  <c r="A53" i="41"/>
  <c r="K53" i="41" s="1"/>
  <c r="L53" i="41" s="1"/>
  <c r="G52" i="41"/>
  <c r="E52" i="41"/>
  <c r="A52" i="41"/>
  <c r="K52" i="41" s="1"/>
  <c r="R51" i="41"/>
  <c r="O51" i="41"/>
  <c r="A51" i="41"/>
  <c r="R50" i="41"/>
  <c r="O50" i="41"/>
  <c r="A50" i="41"/>
  <c r="K50" i="41" s="1"/>
  <c r="R49" i="41"/>
  <c r="O49" i="41"/>
  <c r="A49" i="41"/>
  <c r="K48" i="41"/>
  <c r="J48" i="41" s="1"/>
  <c r="L48" i="41" s="1"/>
  <c r="G48" i="41"/>
  <c r="E48" i="41"/>
  <c r="A48" i="41"/>
  <c r="G47" i="41"/>
  <c r="E47" i="41"/>
  <c r="A47" i="41"/>
  <c r="K47" i="41" s="1"/>
  <c r="J47" i="41" s="1"/>
  <c r="L47" i="41" s="1"/>
  <c r="G46" i="41"/>
  <c r="E46" i="41"/>
  <c r="A46" i="41"/>
  <c r="K46" i="41" s="1"/>
  <c r="R45" i="41"/>
  <c r="A45" i="41"/>
  <c r="K45" i="41" s="1"/>
  <c r="G44" i="41"/>
  <c r="E44" i="41"/>
  <c r="A44" i="41"/>
  <c r="K44" i="41" s="1"/>
  <c r="G43" i="41"/>
  <c r="E43" i="41"/>
  <c r="A43" i="41"/>
  <c r="K43" i="41" s="1"/>
  <c r="R42" i="41"/>
  <c r="A42" i="41"/>
  <c r="K42" i="41" s="1"/>
  <c r="G39" i="41"/>
  <c r="E39" i="41"/>
  <c r="A39" i="41"/>
  <c r="K39" i="41" s="1"/>
  <c r="R38" i="41"/>
  <c r="A38" i="41"/>
  <c r="K38" i="41" s="1"/>
  <c r="G35" i="41"/>
  <c r="E35" i="41"/>
  <c r="A35" i="41"/>
  <c r="K35" i="41" s="1"/>
  <c r="O35" i="41" s="1"/>
  <c r="G32" i="41"/>
  <c r="E32" i="41"/>
  <c r="A32" i="41"/>
  <c r="K32" i="41" s="1"/>
  <c r="G31" i="41"/>
  <c r="E31" i="41"/>
  <c r="A31" i="41"/>
  <c r="K31" i="41" s="1"/>
  <c r="G30" i="41"/>
  <c r="E30" i="41"/>
  <c r="A30" i="41"/>
  <c r="K30" i="41" s="1"/>
  <c r="G29" i="41"/>
  <c r="E29" i="41"/>
  <c r="A29" i="41"/>
  <c r="K29" i="41" s="1"/>
  <c r="G28" i="41"/>
  <c r="E28" i="41"/>
  <c r="A28" i="41"/>
  <c r="K28" i="41" s="1"/>
  <c r="R27" i="41"/>
  <c r="A27" i="41"/>
  <c r="K27" i="41" s="1"/>
  <c r="G26" i="41"/>
  <c r="E26" i="41"/>
  <c r="A26" i="41"/>
  <c r="K26" i="41" s="1"/>
  <c r="G25" i="41"/>
  <c r="E25" i="41"/>
  <c r="A25" i="41"/>
  <c r="K25" i="41" s="1"/>
  <c r="G24" i="41"/>
  <c r="E24" i="41"/>
  <c r="A24" i="41"/>
  <c r="K24" i="41" s="1"/>
  <c r="G23" i="41"/>
  <c r="E23" i="41"/>
  <c r="A23" i="41"/>
  <c r="K23" i="41" s="1"/>
  <c r="G22" i="41"/>
  <c r="E22" i="41"/>
  <c r="A22" i="41"/>
  <c r="K22" i="41" s="1"/>
  <c r="G21" i="41"/>
  <c r="E21" i="41"/>
  <c r="A21" i="41"/>
  <c r="K21" i="41" s="1"/>
  <c r="O21" i="41" s="1"/>
  <c r="R20" i="41"/>
  <c r="A20" i="41"/>
  <c r="K20" i="41" s="1"/>
  <c r="G506" i="41"/>
  <c r="E506" i="41"/>
  <c r="A506" i="41"/>
  <c r="K506" i="41" s="1"/>
  <c r="O506" i="41" s="1"/>
  <c r="G505" i="41"/>
  <c r="E505" i="41"/>
  <c r="A505" i="41"/>
  <c r="K505" i="41" s="1"/>
  <c r="G504" i="41"/>
  <c r="E504" i="41"/>
  <c r="A504" i="41"/>
  <c r="K504" i="41" s="1"/>
  <c r="O504" i="41" s="1"/>
  <c r="G503" i="41"/>
  <c r="E503" i="41"/>
  <c r="A503" i="41"/>
  <c r="K503" i="41" s="1"/>
  <c r="G502" i="41"/>
  <c r="E502" i="41"/>
  <c r="A502" i="41"/>
  <c r="K502" i="41" s="1"/>
  <c r="G501" i="41"/>
  <c r="E501" i="41"/>
  <c r="A501" i="41"/>
  <c r="K501" i="41" s="1"/>
  <c r="G500" i="41"/>
  <c r="E500" i="41"/>
  <c r="A500" i="41"/>
  <c r="K500" i="41" s="1"/>
  <c r="O500" i="41" s="1"/>
  <c r="G499" i="41"/>
  <c r="E499" i="41"/>
  <c r="A499" i="41"/>
  <c r="K499" i="41" s="1"/>
  <c r="G498" i="41"/>
  <c r="E498" i="41"/>
  <c r="A498" i="41"/>
  <c r="K498" i="41" s="1"/>
  <c r="O498" i="41" s="1"/>
  <c r="G497" i="41"/>
  <c r="E497" i="41"/>
  <c r="A497" i="41"/>
  <c r="K497" i="41" s="1"/>
  <c r="O497" i="41" s="1"/>
  <c r="R496" i="41"/>
  <c r="O496" i="41"/>
  <c r="A496" i="41"/>
  <c r="R19" i="41"/>
  <c r="O19" i="41"/>
  <c r="A19" i="41"/>
  <c r="K19" i="41" s="1"/>
  <c r="K13" i="41"/>
  <c r="J13" i="41" s="1"/>
  <c r="L13" i="41" s="1"/>
  <c r="L12" i="41" s="1"/>
  <c r="G13" i="41"/>
  <c r="E13" i="41"/>
  <c r="R12" i="41"/>
  <c r="O12" i="41"/>
  <c r="A12" i="41"/>
  <c r="K12" i="41" s="1"/>
  <c r="R11" i="41"/>
  <c r="O11" i="41"/>
  <c r="A11" i="41"/>
  <c r="K11" i="41" s="1"/>
  <c r="R10" i="41"/>
  <c r="O10" i="41"/>
  <c r="A10" i="41"/>
  <c r="R9" i="41"/>
  <c r="O9" i="41"/>
  <c r="A9" i="41"/>
  <c r="J8" i="41"/>
  <c r="J960" i="41" l="1"/>
  <c r="L960" i="41" s="1"/>
  <c r="L958" i="41" s="1"/>
  <c r="J958" i="41" s="1"/>
  <c r="R958" i="41" s="1"/>
  <c r="L949" i="41"/>
  <c r="O1244" i="41"/>
  <c r="J1244" i="41"/>
  <c r="O1199" i="41"/>
  <c r="J1199" i="41"/>
  <c r="O1202" i="41"/>
  <c r="J1202" i="41"/>
  <c r="J1129" i="41"/>
  <c r="R1129" i="41" s="1"/>
  <c r="L1059" i="41"/>
  <c r="L710" i="41"/>
  <c r="O1167" i="41"/>
  <c r="R1167" i="41"/>
  <c r="L1067" i="41"/>
  <c r="L1050" i="41"/>
  <c r="R1089" i="41"/>
  <c r="R1084" i="41"/>
  <c r="K1105" i="41"/>
  <c r="L950" i="41"/>
  <c r="K96" i="41"/>
  <c r="R1085" i="41"/>
  <c r="L1064" i="41"/>
  <c r="L1063" i="41"/>
  <c r="L1061" i="41"/>
  <c r="L89" i="41"/>
  <c r="R260" i="41"/>
  <c r="L88" i="41"/>
  <c r="L473" i="41"/>
  <c r="L91" i="41"/>
  <c r="R275" i="41"/>
  <c r="J1058" i="41"/>
  <c r="K317" i="41"/>
  <c r="K1114" i="41"/>
  <c r="J1114" i="41" s="1"/>
  <c r="L1114" i="41" s="1"/>
  <c r="L11" i="41"/>
  <c r="K496" i="41"/>
  <c r="K126" i="41"/>
  <c r="K990" i="41"/>
  <c r="J990" i="41" s="1"/>
  <c r="L990" i="41" s="1"/>
  <c r="L989" i="41" s="1"/>
  <c r="K1087" i="41"/>
  <c r="K283" i="41"/>
  <c r="K301" i="41"/>
  <c r="J301" i="41" s="1"/>
  <c r="K843" i="41"/>
  <c r="K51" i="41"/>
  <c r="K121" i="41"/>
  <c r="K272" i="41"/>
  <c r="O798" i="41"/>
  <c r="L302" i="41"/>
  <c r="R535" i="41"/>
  <c r="R181" i="41"/>
  <c r="R46" i="41"/>
  <c r="L154" i="41"/>
  <c r="J446" i="41"/>
  <c r="J476" i="41"/>
  <c r="K206" i="41"/>
  <c r="K508" i="41"/>
  <c r="O508" i="41" s="1"/>
  <c r="K756" i="41"/>
  <c r="L756" i="41" s="1"/>
  <c r="L749" i="41" s="1"/>
  <c r="L327" i="41"/>
  <c r="O77" i="41"/>
  <c r="O46" i="41"/>
  <c r="K687" i="41"/>
  <c r="O735" i="41"/>
  <c r="L978" i="41"/>
  <c r="L973" i="41" s="1"/>
  <c r="J973" i="41" s="1"/>
  <c r="O839" i="41"/>
  <c r="I878" i="41"/>
  <c r="O878" i="41" s="1"/>
  <c r="O836" i="41"/>
  <c r="O837" i="41"/>
  <c r="O838" i="41"/>
  <c r="N840" i="41"/>
  <c r="L589" i="41"/>
  <c r="L590" i="41"/>
  <c r="L591" i="41"/>
  <c r="L592" i="41"/>
  <c r="L588" i="41"/>
  <c r="O1105" i="41"/>
  <c r="L321" i="41"/>
  <c r="I478" i="41"/>
  <c r="L478" i="41" s="1"/>
  <c r="R793" i="41"/>
  <c r="L134" i="41"/>
  <c r="L838" i="41"/>
  <c r="L273" i="41"/>
  <c r="R1090" i="41"/>
  <c r="O1090" i="41"/>
  <c r="L1045" i="41"/>
  <c r="L122" i="41"/>
  <c r="L60" i="41"/>
  <c r="L59" i="41" s="1"/>
  <c r="I480" i="41"/>
  <c r="L480" i="41" s="1"/>
  <c r="L837" i="41"/>
  <c r="O66" i="41"/>
  <c r="L68" i="41"/>
  <c r="O109" i="41"/>
  <c r="L111" i="41"/>
  <c r="L118" i="41"/>
  <c r="L970" i="41"/>
  <c r="L986" i="41"/>
  <c r="L984" i="41" s="1"/>
  <c r="O295" i="41"/>
  <c r="J295" i="41"/>
  <c r="O784" i="41"/>
  <c r="J784" i="41"/>
  <c r="L116" i="41"/>
  <c r="L127" i="41"/>
  <c r="L166" i="41"/>
  <c r="O261" i="41"/>
  <c r="L691" i="41"/>
  <c r="L820" i="41"/>
  <c r="L1046" i="41"/>
  <c r="L1048" i="41"/>
  <c r="L509" i="41"/>
  <c r="L46" i="41"/>
  <c r="L45" i="41" s="1"/>
  <c r="L157" i="41"/>
  <c r="J498" i="41"/>
  <c r="L498" i="41" s="1"/>
  <c r="O278" i="41"/>
  <c r="O812" i="41"/>
  <c r="L836" i="41"/>
  <c r="L971" i="41"/>
  <c r="L58" i="41"/>
  <c r="L57" i="41" s="1"/>
  <c r="L324" i="41"/>
  <c r="L514" i="41"/>
  <c r="L819" i="41"/>
  <c r="L902" i="41"/>
  <c r="L1071" i="41"/>
  <c r="L1070" i="41" s="1"/>
  <c r="O28" i="41"/>
  <c r="J28" i="41"/>
  <c r="R28" i="41" s="1"/>
  <c r="O24" i="41"/>
  <c r="J24" i="41"/>
  <c r="O62" i="41"/>
  <c r="L62" i="41"/>
  <c r="O22" i="41"/>
  <c r="J22" i="41"/>
  <c r="R22" i="41" s="1"/>
  <c r="R779" i="41"/>
  <c r="L281" i="41"/>
  <c r="L280" i="41" s="1"/>
  <c r="L279" i="41" s="1"/>
  <c r="O286" i="41"/>
  <c r="O903" i="41"/>
  <c r="L919" i="41"/>
  <c r="O1163" i="41"/>
  <c r="O785" i="41"/>
  <c r="L839" i="41"/>
  <c r="L906" i="41"/>
  <c r="O211" i="41"/>
  <c r="L570" i="41"/>
  <c r="L908" i="41"/>
  <c r="L275" i="41"/>
  <c r="R306" i="41"/>
  <c r="I481" i="41"/>
  <c r="L481" i="41" s="1"/>
  <c r="L920" i="41"/>
  <c r="O1129" i="41"/>
  <c r="L69" i="41"/>
  <c r="L1047" i="41"/>
  <c r="L67" i="41"/>
  <c r="O208" i="41"/>
  <c r="L168" i="41"/>
  <c r="L170" i="41"/>
  <c r="O786" i="41"/>
  <c r="O805" i="41"/>
  <c r="R176" i="41"/>
  <c r="L176" i="41"/>
  <c r="O309" i="41"/>
  <c r="J309" i="41"/>
  <c r="J506" i="41"/>
  <c r="L506" i="41" s="1"/>
  <c r="I437" i="41"/>
  <c r="L484" i="41"/>
  <c r="L983" i="41"/>
  <c r="L982" i="41" s="1"/>
  <c r="L1044" i="41"/>
  <c r="J500" i="41"/>
  <c r="R500" i="41" s="1"/>
  <c r="O515" i="41"/>
  <c r="O505" i="41"/>
  <c r="J505" i="41"/>
  <c r="L505" i="41" s="1"/>
  <c r="O23" i="41"/>
  <c r="J23" i="41"/>
  <c r="L23" i="41" s="1"/>
  <c r="R798" i="41"/>
  <c r="L798" i="41"/>
  <c r="O1241" i="41"/>
  <c r="L1241" i="41"/>
  <c r="L1240" i="41" s="1"/>
  <c r="O173" i="41"/>
  <c r="J173" i="41"/>
  <c r="O499" i="41"/>
  <c r="L499" i="41"/>
  <c r="L135" i="41"/>
  <c r="I879" i="41"/>
  <c r="O879" i="41" s="1"/>
  <c r="L880" i="41"/>
  <c r="I71" i="41"/>
  <c r="O71" i="41" s="1"/>
  <c r="R775" i="41"/>
  <c r="O274" i="41"/>
  <c r="O293" i="41"/>
  <c r="L490" i="41"/>
  <c r="I488" i="41"/>
  <c r="L488" i="41" s="1"/>
  <c r="I489" i="41"/>
  <c r="L489" i="41" s="1"/>
  <c r="L487" i="41"/>
  <c r="O877" i="41"/>
  <c r="L881" i="41"/>
  <c r="L191" i="41"/>
  <c r="L208" i="41"/>
  <c r="R208" i="41"/>
  <c r="L1167" i="41"/>
  <c r="O281" i="41"/>
  <c r="O310" i="41"/>
  <c r="L824" i="41"/>
  <c r="L903" i="41"/>
  <c r="L1145" i="41"/>
  <c r="L1141" i="41" s="1"/>
  <c r="J1141" i="41" s="1"/>
  <c r="R1141" i="41" s="1"/>
  <c r="O176" i="41"/>
  <c r="O194" i="41"/>
  <c r="O264" i="41"/>
  <c r="O273" i="41"/>
  <c r="L106" i="41"/>
  <c r="L158" i="41"/>
  <c r="O181" i="41"/>
  <c r="O252" i="41"/>
  <c r="O275" i="41"/>
  <c r="L483" i="41"/>
  <c r="O783" i="41"/>
  <c r="L169" i="41"/>
  <c r="O1141" i="41"/>
  <c r="L110" i="41"/>
  <c r="L112" i="41"/>
  <c r="L286" i="41"/>
  <c r="L285" i="41" s="1"/>
  <c r="O900" i="41"/>
  <c r="O29" i="41"/>
  <c r="J39" i="41"/>
  <c r="O39" i="41"/>
  <c r="J44" i="41"/>
  <c r="O44" i="41"/>
  <c r="L114" i="41"/>
  <c r="J31" i="41"/>
  <c r="O31" i="41"/>
  <c r="J43" i="41"/>
  <c r="O43" i="41"/>
  <c r="J25" i="41"/>
  <c r="O25" i="41"/>
  <c r="J501" i="41"/>
  <c r="O501" i="41"/>
  <c r="O30" i="41"/>
  <c r="J30" i="41"/>
  <c r="L77" i="41"/>
  <c r="R77" i="41"/>
  <c r="O26" i="41"/>
  <c r="J26" i="41"/>
  <c r="O52" i="41"/>
  <c r="R71" i="41"/>
  <c r="L178" i="41"/>
  <c r="R178" i="41"/>
  <c r="J503" i="41"/>
  <c r="O32" i="41"/>
  <c r="J32" i="41"/>
  <c r="O502" i="41"/>
  <c r="J502" i="41"/>
  <c r="K79" i="41"/>
  <c r="K108" i="41"/>
  <c r="K125" i="41"/>
  <c r="R194" i="41"/>
  <c r="L194" i="41"/>
  <c r="O209" i="41"/>
  <c r="L213" i="41"/>
  <c r="R213" i="41"/>
  <c r="L252" i="41"/>
  <c r="R252" i="41"/>
  <c r="J497" i="41"/>
  <c r="J504" i="41"/>
  <c r="J21" i="41"/>
  <c r="J35" i="41"/>
  <c r="J66" i="41"/>
  <c r="I117" i="41"/>
  <c r="L117" i="41" s="1"/>
  <c r="L181" i="41"/>
  <c r="K207" i="41"/>
  <c r="J214" i="41"/>
  <c r="O214" i="41"/>
  <c r="O253" i="41"/>
  <c r="R277" i="41"/>
  <c r="L277" i="41"/>
  <c r="I113" i="41"/>
  <c r="L113" i="41" s="1"/>
  <c r="L268" i="41"/>
  <c r="R293" i="41"/>
  <c r="L293" i="41"/>
  <c r="L330" i="41"/>
  <c r="R209" i="41"/>
  <c r="L209" i="41"/>
  <c r="L211" i="41"/>
  <c r="R211" i="41"/>
  <c r="R242" i="41"/>
  <c r="L264" i="41"/>
  <c r="R264" i="41"/>
  <c r="L274" i="41"/>
  <c r="R274" i="41"/>
  <c r="K74" i="41"/>
  <c r="L97" i="41"/>
  <c r="L104" i="41"/>
  <c r="J175" i="41"/>
  <c r="R308" i="41"/>
  <c r="L308" i="41"/>
  <c r="O290" i="41"/>
  <c r="J290" i="41"/>
  <c r="O307" i="41"/>
  <c r="J307" i="41"/>
  <c r="R245" i="41"/>
  <c r="R261" i="41"/>
  <c r="L261" i="41"/>
  <c r="L266" i="41"/>
  <c r="L187" i="41"/>
  <c r="L204" i="41"/>
  <c r="R204" i="41"/>
  <c r="J284" i="41"/>
  <c r="O284" i="41"/>
  <c r="R273" i="41"/>
  <c r="R281" i="41"/>
  <c r="L479" i="41"/>
  <c r="R513" i="41"/>
  <c r="L513" i="41"/>
  <c r="R527" i="41"/>
  <c r="O727" i="41"/>
  <c r="L727" i="41"/>
  <c r="L718" i="41" s="1"/>
  <c r="O213" i="41"/>
  <c r="O245" i="41"/>
  <c r="O277" i="41"/>
  <c r="J310" i="41"/>
  <c r="L322" i="41"/>
  <c r="K329" i="41"/>
  <c r="L485" i="41"/>
  <c r="R529" i="41"/>
  <c r="K190" i="41"/>
  <c r="L495" i="41"/>
  <c r="O513" i="41"/>
  <c r="J305" i="41"/>
  <c r="O260" i="41"/>
  <c r="J296" i="41"/>
  <c r="O306" i="41"/>
  <c r="R526" i="41"/>
  <c r="R531" i="41"/>
  <c r="R286" i="41"/>
  <c r="K300" i="41"/>
  <c r="I535" i="41"/>
  <c r="O535" i="41" s="1"/>
  <c r="L735" i="41"/>
  <c r="L729" i="41" s="1"/>
  <c r="R735" i="41"/>
  <c r="L783" i="41"/>
  <c r="R783" i="41"/>
  <c r="J794" i="41"/>
  <c r="L805" i="41"/>
  <c r="R805" i="41"/>
  <c r="L515" i="41"/>
  <c r="L717" i="41"/>
  <c r="R785" i="41"/>
  <c r="L785" i="41"/>
  <c r="K518" i="41"/>
  <c r="L522" i="41"/>
  <c r="L748" i="41"/>
  <c r="L738" i="41" s="1"/>
  <c r="K738" i="41"/>
  <c r="L786" i="41"/>
  <c r="R786" i="41"/>
  <c r="L788" i="41"/>
  <c r="R788" i="41"/>
  <c r="I492" i="41"/>
  <c r="L492" i="41" s="1"/>
  <c r="J790" i="41"/>
  <c r="O790" i="41"/>
  <c r="I491" i="41"/>
  <c r="L491" i="41" s="1"/>
  <c r="K573" i="41"/>
  <c r="L769" i="41"/>
  <c r="R801" i="41"/>
  <c r="L801" i="41"/>
  <c r="L688" i="41"/>
  <c r="R792" i="41"/>
  <c r="J780" i="41"/>
  <c r="R795" i="41"/>
  <c r="R778" i="41"/>
  <c r="R781" i="41"/>
  <c r="O788" i="41"/>
  <c r="O899" i="41"/>
  <c r="O902" i="41"/>
  <c r="R1082" i="41"/>
  <c r="K811" i="41"/>
  <c r="K973" i="41"/>
  <c r="L1072" i="41"/>
  <c r="R836" i="41"/>
  <c r="L907" i="41"/>
  <c r="K988" i="41"/>
  <c r="O990" i="41"/>
  <c r="L1069" i="41"/>
  <c r="J1239" i="41"/>
  <c r="O1239" i="41"/>
  <c r="L1175" i="41"/>
  <c r="R1169" i="41"/>
  <c r="O1169" i="41"/>
  <c r="O1204" i="41"/>
  <c r="O1152" i="41"/>
  <c r="J1152" i="41"/>
  <c r="O1154" i="41"/>
  <c r="J1154" i="41"/>
  <c r="O1156" i="41"/>
  <c r="J1156" i="41"/>
  <c r="O1158" i="41"/>
  <c r="J1158" i="41"/>
  <c r="O1160" i="41"/>
  <c r="J1160" i="41"/>
  <c r="J1163" i="41"/>
  <c r="R1163" i="41" s="1"/>
  <c r="J1243" i="41"/>
  <c r="O1175" i="41"/>
  <c r="K1166" i="41"/>
  <c r="K1198" i="41"/>
  <c r="K1236" i="41"/>
  <c r="R973" i="41" l="1"/>
  <c r="L812" i="41"/>
  <c r="L948" i="41"/>
  <c r="J948" i="41" s="1"/>
  <c r="R948" i="41" s="1"/>
  <c r="L1129" i="41"/>
  <c r="L1126" i="41" s="1"/>
  <c r="L566" i="41"/>
  <c r="L687" i="41"/>
  <c r="J687" i="41" s="1"/>
  <c r="R687" i="41" s="1"/>
  <c r="L702" i="41"/>
  <c r="J702" i="41" s="1"/>
  <c r="R702" i="41" s="1"/>
  <c r="R1087" i="41"/>
  <c r="L155" i="41"/>
  <c r="J1096" i="41"/>
  <c r="L1105" i="41"/>
  <c r="J1105" i="41" s="1"/>
  <c r="R1105" i="41" s="1"/>
  <c r="L79" i="41"/>
  <c r="L78" i="41" s="1"/>
  <c r="R278" i="41"/>
  <c r="L1244" i="41"/>
  <c r="L1058" i="41"/>
  <c r="R295" i="41"/>
  <c r="O1114" i="41"/>
  <c r="R1114" i="41"/>
  <c r="L737" i="41"/>
  <c r="O301" i="41"/>
  <c r="R990" i="41"/>
  <c r="L96" i="41"/>
  <c r="L95" i="41" s="1"/>
  <c r="L167" i="41"/>
  <c r="J167" i="41" s="1"/>
  <c r="L272" i="41"/>
  <c r="L164" i="41"/>
  <c r="J164" i="41" s="1"/>
  <c r="R164" i="41" s="1"/>
  <c r="L446" i="41"/>
  <c r="T1141" i="41"/>
  <c r="L476" i="41"/>
  <c r="L474" i="41" s="1"/>
  <c r="L923" i="41"/>
  <c r="L61" i="41"/>
  <c r="J738" i="41"/>
  <c r="R738" i="41" s="1"/>
  <c r="J508" i="41"/>
  <c r="L482" i="41"/>
  <c r="J482" i="41" s="1"/>
  <c r="L477" i="41"/>
  <c r="J477" i="41" s="1"/>
  <c r="L437" i="41"/>
  <c r="L440" i="41"/>
  <c r="I443" i="41"/>
  <c r="L443" i="41" s="1"/>
  <c r="L441" i="41"/>
  <c r="J749" i="41"/>
  <c r="R749" i="41" s="1"/>
  <c r="O873" i="41"/>
  <c r="L873" i="41"/>
  <c r="O874" i="41"/>
  <c r="L874" i="41"/>
  <c r="O875" i="41"/>
  <c r="L875" i="41"/>
  <c r="O876" i="41"/>
  <c r="L876" i="41"/>
  <c r="O865" i="41"/>
  <c r="O866" i="41"/>
  <c r="O867" i="41"/>
  <c r="O868" i="41"/>
  <c r="L878" i="41"/>
  <c r="L582" i="41"/>
  <c r="L581" i="41"/>
  <c r="L583" i="41"/>
  <c r="L584" i="41"/>
  <c r="L586" i="41"/>
  <c r="L577" i="41"/>
  <c r="L575" i="41"/>
  <c r="L579" i="41"/>
  <c r="L587" i="41"/>
  <c r="O749" i="41"/>
  <c r="L295" i="41"/>
  <c r="R506" i="41"/>
  <c r="L918" i="41"/>
  <c r="L690" i="41"/>
  <c r="J690" i="41" s="1"/>
  <c r="L969" i="41"/>
  <c r="R533" i="41"/>
  <c r="L574" i="41"/>
  <c r="L576" i="41"/>
  <c r="R1244" i="41"/>
  <c r="L1043" i="41"/>
  <c r="L323" i="41"/>
  <c r="J323" i="41" s="1"/>
  <c r="O881" i="41"/>
  <c r="L22" i="41"/>
  <c r="L278" i="41"/>
  <c r="L276" i="41" s="1"/>
  <c r="R498" i="41"/>
  <c r="L1090" i="41"/>
  <c r="R1241" i="41"/>
  <c r="R62" i="41"/>
  <c r="R505" i="41"/>
  <c r="L500" i="41"/>
  <c r="L535" i="41"/>
  <c r="L534" i="41" s="1"/>
  <c r="J534" i="41" s="1"/>
  <c r="R784" i="41"/>
  <c r="L784" i="41"/>
  <c r="R499" i="41"/>
  <c r="L879" i="41"/>
  <c r="L71" i="41"/>
  <c r="L70" i="41" s="1"/>
  <c r="O880" i="41"/>
  <c r="R23" i="41"/>
  <c r="R24" i="41"/>
  <c r="L24" i="41"/>
  <c r="L905" i="41"/>
  <c r="J905" i="41" s="1"/>
  <c r="L28" i="41"/>
  <c r="L245" i="41"/>
  <c r="R173" i="41"/>
  <c r="L173" i="41"/>
  <c r="R309" i="41"/>
  <c r="L309" i="41"/>
  <c r="R1202" i="41"/>
  <c r="L1202" i="41"/>
  <c r="L1239" i="41"/>
  <c r="R1239" i="41"/>
  <c r="L1068" i="41"/>
  <c r="L1169" i="41"/>
  <c r="L728" i="41"/>
  <c r="L1236" i="41"/>
  <c r="R1156" i="41"/>
  <c r="L1156" i="41"/>
  <c r="R1160" i="41"/>
  <c r="L1160" i="41"/>
  <c r="L1159" i="41" s="1"/>
  <c r="R1152" i="41"/>
  <c r="L1152" i="41"/>
  <c r="L1204" i="41"/>
  <c r="R1204" i="41"/>
  <c r="R1243" i="41"/>
  <c r="L1243" i="41"/>
  <c r="R1154" i="41"/>
  <c r="L1154" i="41"/>
  <c r="R794" i="41"/>
  <c r="L1163" i="41"/>
  <c r="L494" i="41"/>
  <c r="J494" i="41" s="1"/>
  <c r="L329" i="41"/>
  <c r="R253" i="41"/>
  <c r="L253" i="41"/>
  <c r="R32" i="41"/>
  <c r="L32" i="41"/>
  <c r="L177" i="41"/>
  <c r="L900" i="41"/>
  <c r="L899" i="41" s="1"/>
  <c r="R900" i="41"/>
  <c r="R780" i="41"/>
  <c r="L310" i="41"/>
  <c r="R310" i="41"/>
  <c r="L290" i="41"/>
  <c r="R290" i="41"/>
  <c r="R52" i="41"/>
  <c r="L52" i="41"/>
  <c r="R30" i="41"/>
  <c r="L30" i="41"/>
  <c r="L25" i="41"/>
  <c r="R25" i="41"/>
  <c r="R790" i="41"/>
  <c r="L790" i="41"/>
  <c r="L787" i="41" s="1"/>
  <c r="R305" i="41"/>
  <c r="L305" i="41"/>
  <c r="L265" i="41"/>
  <c r="R214" i="41"/>
  <c r="L214" i="41"/>
  <c r="R66" i="41"/>
  <c r="L66" i="41"/>
  <c r="R1199" i="41"/>
  <c r="L1199" i="41"/>
  <c r="L1198" i="41" s="1"/>
  <c r="R1158" i="41"/>
  <c r="L1158" i="41"/>
  <c r="L35" i="41"/>
  <c r="R35" i="41"/>
  <c r="L296" i="41"/>
  <c r="R296" i="41"/>
  <c r="L175" i="41"/>
  <c r="R175" i="41"/>
  <c r="R21" i="41"/>
  <c r="L21" i="41"/>
  <c r="R503" i="41"/>
  <c r="R26" i="41"/>
  <c r="L26" i="41"/>
  <c r="L43" i="41"/>
  <c r="R43" i="41"/>
  <c r="R39" i="41"/>
  <c r="L39" i="41"/>
  <c r="L804" i="41"/>
  <c r="J804" i="41" s="1"/>
  <c r="R804" i="41" s="1"/>
  <c r="R284" i="41"/>
  <c r="L284" i="41"/>
  <c r="R307" i="41"/>
  <c r="L307" i="41"/>
  <c r="L504" i="41"/>
  <c r="R504" i="41"/>
  <c r="R502" i="41"/>
  <c r="L502" i="41"/>
  <c r="R501" i="41"/>
  <c r="L501" i="41"/>
  <c r="L835" i="41"/>
  <c r="J835" i="41" s="1"/>
  <c r="R835" i="41" s="1"/>
  <c r="R294" i="41"/>
  <c r="L294" i="41"/>
  <c r="L263" i="41"/>
  <c r="L497" i="41"/>
  <c r="R497" i="41"/>
  <c r="R31" i="41"/>
  <c r="L31" i="41"/>
  <c r="R44" i="41"/>
  <c r="L44" i="41"/>
  <c r="L301" i="41"/>
  <c r="R301" i="41"/>
  <c r="L260" i="41"/>
  <c r="L180" i="41"/>
  <c r="L29" i="41"/>
  <c r="R29" i="41"/>
  <c r="J1043" i="41" l="1"/>
  <c r="J155" i="41"/>
  <c r="R155" i="41" s="1"/>
  <c r="R1096" i="41"/>
  <c r="J1126" i="41"/>
  <c r="R1126" i="41" s="1"/>
  <c r="L1049" i="41"/>
  <c r="L988" i="41" s="1"/>
  <c r="L987" i="41" s="1"/>
  <c r="D38" i="42" s="1"/>
  <c r="R690" i="41"/>
  <c r="L172" i="41"/>
  <c r="L580" i="41"/>
  <c r="J923" i="41"/>
  <c r="R923" i="41" s="1"/>
  <c r="L292" i="41"/>
  <c r="L174" i="41"/>
  <c r="L207" i="41"/>
  <c r="L300" i="41"/>
  <c r="L271" i="41"/>
  <c r="J474" i="41"/>
  <c r="L244" i="41"/>
  <c r="L243" i="41" s="1"/>
  <c r="L508" i="41"/>
  <c r="L507" i="41" s="1"/>
  <c r="R167" i="41"/>
  <c r="R508" i="41"/>
  <c r="J812" i="41"/>
  <c r="R812" i="41" s="1"/>
  <c r="L811" i="41"/>
  <c r="L442" i="41"/>
  <c r="S442" i="41" s="1"/>
  <c r="T442" i="41" s="1"/>
  <c r="T440" i="41"/>
  <c r="T441" i="41"/>
  <c r="L251" i="41"/>
  <c r="J251" i="41" s="1"/>
  <c r="R251" i="41" s="1"/>
  <c r="J969" i="41"/>
  <c r="R969" i="41" s="1"/>
  <c r="J587" i="41"/>
  <c r="L872" i="41"/>
  <c r="L877" i="41"/>
  <c r="J877" i="41" s="1"/>
  <c r="R877" i="41" s="1"/>
  <c r="L573" i="41"/>
  <c r="L782" i="41"/>
  <c r="N782" i="41" s="1"/>
  <c r="L1201" i="41"/>
  <c r="L1166" i="41"/>
  <c r="L283" i="41"/>
  <c r="T305" i="41"/>
  <c r="U305" i="41" s="1"/>
  <c r="V305" i="41" s="1"/>
  <c r="L289" i="41"/>
  <c r="L1162" i="41"/>
  <c r="J1162" i="41" s="1"/>
  <c r="R1162" i="41" s="1"/>
  <c r="L972" i="41"/>
  <c r="J1159" i="41"/>
  <c r="R1159" i="41" s="1"/>
  <c r="L1153" i="41"/>
  <c r="J1153" i="41" s="1"/>
  <c r="R1153" i="41" s="1"/>
  <c r="L262" i="41"/>
  <c r="L1157" i="41"/>
  <c r="J1157" i="41" s="1"/>
  <c r="R1157" i="41" s="1"/>
  <c r="L1203" i="41"/>
  <c r="L38" i="41"/>
  <c r="L42" i="41"/>
  <c r="L20" i="41"/>
  <c r="L1151" i="41"/>
  <c r="J1151" i="41" s="1"/>
  <c r="R1151" i="41" s="1"/>
  <c r="L1155" i="41"/>
  <c r="L65" i="41"/>
  <c r="L259" i="41"/>
  <c r="L701" i="41"/>
  <c r="N787" i="41"/>
  <c r="L27" i="41"/>
  <c r="L1238" i="41"/>
  <c r="L1125" i="41"/>
  <c r="L1242" i="41"/>
  <c r="R587" i="41" l="1"/>
  <c r="L250" i="41"/>
  <c r="L282" i="41"/>
  <c r="S508" i="41"/>
  <c r="S509" i="41" s="1"/>
  <c r="T509" i="41" s="1"/>
  <c r="J1166" i="41"/>
  <c r="R1166" i="41" s="1"/>
  <c r="E38" i="42"/>
  <c r="D38" i="29"/>
  <c r="L436" i="41"/>
  <c r="J436" i="41" s="1"/>
  <c r="J895" i="41"/>
  <c r="R895" i="41" s="1"/>
  <c r="J899" i="41"/>
  <c r="R899" i="41" s="1"/>
  <c r="T443" i="41"/>
  <c r="L242" i="41"/>
  <c r="L241" i="41" s="1"/>
  <c r="L206" i="41" s="1"/>
  <c r="O242" i="41"/>
  <c r="J872" i="41"/>
  <c r="R872" i="41" s="1"/>
  <c r="R864" i="41"/>
  <c r="J573" i="41"/>
  <c r="L493" i="41"/>
  <c r="J580" i="41"/>
  <c r="L38" i="42"/>
  <c r="L1165" i="41"/>
  <c r="L1164" i="41" s="1"/>
  <c r="D42" i="42" s="1"/>
  <c r="L299" i="41"/>
  <c r="L700" i="41"/>
  <c r="D32" i="42" s="1"/>
  <c r="L291" i="41"/>
  <c r="L736" i="41"/>
  <c r="L1197" i="41"/>
  <c r="L1235" i="41"/>
  <c r="L1124" i="41"/>
  <c r="D40" i="42" s="1"/>
  <c r="R573" i="41" l="1"/>
  <c r="R580" i="41"/>
  <c r="D33" i="42"/>
  <c r="D40" i="29"/>
  <c r="E42" i="42"/>
  <c r="D42" i="29"/>
  <c r="E32" i="42"/>
  <c r="D32" i="29"/>
  <c r="L205" i="41"/>
  <c r="D25" i="42" s="1"/>
  <c r="L486" i="41"/>
  <c r="J486" i="41" s="1"/>
  <c r="L40" i="42"/>
  <c r="E40" i="42"/>
  <c r="L32" i="42"/>
  <c r="L42" i="42"/>
  <c r="L270" i="41"/>
  <c r="D26" i="42" s="1"/>
  <c r="L1234" i="41"/>
  <c r="L1196" i="41"/>
  <c r="D43" i="42" s="1"/>
  <c r="L33" i="42" l="1"/>
  <c r="L1225" i="41"/>
  <c r="D45" i="42"/>
  <c r="D33" i="29"/>
  <c r="E33" i="42"/>
  <c r="D43" i="29"/>
  <c r="Q43" i="29" s="1"/>
  <c r="E26" i="42"/>
  <c r="D26" i="29"/>
  <c r="E25" i="42"/>
  <c r="D25" i="29"/>
  <c r="L43" i="42"/>
  <c r="E43" i="42"/>
  <c r="L25" i="42"/>
  <c r="L26" i="42"/>
  <c r="D45" i="29" l="1"/>
  <c r="P45" i="29" s="1"/>
  <c r="E45" i="42"/>
  <c r="L45" i="42"/>
  <c r="L1206" i="41"/>
  <c r="L1205" i="41" s="1"/>
  <c r="D44" i="42" s="1"/>
  <c r="S43" i="29"/>
  <c r="G43" i="29"/>
  <c r="J43" i="29"/>
  <c r="P43" i="29"/>
  <c r="L43" i="29"/>
  <c r="G45" i="29" l="1"/>
  <c r="J45" i="29"/>
  <c r="Q45" i="29"/>
  <c r="S45" i="29"/>
  <c r="L45" i="29"/>
  <c r="D44" i="29"/>
  <c r="L44" i="42"/>
  <c r="E44" i="42"/>
  <c r="U43" i="29"/>
  <c r="K123" i="41"/>
  <c r="K119" i="41"/>
  <c r="J119" i="41" s="1"/>
  <c r="L119" i="41" s="1"/>
  <c r="K55" i="41"/>
  <c r="J55" i="41" s="1"/>
  <c r="L55" i="41" s="1"/>
  <c r="L51" i="41" s="1"/>
  <c r="L50" i="41" s="1"/>
  <c r="L49" i="41" s="1"/>
  <c r="U45" i="29" l="1"/>
  <c r="J44" i="29"/>
  <c r="P44" i="29"/>
  <c r="G44" i="29"/>
  <c r="L44" i="29"/>
  <c r="Q44" i="29"/>
  <c r="S44" i="29"/>
  <c r="D22" i="42"/>
  <c r="J123" i="41"/>
  <c r="O123" i="41"/>
  <c r="U44" i="29" l="1"/>
  <c r="D22" i="29"/>
  <c r="R123" i="41"/>
  <c r="L123" i="41"/>
  <c r="L121" i="41" s="1"/>
  <c r="L120" i="41" s="1"/>
  <c r="E22" i="42"/>
  <c r="L22" i="42"/>
  <c r="K469" i="41"/>
  <c r="J469" i="41" s="1"/>
  <c r="H2566" i="24" l="1"/>
  <c r="H2573" i="24"/>
  <c r="I2573" i="24" l="1"/>
  <c r="D2595" i="24" s="1"/>
  <c r="K109" i="41" l="1"/>
  <c r="J109" i="41" s="1"/>
  <c r="R109" i="41" l="1"/>
  <c r="L109" i="41"/>
  <c r="L108" i="41" s="1"/>
  <c r="L107" i="41" l="1"/>
  <c r="K870" i="41"/>
  <c r="J870" i="41" l="1"/>
  <c r="O870" i="41"/>
  <c r="R870" i="41" l="1"/>
  <c r="L870" i="41"/>
  <c r="L869" i="41" s="1"/>
  <c r="J869" i="41" l="1"/>
  <c r="R869" i="41" s="1"/>
  <c r="G353" i="35"/>
  <c r="E353" i="35"/>
  <c r="A353" i="35"/>
  <c r="K353" i="35" s="1"/>
  <c r="G352" i="35"/>
  <c r="E352" i="35"/>
  <c r="A352" i="35"/>
  <c r="K352" i="35" s="1"/>
  <c r="O353" i="35" l="1"/>
  <c r="J353" i="35"/>
  <c r="O352" i="35"/>
  <c r="J352" i="35"/>
  <c r="G295" i="35"/>
  <c r="E295" i="35"/>
  <c r="A295" i="35"/>
  <c r="K295" i="35" s="1"/>
  <c r="J295" i="35" s="1"/>
  <c r="L295" i="35" s="1"/>
  <c r="G294" i="35"/>
  <c r="E294" i="35"/>
  <c r="A294" i="35"/>
  <c r="K294" i="35" s="1"/>
  <c r="J294" i="35" s="1"/>
  <c r="L294" i="35" s="1"/>
  <c r="L803" i="41" l="1"/>
  <c r="L802" i="41" s="1"/>
  <c r="D35" i="42" s="1"/>
  <c r="R353" i="35"/>
  <c r="L353" i="35"/>
  <c r="L352" i="35"/>
  <c r="R352" i="35"/>
  <c r="I414" i="35"/>
  <c r="H414" i="35"/>
  <c r="I413" i="35"/>
  <c r="I398" i="35"/>
  <c r="H398" i="35"/>
  <c r="I397" i="35"/>
  <c r="I374" i="35"/>
  <c r="I366" i="35"/>
  <c r="I358" i="35"/>
  <c r="H358" i="35"/>
  <c r="I357" i="35"/>
  <c r="D35" i="29" l="1"/>
  <c r="E35" i="42"/>
  <c r="L35" i="42"/>
  <c r="I604" i="35"/>
  <c r="I603" i="35"/>
  <c r="I602" i="35"/>
  <c r="I601" i="35"/>
  <c r="I600" i="35"/>
  <c r="G602" i="35"/>
  <c r="E602" i="35"/>
  <c r="A602" i="35"/>
  <c r="K602" i="35" s="1"/>
  <c r="J602" i="35" s="1"/>
  <c r="G601" i="35"/>
  <c r="E601" i="35"/>
  <c r="A601" i="35"/>
  <c r="K601" i="35" s="1"/>
  <c r="J601" i="35" s="1"/>
  <c r="G600" i="35"/>
  <c r="E600" i="35"/>
  <c r="A600" i="35"/>
  <c r="K600" i="35" s="1"/>
  <c r="J600" i="35" s="1"/>
  <c r="R629" i="35"/>
  <c r="O628" i="35"/>
  <c r="G628" i="35"/>
  <c r="E628" i="35"/>
  <c r="A628" i="35"/>
  <c r="K628" i="35" s="1"/>
  <c r="J628" i="35" s="1"/>
  <c r="R627" i="35"/>
  <c r="O627" i="35"/>
  <c r="A627" i="35"/>
  <c r="K627" i="35" s="1"/>
  <c r="G626" i="35"/>
  <c r="E626" i="35"/>
  <c r="A626" i="35"/>
  <c r="K626" i="35" s="1"/>
  <c r="R625" i="35"/>
  <c r="O625" i="35"/>
  <c r="A625" i="35"/>
  <c r="K625" i="35" s="1"/>
  <c r="R624" i="35"/>
  <c r="O624" i="35"/>
  <c r="A624" i="35"/>
  <c r="K624" i="35" s="1"/>
  <c r="R623" i="35"/>
  <c r="O623" i="35"/>
  <c r="A623" i="35"/>
  <c r="G622" i="35"/>
  <c r="E622" i="35"/>
  <c r="A622" i="35"/>
  <c r="K622" i="35" s="1"/>
  <c r="R621" i="35"/>
  <c r="O621" i="35"/>
  <c r="A621" i="35"/>
  <c r="K621" i="35" s="1"/>
  <c r="R620" i="35"/>
  <c r="O620" i="35"/>
  <c r="A620" i="35"/>
  <c r="K620" i="35" s="1"/>
  <c r="R619" i="35"/>
  <c r="O619" i="35"/>
  <c r="A619" i="35"/>
  <c r="G618" i="35"/>
  <c r="E618" i="35"/>
  <c r="A618" i="35"/>
  <c r="K618" i="35" s="1"/>
  <c r="G617" i="35"/>
  <c r="E617" i="35"/>
  <c r="A617" i="35"/>
  <c r="K617" i="35" s="1"/>
  <c r="G616" i="35"/>
  <c r="E616" i="35"/>
  <c r="A616" i="35"/>
  <c r="K616" i="35" s="1"/>
  <c r="G615" i="35"/>
  <c r="E615" i="35"/>
  <c r="A615" i="35"/>
  <c r="K615" i="35" s="1"/>
  <c r="G614" i="35"/>
  <c r="E614" i="35"/>
  <c r="A614" i="35"/>
  <c r="K614" i="35" s="1"/>
  <c r="G613" i="35"/>
  <c r="E613" i="35"/>
  <c r="A613" i="35"/>
  <c r="K613" i="35" s="1"/>
  <c r="A612" i="35"/>
  <c r="K612" i="35" s="1"/>
  <c r="G611" i="35"/>
  <c r="E611" i="35"/>
  <c r="A611" i="35"/>
  <c r="K611" i="35" s="1"/>
  <c r="I610" i="35"/>
  <c r="O610" i="35" s="1"/>
  <c r="G610" i="35"/>
  <c r="E610" i="35"/>
  <c r="A610" i="35"/>
  <c r="K610" i="35" s="1"/>
  <c r="J610" i="35" s="1"/>
  <c r="G609" i="35"/>
  <c r="E609" i="35"/>
  <c r="A609" i="35"/>
  <c r="K609" i="35" s="1"/>
  <c r="G608" i="35"/>
  <c r="E608" i="35"/>
  <c r="A608" i="35"/>
  <c r="K608" i="35" s="1"/>
  <c r="G607" i="35"/>
  <c r="E607" i="35"/>
  <c r="A607" i="35"/>
  <c r="K607" i="35" s="1"/>
  <c r="A606" i="35"/>
  <c r="K606" i="35" s="1"/>
  <c r="G605" i="35"/>
  <c r="E605" i="35"/>
  <c r="A605" i="35"/>
  <c r="K605" i="35" s="1"/>
  <c r="J605" i="35" s="1"/>
  <c r="G604" i="35"/>
  <c r="E604" i="35"/>
  <c r="A604" i="35"/>
  <c r="K604" i="35" s="1"/>
  <c r="G603" i="35"/>
  <c r="E603" i="35"/>
  <c r="A603" i="35"/>
  <c r="K603" i="35" s="1"/>
  <c r="I599" i="35"/>
  <c r="G599" i="35"/>
  <c r="E599" i="35"/>
  <c r="A599" i="35"/>
  <c r="K599" i="35" s="1"/>
  <c r="J599" i="35" s="1"/>
  <c r="A598" i="35"/>
  <c r="K598" i="35" s="1"/>
  <c r="R597" i="35"/>
  <c r="O597" i="35"/>
  <c r="A597" i="35"/>
  <c r="K597" i="35" s="1"/>
  <c r="R596" i="35"/>
  <c r="O596" i="35"/>
  <c r="A596" i="35"/>
  <c r="G595" i="35"/>
  <c r="E595" i="35"/>
  <c r="A595" i="35"/>
  <c r="K595" i="35" s="1"/>
  <c r="J595" i="35" s="1"/>
  <c r="L595" i="35" s="1"/>
  <c r="O594" i="35"/>
  <c r="G594" i="35"/>
  <c r="E594" i="35"/>
  <c r="A594" i="35"/>
  <c r="K594" i="35" s="1"/>
  <c r="J594" i="35" s="1"/>
  <c r="G593" i="35"/>
  <c r="E593" i="35"/>
  <c r="A593" i="35"/>
  <c r="K593" i="35" s="1"/>
  <c r="G592" i="35"/>
  <c r="E592" i="35"/>
  <c r="A592" i="35"/>
  <c r="K592" i="35" s="1"/>
  <c r="G591" i="35"/>
  <c r="E591" i="35"/>
  <c r="A591" i="35"/>
  <c r="K591" i="35" s="1"/>
  <c r="G590" i="35"/>
  <c r="E590" i="35"/>
  <c r="A590" i="35"/>
  <c r="K590" i="35" s="1"/>
  <c r="G589" i="35"/>
  <c r="E589" i="35"/>
  <c r="A589" i="35"/>
  <c r="K589" i="35" s="1"/>
  <c r="O589" i="35" s="1"/>
  <c r="G588" i="35"/>
  <c r="E588" i="35"/>
  <c r="A588" i="35"/>
  <c r="K588" i="35" s="1"/>
  <c r="G587" i="35"/>
  <c r="E587" i="35"/>
  <c r="A587" i="35"/>
  <c r="K587" i="35" s="1"/>
  <c r="G586" i="35"/>
  <c r="E586" i="35"/>
  <c r="A586" i="35"/>
  <c r="K586" i="35" s="1"/>
  <c r="G585" i="35"/>
  <c r="E585" i="35"/>
  <c r="A585" i="35"/>
  <c r="K585" i="35" s="1"/>
  <c r="J585" i="35" s="1"/>
  <c r="L585" i="35" s="1"/>
  <c r="G584" i="35"/>
  <c r="E584" i="35"/>
  <c r="A584" i="35"/>
  <c r="K584" i="35" s="1"/>
  <c r="J584" i="35" s="1"/>
  <c r="L584" i="35" s="1"/>
  <c r="G583" i="35"/>
  <c r="E583" i="35"/>
  <c r="A583" i="35"/>
  <c r="K583" i="35" s="1"/>
  <c r="G582" i="35"/>
  <c r="E582" i="35"/>
  <c r="A582" i="35"/>
  <c r="K582" i="35" s="1"/>
  <c r="O582" i="35" s="1"/>
  <c r="G581" i="35"/>
  <c r="E581" i="35"/>
  <c r="A581" i="35"/>
  <c r="K581" i="35" s="1"/>
  <c r="J581" i="35" s="1"/>
  <c r="L581" i="35" s="1"/>
  <c r="G580" i="35"/>
  <c r="E580" i="35"/>
  <c r="A580" i="35"/>
  <c r="K580" i="35" s="1"/>
  <c r="J580" i="35" s="1"/>
  <c r="L580" i="35" s="1"/>
  <c r="G579" i="35"/>
  <c r="E579" i="35"/>
  <c r="A579" i="35"/>
  <c r="K579" i="35" s="1"/>
  <c r="J579" i="35" s="1"/>
  <c r="L579" i="35" s="1"/>
  <c r="G578" i="35"/>
  <c r="E578" i="35"/>
  <c r="A578" i="35"/>
  <c r="K578" i="35" s="1"/>
  <c r="J578" i="35" s="1"/>
  <c r="L578" i="35" s="1"/>
  <c r="G577" i="35"/>
  <c r="E577" i="35"/>
  <c r="A577" i="35"/>
  <c r="K577" i="35" s="1"/>
  <c r="G576" i="35"/>
  <c r="E576" i="35"/>
  <c r="A576" i="35"/>
  <c r="K576" i="35" s="1"/>
  <c r="G575" i="35"/>
  <c r="E575" i="35"/>
  <c r="A575" i="35"/>
  <c r="K575" i="35" s="1"/>
  <c r="G574" i="35"/>
  <c r="E574" i="35"/>
  <c r="A574" i="35"/>
  <c r="K574" i="35" s="1"/>
  <c r="J574" i="35" s="1"/>
  <c r="G573" i="35"/>
  <c r="E573" i="35"/>
  <c r="A573" i="35"/>
  <c r="K573" i="35" s="1"/>
  <c r="G572" i="35"/>
  <c r="E572" i="35"/>
  <c r="A572" i="35"/>
  <c r="K572" i="35" s="1"/>
  <c r="G571" i="35"/>
  <c r="E571" i="35"/>
  <c r="A571" i="35"/>
  <c r="K571" i="35" s="1"/>
  <c r="G570" i="35"/>
  <c r="E570" i="35"/>
  <c r="A570" i="35"/>
  <c r="K570" i="35" s="1"/>
  <c r="J570" i="35" s="1"/>
  <c r="G569" i="35"/>
  <c r="E569" i="35"/>
  <c r="A569" i="35"/>
  <c r="K569" i="35" s="1"/>
  <c r="G568" i="35"/>
  <c r="E568" i="35"/>
  <c r="A568" i="35"/>
  <c r="K568" i="35" s="1"/>
  <c r="J568" i="35" s="1"/>
  <c r="L568" i="35" s="1"/>
  <c r="G567" i="35"/>
  <c r="E567" i="35"/>
  <c r="A567" i="35"/>
  <c r="K567" i="35" s="1"/>
  <c r="J567" i="35" s="1"/>
  <c r="L567" i="35" s="1"/>
  <c r="G566" i="35"/>
  <c r="E566" i="35"/>
  <c r="A566" i="35"/>
  <c r="K566" i="35" s="1"/>
  <c r="G565" i="35"/>
  <c r="E565" i="35"/>
  <c r="A565" i="35"/>
  <c r="K565" i="35" s="1"/>
  <c r="G564" i="35"/>
  <c r="E564" i="35"/>
  <c r="A564" i="35"/>
  <c r="K564" i="35" s="1"/>
  <c r="G563" i="35"/>
  <c r="E563" i="35"/>
  <c r="A563" i="35"/>
  <c r="K563" i="35" s="1"/>
  <c r="G562" i="35"/>
  <c r="E562" i="35"/>
  <c r="A562" i="35"/>
  <c r="K562" i="35" s="1"/>
  <c r="G561" i="35"/>
  <c r="E561" i="35"/>
  <c r="A561" i="35"/>
  <c r="K561" i="35" s="1"/>
  <c r="G560" i="35"/>
  <c r="E560" i="35"/>
  <c r="A560" i="35"/>
  <c r="K560" i="35" s="1"/>
  <c r="J560" i="35" s="1"/>
  <c r="G559" i="35"/>
  <c r="E559" i="35"/>
  <c r="A559" i="35"/>
  <c r="K559" i="35" s="1"/>
  <c r="G558" i="35"/>
  <c r="E558" i="35"/>
  <c r="A558" i="35"/>
  <c r="K558" i="35" s="1"/>
  <c r="G557" i="35"/>
  <c r="E557" i="35"/>
  <c r="A557" i="35"/>
  <c r="K557" i="35" s="1"/>
  <c r="J557" i="35" s="1"/>
  <c r="L557" i="35" s="1"/>
  <c r="G556" i="35"/>
  <c r="E556" i="35"/>
  <c r="A556" i="35"/>
  <c r="K556" i="35" s="1"/>
  <c r="J556" i="35" s="1"/>
  <c r="L556" i="35" s="1"/>
  <c r="G555" i="35"/>
  <c r="E555" i="35"/>
  <c r="A555" i="35"/>
  <c r="K555" i="35" s="1"/>
  <c r="G554" i="35"/>
  <c r="E554" i="35"/>
  <c r="A554" i="35"/>
  <c r="K554" i="35" s="1"/>
  <c r="G553" i="35"/>
  <c r="E553" i="35"/>
  <c r="A553" i="35"/>
  <c r="K553" i="35" s="1"/>
  <c r="G552" i="35"/>
  <c r="E552" i="35"/>
  <c r="A552" i="35"/>
  <c r="K552" i="35" s="1"/>
  <c r="G551" i="35"/>
  <c r="E551" i="35"/>
  <c r="A551" i="35"/>
  <c r="K551" i="35" s="1"/>
  <c r="G550" i="35"/>
  <c r="E550" i="35"/>
  <c r="A550" i="35"/>
  <c r="K550" i="35" s="1"/>
  <c r="G549" i="35"/>
  <c r="E549" i="35"/>
  <c r="A549" i="35"/>
  <c r="K549" i="35" s="1"/>
  <c r="G548" i="35"/>
  <c r="E548" i="35"/>
  <c r="A548" i="35"/>
  <c r="K548" i="35" s="1"/>
  <c r="G547" i="35"/>
  <c r="E547" i="35"/>
  <c r="A547" i="35"/>
  <c r="K547" i="35" s="1"/>
  <c r="G546" i="35"/>
  <c r="E546" i="35"/>
  <c r="A546" i="35"/>
  <c r="K546" i="35" s="1"/>
  <c r="R545" i="35"/>
  <c r="O545" i="35"/>
  <c r="A545" i="35"/>
  <c r="K545" i="35" s="1"/>
  <c r="R544" i="35"/>
  <c r="O544" i="35"/>
  <c r="A544" i="35"/>
  <c r="K544" i="35" s="1"/>
  <c r="R543" i="35"/>
  <c r="O543" i="35"/>
  <c r="A543" i="35"/>
  <c r="O542" i="35"/>
  <c r="G542" i="35"/>
  <c r="E542" i="35"/>
  <c r="A542" i="35"/>
  <c r="R541" i="35"/>
  <c r="A541" i="35"/>
  <c r="K541" i="35" s="1"/>
  <c r="O541" i="35" s="1"/>
  <c r="O540" i="35"/>
  <c r="G540" i="35"/>
  <c r="E540" i="35"/>
  <c r="A540" i="35"/>
  <c r="K540" i="35" s="1"/>
  <c r="J540" i="35" s="1"/>
  <c r="R539" i="35"/>
  <c r="A539" i="35"/>
  <c r="K539" i="35" s="1"/>
  <c r="O539" i="35" s="1"/>
  <c r="G538" i="35"/>
  <c r="E538" i="35"/>
  <c r="A538" i="35"/>
  <c r="K538" i="35" s="1"/>
  <c r="J538" i="35" s="1"/>
  <c r="L538" i="35" s="1"/>
  <c r="I537" i="35"/>
  <c r="G537" i="35"/>
  <c r="E537" i="35"/>
  <c r="A537" i="35"/>
  <c r="K537" i="35" s="1"/>
  <c r="J537" i="35" s="1"/>
  <c r="R536" i="35"/>
  <c r="A536" i="35"/>
  <c r="K536" i="35" s="1"/>
  <c r="O536" i="35" s="1"/>
  <c r="G535" i="35"/>
  <c r="E535" i="35"/>
  <c r="A535" i="35"/>
  <c r="K535" i="35" s="1"/>
  <c r="J535" i="35" s="1"/>
  <c r="L535" i="35" s="1"/>
  <c r="G534" i="35"/>
  <c r="E534" i="35"/>
  <c r="A534" i="35"/>
  <c r="K534" i="35" s="1"/>
  <c r="J534" i="35" s="1"/>
  <c r="L534" i="35" s="1"/>
  <c r="R533" i="35"/>
  <c r="O533" i="35"/>
  <c r="A533" i="35"/>
  <c r="K533" i="35" s="1"/>
  <c r="G532" i="35"/>
  <c r="E532" i="35"/>
  <c r="A532" i="35"/>
  <c r="K532" i="35" s="1"/>
  <c r="J532" i="35" s="1"/>
  <c r="L532" i="35" s="1"/>
  <c r="G531" i="35"/>
  <c r="E531" i="35"/>
  <c r="A531" i="35"/>
  <c r="K531" i="35" s="1"/>
  <c r="J531" i="35" s="1"/>
  <c r="L531" i="35" s="1"/>
  <c r="G530" i="35"/>
  <c r="E530" i="35"/>
  <c r="A530" i="35"/>
  <c r="K530" i="35" s="1"/>
  <c r="J530" i="35" s="1"/>
  <c r="L530" i="35" s="1"/>
  <c r="G529" i="35"/>
  <c r="E529" i="35"/>
  <c r="A529" i="35"/>
  <c r="K529" i="35" s="1"/>
  <c r="J529" i="35" s="1"/>
  <c r="L529" i="35" s="1"/>
  <c r="R528" i="35"/>
  <c r="O528" i="35"/>
  <c r="A528" i="35"/>
  <c r="K528" i="35" s="1"/>
  <c r="R527" i="35"/>
  <c r="O527" i="35"/>
  <c r="A527" i="35"/>
  <c r="K527" i="35" s="1"/>
  <c r="O526" i="35"/>
  <c r="A526" i="35"/>
  <c r="K526" i="35" s="1"/>
  <c r="J526" i="35" s="1"/>
  <c r="R526" i="35" s="1"/>
  <c r="R525" i="35"/>
  <c r="O525" i="35"/>
  <c r="A525" i="35"/>
  <c r="O524" i="35"/>
  <c r="G524" i="35"/>
  <c r="E524" i="35"/>
  <c r="A524" i="35"/>
  <c r="K524" i="35" s="1"/>
  <c r="J524" i="35" s="1"/>
  <c r="R523" i="35"/>
  <c r="O523" i="35"/>
  <c r="A523" i="35"/>
  <c r="R522" i="35"/>
  <c r="O522" i="35"/>
  <c r="A522" i="35"/>
  <c r="K522" i="35" s="1"/>
  <c r="R521" i="35"/>
  <c r="O521" i="35"/>
  <c r="A521" i="35"/>
  <c r="O520" i="35"/>
  <c r="G520" i="35"/>
  <c r="E520" i="35"/>
  <c r="A520" i="35"/>
  <c r="R519" i="35"/>
  <c r="O519" i="35"/>
  <c r="A519" i="35"/>
  <c r="K519" i="35" s="1"/>
  <c r="H518" i="35"/>
  <c r="G518" i="35"/>
  <c r="E518" i="35"/>
  <c r="A518" i="35"/>
  <c r="K518" i="35" s="1"/>
  <c r="J518" i="35" s="1"/>
  <c r="R517" i="35"/>
  <c r="O517" i="35"/>
  <c r="A517" i="35"/>
  <c r="K517" i="35" s="1"/>
  <c r="R516" i="35"/>
  <c r="O516" i="35"/>
  <c r="A516" i="35"/>
  <c r="K516" i="35" s="1"/>
  <c r="R515" i="35"/>
  <c r="O515" i="35"/>
  <c r="A515" i="35"/>
  <c r="I514" i="35"/>
  <c r="L514" i="35" s="1"/>
  <c r="G514" i="35"/>
  <c r="E514" i="35"/>
  <c r="A514" i="35"/>
  <c r="K514" i="35" s="1"/>
  <c r="G513" i="35"/>
  <c r="E513" i="35"/>
  <c r="A513" i="35"/>
  <c r="K513" i="35" s="1"/>
  <c r="J513" i="35" s="1"/>
  <c r="L513" i="35" s="1"/>
  <c r="G512" i="35"/>
  <c r="E512" i="35"/>
  <c r="A512" i="35"/>
  <c r="K512" i="35" s="1"/>
  <c r="J512" i="35" s="1"/>
  <c r="L512" i="35" s="1"/>
  <c r="G511" i="35"/>
  <c r="E511" i="35"/>
  <c r="A511" i="35"/>
  <c r="K511" i="35" s="1"/>
  <c r="J511" i="35" s="1"/>
  <c r="L511" i="35" s="1"/>
  <c r="G510" i="35"/>
  <c r="E510" i="35"/>
  <c r="A510" i="35"/>
  <c r="K510" i="35" s="1"/>
  <c r="J510" i="35" s="1"/>
  <c r="L510" i="35" s="1"/>
  <c r="G509" i="35"/>
  <c r="E509" i="35"/>
  <c r="A509" i="35"/>
  <c r="K509" i="35" s="1"/>
  <c r="J509" i="35" s="1"/>
  <c r="L509" i="35" s="1"/>
  <c r="G508" i="35"/>
  <c r="E508" i="35"/>
  <c r="A508" i="35"/>
  <c r="K508" i="35" s="1"/>
  <c r="J508" i="35" s="1"/>
  <c r="L508" i="35" s="1"/>
  <c r="G507" i="35"/>
  <c r="E507" i="35"/>
  <c r="A507" i="35"/>
  <c r="K507" i="35" s="1"/>
  <c r="J507" i="35" s="1"/>
  <c r="L507" i="35" s="1"/>
  <c r="G506" i="35"/>
  <c r="E506" i="35"/>
  <c r="A506" i="35"/>
  <c r="K506" i="35" s="1"/>
  <c r="J506" i="35" s="1"/>
  <c r="L506" i="35" s="1"/>
  <c r="G505" i="35"/>
  <c r="E505" i="35"/>
  <c r="A505" i="35"/>
  <c r="K505" i="35" s="1"/>
  <c r="J505" i="35" s="1"/>
  <c r="L505" i="35" s="1"/>
  <c r="G504" i="35"/>
  <c r="E504" i="35"/>
  <c r="A504" i="35"/>
  <c r="K504" i="35" s="1"/>
  <c r="J504" i="35" s="1"/>
  <c r="L504" i="35" s="1"/>
  <c r="G503" i="35"/>
  <c r="E503" i="35"/>
  <c r="A503" i="35"/>
  <c r="K503" i="35" s="1"/>
  <c r="J503" i="35" s="1"/>
  <c r="L503" i="35" s="1"/>
  <c r="G502" i="35"/>
  <c r="E502" i="35"/>
  <c r="A502" i="35"/>
  <c r="K502" i="35" s="1"/>
  <c r="J502" i="35" s="1"/>
  <c r="L502" i="35" s="1"/>
  <c r="G501" i="35"/>
  <c r="E501" i="35"/>
  <c r="A501" i="35"/>
  <c r="K501" i="35" s="1"/>
  <c r="J501" i="35" s="1"/>
  <c r="L501" i="35" s="1"/>
  <c r="G500" i="35"/>
  <c r="E500" i="35"/>
  <c r="A500" i="35"/>
  <c r="K500" i="35" s="1"/>
  <c r="J500" i="35" s="1"/>
  <c r="L500" i="35" s="1"/>
  <c r="G499" i="35"/>
  <c r="E499" i="35"/>
  <c r="A499" i="35"/>
  <c r="K499" i="35" s="1"/>
  <c r="J499" i="35" s="1"/>
  <c r="L499" i="35" s="1"/>
  <c r="G498" i="35"/>
  <c r="E498" i="35"/>
  <c r="A498" i="35"/>
  <c r="K498" i="35" s="1"/>
  <c r="J498" i="35" s="1"/>
  <c r="L498" i="35" s="1"/>
  <c r="G497" i="35"/>
  <c r="E497" i="35"/>
  <c r="A497" i="35"/>
  <c r="K497" i="35" s="1"/>
  <c r="J497" i="35" s="1"/>
  <c r="L497" i="35" s="1"/>
  <c r="G496" i="35"/>
  <c r="E496" i="35"/>
  <c r="A496" i="35"/>
  <c r="K496" i="35" s="1"/>
  <c r="J496" i="35" s="1"/>
  <c r="L496" i="35" s="1"/>
  <c r="G495" i="35"/>
  <c r="E495" i="35"/>
  <c r="A495" i="35"/>
  <c r="K495" i="35" s="1"/>
  <c r="J495" i="35" s="1"/>
  <c r="L495" i="35" s="1"/>
  <c r="G494" i="35"/>
  <c r="E494" i="35"/>
  <c r="A494" i="35"/>
  <c r="K494" i="35" s="1"/>
  <c r="J494" i="35" s="1"/>
  <c r="L494" i="35" s="1"/>
  <c r="A493" i="35"/>
  <c r="G492" i="35"/>
  <c r="E492" i="35"/>
  <c r="A492" i="35"/>
  <c r="K492" i="35" s="1"/>
  <c r="J492" i="35" s="1"/>
  <c r="L492" i="35" s="1"/>
  <c r="G491" i="35"/>
  <c r="E491" i="35"/>
  <c r="A491" i="35"/>
  <c r="K491" i="35" s="1"/>
  <c r="J491" i="35" s="1"/>
  <c r="L491" i="35" s="1"/>
  <c r="G490" i="35"/>
  <c r="E490" i="35"/>
  <c r="A490" i="35"/>
  <c r="A489" i="35"/>
  <c r="G488" i="35"/>
  <c r="E488" i="35"/>
  <c r="A488" i="35"/>
  <c r="K488" i="35" s="1"/>
  <c r="J488" i="35" s="1"/>
  <c r="L488" i="35" s="1"/>
  <c r="G487" i="35"/>
  <c r="E487" i="35"/>
  <c r="A487" i="35"/>
  <c r="K487" i="35" s="1"/>
  <c r="J487" i="35" s="1"/>
  <c r="L487" i="35" s="1"/>
  <c r="O486" i="35"/>
  <c r="G486" i="35"/>
  <c r="E486" i="35"/>
  <c r="A486" i="35"/>
  <c r="K486" i="35" s="1"/>
  <c r="J486" i="35" s="1"/>
  <c r="O485" i="35"/>
  <c r="G485" i="35"/>
  <c r="E485" i="35"/>
  <c r="A485" i="35"/>
  <c r="K485" i="35" s="1"/>
  <c r="J485" i="35" s="1"/>
  <c r="G484" i="35"/>
  <c r="E484" i="35"/>
  <c r="A484" i="35"/>
  <c r="K484" i="35" s="1"/>
  <c r="J484" i="35" s="1"/>
  <c r="L484" i="35" s="1"/>
  <c r="G483" i="35"/>
  <c r="E483" i="35"/>
  <c r="A483" i="35"/>
  <c r="K483" i="35" s="1"/>
  <c r="J483" i="35" s="1"/>
  <c r="L483" i="35" s="1"/>
  <c r="O482" i="35"/>
  <c r="G482" i="35"/>
  <c r="E482" i="35"/>
  <c r="A482" i="35"/>
  <c r="K482" i="35" s="1"/>
  <c r="J482" i="35" s="1"/>
  <c r="O481" i="35"/>
  <c r="G481" i="35"/>
  <c r="E481" i="35"/>
  <c r="A481" i="35"/>
  <c r="K481" i="35" s="1"/>
  <c r="J481" i="35" s="1"/>
  <c r="G480" i="35"/>
  <c r="E480" i="35"/>
  <c r="A480" i="35"/>
  <c r="K480" i="35" s="1"/>
  <c r="J480" i="35" s="1"/>
  <c r="L480" i="35" s="1"/>
  <c r="G479" i="35"/>
  <c r="E479" i="35"/>
  <c r="A479" i="35"/>
  <c r="K479" i="35" s="1"/>
  <c r="J479" i="35" s="1"/>
  <c r="L479" i="35" s="1"/>
  <c r="O478" i="35"/>
  <c r="G478" i="35"/>
  <c r="E478" i="35"/>
  <c r="A478" i="35"/>
  <c r="K478" i="35" s="1"/>
  <c r="J478" i="35" s="1"/>
  <c r="O477" i="35"/>
  <c r="G477" i="35"/>
  <c r="E477" i="35"/>
  <c r="A477" i="35"/>
  <c r="K477" i="35" s="1"/>
  <c r="J477" i="35" s="1"/>
  <c r="G476" i="35"/>
  <c r="E476" i="35"/>
  <c r="A476" i="35"/>
  <c r="G475" i="35"/>
  <c r="E475" i="35"/>
  <c r="A475" i="35"/>
  <c r="G474" i="35"/>
  <c r="E474" i="35"/>
  <c r="A474" i="35"/>
  <c r="G473" i="35"/>
  <c r="E473" i="35"/>
  <c r="A473" i="35"/>
  <c r="R472" i="35"/>
  <c r="O472" i="35"/>
  <c r="A472" i="35"/>
  <c r="K472" i="35" s="1"/>
  <c r="R471" i="35"/>
  <c r="O471" i="35"/>
  <c r="A471" i="35"/>
  <c r="K471" i="35" s="1"/>
  <c r="R470" i="35"/>
  <c r="O470" i="35"/>
  <c r="A470" i="35"/>
  <c r="G469" i="35"/>
  <c r="E469" i="35"/>
  <c r="A469" i="35"/>
  <c r="K469" i="35" s="1"/>
  <c r="J469" i="35" s="1"/>
  <c r="L469" i="35" s="1"/>
  <c r="G468" i="35"/>
  <c r="E468" i="35"/>
  <c r="A468" i="35"/>
  <c r="K468" i="35" s="1"/>
  <c r="J468" i="35" s="1"/>
  <c r="L468" i="35" s="1"/>
  <c r="R467" i="35"/>
  <c r="O467" i="35"/>
  <c r="A467" i="35"/>
  <c r="K467" i="35" s="1"/>
  <c r="G466" i="35"/>
  <c r="E466" i="35"/>
  <c r="A466" i="35"/>
  <c r="K466" i="35" s="1"/>
  <c r="J466" i="35" s="1"/>
  <c r="L466" i="35" s="1"/>
  <c r="G465" i="35"/>
  <c r="E465" i="35"/>
  <c r="A465" i="35"/>
  <c r="K465" i="35" s="1"/>
  <c r="J465" i="35" s="1"/>
  <c r="L465" i="35" s="1"/>
  <c r="G464" i="35"/>
  <c r="E464" i="35"/>
  <c r="A464" i="35"/>
  <c r="K464" i="35" s="1"/>
  <c r="J464" i="35" s="1"/>
  <c r="L464" i="35" s="1"/>
  <c r="G463" i="35"/>
  <c r="E463" i="35"/>
  <c r="A463" i="35"/>
  <c r="G462" i="35"/>
  <c r="E462" i="35"/>
  <c r="A462" i="35"/>
  <c r="G461" i="35"/>
  <c r="E461" i="35"/>
  <c r="A461" i="35"/>
  <c r="K461" i="35" s="1"/>
  <c r="J461" i="35" s="1"/>
  <c r="L461" i="35" s="1"/>
  <c r="G460" i="35"/>
  <c r="E460" i="35"/>
  <c r="A460" i="35"/>
  <c r="G459" i="35"/>
  <c r="E459" i="35"/>
  <c r="A459" i="35"/>
  <c r="K459" i="35" s="1"/>
  <c r="J459" i="35" s="1"/>
  <c r="L459" i="35" s="1"/>
  <c r="G458" i="35"/>
  <c r="E458" i="35"/>
  <c r="A458" i="35"/>
  <c r="K458" i="35" s="1"/>
  <c r="J458" i="35" s="1"/>
  <c r="L458" i="35" s="1"/>
  <c r="G457" i="35"/>
  <c r="E457" i="35"/>
  <c r="A457" i="35"/>
  <c r="K457" i="35" s="1"/>
  <c r="J457" i="35" s="1"/>
  <c r="L457" i="35" s="1"/>
  <c r="G456" i="35"/>
  <c r="E456" i="35"/>
  <c r="A456" i="35"/>
  <c r="K456" i="35" s="1"/>
  <c r="J456" i="35" s="1"/>
  <c r="L456" i="35" s="1"/>
  <c r="G455" i="35"/>
  <c r="E455" i="35"/>
  <c r="A455" i="35"/>
  <c r="K455" i="35" s="1"/>
  <c r="J455" i="35" s="1"/>
  <c r="L455" i="35" s="1"/>
  <c r="G454" i="35"/>
  <c r="E454" i="35"/>
  <c r="A454" i="35"/>
  <c r="G453" i="35"/>
  <c r="E453" i="35"/>
  <c r="A453" i="35"/>
  <c r="K453" i="35" s="1"/>
  <c r="J453" i="35" s="1"/>
  <c r="L453" i="35" s="1"/>
  <c r="G452" i="35"/>
  <c r="E452" i="35"/>
  <c r="A452" i="35"/>
  <c r="G451" i="35"/>
  <c r="E451" i="35"/>
  <c r="A451" i="35"/>
  <c r="G450" i="35"/>
  <c r="E450" i="35"/>
  <c r="A450" i="35"/>
  <c r="K450" i="35" s="1"/>
  <c r="J450" i="35" s="1"/>
  <c r="L450" i="35" s="1"/>
  <c r="O449" i="35"/>
  <c r="A449" i="35"/>
  <c r="K449" i="35" s="1"/>
  <c r="R448" i="35"/>
  <c r="O448" i="35"/>
  <c r="A448" i="35"/>
  <c r="K448" i="35" s="1"/>
  <c r="R447" i="35"/>
  <c r="O447" i="35"/>
  <c r="A447" i="35"/>
  <c r="K446" i="35"/>
  <c r="J446" i="35" s="1"/>
  <c r="L446" i="35" s="1"/>
  <c r="G446" i="35"/>
  <c r="E446" i="35"/>
  <c r="K445" i="35"/>
  <c r="J445" i="35" s="1"/>
  <c r="G445" i="35"/>
  <c r="E445" i="35"/>
  <c r="G444" i="35"/>
  <c r="E444" i="35"/>
  <c r="K443" i="35"/>
  <c r="H443" i="35"/>
  <c r="I445" i="35" s="1"/>
  <c r="K442" i="35"/>
  <c r="J442" i="35" s="1"/>
  <c r="G442" i="35"/>
  <c r="E442" i="35"/>
  <c r="K441" i="35"/>
  <c r="J441" i="35" s="1"/>
  <c r="G441" i="35"/>
  <c r="E441" i="35"/>
  <c r="K440" i="35"/>
  <c r="J440" i="35" s="1"/>
  <c r="G440" i="35"/>
  <c r="E440" i="35"/>
  <c r="G439" i="35"/>
  <c r="E439" i="35"/>
  <c r="K438" i="35"/>
  <c r="H438" i="35"/>
  <c r="I439" i="35" s="1"/>
  <c r="A437" i="35"/>
  <c r="O436" i="35"/>
  <c r="G436" i="35"/>
  <c r="E436" i="35"/>
  <c r="A436" i="35"/>
  <c r="I435" i="35"/>
  <c r="I434" i="35" s="1"/>
  <c r="O434" i="35" s="1"/>
  <c r="G435" i="35"/>
  <c r="E435" i="35"/>
  <c r="A435" i="35"/>
  <c r="K435" i="35" s="1"/>
  <c r="J435" i="35" s="1"/>
  <c r="G434" i="35"/>
  <c r="E434" i="35"/>
  <c r="A434" i="35"/>
  <c r="K434" i="35" s="1"/>
  <c r="J434" i="35" s="1"/>
  <c r="K433" i="35"/>
  <c r="J433" i="35" s="1"/>
  <c r="I433" i="35"/>
  <c r="O433" i="35" s="1"/>
  <c r="G433" i="35"/>
  <c r="E433" i="35"/>
  <c r="K432" i="35"/>
  <c r="J432" i="35" s="1"/>
  <c r="I432" i="35"/>
  <c r="O432" i="35" s="1"/>
  <c r="G432" i="35"/>
  <c r="E432" i="35"/>
  <c r="I431" i="35"/>
  <c r="O431" i="35" s="1"/>
  <c r="G431" i="35"/>
  <c r="E431" i="35"/>
  <c r="A431" i="35"/>
  <c r="K431" i="35" s="1"/>
  <c r="J431" i="35" s="1"/>
  <c r="I430" i="35"/>
  <c r="O430" i="35" s="1"/>
  <c r="G430" i="35"/>
  <c r="E430" i="35"/>
  <c r="A430" i="35"/>
  <c r="K430" i="35" s="1"/>
  <c r="J430" i="35" s="1"/>
  <c r="R429" i="35"/>
  <c r="O429" i="35"/>
  <c r="A429" i="35"/>
  <c r="K429" i="35" s="1"/>
  <c r="G428" i="35"/>
  <c r="E428" i="35"/>
  <c r="A428" i="35"/>
  <c r="I427" i="35"/>
  <c r="O427" i="35" s="1"/>
  <c r="G427" i="35"/>
  <c r="E427" i="35"/>
  <c r="A427" i="35"/>
  <c r="K427" i="35" s="1"/>
  <c r="J427" i="35" s="1"/>
  <c r="I426" i="35"/>
  <c r="O426" i="35" s="1"/>
  <c r="G426" i="35"/>
  <c r="E426" i="35"/>
  <c r="A426" i="35"/>
  <c r="K426" i="35" s="1"/>
  <c r="J426" i="35" s="1"/>
  <c r="K425" i="35"/>
  <c r="J425" i="35" s="1"/>
  <c r="I425" i="35"/>
  <c r="O425" i="35" s="1"/>
  <c r="G425" i="35"/>
  <c r="E425" i="35"/>
  <c r="K424" i="35"/>
  <c r="J424" i="35" s="1"/>
  <c r="I424" i="35"/>
  <c r="O424" i="35" s="1"/>
  <c r="G424" i="35"/>
  <c r="E424" i="35"/>
  <c r="I423" i="35"/>
  <c r="O423" i="35" s="1"/>
  <c r="G423" i="35"/>
  <c r="E423" i="35"/>
  <c r="A423" i="35"/>
  <c r="K423" i="35" s="1"/>
  <c r="J423" i="35" s="1"/>
  <c r="I422" i="35"/>
  <c r="O422" i="35" s="1"/>
  <c r="G422" i="35"/>
  <c r="E422" i="35"/>
  <c r="A422" i="35"/>
  <c r="K422" i="35" s="1"/>
  <c r="J422" i="35" s="1"/>
  <c r="R421" i="35"/>
  <c r="A421" i="35"/>
  <c r="K421" i="35" s="1"/>
  <c r="O421" i="35" s="1"/>
  <c r="G420" i="35"/>
  <c r="E420" i="35"/>
  <c r="A420" i="35"/>
  <c r="I419" i="35"/>
  <c r="I418" i="35" s="1"/>
  <c r="G419" i="35"/>
  <c r="E419" i="35"/>
  <c r="A419" i="35"/>
  <c r="K419" i="35" s="1"/>
  <c r="G418" i="35"/>
  <c r="E418" i="35"/>
  <c r="A418" i="35"/>
  <c r="K418" i="35" s="1"/>
  <c r="J418" i="35" s="1"/>
  <c r="K417" i="35"/>
  <c r="J417" i="35" s="1"/>
  <c r="I417" i="35"/>
  <c r="G417" i="35"/>
  <c r="E417" i="35"/>
  <c r="K416" i="35"/>
  <c r="J416" i="35" s="1"/>
  <c r="I416" i="35"/>
  <c r="G416" i="35"/>
  <c r="E416" i="35"/>
  <c r="I415" i="35"/>
  <c r="G415" i="35"/>
  <c r="E415" i="35"/>
  <c r="A415" i="35"/>
  <c r="K415" i="35" s="1"/>
  <c r="J415" i="35" s="1"/>
  <c r="G414" i="35"/>
  <c r="E414" i="35"/>
  <c r="A414" i="35"/>
  <c r="K414" i="35" s="1"/>
  <c r="J414" i="35" s="1"/>
  <c r="R413" i="35"/>
  <c r="A413" i="35"/>
  <c r="K413" i="35" s="1"/>
  <c r="O413" i="35" s="1"/>
  <c r="G412" i="35"/>
  <c r="E412" i="35"/>
  <c r="A412" i="35"/>
  <c r="I411" i="35"/>
  <c r="G411" i="35"/>
  <c r="E411" i="35"/>
  <c r="A411" i="35"/>
  <c r="K411" i="35" s="1"/>
  <c r="I410" i="35"/>
  <c r="G410" i="35"/>
  <c r="E410" i="35"/>
  <c r="A410" i="35"/>
  <c r="K410" i="35" s="1"/>
  <c r="K409" i="35"/>
  <c r="J409" i="35" s="1"/>
  <c r="I409" i="35"/>
  <c r="G409" i="35"/>
  <c r="E409" i="35"/>
  <c r="K408" i="35"/>
  <c r="J408" i="35" s="1"/>
  <c r="I408" i="35"/>
  <c r="G408" i="35"/>
  <c r="E408" i="35"/>
  <c r="I407" i="35"/>
  <c r="G407" i="35"/>
  <c r="E407" i="35"/>
  <c r="A407" i="35"/>
  <c r="K407" i="35" s="1"/>
  <c r="J407" i="35" s="1"/>
  <c r="I406" i="35"/>
  <c r="G406" i="35"/>
  <c r="E406" i="35"/>
  <c r="A406" i="35"/>
  <c r="K406" i="35" s="1"/>
  <c r="J406" i="35" s="1"/>
  <c r="R405" i="35"/>
  <c r="A405" i="35"/>
  <c r="K405" i="35" s="1"/>
  <c r="O405" i="35" s="1"/>
  <c r="G404" i="35"/>
  <c r="E404" i="35"/>
  <c r="A404" i="35"/>
  <c r="K404" i="35" s="1"/>
  <c r="I403" i="35"/>
  <c r="I402" i="35" s="1"/>
  <c r="G403" i="35"/>
  <c r="E403" i="35"/>
  <c r="A403" i="35"/>
  <c r="K403" i="35" s="1"/>
  <c r="G402" i="35"/>
  <c r="E402" i="35"/>
  <c r="A402" i="35"/>
  <c r="K402" i="35" s="1"/>
  <c r="J402" i="35" s="1"/>
  <c r="K401" i="35"/>
  <c r="J401" i="35" s="1"/>
  <c r="I401" i="35"/>
  <c r="G401" i="35"/>
  <c r="E401" i="35"/>
  <c r="K400" i="35"/>
  <c r="J400" i="35" s="1"/>
  <c r="I400" i="35"/>
  <c r="G400" i="35"/>
  <c r="E400" i="35"/>
  <c r="I399" i="35"/>
  <c r="G399" i="35"/>
  <c r="E399" i="35"/>
  <c r="A399" i="35"/>
  <c r="K399" i="35" s="1"/>
  <c r="J399" i="35" s="1"/>
  <c r="G398" i="35"/>
  <c r="E398" i="35"/>
  <c r="A398" i="35"/>
  <c r="K398" i="35" s="1"/>
  <c r="J398" i="35" s="1"/>
  <c r="R397" i="35"/>
  <c r="A397" i="35"/>
  <c r="K397" i="35" s="1"/>
  <c r="O397" i="35" s="1"/>
  <c r="O396" i="35"/>
  <c r="G396" i="35"/>
  <c r="E396" i="35"/>
  <c r="A396" i="35"/>
  <c r="K396" i="35" s="1"/>
  <c r="J396" i="35" s="1"/>
  <c r="I395" i="35"/>
  <c r="I394" i="35" s="1"/>
  <c r="G395" i="35"/>
  <c r="E395" i="35"/>
  <c r="A395" i="35"/>
  <c r="K395" i="35" s="1"/>
  <c r="G394" i="35"/>
  <c r="E394" i="35"/>
  <c r="A394" i="35"/>
  <c r="K394" i="35" s="1"/>
  <c r="K393" i="35"/>
  <c r="J393" i="35" s="1"/>
  <c r="I393" i="35"/>
  <c r="G393" i="35"/>
  <c r="E393" i="35"/>
  <c r="K392" i="35"/>
  <c r="J392" i="35" s="1"/>
  <c r="I392" i="35"/>
  <c r="G392" i="35"/>
  <c r="E392" i="35"/>
  <c r="I391" i="35"/>
  <c r="G391" i="35"/>
  <c r="E391" i="35"/>
  <c r="A391" i="35"/>
  <c r="K391" i="35" s="1"/>
  <c r="J391" i="35" s="1"/>
  <c r="I390" i="35"/>
  <c r="H390" i="35"/>
  <c r="G390" i="35"/>
  <c r="E390" i="35"/>
  <c r="A390" i="35"/>
  <c r="K390" i="35" s="1"/>
  <c r="J390" i="35" s="1"/>
  <c r="R390" i="35" s="1"/>
  <c r="R389" i="35"/>
  <c r="O389" i="35"/>
  <c r="A389" i="35"/>
  <c r="K389" i="35" s="1"/>
  <c r="A388" i="35"/>
  <c r="G387" i="35"/>
  <c r="E387" i="35"/>
  <c r="A387" i="35"/>
  <c r="K387" i="35" s="1"/>
  <c r="J387" i="35" s="1"/>
  <c r="I386" i="35"/>
  <c r="I387" i="35" s="1"/>
  <c r="G386" i="35"/>
  <c r="E386" i="35"/>
  <c r="A386" i="35"/>
  <c r="K386" i="35" s="1"/>
  <c r="J386" i="35" s="1"/>
  <c r="I385" i="35"/>
  <c r="G385" i="35"/>
  <c r="E385" i="35"/>
  <c r="A385" i="35"/>
  <c r="K385" i="35" s="1"/>
  <c r="J385" i="35" s="1"/>
  <c r="I384" i="35"/>
  <c r="G384" i="35"/>
  <c r="E384" i="35"/>
  <c r="A384" i="35"/>
  <c r="K384" i="35" s="1"/>
  <c r="J384" i="35" s="1"/>
  <c r="I383" i="35"/>
  <c r="G383" i="35"/>
  <c r="E383" i="35"/>
  <c r="A383" i="35"/>
  <c r="K383" i="35" s="1"/>
  <c r="J383" i="35" s="1"/>
  <c r="I382" i="35"/>
  <c r="G382" i="35"/>
  <c r="E382" i="35"/>
  <c r="A382" i="35"/>
  <c r="K382" i="35" s="1"/>
  <c r="J382" i="35" s="1"/>
  <c r="A381" i="35"/>
  <c r="G380" i="35"/>
  <c r="E380" i="35"/>
  <c r="A380" i="35"/>
  <c r="I379" i="35"/>
  <c r="I378" i="35" s="1"/>
  <c r="G379" i="35"/>
  <c r="E379" i="35"/>
  <c r="A379" i="35"/>
  <c r="K379" i="35" s="1"/>
  <c r="G378" i="35"/>
  <c r="E378" i="35"/>
  <c r="A378" i="35"/>
  <c r="K378" i="35" s="1"/>
  <c r="J378" i="35" s="1"/>
  <c r="K377" i="35"/>
  <c r="J377" i="35" s="1"/>
  <c r="I377" i="35"/>
  <c r="G377" i="35"/>
  <c r="E377" i="35"/>
  <c r="K376" i="35"/>
  <c r="J376" i="35" s="1"/>
  <c r="I376" i="35"/>
  <c r="G376" i="35"/>
  <c r="E376" i="35"/>
  <c r="I375" i="35"/>
  <c r="G375" i="35"/>
  <c r="E375" i="35"/>
  <c r="A375" i="35"/>
  <c r="K375" i="35" s="1"/>
  <c r="J375" i="35" s="1"/>
  <c r="G374" i="35"/>
  <c r="E374" i="35"/>
  <c r="A374" i="35"/>
  <c r="K374" i="35" s="1"/>
  <c r="J374" i="35" s="1"/>
  <c r="R373" i="35"/>
  <c r="A373" i="35"/>
  <c r="K373" i="35" s="1"/>
  <c r="O373" i="35" s="1"/>
  <c r="G372" i="35"/>
  <c r="E372" i="35"/>
  <c r="A372" i="35"/>
  <c r="K372" i="35" s="1"/>
  <c r="I371" i="35"/>
  <c r="I370" i="35" s="1"/>
  <c r="G371" i="35"/>
  <c r="E371" i="35"/>
  <c r="A371" i="35"/>
  <c r="K371" i="35" s="1"/>
  <c r="G370" i="35"/>
  <c r="E370" i="35"/>
  <c r="A370" i="35"/>
  <c r="K370" i="35" s="1"/>
  <c r="K369" i="35"/>
  <c r="J369" i="35" s="1"/>
  <c r="I369" i="35"/>
  <c r="G369" i="35"/>
  <c r="E369" i="35"/>
  <c r="K368" i="35"/>
  <c r="J368" i="35" s="1"/>
  <c r="I368" i="35"/>
  <c r="G368" i="35"/>
  <c r="E368" i="35"/>
  <c r="I367" i="35"/>
  <c r="G367" i="35"/>
  <c r="E367" i="35"/>
  <c r="A367" i="35"/>
  <c r="K367" i="35" s="1"/>
  <c r="J367" i="35" s="1"/>
  <c r="G366" i="35"/>
  <c r="E366" i="35"/>
  <c r="A366" i="35"/>
  <c r="K366" i="35" s="1"/>
  <c r="J366" i="35" s="1"/>
  <c r="R365" i="35"/>
  <c r="A365" i="35"/>
  <c r="K365" i="35" s="1"/>
  <c r="O365" i="35" s="1"/>
  <c r="O364" i="35"/>
  <c r="G364" i="35"/>
  <c r="E364" i="35"/>
  <c r="A364" i="35"/>
  <c r="K364" i="35" s="1"/>
  <c r="J364" i="35" s="1"/>
  <c r="I363" i="35"/>
  <c r="I362" i="35" s="1"/>
  <c r="G363" i="35"/>
  <c r="E363" i="35"/>
  <c r="A363" i="35"/>
  <c r="K363" i="35" s="1"/>
  <c r="J363" i="35" s="1"/>
  <c r="G362" i="35"/>
  <c r="E362" i="35"/>
  <c r="A362" i="35"/>
  <c r="K362" i="35" s="1"/>
  <c r="J362" i="35" s="1"/>
  <c r="K361" i="35"/>
  <c r="J361" i="35" s="1"/>
  <c r="I361" i="35"/>
  <c r="G361" i="35"/>
  <c r="E361" i="35"/>
  <c r="K360" i="35"/>
  <c r="J360" i="35" s="1"/>
  <c r="I360" i="35"/>
  <c r="G360" i="35"/>
  <c r="E360" i="35"/>
  <c r="I359" i="35"/>
  <c r="G359" i="35"/>
  <c r="E359" i="35"/>
  <c r="A359" i="35"/>
  <c r="K359" i="35" s="1"/>
  <c r="J359" i="35" s="1"/>
  <c r="G358" i="35"/>
  <c r="E358" i="35"/>
  <c r="A358" i="35"/>
  <c r="K358" i="35" s="1"/>
  <c r="J358" i="35" s="1"/>
  <c r="R357" i="35"/>
  <c r="A357" i="35"/>
  <c r="K357" i="35" s="1"/>
  <c r="O357" i="35" s="1"/>
  <c r="R356" i="35"/>
  <c r="O356" i="35"/>
  <c r="A356" i="35"/>
  <c r="K356" i="35" s="1"/>
  <c r="R355" i="35"/>
  <c r="O355" i="35"/>
  <c r="A355" i="35"/>
  <c r="G354" i="35"/>
  <c r="E354" i="35"/>
  <c r="A354" i="35"/>
  <c r="K354" i="35" s="1"/>
  <c r="O354" i="35" s="1"/>
  <c r="R351" i="35"/>
  <c r="A351" i="35"/>
  <c r="K351" i="35" s="1"/>
  <c r="O351" i="35" s="1"/>
  <c r="I350" i="35"/>
  <c r="G350" i="35"/>
  <c r="E350" i="35"/>
  <c r="A350" i="35"/>
  <c r="K350" i="35" s="1"/>
  <c r="J350" i="35" s="1"/>
  <c r="G349" i="35"/>
  <c r="E349" i="35"/>
  <c r="A349" i="35"/>
  <c r="K349" i="35" s="1"/>
  <c r="O349" i="35" s="1"/>
  <c r="G348" i="35"/>
  <c r="E348" i="35"/>
  <c r="A348" i="35"/>
  <c r="K348" i="35" s="1"/>
  <c r="G347" i="35"/>
  <c r="E347" i="35"/>
  <c r="A347" i="35"/>
  <c r="K347" i="35" s="1"/>
  <c r="G346" i="35"/>
  <c r="E346" i="35"/>
  <c r="A346" i="35"/>
  <c r="K346" i="35" s="1"/>
  <c r="G345" i="35"/>
  <c r="E345" i="35"/>
  <c r="A345" i="35"/>
  <c r="K345" i="35" s="1"/>
  <c r="J345" i="35" s="1"/>
  <c r="G344" i="35"/>
  <c r="E344" i="35"/>
  <c r="A344" i="35"/>
  <c r="K344" i="35" s="1"/>
  <c r="I343" i="35"/>
  <c r="G343" i="35"/>
  <c r="E343" i="35"/>
  <c r="A343" i="35"/>
  <c r="K343" i="35" s="1"/>
  <c r="J343" i="35" s="1"/>
  <c r="R342" i="35"/>
  <c r="A342" i="35"/>
  <c r="K342" i="35" s="1"/>
  <c r="O342" i="35" s="1"/>
  <c r="R341" i="35"/>
  <c r="O341" i="35"/>
  <c r="A341" i="35"/>
  <c r="K341" i="35" s="1"/>
  <c r="R340" i="35"/>
  <c r="O340" i="35"/>
  <c r="A340" i="35"/>
  <c r="I339" i="35"/>
  <c r="G339" i="35"/>
  <c r="E339" i="35"/>
  <c r="A339" i="35"/>
  <c r="K339" i="35" s="1"/>
  <c r="J339" i="35" s="1"/>
  <c r="I338" i="35"/>
  <c r="G338" i="35"/>
  <c r="E338" i="35"/>
  <c r="A338" i="35"/>
  <c r="R337" i="35"/>
  <c r="A337" i="35"/>
  <c r="K337" i="35" s="1"/>
  <c r="O337" i="35" s="1"/>
  <c r="I336" i="35"/>
  <c r="G336" i="35"/>
  <c r="E336" i="35"/>
  <c r="A336" i="35"/>
  <c r="K336" i="35" s="1"/>
  <c r="J336" i="35" s="1"/>
  <c r="I335" i="35"/>
  <c r="G335" i="35"/>
  <c r="E335" i="35"/>
  <c r="A335" i="35"/>
  <c r="R334" i="35"/>
  <c r="A334" i="35"/>
  <c r="K334" i="35" s="1"/>
  <c r="O334" i="35" s="1"/>
  <c r="G333" i="35"/>
  <c r="E333" i="35"/>
  <c r="A333" i="35"/>
  <c r="K333" i="35" s="1"/>
  <c r="J333" i="35" s="1"/>
  <c r="G332" i="35"/>
  <c r="E332" i="35"/>
  <c r="A332" i="35"/>
  <c r="K332" i="35" s="1"/>
  <c r="J332" i="35" s="1"/>
  <c r="R332" i="35" s="1"/>
  <c r="R331" i="35"/>
  <c r="O331" i="35"/>
  <c r="H331" i="35"/>
  <c r="I332" i="35" s="1"/>
  <c r="A331" i="35"/>
  <c r="K331" i="35" s="1"/>
  <c r="I330" i="35"/>
  <c r="G330" i="35"/>
  <c r="E330" i="35"/>
  <c r="A330" i="35"/>
  <c r="K330" i="35" s="1"/>
  <c r="J330" i="35" s="1"/>
  <c r="I329" i="35"/>
  <c r="G329" i="35"/>
  <c r="E329" i="35"/>
  <c r="A329" i="35"/>
  <c r="K329" i="35" s="1"/>
  <c r="J329" i="35" s="1"/>
  <c r="I328" i="35"/>
  <c r="G328" i="35"/>
  <c r="E328" i="35"/>
  <c r="A328" i="35"/>
  <c r="K328" i="35" s="1"/>
  <c r="J328" i="35" s="1"/>
  <c r="R328" i="35" s="1"/>
  <c r="R327" i="35"/>
  <c r="O327" i="35"/>
  <c r="A327" i="35"/>
  <c r="R326" i="35"/>
  <c r="O326" i="35"/>
  <c r="A326" i="35"/>
  <c r="K326" i="35" s="1"/>
  <c r="R325" i="35"/>
  <c r="O325" i="35"/>
  <c r="A325" i="35"/>
  <c r="N324" i="35"/>
  <c r="I324" i="35"/>
  <c r="G324" i="35"/>
  <c r="E324" i="35"/>
  <c r="A324" i="35"/>
  <c r="K324" i="35" s="1"/>
  <c r="J324" i="35" s="1"/>
  <c r="I323" i="35"/>
  <c r="G323" i="35"/>
  <c r="E323" i="35"/>
  <c r="A323" i="35"/>
  <c r="K323" i="35" s="1"/>
  <c r="J323" i="35" s="1"/>
  <c r="N322" i="35"/>
  <c r="I322" i="35"/>
  <c r="G322" i="35"/>
  <c r="E322" i="35"/>
  <c r="A322" i="35"/>
  <c r="K322" i="35" s="1"/>
  <c r="J322" i="35" s="1"/>
  <c r="I321" i="35"/>
  <c r="O321" i="35" s="1"/>
  <c r="G321" i="35"/>
  <c r="E321" i="35"/>
  <c r="A321" i="35"/>
  <c r="K321" i="35" s="1"/>
  <c r="J321" i="35" s="1"/>
  <c r="I320" i="35"/>
  <c r="G320" i="35"/>
  <c r="E320" i="35"/>
  <c r="A320" i="35"/>
  <c r="K320" i="35" s="1"/>
  <c r="J320" i="35" s="1"/>
  <c r="R319" i="35"/>
  <c r="O319" i="35"/>
  <c r="A319" i="35"/>
  <c r="G318" i="35"/>
  <c r="E318" i="35"/>
  <c r="A318" i="35"/>
  <c r="K318" i="35" s="1"/>
  <c r="J318" i="35" s="1"/>
  <c r="L318" i="35" s="1"/>
  <c r="L317" i="35" s="1"/>
  <c r="R317" i="35"/>
  <c r="O317" i="35"/>
  <c r="A317" i="35"/>
  <c r="K317" i="35" s="1"/>
  <c r="I316" i="35"/>
  <c r="G316" i="35"/>
  <c r="E316" i="35"/>
  <c r="A316" i="35"/>
  <c r="K316" i="35" s="1"/>
  <c r="J316" i="35" s="1"/>
  <c r="I315" i="35"/>
  <c r="G315" i="35"/>
  <c r="E315" i="35"/>
  <c r="A315" i="35"/>
  <c r="K315" i="35" s="1"/>
  <c r="I314" i="35"/>
  <c r="G314" i="35"/>
  <c r="E314" i="35"/>
  <c r="A314" i="35"/>
  <c r="K314" i="35" s="1"/>
  <c r="J314" i="35" s="1"/>
  <c r="R313" i="35"/>
  <c r="O313" i="35"/>
  <c r="A313" i="35"/>
  <c r="K313" i="35" s="1"/>
  <c r="R312" i="35"/>
  <c r="O312" i="35"/>
  <c r="A312" i="35"/>
  <c r="K312" i="35" s="1"/>
  <c r="R311" i="35"/>
  <c r="O311" i="35"/>
  <c r="A311" i="35"/>
  <c r="G310" i="35"/>
  <c r="E310" i="35"/>
  <c r="A310" i="35"/>
  <c r="K310" i="35" s="1"/>
  <c r="J310" i="35" s="1"/>
  <c r="L310" i="35" s="1"/>
  <c r="G309" i="35"/>
  <c r="E309" i="35"/>
  <c r="A309" i="35"/>
  <c r="K309" i="35" s="1"/>
  <c r="J309" i="35" s="1"/>
  <c r="L309" i="35" s="1"/>
  <c r="G308" i="35"/>
  <c r="E308" i="35"/>
  <c r="A308" i="35"/>
  <c r="K308" i="35" s="1"/>
  <c r="J308" i="35" s="1"/>
  <c r="L308" i="35" s="1"/>
  <c r="G307" i="35"/>
  <c r="E307" i="35"/>
  <c r="A307" i="35"/>
  <c r="K307" i="35" s="1"/>
  <c r="J307" i="35" s="1"/>
  <c r="L307" i="35" s="1"/>
  <c r="G306" i="35"/>
  <c r="E306" i="35"/>
  <c r="A306" i="35"/>
  <c r="K306" i="35" s="1"/>
  <c r="J306" i="35" s="1"/>
  <c r="L306" i="35" s="1"/>
  <c r="G305" i="35"/>
  <c r="E305" i="35"/>
  <c r="A305" i="35"/>
  <c r="K305" i="35" s="1"/>
  <c r="J305" i="35" s="1"/>
  <c r="L305" i="35" s="1"/>
  <c r="G304" i="35"/>
  <c r="E304" i="35"/>
  <c r="A304" i="35"/>
  <c r="K304" i="35" s="1"/>
  <c r="J304" i="35" s="1"/>
  <c r="L304" i="35" s="1"/>
  <c r="G303" i="35"/>
  <c r="E303" i="35"/>
  <c r="A303" i="35"/>
  <c r="K303" i="35" s="1"/>
  <c r="J303" i="35" s="1"/>
  <c r="L303" i="35" s="1"/>
  <c r="G302" i="35"/>
  <c r="E302" i="35"/>
  <c r="A302" i="35"/>
  <c r="K302" i="35" s="1"/>
  <c r="J302" i="35" s="1"/>
  <c r="L302" i="35" s="1"/>
  <c r="G301" i="35"/>
  <c r="E301" i="35"/>
  <c r="A301" i="35"/>
  <c r="K301" i="35" s="1"/>
  <c r="J301" i="35" s="1"/>
  <c r="L301" i="35" s="1"/>
  <c r="G300" i="35"/>
  <c r="E300" i="35"/>
  <c r="A300" i="35"/>
  <c r="K300" i="35" s="1"/>
  <c r="J300" i="35" s="1"/>
  <c r="L300" i="35" s="1"/>
  <c r="R299" i="35"/>
  <c r="O299" i="35"/>
  <c r="A299" i="35"/>
  <c r="R298" i="35"/>
  <c r="O298" i="35"/>
  <c r="A298" i="35"/>
  <c r="G297" i="35"/>
  <c r="E297" i="35"/>
  <c r="A297" i="35"/>
  <c r="K297" i="35" s="1"/>
  <c r="J297" i="35" s="1"/>
  <c r="L297" i="35" s="1"/>
  <c r="G296" i="35"/>
  <c r="E296" i="35"/>
  <c r="A296" i="35"/>
  <c r="K296" i="35" s="1"/>
  <c r="J296" i="35" s="1"/>
  <c r="L296" i="35" s="1"/>
  <c r="G293" i="35"/>
  <c r="E293" i="35"/>
  <c r="A293" i="35"/>
  <c r="R292" i="35"/>
  <c r="O292" i="35"/>
  <c r="A292" i="35"/>
  <c r="R291" i="35"/>
  <c r="O291" i="35"/>
  <c r="A291" i="35"/>
  <c r="G290" i="35"/>
  <c r="E290" i="35"/>
  <c r="A290" i="35"/>
  <c r="K290" i="35" s="1"/>
  <c r="J290" i="35" s="1"/>
  <c r="L290" i="35" s="1"/>
  <c r="G289" i="35"/>
  <c r="E289" i="35"/>
  <c r="A289" i="35"/>
  <c r="K289" i="35" s="1"/>
  <c r="R288" i="35"/>
  <c r="O288" i="35"/>
  <c r="A288" i="35"/>
  <c r="K288" i="35" s="1"/>
  <c r="R287" i="35"/>
  <c r="O287" i="35"/>
  <c r="A287" i="35"/>
  <c r="K287" i="35" s="1"/>
  <c r="R286" i="35"/>
  <c r="O286" i="35"/>
  <c r="A286" i="35"/>
  <c r="K285" i="35"/>
  <c r="J285" i="35" s="1"/>
  <c r="L285" i="35" s="1"/>
  <c r="G285" i="35"/>
  <c r="E285" i="35"/>
  <c r="G284" i="35"/>
  <c r="E284" i="35"/>
  <c r="A284" i="35"/>
  <c r="K284" i="35" s="1"/>
  <c r="J284" i="35" s="1"/>
  <c r="L284" i="35" s="1"/>
  <c r="G283" i="35"/>
  <c r="E283" i="35"/>
  <c r="A283" i="35"/>
  <c r="R282" i="35"/>
  <c r="O282" i="35"/>
  <c r="H282" i="35"/>
  <c r="I283" i="35" s="1"/>
  <c r="A282" i="35"/>
  <c r="K282" i="35" s="1"/>
  <c r="K281" i="35"/>
  <c r="J281" i="35" s="1"/>
  <c r="G281" i="35"/>
  <c r="E281" i="35"/>
  <c r="K280" i="35"/>
  <c r="J280" i="35" s="1"/>
  <c r="G280" i="35"/>
  <c r="E280" i="35"/>
  <c r="K279" i="35"/>
  <c r="J279" i="35" s="1"/>
  <c r="G279" i="35"/>
  <c r="E279" i="35"/>
  <c r="G278" i="35"/>
  <c r="E278" i="35"/>
  <c r="A278" i="35"/>
  <c r="K278" i="35" s="1"/>
  <c r="J278" i="35" s="1"/>
  <c r="R277" i="35"/>
  <c r="O277" i="35"/>
  <c r="H277" i="35"/>
  <c r="I280" i="35" s="1"/>
  <c r="A277" i="35"/>
  <c r="K277" i="35" s="1"/>
  <c r="G276" i="35"/>
  <c r="E276" i="35"/>
  <c r="A276" i="35"/>
  <c r="K276" i="35" s="1"/>
  <c r="J276" i="35" s="1"/>
  <c r="G275" i="35"/>
  <c r="E275" i="35"/>
  <c r="A275" i="35"/>
  <c r="K275" i="35" s="1"/>
  <c r="J275" i="35" s="1"/>
  <c r="R275" i="35" s="1"/>
  <c r="G274" i="35"/>
  <c r="E274" i="35"/>
  <c r="A274" i="35"/>
  <c r="K274" i="35" s="1"/>
  <c r="J274" i="35" s="1"/>
  <c r="G273" i="35"/>
  <c r="E273" i="35"/>
  <c r="A273" i="35"/>
  <c r="K273" i="35" s="1"/>
  <c r="J273" i="35" s="1"/>
  <c r="R273" i="35" s="1"/>
  <c r="R272" i="35"/>
  <c r="O272" i="35"/>
  <c r="H272" i="35"/>
  <c r="A272" i="35"/>
  <c r="K272" i="35" s="1"/>
  <c r="R271" i="35"/>
  <c r="O271" i="35"/>
  <c r="A271" i="35"/>
  <c r="K271" i="35" s="1"/>
  <c r="R270" i="35"/>
  <c r="O270" i="35"/>
  <c r="A270" i="35"/>
  <c r="K269" i="35"/>
  <c r="J269" i="35" s="1"/>
  <c r="L269" i="35" s="1"/>
  <c r="G269" i="35"/>
  <c r="E269" i="35"/>
  <c r="K268" i="35"/>
  <c r="J268" i="35" s="1"/>
  <c r="L268" i="35" s="1"/>
  <c r="G268" i="35"/>
  <c r="E268" i="35"/>
  <c r="K267" i="35"/>
  <c r="J267" i="35" s="1"/>
  <c r="L267" i="35" s="1"/>
  <c r="G267" i="35"/>
  <c r="E267" i="35"/>
  <c r="K266" i="35"/>
  <c r="J266" i="35" s="1"/>
  <c r="L266" i="35" s="1"/>
  <c r="G266" i="35"/>
  <c r="E266" i="35"/>
  <c r="K265" i="35"/>
  <c r="J265" i="35" s="1"/>
  <c r="L265" i="35" s="1"/>
  <c r="G265" i="35"/>
  <c r="E265" i="35"/>
  <c r="I264" i="35"/>
  <c r="G264" i="35"/>
  <c r="E264" i="35"/>
  <c r="K262" i="35"/>
  <c r="J262" i="35" s="1"/>
  <c r="L262" i="35" s="1"/>
  <c r="L261" i="35" s="1"/>
  <c r="G262" i="35"/>
  <c r="E262" i="35"/>
  <c r="O260" i="35"/>
  <c r="G260" i="35"/>
  <c r="E260" i="35"/>
  <c r="A260" i="35"/>
  <c r="K260" i="35" s="1"/>
  <c r="J260" i="35" s="1"/>
  <c r="O259" i="35"/>
  <c r="G259" i="35"/>
  <c r="E259" i="35"/>
  <c r="A259" i="35"/>
  <c r="G257" i="35"/>
  <c r="E257" i="35"/>
  <c r="A257" i="35"/>
  <c r="K255" i="35"/>
  <c r="J255" i="35" s="1"/>
  <c r="L255" i="35" s="1"/>
  <c r="G255" i="35"/>
  <c r="E255" i="35"/>
  <c r="G254" i="35"/>
  <c r="E254" i="35"/>
  <c r="A254" i="35"/>
  <c r="K254" i="35" s="1"/>
  <c r="G253" i="35"/>
  <c r="E253" i="35"/>
  <c r="A253" i="35"/>
  <c r="K253" i="35" s="1"/>
  <c r="G252" i="35"/>
  <c r="E252" i="35"/>
  <c r="A252" i="35"/>
  <c r="K252" i="35" s="1"/>
  <c r="O252" i="35" s="1"/>
  <c r="G251" i="35"/>
  <c r="E251" i="35"/>
  <c r="A251" i="35"/>
  <c r="K251" i="35" s="1"/>
  <c r="G249" i="35"/>
  <c r="E249" i="35"/>
  <c r="A249" i="35"/>
  <c r="G248" i="35"/>
  <c r="E248" i="35"/>
  <c r="A248" i="35"/>
  <c r="K248" i="35" s="1"/>
  <c r="J248" i="35" s="1"/>
  <c r="O247" i="35"/>
  <c r="G247" i="35"/>
  <c r="E247" i="35"/>
  <c r="A247" i="35"/>
  <c r="O246" i="35"/>
  <c r="G246" i="35"/>
  <c r="E246" i="35"/>
  <c r="A246" i="35"/>
  <c r="I245" i="35"/>
  <c r="I248" i="35" s="1"/>
  <c r="O248" i="35" s="1"/>
  <c r="G245" i="35"/>
  <c r="E245" i="35"/>
  <c r="A245" i="35"/>
  <c r="K245" i="35" s="1"/>
  <c r="J245" i="35" s="1"/>
  <c r="O244" i="35"/>
  <c r="G244" i="35"/>
  <c r="E244" i="35"/>
  <c r="A244" i="35"/>
  <c r="G243" i="35"/>
  <c r="E243" i="35"/>
  <c r="O242" i="35"/>
  <c r="G242" i="35"/>
  <c r="E242" i="35"/>
  <c r="A242" i="35"/>
  <c r="O241" i="35"/>
  <c r="G241" i="35"/>
  <c r="E241" i="35"/>
  <c r="A241" i="35"/>
  <c r="O239" i="35"/>
  <c r="K239" i="35"/>
  <c r="J239" i="35" s="1"/>
  <c r="L239" i="35" s="1"/>
  <c r="G239" i="35"/>
  <c r="E239" i="35"/>
  <c r="K238" i="35"/>
  <c r="J238" i="35" s="1"/>
  <c r="L238" i="35" s="1"/>
  <c r="G238" i="35"/>
  <c r="E238" i="35"/>
  <c r="K237" i="35"/>
  <c r="J237" i="35" s="1"/>
  <c r="L237" i="35" s="1"/>
  <c r="G237" i="35"/>
  <c r="E237" i="35"/>
  <c r="G236" i="35"/>
  <c r="E236" i="35"/>
  <c r="A236" i="35"/>
  <c r="R235" i="35"/>
  <c r="O235" i="35"/>
  <c r="A235" i="35"/>
  <c r="K235" i="35" s="1"/>
  <c r="R234" i="35"/>
  <c r="O234" i="35"/>
  <c r="A234" i="35"/>
  <c r="K234" i="35" s="1"/>
  <c r="R233" i="35"/>
  <c r="O233" i="35"/>
  <c r="A233" i="35"/>
  <c r="O232" i="35"/>
  <c r="E232" i="35"/>
  <c r="A232" i="35"/>
  <c r="K232" i="35" s="1"/>
  <c r="J232" i="35" s="1"/>
  <c r="L232" i="35" s="1"/>
  <c r="O231" i="35"/>
  <c r="E231" i="35"/>
  <c r="A231" i="35"/>
  <c r="E230" i="35"/>
  <c r="O229" i="35"/>
  <c r="E229" i="35"/>
  <c r="A229" i="35"/>
  <c r="I227" i="35"/>
  <c r="E227" i="35"/>
  <c r="G225" i="35"/>
  <c r="E225" i="35"/>
  <c r="G224" i="35"/>
  <c r="E224" i="35"/>
  <c r="G223" i="35"/>
  <c r="E223" i="35"/>
  <c r="G222" i="35"/>
  <c r="E222" i="35"/>
  <c r="G221" i="35"/>
  <c r="E221" i="35"/>
  <c r="G220" i="35"/>
  <c r="E220" i="35"/>
  <c r="G219" i="35"/>
  <c r="E219" i="35"/>
  <c r="G218" i="35"/>
  <c r="E218" i="35"/>
  <c r="G217" i="35"/>
  <c r="E217" i="35"/>
  <c r="G215" i="35"/>
  <c r="E215" i="35"/>
  <c r="K214" i="35"/>
  <c r="J214" i="35" s="1"/>
  <c r="L214" i="35" s="1"/>
  <c r="G214" i="35"/>
  <c r="E214" i="35"/>
  <c r="K213" i="35"/>
  <c r="J213" i="35" s="1"/>
  <c r="L213" i="35" s="1"/>
  <c r="G213" i="35"/>
  <c r="E213" i="35"/>
  <c r="R211" i="35"/>
  <c r="O211" i="35"/>
  <c r="A211" i="35"/>
  <c r="K211" i="35" s="1"/>
  <c r="K210" i="35"/>
  <c r="J210" i="35" s="1"/>
  <c r="L210" i="35" s="1"/>
  <c r="G210" i="35"/>
  <c r="E210" i="35"/>
  <c r="K209" i="35"/>
  <c r="J209" i="35" s="1"/>
  <c r="L209" i="35" s="1"/>
  <c r="G209" i="35"/>
  <c r="E209" i="35"/>
  <c r="K208" i="35"/>
  <c r="J208" i="35" s="1"/>
  <c r="L208" i="35" s="1"/>
  <c r="G208" i="35"/>
  <c r="E208" i="35"/>
  <c r="A207" i="35"/>
  <c r="K207" i="35" s="1"/>
  <c r="O206" i="35"/>
  <c r="A206" i="35"/>
  <c r="O205" i="35"/>
  <c r="A205" i="35"/>
  <c r="I204" i="35"/>
  <c r="G204" i="35"/>
  <c r="E204" i="35"/>
  <c r="A204" i="35"/>
  <c r="K204" i="35" s="1"/>
  <c r="G203" i="35"/>
  <c r="E203" i="35"/>
  <c r="A203" i="35"/>
  <c r="K203" i="35" s="1"/>
  <c r="J203" i="35" s="1"/>
  <c r="G202" i="35"/>
  <c r="E202" i="35"/>
  <c r="A202" i="35"/>
  <c r="K202" i="35" s="1"/>
  <c r="G201" i="35"/>
  <c r="E201" i="35"/>
  <c r="A201" i="35"/>
  <c r="K201" i="35" s="1"/>
  <c r="T200" i="35"/>
  <c r="G200" i="35"/>
  <c r="E200" i="35"/>
  <c r="A200" i="35"/>
  <c r="K200" i="35" s="1"/>
  <c r="J200" i="35" s="1"/>
  <c r="G199" i="35"/>
  <c r="E199" i="35"/>
  <c r="A199" i="35"/>
  <c r="K199" i="35" s="1"/>
  <c r="O199" i="35" s="1"/>
  <c r="G198" i="35"/>
  <c r="E198" i="35"/>
  <c r="A198" i="35"/>
  <c r="K198" i="35" s="1"/>
  <c r="J198" i="35" s="1"/>
  <c r="L198" i="35" s="1"/>
  <c r="G197" i="35"/>
  <c r="E197" i="35"/>
  <c r="A197" i="35"/>
  <c r="K197" i="35" s="1"/>
  <c r="J197" i="35" s="1"/>
  <c r="L197" i="35" s="1"/>
  <c r="G196" i="35"/>
  <c r="E196" i="35"/>
  <c r="A196" i="35"/>
  <c r="K196" i="35" s="1"/>
  <c r="J196" i="35" s="1"/>
  <c r="L196" i="35" s="1"/>
  <c r="G195" i="35"/>
  <c r="E195" i="35"/>
  <c r="A195" i="35"/>
  <c r="K195" i="35" s="1"/>
  <c r="R194" i="35"/>
  <c r="O194" i="35"/>
  <c r="A194" i="35"/>
  <c r="K194" i="35" s="1"/>
  <c r="R193" i="35"/>
  <c r="O193" i="35"/>
  <c r="A193" i="35"/>
  <c r="K193" i="35" s="1"/>
  <c r="R192" i="35"/>
  <c r="O192" i="35"/>
  <c r="A192" i="35"/>
  <c r="R191" i="35"/>
  <c r="O191" i="35"/>
  <c r="A191" i="35"/>
  <c r="K190" i="35"/>
  <c r="I190" i="35"/>
  <c r="A190" i="35"/>
  <c r="K189" i="35"/>
  <c r="I189" i="35"/>
  <c r="A189" i="35"/>
  <c r="R188" i="35"/>
  <c r="O188" i="35"/>
  <c r="A188" i="35"/>
  <c r="K188" i="35" s="1"/>
  <c r="R187" i="35"/>
  <c r="O187" i="35"/>
  <c r="A187" i="35"/>
  <c r="K187" i="35" s="1"/>
  <c r="J186" i="35"/>
  <c r="R186" i="35" s="1"/>
  <c r="I186" i="35"/>
  <c r="O186" i="35" s="1"/>
  <c r="A186" i="35"/>
  <c r="R185" i="35"/>
  <c r="A185" i="35"/>
  <c r="K185" i="35" s="1"/>
  <c r="K184" i="35"/>
  <c r="I184" i="35"/>
  <c r="A184" i="35"/>
  <c r="R183" i="35"/>
  <c r="O183" i="35"/>
  <c r="A183" i="35"/>
  <c r="K183" i="35" s="1"/>
  <c r="I182" i="35"/>
  <c r="G182" i="35"/>
  <c r="E182" i="35"/>
  <c r="A182" i="35"/>
  <c r="K182" i="35" s="1"/>
  <c r="J182" i="35" s="1"/>
  <c r="R181" i="35"/>
  <c r="O181" i="35"/>
  <c r="A181" i="35"/>
  <c r="K181" i="35" s="1"/>
  <c r="R180" i="35"/>
  <c r="O180" i="35"/>
  <c r="A180" i="35"/>
  <c r="K180" i="35" s="1"/>
  <c r="O179" i="35"/>
  <c r="G179" i="35"/>
  <c r="E179" i="35"/>
  <c r="A179" i="35"/>
  <c r="K179" i="35" s="1"/>
  <c r="J179" i="35" s="1"/>
  <c r="I178" i="35"/>
  <c r="G178" i="35"/>
  <c r="E178" i="35"/>
  <c r="A178" i="35"/>
  <c r="K178" i="35" s="1"/>
  <c r="J178" i="35" s="1"/>
  <c r="R177" i="35"/>
  <c r="O177" i="35"/>
  <c r="A177" i="35"/>
  <c r="K177" i="35" s="1"/>
  <c r="R176" i="35"/>
  <c r="O176" i="35"/>
  <c r="A176" i="35"/>
  <c r="K176" i="35" s="1"/>
  <c r="O175" i="35"/>
  <c r="G175" i="35"/>
  <c r="E175" i="35"/>
  <c r="A175" i="35"/>
  <c r="K175" i="35" s="1"/>
  <c r="J175" i="35" s="1"/>
  <c r="G174" i="35"/>
  <c r="E174" i="35"/>
  <c r="A174" i="35"/>
  <c r="K174" i="35" s="1"/>
  <c r="O173" i="35"/>
  <c r="G173" i="35"/>
  <c r="E173" i="35"/>
  <c r="A173" i="35"/>
  <c r="K173" i="35" s="1"/>
  <c r="J173" i="35" s="1"/>
  <c r="O172" i="35"/>
  <c r="G172" i="35"/>
  <c r="E172" i="35"/>
  <c r="A172" i="35"/>
  <c r="K172" i="35" s="1"/>
  <c r="J172" i="35" s="1"/>
  <c r="I171" i="35"/>
  <c r="G171" i="35"/>
  <c r="E171" i="35"/>
  <c r="A171" i="35"/>
  <c r="K171" i="35" s="1"/>
  <c r="J171" i="35" s="1"/>
  <c r="I170" i="35"/>
  <c r="G170" i="35"/>
  <c r="E170" i="35"/>
  <c r="A170" i="35"/>
  <c r="K170" i="35" s="1"/>
  <c r="J170" i="35" s="1"/>
  <c r="R169" i="35"/>
  <c r="O169" i="35"/>
  <c r="A169" i="35"/>
  <c r="K169" i="35" s="1"/>
  <c r="R168" i="35"/>
  <c r="O168" i="35"/>
  <c r="A168" i="35"/>
  <c r="K168" i="35" s="1"/>
  <c r="O167" i="35"/>
  <c r="A167" i="35"/>
  <c r="K167" i="35" s="1"/>
  <c r="J167" i="35" s="1"/>
  <c r="R167" i="35" s="1"/>
  <c r="R166" i="35"/>
  <c r="O166" i="35"/>
  <c r="A166" i="35"/>
  <c r="G165" i="35"/>
  <c r="E165" i="35"/>
  <c r="A165" i="35"/>
  <c r="K165" i="35" s="1"/>
  <c r="J165" i="35" s="1"/>
  <c r="L165" i="35" s="1"/>
  <c r="A164" i="35"/>
  <c r="A163" i="35"/>
  <c r="G162" i="35"/>
  <c r="E162" i="35"/>
  <c r="A162" i="35"/>
  <c r="K162" i="35" s="1"/>
  <c r="I161" i="35"/>
  <c r="G161" i="35"/>
  <c r="E161" i="35"/>
  <c r="A161" i="35"/>
  <c r="K161" i="35" s="1"/>
  <c r="R160" i="35"/>
  <c r="A160" i="35"/>
  <c r="R159" i="35"/>
  <c r="O159" i="35"/>
  <c r="A159" i="35"/>
  <c r="I158" i="35"/>
  <c r="G158" i="35"/>
  <c r="E158" i="35"/>
  <c r="A158" i="35"/>
  <c r="K158" i="35" s="1"/>
  <c r="J158" i="35" s="1"/>
  <c r="R157" i="35"/>
  <c r="O157" i="35"/>
  <c r="A157" i="35"/>
  <c r="R156" i="35"/>
  <c r="O156" i="35"/>
  <c r="A156" i="35"/>
  <c r="I155" i="35"/>
  <c r="G155" i="35"/>
  <c r="E155" i="35"/>
  <c r="A155" i="35"/>
  <c r="K155" i="35" s="1"/>
  <c r="J155" i="35" s="1"/>
  <c r="I154" i="35"/>
  <c r="G154" i="35"/>
  <c r="E154" i="35"/>
  <c r="A154" i="35"/>
  <c r="K154" i="35" s="1"/>
  <c r="J154" i="35" s="1"/>
  <c r="I153" i="35"/>
  <c r="G153" i="35"/>
  <c r="E153" i="35"/>
  <c r="A153" i="35"/>
  <c r="K153" i="35" s="1"/>
  <c r="J153" i="35" s="1"/>
  <c r="I152" i="35"/>
  <c r="G152" i="35"/>
  <c r="E152" i="35"/>
  <c r="A152" i="35"/>
  <c r="K152" i="35" s="1"/>
  <c r="J152" i="35" s="1"/>
  <c r="G151" i="35"/>
  <c r="E151" i="35"/>
  <c r="A151" i="35"/>
  <c r="I150" i="35"/>
  <c r="G150" i="35"/>
  <c r="E150" i="35"/>
  <c r="A150" i="35"/>
  <c r="I149" i="35"/>
  <c r="G149" i="35"/>
  <c r="E149" i="35"/>
  <c r="A149" i="35"/>
  <c r="I148" i="35"/>
  <c r="G148" i="35"/>
  <c r="E148" i="35"/>
  <c r="A148" i="35"/>
  <c r="K148" i="35" s="1"/>
  <c r="I147" i="35"/>
  <c r="G147" i="35"/>
  <c r="E147" i="35"/>
  <c r="A147" i="35"/>
  <c r="K147" i="35" s="1"/>
  <c r="R146" i="35"/>
  <c r="O146" i="35"/>
  <c r="A146" i="35"/>
  <c r="K146" i="35" s="1"/>
  <c r="R145" i="35"/>
  <c r="O145" i="35"/>
  <c r="A145" i="35"/>
  <c r="K145" i="35" s="1"/>
  <c r="R144" i="35"/>
  <c r="O144" i="35"/>
  <c r="A144" i="35"/>
  <c r="O143" i="35"/>
  <c r="G143" i="35"/>
  <c r="E143" i="35"/>
  <c r="A143" i="35"/>
  <c r="K143" i="35" s="1"/>
  <c r="J143" i="35" s="1"/>
  <c r="G142" i="35"/>
  <c r="E142" i="35"/>
  <c r="A142" i="35"/>
  <c r="G141" i="35"/>
  <c r="E141" i="35"/>
  <c r="A141" i="35"/>
  <c r="K141" i="35" s="1"/>
  <c r="J141" i="35" s="1"/>
  <c r="L141" i="35" s="1"/>
  <c r="G140" i="35"/>
  <c r="E140" i="35"/>
  <c r="A140" i="35"/>
  <c r="K140" i="35" s="1"/>
  <c r="J140" i="35" s="1"/>
  <c r="L140" i="35" s="1"/>
  <c r="G139" i="35"/>
  <c r="E139" i="35"/>
  <c r="A139" i="35"/>
  <c r="K139" i="35" s="1"/>
  <c r="J139" i="35" s="1"/>
  <c r="L139" i="35" s="1"/>
  <c r="G138" i="35"/>
  <c r="E138" i="35"/>
  <c r="A138" i="35"/>
  <c r="K138" i="35" s="1"/>
  <c r="J138" i="35" s="1"/>
  <c r="L138" i="35" s="1"/>
  <c r="G137" i="35"/>
  <c r="E137" i="35"/>
  <c r="A137" i="35"/>
  <c r="K137" i="35" s="1"/>
  <c r="J137" i="35" s="1"/>
  <c r="L137" i="35" s="1"/>
  <c r="G136" i="35"/>
  <c r="E136" i="35"/>
  <c r="A136" i="35"/>
  <c r="K136" i="35" s="1"/>
  <c r="J136" i="35" s="1"/>
  <c r="L136" i="35" s="1"/>
  <c r="O135" i="35"/>
  <c r="G135" i="35"/>
  <c r="E135" i="35"/>
  <c r="A135" i="35"/>
  <c r="G134" i="35"/>
  <c r="E134" i="35"/>
  <c r="A134" i="35"/>
  <c r="G133" i="35"/>
  <c r="E133" i="35"/>
  <c r="A133" i="35"/>
  <c r="K133" i="35" s="1"/>
  <c r="G132" i="35"/>
  <c r="E132" i="35"/>
  <c r="A132" i="35"/>
  <c r="K132" i="35" s="1"/>
  <c r="J132" i="35" s="1"/>
  <c r="L132" i="35" s="1"/>
  <c r="G131" i="35"/>
  <c r="E131" i="35"/>
  <c r="A131" i="35"/>
  <c r="K131" i="35" s="1"/>
  <c r="J131" i="35" s="1"/>
  <c r="L131" i="35" s="1"/>
  <c r="I130" i="35"/>
  <c r="G130" i="35"/>
  <c r="E130" i="35"/>
  <c r="A130" i="35"/>
  <c r="K130" i="35" s="1"/>
  <c r="J130" i="35" s="1"/>
  <c r="R129" i="35"/>
  <c r="O129" i="35"/>
  <c r="A129" i="35"/>
  <c r="K129" i="35" s="1"/>
  <c r="R128" i="35"/>
  <c r="O128" i="35"/>
  <c r="A128" i="35"/>
  <c r="K128" i="35" s="1"/>
  <c r="G127" i="35"/>
  <c r="E127" i="35"/>
  <c r="A127" i="35"/>
  <c r="K127" i="35" s="1"/>
  <c r="J127" i="35" s="1"/>
  <c r="L127" i="35" s="1"/>
  <c r="A126" i="35"/>
  <c r="G125" i="35"/>
  <c r="E125" i="35"/>
  <c r="A125" i="35"/>
  <c r="K125" i="35" s="1"/>
  <c r="J125" i="35" s="1"/>
  <c r="L125" i="35" s="1"/>
  <c r="G124" i="35"/>
  <c r="E124" i="35"/>
  <c r="A124" i="35"/>
  <c r="K124" i="35" s="1"/>
  <c r="J124" i="35" s="1"/>
  <c r="L124" i="35" s="1"/>
  <c r="G123" i="35"/>
  <c r="E123" i="35"/>
  <c r="A123" i="35"/>
  <c r="G122" i="35"/>
  <c r="E122" i="35"/>
  <c r="A122" i="35"/>
  <c r="K122" i="35" s="1"/>
  <c r="J122" i="35" s="1"/>
  <c r="L122" i="35" s="1"/>
  <c r="A121" i="35"/>
  <c r="I120" i="35"/>
  <c r="G120" i="35"/>
  <c r="E120" i="35"/>
  <c r="A120" i="35"/>
  <c r="K120" i="35" s="1"/>
  <c r="R119" i="35"/>
  <c r="O119" i="35"/>
  <c r="A119" i="35"/>
  <c r="K119" i="35" s="1"/>
  <c r="R118" i="35"/>
  <c r="O118" i="35"/>
  <c r="A118" i="35"/>
  <c r="K118" i="35" s="1"/>
  <c r="O117" i="35"/>
  <c r="G117" i="35"/>
  <c r="E117" i="35"/>
  <c r="A117" i="35"/>
  <c r="K117" i="35" s="1"/>
  <c r="J117" i="35" s="1"/>
  <c r="R116" i="35"/>
  <c r="O116" i="35"/>
  <c r="A116" i="35"/>
  <c r="K116" i="35" s="1"/>
  <c r="G115" i="35"/>
  <c r="E115" i="35"/>
  <c r="A115" i="35"/>
  <c r="K115" i="35" s="1"/>
  <c r="J115" i="35" s="1"/>
  <c r="L115" i="35" s="1"/>
  <c r="G114" i="35"/>
  <c r="E114" i="35"/>
  <c r="A114" i="35"/>
  <c r="K114" i="35" s="1"/>
  <c r="J114" i="35" s="1"/>
  <c r="L114" i="35" s="1"/>
  <c r="G113" i="35"/>
  <c r="E113" i="35"/>
  <c r="A113" i="35"/>
  <c r="K113" i="35" s="1"/>
  <c r="J113" i="35" s="1"/>
  <c r="L113" i="35" s="1"/>
  <c r="G112" i="35"/>
  <c r="E112" i="35"/>
  <c r="A112" i="35"/>
  <c r="K112" i="35" s="1"/>
  <c r="J112" i="35" s="1"/>
  <c r="L112" i="35" s="1"/>
  <c r="G111" i="35"/>
  <c r="E111" i="35"/>
  <c r="A111" i="35"/>
  <c r="G110" i="35"/>
  <c r="E110" i="35"/>
  <c r="A110" i="35"/>
  <c r="K110" i="35" s="1"/>
  <c r="J110" i="35" s="1"/>
  <c r="L110" i="35" s="1"/>
  <c r="G109" i="35"/>
  <c r="E109" i="35"/>
  <c r="A109" i="35"/>
  <c r="K109" i="35" s="1"/>
  <c r="J109" i="35" s="1"/>
  <c r="L109" i="35" s="1"/>
  <c r="G108" i="35"/>
  <c r="E108" i="35"/>
  <c r="A108" i="35"/>
  <c r="K108" i="35" s="1"/>
  <c r="J108" i="35" s="1"/>
  <c r="L108" i="35" s="1"/>
  <c r="G107" i="35"/>
  <c r="E107" i="35"/>
  <c r="A107" i="35"/>
  <c r="K107" i="35" s="1"/>
  <c r="J107" i="35" s="1"/>
  <c r="L107" i="35" s="1"/>
  <c r="G106" i="35"/>
  <c r="E106" i="35"/>
  <c r="A106" i="35"/>
  <c r="K106" i="35" s="1"/>
  <c r="J106" i="35" s="1"/>
  <c r="L106" i="35" s="1"/>
  <c r="G105" i="35"/>
  <c r="E105" i="35"/>
  <c r="A105" i="35"/>
  <c r="K105" i="35" s="1"/>
  <c r="J105" i="35" s="1"/>
  <c r="L105" i="35" s="1"/>
  <c r="G104" i="35"/>
  <c r="E104" i="35"/>
  <c r="A104" i="35"/>
  <c r="K104" i="35" s="1"/>
  <c r="J104" i="35" s="1"/>
  <c r="L104" i="35" s="1"/>
  <c r="G103" i="35"/>
  <c r="E103" i="35"/>
  <c r="A103" i="35"/>
  <c r="K103" i="35" s="1"/>
  <c r="J103" i="35" s="1"/>
  <c r="L103" i="35" s="1"/>
  <c r="G102" i="35"/>
  <c r="E102" i="35"/>
  <c r="A102" i="35"/>
  <c r="K102" i="35" s="1"/>
  <c r="J102" i="35" s="1"/>
  <c r="L102" i="35" s="1"/>
  <c r="G101" i="35"/>
  <c r="E101" i="35"/>
  <c r="A101" i="35"/>
  <c r="K101" i="35" s="1"/>
  <c r="J101" i="35" s="1"/>
  <c r="L101" i="35" s="1"/>
  <c r="G100" i="35"/>
  <c r="E100" i="35"/>
  <c r="A100" i="35"/>
  <c r="G99" i="35"/>
  <c r="E99" i="35"/>
  <c r="A99" i="35"/>
  <c r="K99" i="35" s="1"/>
  <c r="J99" i="35" s="1"/>
  <c r="L99" i="35" s="1"/>
  <c r="G98" i="35"/>
  <c r="E98" i="35"/>
  <c r="A98" i="35"/>
  <c r="K98" i="35" s="1"/>
  <c r="J98" i="35" s="1"/>
  <c r="L98" i="35" s="1"/>
  <c r="I97" i="35"/>
  <c r="G97" i="35"/>
  <c r="E97" i="35"/>
  <c r="A97" i="35"/>
  <c r="K97" i="35" s="1"/>
  <c r="J97" i="35" s="1"/>
  <c r="I96" i="35"/>
  <c r="G96" i="35"/>
  <c r="E96" i="35"/>
  <c r="A96" i="35"/>
  <c r="K96" i="35" s="1"/>
  <c r="J96" i="35" s="1"/>
  <c r="G95" i="35"/>
  <c r="E95" i="35"/>
  <c r="A95" i="35"/>
  <c r="K95" i="35" s="1"/>
  <c r="J95" i="35" s="1"/>
  <c r="L95" i="35" s="1"/>
  <c r="G94" i="35"/>
  <c r="E94" i="35"/>
  <c r="A94" i="35"/>
  <c r="G93" i="35"/>
  <c r="E93" i="35"/>
  <c r="A93" i="35"/>
  <c r="K93" i="35" s="1"/>
  <c r="J93" i="35" s="1"/>
  <c r="L93" i="35" s="1"/>
  <c r="G92" i="35"/>
  <c r="E92" i="35"/>
  <c r="A92" i="35"/>
  <c r="K92" i="35" s="1"/>
  <c r="J92" i="35" s="1"/>
  <c r="L92" i="35" s="1"/>
  <c r="G91" i="35"/>
  <c r="E91" i="35"/>
  <c r="A91" i="35"/>
  <c r="K91" i="35" s="1"/>
  <c r="J91" i="35" s="1"/>
  <c r="L91" i="35" s="1"/>
  <c r="G90" i="35"/>
  <c r="E90" i="35"/>
  <c r="A90" i="35"/>
  <c r="K90" i="35" s="1"/>
  <c r="J90" i="35" s="1"/>
  <c r="L90" i="35" s="1"/>
  <c r="I89" i="35"/>
  <c r="G89" i="35"/>
  <c r="E89" i="35"/>
  <c r="A89" i="35"/>
  <c r="K89" i="35" s="1"/>
  <c r="J89" i="35" s="1"/>
  <c r="R88" i="35"/>
  <c r="O88" i="35"/>
  <c r="A88" i="35"/>
  <c r="K88" i="35" s="1"/>
  <c r="R87" i="35"/>
  <c r="O87" i="35"/>
  <c r="A87" i="35"/>
  <c r="K87" i="35" s="1"/>
  <c r="O86" i="35"/>
  <c r="A86" i="35"/>
  <c r="K86" i="35" s="1"/>
  <c r="J86" i="35" s="1"/>
  <c r="R86" i="35" s="1"/>
  <c r="R85" i="35"/>
  <c r="O85" i="35"/>
  <c r="A85" i="35"/>
  <c r="O84" i="35"/>
  <c r="G84" i="35"/>
  <c r="E84" i="35"/>
  <c r="A84" i="35"/>
  <c r="K84" i="35" s="1"/>
  <c r="J84" i="35" s="1"/>
  <c r="K83" i="35"/>
  <c r="J83" i="35" s="1"/>
  <c r="L83" i="35" s="1"/>
  <c r="G83" i="35"/>
  <c r="E83" i="35"/>
  <c r="A83" i="35"/>
  <c r="R82" i="35"/>
  <c r="O82" i="35"/>
  <c r="A82" i="35"/>
  <c r="K82" i="35" s="1"/>
  <c r="R81" i="35"/>
  <c r="O81" i="35"/>
  <c r="A81" i="35"/>
  <c r="K81" i="35" s="1"/>
  <c r="I80" i="35"/>
  <c r="G80" i="35"/>
  <c r="E80" i="35"/>
  <c r="A80" i="35"/>
  <c r="K80" i="35" s="1"/>
  <c r="J80" i="35" s="1"/>
  <c r="I79" i="35"/>
  <c r="G79" i="35"/>
  <c r="E79" i="35"/>
  <c r="A79" i="35"/>
  <c r="K79" i="35" s="1"/>
  <c r="J79" i="35" s="1"/>
  <c r="G78" i="35"/>
  <c r="E78" i="35"/>
  <c r="A78" i="35"/>
  <c r="K78" i="35" s="1"/>
  <c r="J78" i="35" s="1"/>
  <c r="L78" i="35" s="1"/>
  <c r="I77" i="35"/>
  <c r="G77" i="35"/>
  <c r="E77" i="35"/>
  <c r="A77" i="35"/>
  <c r="K77" i="35" s="1"/>
  <c r="J77" i="35" s="1"/>
  <c r="I76" i="35"/>
  <c r="G76" i="35"/>
  <c r="E76" i="35"/>
  <c r="A76" i="35"/>
  <c r="K76" i="35" s="1"/>
  <c r="J76" i="35" s="1"/>
  <c r="G75" i="35"/>
  <c r="E75" i="35"/>
  <c r="A75" i="35"/>
  <c r="K75" i="35" s="1"/>
  <c r="J75" i="35" s="1"/>
  <c r="I74" i="35"/>
  <c r="I75" i="35" s="1"/>
  <c r="G74" i="35"/>
  <c r="E74" i="35"/>
  <c r="A74" i="35"/>
  <c r="K74" i="35" s="1"/>
  <c r="J74" i="35" s="1"/>
  <c r="G73" i="35"/>
  <c r="E73" i="35"/>
  <c r="A73" i="35"/>
  <c r="K73" i="35" s="1"/>
  <c r="J73" i="35" s="1"/>
  <c r="L73" i="35" s="1"/>
  <c r="I72" i="35"/>
  <c r="G72" i="35"/>
  <c r="E72" i="35"/>
  <c r="A72" i="35"/>
  <c r="K72" i="35" s="1"/>
  <c r="J72" i="35" s="1"/>
  <c r="R71" i="35"/>
  <c r="O71" i="35"/>
  <c r="A71" i="35"/>
  <c r="K71" i="35" s="1"/>
  <c r="R70" i="35"/>
  <c r="O70" i="35"/>
  <c r="A70" i="35"/>
  <c r="K70" i="35" s="1"/>
  <c r="G69" i="35"/>
  <c r="E69" i="35"/>
  <c r="A69" i="35"/>
  <c r="K69" i="35" s="1"/>
  <c r="J69" i="35" s="1"/>
  <c r="L69" i="35" s="1"/>
  <c r="G68" i="35"/>
  <c r="E68" i="35"/>
  <c r="A68" i="35"/>
  <c r="K68" i="35" s="1"/>
  <c r="J68" i="35" s="1"/>
  <c r="L68" i="35" s="1"/>
  <c r="G67" i="35"/>
  <c r="E67" i="35"/>
  <c r="A67" i="35"/>
  <c r="K67" i="35" s="1"/>
  <c r="J67" i="35" s="1"/>
  <c r="L67" i="35" s="1"/>
  <c r="G66" i="35"/>
  <c r="E66" i="35"/>
  <c r="A66" i="35"/>
  <c r="K66" i="35" s="1"/>
  <c r="J66" i="35" s="1"/>
  <c r="L66" i="35" s="1"/>
  <c r="G65" i="35"/>
  <c r="E65" i="35"/>
  <c r="A65" i="35"/>
  <c r="K65" i="35" s="1"/>
  <c r="J65" i="35" s="1"/>
  <c r="L65" i="35" s="1"/>
  <c r="G64" i="35"/>
  <c r="E64" i="35"/>
  <c r="A64" i="35"/>
  <c r="K64" i="35" s="1"/>
  <c r="J64" i="35" s="1"/>
  <c r="L64" i="35" s="1"/>
  <c r="G63" i="35"/>
  <c r="E63" i="35"/>
  <c r="A63" i="35"/>
  <c r="K63" i="35" s="1"/>
  <c r="J63" i="35" s="1"/>
  <c r="L63" i="35" s="1"/>
  <c r="G62" i="35"/>
  <c r="E62" i="35"/>
  <c r="A62" i="35"/>
  <c r="K62" i="35" s="1"/>
  <c r="J62" i="35" s="1"/>
  <c r="L62" i="35" s="1"/>
  <c r="G61" i="35"/>
  <c r="E61" i="35"/>
  <c r="A61" i="35"/>
  <c r="K61" i="35" s="1"/>
  <c r="J61" i="35" s="1"/>
  <c r="L61" i="35" s="1"/>
  <c r="A60" i="35"/>
  <c r="K60" i="35" s="1"/>
  <c r="A59" i="35"/>
  <c r="K59" i="35" s="1"/>
  <c r="O58" i="35"/>
  <c r="G58" i="35"/>
  <c r="E58" i="35"/>
  <c r="A58" i="35"/>
  <c r="K58" i="35" s="1"/>
  <c r="J58" i="35" s="1"/>
  <c r="O57" i="35"/>
  <c r="G57" i="35"/>
  <c r="E57" i="35"/>
  <c r="A57" i="35"/>
  <c r="R56" i="35"/>
  <c r="O56" i="35"/>
  <c r="A56" i="35"/>
  <c r="K56" i="35" s="1"/>
  <c r="R55" i="35"/>
  <c r="O55" i="35"/>
  <c r="A55" i="35"/>
  <c r="K55" i="35" s="1"/>
  <c r="R54" i="35"/>
  <c r="O54" i="35"/>
  <c r="A54" i="35"/>
  <c r="J53" i="35"/>
  <c r="L53" i="35" s="1"/>
  <c r="G53" i="35"/>
  <c r="E53" i="35"/>
  <c r="A53" i="35"/>
  <c r="G52" i="35"/>
  <c r="E52" i="35"/>
  <c r="A52" i="35"/>
  <c r="K52" i="35" s="1"/>
  <c r="J52" i="35" s="1"/>
  <c r="L52" i="35" s="1"/>
  <c r="G51" i="35"/>
  <c r="E51" i="35"/>
  <c r="A51" i="35"/>
  <c r="K51" i="35" s="1"/>
  <c r="J51" i="35" s="1"/>
  <c r="L51" i="35" s="1"/>
  <c r="G50" i="35"/>
  <c r="E50" i="35"/>
  <c r="A50" i="35"/>
  <c r="K50" i="35" s="1"/>
  <c r="J50" i="35" s="1"/>
  <c r="L50" i="35" s="1"/>
  <c r="G49" i="35"/>
  <c r="E49" i="35"/>
  <c r="A49" i="35"/>
  <c r="K49" i="35" s="1"/>
  <c r="J49" i="35" s="1"/>
  <c r="L49" i="35" s="1"/>
  <c r="G48" i="35"/>
  <c r="E48" i="35"/>
  <c r="A48" i="35"/>
  <c r="K48" i="35" s="1"/>
  <c r="J48" i="35" s="1"/>
  <c r="L48" i="35" s="1"/>
  <c r="G47" i="35"/>
  <c r="E47" i="35"/>
  <c r="A47" i="35"/>
  <c r="K47" i="35" s="1"/>
  <c r="J47" i="35" s="1"/>
  <c r="L47" i="35" s="1"/>
  <c r="G46" i="35"/>
  <c r="E46" i="35"/>
  <c r="A46" i="35"/>
  <c r="K46" i="35" s="1"/>
  <c r="J46" i="35" s="1"/>
  <c r="L46" i="35" s="1"/>
  <c r="G45" i="35"/>
  <c r="E45" i="35"/>
  <c r="A45" i="35"/>
  <c r="K45" i="35" s="1"/>
  <c r="J45" i="35" s="1"/>
  <c r="L45" i="35" s="1"/>
  <c r="G44" i="35"/>
  <c r="E44" i="35"/>
  <c r="A44" i="35"/>
  <c r="K44" i="35" s="1"/>
  <c r="J44" i="35" s="1"/>
  <c r="L44" i="35" s="1"/>
  <c r="G43" i="35"/>
  <c r="E43" i="35"/>
  <c r="A43" i="35"/>
  <c r="K43" i="35" s="1"/>
  <c r="R42" i="35"/>
  <c r="O42" i="35"/>
  <c r="A42" i="35"/>
  <c r="K42" i="35" s="1"/>
  <c r="I41" i="35"/>
  <c r="G41" i="35"/>
  <c r="E41" i="35"/>
  <c r="A41" i="35"/>
  <c r="K41" i="35" s="1"/>
  <c r="J41" i="35" s="1"/>
  <c r="R40" i="35"/>
  <c r="O40" i="35"/>
  <c r="A40" i="35"/>
  <c r="K40" i="35" s="1"/>
  <c r="G39" i="35"/>
  <c r="E39" i="35"/>
  <c r="A39" i="35"/>
  <c r="K39" i="35" s="1"/>
  <c r="J39" i="35" s="1"/>
  <c r="L39" i="35" s="1"/>
  <c r="R38" i="35"/>
  <c r="O38" i="35"/>
  <c r="A38" i="35"/>
  <c r="K38" i="35" s="1"/>
  <c r="I37" i="35"/>
  <c r="G37" i="35"/>
  <c r="E37" i="35"/>
  <c r="A37" i="35"/>
  <c r="K37" i="35" s="1"/>
  <c r="J37" i="35" s="1"/>
  <c r="G36" i="35"/>
  <c r="E36" i="35"/>
  <c r="A36" i="35"/>
  <c r="K36" i="35" s="1"/>
  <c r="J36" i="35" s="1"/>
  <c r="L36" i="35" s="1"/>
  <c r="G35" i="35"/>
  <c r="E35" i="35"/>
  <c r="A35" i="35"/>
  <c r="K35" i="35" s="1"/>
  <c r="J35" i="35" s="1"/>
  <c r="L35" i="35" s="1"/>
  <c r="G34" i="35"/>
  <c r="E34" i="35"/>
  <c r="A34" i="35"/>
  <c r="K34" i="35" s="1"/>
  <c r="J34" i="35" s="1"/>
  <c r="L34" i="35" s="1"/>
  <c r="G33" i="35"/>
  <c r="E33" i="35"/>
  <c r="A33" i="35"/>
  <c r="G32" i="35"/>
  <c r="E32" i="35"/>
  <c r="A32" i="35"/>
  <c r="K32" i="35" s="1"/>
  <c r="R31" i="35"/>
  <c r="O31" i="35"/>
  <c r="A31" i="35"/>
  <c r="K31" i="35" s="1"/>
  <c r="R30" i="35"/>
  <c r="O30" i="35"/>
  <c r="A30" i="35"/>
  <c r="K30" i="35" s="1"/>
  <c r="R29" i="35"/>
  <c r="O29" i="35"/>
  <c r="A29" i="35"/>
  <c r="K29" i="35" s="1"/>
  <c r="R28" i="35"/>
  <c r="O28" i="35"/>
  <c r="A28" i="35"/>
  <c r="K27" i="35"/>
  <c r="J27" i="35" s="1"/>
  <c r="L27" i="35" s="1"/>
  <c r="G27" i="35"/>
  <c r="E27" i="35"/>
  <c r="A27" i="35"/>
  <c r="G26" i="35"/>
  <c r="E26" i="35"/>
  <c r="A26" i="35"/>
  <c r="K26" i="35" s="1"/>
  <c r="J26" i="35" s="1"/>
  <c r="L26" i="35" s="1"/>
  <c r="O25" i="35"/>
  <c r="G25" i="35"/>
  <c r="E25" i="35"/>
  <c r="A25" i="35"/>
  <c r="K25" i="35" s="1"/>
  <c r="J25" i="35" s="1"/>
  <c r="R24" i="35"/>
  <c r="A24" i="35"/>
  <c r="K24" i="35" s="1"/>
  <c r="O23" i="35"/>
  <c r="G23" i="35"/>
  <c r="E23" i="35"/>
  <c r="A23" i="35"/>
  <c r="K23" i="35" s="1"/>
  <c r="J23" i="35" s="1"/>
  <c r="R22" i="35"/>
  <c r="A22" i="35"/>
  <c r="K22" i="35" s="1"/>
  <c r="G21" i="35"/>
  <c r="E21" i="35"/>
  <c r="A21" i="35"/>
  <c r="K21" i="35" s="1"/>
  <c r="G20" i="35"/>
  <c r="E20" i="35"/>
  <c r="A20" i="35"/>
  <c r="K20" i="35" s="1"/>
  <c r="G19" i="35"/>
  <c r="E19" i="35"/>
  <c r="A19" i="35"/>
  <c r="K19" i="35" s="1"/>
  <c r="G18" i="35"/>
  <c r="E18" i="35"/>
  <c r="A18" i="35"/>
  <c r="K18" i="35" s="1"/>
  <c r="R17" i="35"/>
  <c r="O17" i="35"/>
  <c r="A17" i="35"/>
  <c r="K17" i="35" s="1"/>
  <c r="R16" i="35"/>
  <c r="O16" i="35"/>
  <c r="A16" i="35"/>
  <c r="K16" i="35" s="1"/>
  <c r="G15" i="35"/>
  <c r="E15" i="35"/>
  <c r="A15" i="35"/>
  <c r="K15" i="35" s="1"/>
  <c r="K14" i="35"/>
  <c r="J14" i="35" s="1"/>
  <c r="L14" i="35" s="1"/>
  <c r="G14" i="35"/>
  <c r="E14" i="35"/>
  <c r="K13" i="35"/>
  <c r="J13" i="35" s="1"/>
  <c r="L13" i="35" s="1"/>
  <c r="G13" i="35"/>
  <c r="E13" i="35"/>
  <c r="R12" i="35"/>
  <c r="O12" i="35"/>
  <c r="A12" i="35"/>
  <c r="K12" i="35" s="1"/>
  <c r="R11" i="35"/>
  <c r="O11" i="35"/>
  <c r="A11" i="35"/>
  <c r="K11" i="35" s="1"/>
  <c r="R10" i="35"/>
  <c r="O10" i="35"/>
  <c r="A10" i="35"/>
  <c r="R9" i="35"/>
  <c r="O9" i="35"/>
  <c r="A9" i="35"/>
  <c r="J8" i="35"/>
  <c r="L537" i="35" l="1"/>
  <c r="L536" i="35" s="1"/>
  <c r="I278" i="35"/>
  <c r="L278" i="35" s="1"/>
  <c r="L407" i="35"/>
  <c r="L37" i="35"/>
  <c r="L320" i="35"/>
  <c r="L321" i="35"/>
  <c r="L336" i="35"/>
  <c r="L391" i="35"/>
  <c r="L375" i="35"/>
  <c r="L360" i="35"/>
  <c r="L359" i="35"/>
  <c r="L400" i="35"/>
  <c r="L401" i="35"/>
  <c r="L424" i="35"/>
  <c r="L425" i="35"/>
  <c r="L432" i="35"/>
  <c r="L433" i="35"/>
  <c r="O605" i="35"/>
  <c r="L41" i="35"/>
  <c r="L40" i="35" s="1"/>
  <c r="L77" i="35"/>
  <c r="L322" i="35"/>
  <c r="L367" i="35"/>
  <c r="L399" i="35"/>
  <c r="L415" i="35"/>
  <c r="L423" i="35"/>
  <c r="L431" i="35"/>
  <c r="L186" i="35"/>
  <c r="L130" i="35"/>
  <c r="L314" i="35"/>
  <c r="O315" i="35"/>
  <c r="L323" i="35"/>
  <c r="L324" i="35"/>
  <c r="L96" i="35"/>
  <c r="L97" i="35"/>
  <c r="O376" i="35"/>
  <c r="O377" i="35"/>
  <c r="O390" i="35"/>
  <c r="J252" i="35"/>
  <c r="L252" i="35" s="1"/>
  <c r="O368" i="35"/>
  <c r="O369" i="35"/>
  <c r="O581" i="35"/>
  <c r="J582" i="35"/>
  <c r="L582" i="35" s="1"/>
  <c r="O600" i="35"/>
  <c r="O601" i="35"/>
  <c r="O602" i="35"/>
  <c r="L601" i="35"/>
  <c r="R601" i="35"/>
  <c r="R602" i="35"/>
  <c r="L602" i="35"/>
  <c r="O332" i="35"/>
  <c r="L600" i="35"/>
  <c r="R600" i="35"/>
  <c r="I333" i="35"/>
  <c r="O333" i="35" s="1"/>
  <c r="I444" i="35"/>
  <c r="L79" i="35"/>
  <c r="L80" i="35"/>
  <c r="O152" i="35"/>
  <c r="O182" i="35"/>
  <c r="J199" i="35"/>
  <c r="L199" i="35" s="1"/>
  <c r="L330" i="35"/>
  <c r="L361" i="35"/>
  <c r="O406" i="35"/>
  <c r="O363" i="35"/>
  <c r="O367" i="35"/>
  <c r="O358" i="35"/>
  <c r="O375" i="35"/>
  <c r="O154" i="35"/>
  <c r="O158" i="35"/>
  <c r="O171" i="35"/>
  <c r="L245" i="35"/>
  <c r="O245" i="35"/>
  <c r="L316" i="35"/>
  <c r="L368" i="35"/>
  <c r="L369" i="35"/>
  <c r="L376" i="35"/>
  <c r="L377" i="35"/>
  <c r="L382" i="35"/>
  <c r="L383" i="35"/>
  <c r="L384" i="35"/>
  <c r="L385" i="35"/>
  <c r="L386" i="35"/>
  <c r="L392" i="35"/>
  <c r="L393" i="35"/>
  <c r="L408" i="35"/>
  <c r="L409" i="35"/>
  <c r="L416" i="35"/>
  <c r="L417" i="35"/>
  <c r="O435" i="35"/>
  <c r="L445" i="35"/>
  <c r="O603" i="35"/>
  <c r="O155" i="35"/>
  <c r="O339" i="35"/>
  <c r="J354" i="35"/>
  <c r="R354" i="35" s="1"/>
  <c r="O398" i="35"/>
  <c r="O407" i="35"/>
  <c r="O408" i="35"/>
  <c r="O409" i="35"/>
  <c r="O415" i="35"/>
  <c r="O416" i="35"/>
  <c r="O417" i="35"/>
  <c r="O72" i="35"/>
  <c r="O200" i="35"/>
  <c r="O203" i="35"/>
  <c r="L332" i="35"/>
  <c r="O418" i="35"/>
  <c r="O153" i="35"/>
  <c r="O170" i="35"/>
  <c r="O362" i="35"/>
  <c r="O366" i="35"/>
  <c r="O374" i="35"/>
  <c r="O399" i="35"/>
  <c r="O400" i="35"/>
  <c r="O401" i="35"/>
  <c r="O402" i="35"/>
  <c r="O518" i="35"/>
  <c r="O560" i="35"/>
  <c r="O579" i="35"/>
  <c r="O599" i="35"/>
  <c r="O32" i="35"/>
  <c r="J32" i="35"/>
  <c r="O19" i="35"/>
  <c r="J19" i="35"/>
  <c r="O18" i="35"/>
  <c r="J18" i="35"/>
  <c r="L38" i="35"/>
  <c r="R84" i="35"/>
  <c r="L84" i="35"/>
  <c r="O20" i="35"/>
  <c r="J20" i="35"/>
  <c r="O21" i="35"/>
  <c r="J21" i="35"/>
  <c r="L25" i="35"/>
  <c r="R25" i="35"/>
  <c r="L60" i="35"/>
  <c r="O15" i="35"/>
  <c r="J15" i="35"/>
  <c r="L58" i="35"/>
  <c r="R58" i="35"/>
  <c r="R72" i="35"/>
  <c r="L72" i="35"/>
  <c r="R23" i="35"/>
  <c r="L23" i="35"/>
  <c r="O43" i="35"/>
  <c r="J43" i="35"/>
  <c r="L74" i="35"/>
  <c r="L76" i="35"/>
  <c r="L89" i="35"/>
  <c r="O120" i="35"/>
  <c r="J120" i="35"/>
  <c r="O133" i="35"/>
  <c r="J133" i="35"/>
  <c r="O147" i="35"/>
  <c r="J147" i="35"/>
  <c r="O148" i="35"/>
  <c r="J148" i="35"/>
  <c r="L153" i="35"/>
  <c r="R153" i="35"/>
  <c r="L164" i="35"/>
  <c r="L163" i="35" s="1"/>
  <c r="R170" i="35"/>
  <c r="L170" i="35"/>
  <c r="R276" i="35"/>
  <c r="R154" i="35"/>
  <c r="L154" i="35"/>
  <c r="L158" i="35"/>
  <c r="R158" i="35"/>
  <c r="L171" i="35"/>
  <c r="R171" i="35"/>
  <c r="L175" i="35"/>
  <c r="R175" i="35"/>
  <c r="L178" i="35"/>
  <c r="R178" i="35"/>
  <c r="L179" i="35"/>
  <c r="R179" i="35"/>
  <c r="O202" i="35"/>
  <c r="J202" i="35"/>
  <c r="R274" i="35"/>
  <c r="L75" i="35"/>
  <c r="L117" i="35"/>
  <c r="R117" i="35"/>
  <c r="L126" i="35"/>
  <c r="L155" i="35"/>
  <c r="R155" i="35"/>
  <c r="L172" i="35"/>
  <c r="R172" i="35"/>
  <c r="R173" i="35"/>
  <c r="L173" i="35"/>
  <c r="O174" i="35"/>
  <c r="J174" i="35"/>
  <c r="O195" i="35"/>
  <c r="J195" i="35"/>
  <c r="O201" i="35"/>
  <c r="J201" i="35"/>
  <c r="L207" i="35"/>
  <c r="L260" i="35"/>
  <c r="R260" i="35"/>
  <c r="L299" i="35"/>
  <c r="R143" i="35"/>
  <c r="L143" i="35"/>
  <c r="R152" i="35"/>
  <c r="L152" i="35"/>
  <c r="O161" i="35"/>
  <c r="J161" i="35"/>
  <c r="O162" i="35"/>
  <c r="J162" i="35"/>
  <c r="L182" i="35"/>
  <c r="R182" i="35"/>
  <c r="O251" i="35"/>
  <c r="J251" i="35"/>
  <c r="O189" i="35"/>
  <c r="J189" i="35"/>
  <c r="R232" i="35"/>
  <c r="R321" i="35"/>
  <c r="L333" i="35"/>
  <c r="R333" i="35"/>
  <c r="O346" i="35"/>
  <c r="J346" i="35"/>
  <c r="R350" i="35"/>
  <c r="L350" i="35"/>
  <c r="O178" i="35"/>
  <c r="O190" i="35"/>
  <c r="J190" i="35"/>
  <c r="I275" i="35"/>
  <c r="O275" i="35" s="1"/>
  <c r="I273" i="35"/>
  <c r="O273" i="35" s="1"/>
  <c r="I276" i="35"/>
  <c r="O276" i="35" s="1"/>
  <c r="I274" i="35"/>
  <c r="O274" i="35" s="1"/>
  <c r="L280" i="35"/>
  <c r="R343" i="35"/>
  <c r="L343" i="35"/>
  <c r="R345" i="35"/>
  <c r="L345" i="35"/>
  <c r="O184" i="35"/>
  <c r="J184" i="35"/>
  <c r="O204" i="35"/>
  <c r="J204" i="35"/>
  <c r="O289" i="35"/>
  <c r="J289" i="35"/>
  <c r="O329" i="35"/>
  <c r="J344" i="35"/>
  <c r="O344" i="35"/>
  <c r="O348" i="35"/>
  <c r="J348" i="35"/>
  <c r="L185" i="35"/>
  <c r="L200" i="35"/>
  <c r="R200" i="35"/>
  <c r="L203" i="35"/>
  <c r="R203" i="35"/>
  <c r="K206" i="35"/>
  <c r="L248" i="35"/>
  <c r="O253" i="35"/>
  <c r="J253" i="35"/>
  <c r="O254" i="35"/>
  <c r="J254" i="35"/>
  <c r="L329" i="35"/>
  <c r="R329" i="35"/>
  <c r="L339" i="35"/>
  <c r="R339" i="35"/>
  <c r="O347" i="35"/>
  <c r="J347" i="35"/>
  <c r="I249" i="35"/>
  <c r="O249" i="35" s="1"/>
  <c r="K259" i="35"/>
  <c r="J259" i="35" s="1"/>
  <c r="I279" i="35"/>
  <c r="L279" i="35" s="1"/>
  <c r="L328" i="35"/>
  <c r="O336" i="35"/>
  <c r="R336" i="35"/>
  <c r="J349" i="35"/>
  <c r="L358" i="35"/>
  <c r="R358" i="35"/>
  <c r="L362" i="35"/>
  <c r="R362" i="35"/>
  <c r="L366" i="35"/>
  <c r="R366" i="35"/>
  <c r="R374" i="35"/>
  <c r="L374" i="35"/>
  <c r="O378" i="35"/>
  <c r="O394" i="35"/>
  <c r="J394" i="35"/>
  <c r="O395" i="35"/>
  <c r="J395" i="35"/>
  <c r="R396" i="35"/>
  <c r="L396" i="35"/>
  <c r="O403" i="35"/>
  <c r="J403" i="35"/>
  <c r="O404" i="35"/>
  <c r="J404" i="35"/>
  <c r="O410" i="35"/>
  <c r="J410" i="35"/>
  <c r="O411" i="35"/>
  <c r="J411" i="35"/>
  <c r="L418" i="35"/>
  <c r="R418" i="35"/>
  <c r="L435" i="35"/>
  <c r="R435" i="35"/>
  <c r="O343" i="35"/>
  <c r="O345" i="35"/>
  <c r="O350" i="35"/>
  <c r="R363" i="35"/>
  <c r="L363" i="35"/>
  <c r="O379" i="35"/>
  <c r="J379" i="35"/>
  <c r="L387" i="35"/>
  <c r="L402" i="35"/>
  <c r="R402" i="35"/>
  <c r="L422" i="35"/>
  <c r="R422" i="35"/>
  <c r="L426" i="35"/>
  <c r="R426" i="35"/>
  <c r="L427" i="35"/>
  <c r="R427" i="35"/>
  <c r="I281" i="35"/>
  <c r="L281" i="35" s="1"/>
  <c r="O328" i="35"/>
  <c r="L364" i="35"/>
  <c r="R364" i="35"/>
  <c r="O370" i="35"/>
  <c r="J370" i="35"/>
  <c r="O371" i="35"/>
  <c r="J371" i="35"/>
  <c r="O372" i="35"/>
  <c r="J372" i="35"/>
  <c r="L378" i="35"/>
  <c r="R378" i="35"/>
  <c r="L406" i="35"/>
  <c r="R406" i="35"/>
  <c r="O414" i="35"/>
  <c r="R430" i="35"/>
  <c r="L430" i="35"/>
  <c r="J315" i="35"/>
  <c r="R398" i="35"/>
  <c r="L398" i="35"/>
  <c r="R414" i="35"/>
  <c r="L414" i="35"/>
  <c r="O419" i="35"/>
  <c r="J419" i="35"/>
  <c r="L434" i="35"/>
  <c r="R434" i="35"/>
  <c r="I440" i="35"/>
  <c r="L440" i="35" s="1"/>
  <c r="I442" i="35"/>
  <c r="L442" i="35" s="1"/>
  <c r="L493" i="35"/>
  <c r="R518" i="35"/>
  <c r="L518" i="35"/>
  <c r="L390" i="35"/>
  <c r="H441" i="35"/>
  <c r="L441" i="35" s="1"/>
  <c r="L481" i="35"/>
  <c r="R481" i="35"/>
  <c r="R482" i="35"/>
  <c r="L482" i="35"/>
  <c r="L467" i="35"/>
  <c r="R524" i="35"/>
  <c r="L524" i="35"/>
  <c r="L477" i="35"/>
  <c r="R477" i="35"/>
  <c r="R478" i="35"/>
  <c r="L478" i="35"/>
  <c r="L485" i="35"/>
  <c r="R485" i="35"/>
  <c r="R486" i="35"/>
  <c r="L486" i="35"/>
  <c r="O548" i="35"/>
  <c r="J548" i="35"/>
  <c r="O552" i="35"/>
  <c r="J552" i="35"/>
  <c r="L552" i="35" s="1"/>
  <c r="R560" i="35"/>
  <c r="L560" i="35"/>
  <c r="J562" i="35"/>
  <c r="L562" i="35" s="1"/>
  <c r="O562" i="35"/>
  <c r="J566" i="35"/>
  <c r="O566" i="35"/>
  <c r="K520" i="35"/>
  <c r="J520" i="35" s="1"/>
  <c r="L533" i="35"/>
  <c r="O547" i="35"/>
  <c r="J547" i="35"/>
  <c r="O551" i="35"/>
  <c r="J551" i="35"/>
  <c r="L551" i="35" s="1"/>
  <c r="O555" i="35"/>
  <c r="J555" i="35"/>
  <c r="O559" i="35"/>
  <c r="J559" i="35"/>
  <c r="J565" i="35"/>
  <c r="O565" i="35"/>
  <c r="L570" i="35"/>
  <c r="R570" i="35"/>
  <c r="L574" i="35"/>
  <c r="R574" i="35"/>
  <c r="O546" i="35"/>
  <c r="J546" i="35"/>
  <c r="O550" i="35"/>
  <c r="J550" i="35"/>
  <c r="L550" i="35" s="1"/>
  <c r="O554" i="35"/>
  <c r="J554" i="35"/>
  <c r="O558" i="35"/>
  <c r="J558" i="35"/>
  <c r="O564" i="35"/>
  <c r="J564" i="35"/>
  <c r="L564" i="35" s="1"/>
  <c r="J569" i="35"/>
  <c r="O569" i="35"/>
  <c r="J573" i="35"/>
  <c r="O573" i="35"/>
  <c r="J577" i="35"/>
  <c r="O577" i="35"/>
  <c r="O588" i="35"/>
  <c r="J588" i="35"/>
  <c r="L528" i="35"/>
  <c r="L540" i="35"/>
  <c r="R540" i="35"/>
  <c r="O549" i="35"/>
  <c r="J549" i="35"/>
  <c r="O553" i="35"/>
  <c r="J553" i="35"/>
  <c r="L553" i="35" s="1"/>
  <c r="J563" i="35"/>
  <c r="L563" i="35" s="1"/>
  <c r="O563" i="35"/>
  <c r="O572" i="35"/>
  <c r="J572" i="35"/>
  <c r="O576" i="35"/>
  <c r="J576" i="35"/>
  <c r="O570" i="35"/>
  <c r="O574" i="35"/>
  <c r="O578" i="35"/>
  <c r="O580" i="35"/>
  <c r="L594" i="35"/>
  <c r="R594" i="35"/>
  <c r="L599" i="35"/>
  <c r="R599" i="35"/>
  <c r="R610" i="35"/>
  <c r="L610" i="35"/>
  <c r="O616" i="35"/>
  <c r="J616" i="35"/>
  <c r="O626" i="35"/>
  <c r="J626" i="35"/>
  <c r="O571" i="35"/>
  <c r="J571" i="35"/>
  <c r="O575" i="35"/>
  <c r="J575" i="35"/>
  <c r="O583" i="35"/>
  <c r="J583" i="35"/>
  <c r="O586" i="35"/>
  <c r="J586" i="35"/>
  <c r="O587" i="35"/>
  <c r="J587" i="35"/>
  <c r="J589" i="35"/>
  <c r="O593" i="35"/>
  <c r="J593" i="35"/>
  <c r="L605" i="35"/>
  <c r="R605" i="35"/>
  <c r="O609" i="35"/>
  <c r="J609" i="35"/>
  <c r="O615" i="35"/>
  <c r="J615" i="35"/>
  <c r="O592" i="35"/>
  <c r="J592" i="35"/>
  <c r="L592" i="35" s="1"/>
  <c r="O604" i="35"/>
  <c r="J604" i="35"/>
  <c r="O608" i="35"/>
  <c r="J608" i="35"/>
  <c r="O611" i="35"/>
  <c r="J611" i="35"/>
  <c r="O614" i="35"/>
  <c r="J614" i="35"/>
  <c r="O618" i="35"/>
  <c r="J618" i="35"/>
  <c r="O561" i="35"/>
  <c r="J561" i="35"/>
  <c r="O590" i="35"/>
  <c r="J590" i="35"/>
  <c r="L590" i="35" s="1"/>
  <c r="O591" i="35"/>
  <c r="J591" i="35"/>
  <c r="L591" i="35" s="1"/>
  <c r="O607" i="35"/>
  <c r="J607" i="35"/>
  <c r="O613" i="35"/>
  <c r="J613" i="35"/>
  <c r="O617" i="35"/>
  <c r="J617" i="35"/>
  <c r="O622" i="35"/>
  <c r="J622" i="35"/>
  <c r="L628" i="35"/>
  <c r="R628" i="35"/>
  <c r="J603" i="35"/>
  <c r="L319" i="35" l="1"/>
  <c r="L273" i="35"/>
  <c r="R199" i="35"/>
  <c r="L275" i="35"/>
  <c r="R252" i="35"/>
  <c r="R582" i="35"/>
  <c r="L331" i="35"/>
  <c r="N331" i="35" s="1"/>
  <c r="L354" i="35"/>
  <c r="L351" i="35" s="1"/>
  <c r="L277" i="35"/>
  <c r="L627" i="35"/>
  <c r="R575" i="35"/>
  <c r="L575" i="35"/>
  <c r="L626" i="35"/>
  <c r="R626" i="35"/>
  <c r="L622" i="35"/>
  <c r="R622" i="35"/>
  <c r="L613" i="35"/>
  <c r="R613" i="35"/>
  <c r="R561" i="35"/>
  <c r="L561" i="35"/>
  <c r="L614" i="35"/>
  <c r="R614" i="35"/>
  <c r="L608" i="35"/>
  <c r="R608" i="35"/>
  <c r="R615" i="35"/>
  <c r="L615" i="35"/>
  <c r="L589" i="35"/>
  <c r="R589" i="35"/>
  <c r="L539" i="35"/>
  <c r="L573" i="35"/>
  <c r="R573" i="35"/>
  <c r="R554" i="35"/>
  <c r="L554" i="35"/>
  <c r="R546" i="35"/>
  <c r="L546" i="35"/>
  <c r="L555" i="35"/>
  <c r="R555" i="35"/>
  <c r="L547" i="35"/>
  <c r="R547" i="35"/>
  <c r="R315" i="35"/>
  <c r="L315" i="35"/>
  <c r="R372" i="35"/>
  <c r="L372" i="35"/>
  <c r="L370" i="35"/>
  <c r="R370" i="35"/>
  <c r="L395" i="35"/>
  <c r="R395" i="35"/>
  <c r="L357" i="35"/>
  <c r="R259" i="35"/>
  <c r="L259" i="35"/>
  <c r="R289" i="35"/>
  <c r="L289" i="35"/>
  <c r="L184" i="35"/>
  <c r="R184" i="35"/>
  <c r="L116" i="35"/>
  <c r="L276" i="35"/>
  <c r="L148" i="35"/>
  <c r="R148" i="35"/>
  <c r="R15" i="35"/>
  <c r="L15" i="35"/>
  <c r="L59" i="35"/>
  <c r="L24" i="35"/>
  <c r="R19" i="35"/>
  <c r="L19" i="35"/>
  <c r="R587" i="35"/>
  <c r="L587" i="35"/>
  <c r="L616" i="35"/>
  <c r="R616" i="35"/>
  <c r="L549" i="35"/>
  <c r="R549" i="35"/>
  <c r="L517" i="35"/>
  <c r="L419" i="35"/>
  <c r="R419" i="35"/>
  <c r="L379" i="35"/>
  <c r="R379" i="35"/>
  <c r="L410" i="35"/>
  <c r="R410" i="35"/>
  <c r="L403" i="35"/>
  <c r="R403" i="35"/>
  <c r="R254" i="35"/>
  <c r="L254" i="35"/>
  <c r="L181" i="35"/>
  <c r="L161" i="35"/>
  <c r="R161" i="35"/>
  <c r="L206" i="35"/>
  <c r="L195" i="35"/>
  <c r="R195" i="35"/>
  <c r="L177" i="35"/>
  <c r="L120" i="35"/>
  <c r="R120" i="35"/>
  <c r="L43" i="35"/>
  <c r="R43" i="35"/>
  <c r="L71" i="35"/>
  <c r="L21" i="35"/>
  <c r="R21" i="35"/>
  <c r="L20" i="35"/>
  <c r="R20" i="35"/>
  <c r="L82" i="35"/>
  <c r="L18" i="35"/>
  <c r="R18" i="35"/>
  <c r="L603" i="35"/>
  <c r="R603" i="35"/>
  <c r="R583" i="35"/>
  <c r="L583" i="35"/>
  <c r="R571" i="35"/>
  <c r="L571" i="35"/>
  <c r="R572" i="35"/>
  <c r="L572" i="35"/>
  <c r="T528" i="35"/>
  <c r="R565" i="35"/>
  <c r="L565" i="35"/>
  <c r="T533" i="35"/>
  <c r="T536" i="35"/>
  <c r="L617" i="35"/>
  <c r="R617" i="35"/>
  <c r="R607" i="35"/>
  <c r="L607" i="35"/>
  <c r="L618" i="35"/>
  <c r="R618" i="35"/>
  <c r="L611" i="35"/>
  <c r="R611" i="35"/>
  <c r="L604" i="35"/>
  <c r="R604" i="35"/>
  <c r="L609" i="35"/>
  <c r="R609" i="35"/>
  <c r="L593" i="35"/>
  <c r="R593" i="35"/>
  <c r="L588" i="35"/>
  <c r="R588" i="35"/>
  <c r="L577" i="35"/>
  <c r="R577" i="35"/>
  <c r="L569" i="35"/>
  <c r="R569" i="35"/>
  <c r="R558" i="35"/>
  <c r="L558" i="35"/>
  <c r="L559" i="35"/>
  <c r="R559" i="35"/>
  <c r="L520" i="35"/>
  <c r="R520" i="35"/>
  <c r="L566" i="35"/>
  <c r="R566" i="35"/>
  <c r="L548" i="35"/>
  <c r="R548" i="35"/>
  <c r="L371" i="35"/>
  <c r="R371" i="35"/>
  <c r="L381" i="35"/>
  <c r="L394" i="35"/>
  <c r="R394" i="35"/>
  <c r="R349" i="35"/>
  <c r="L349" i="35"/>
  <c r="L327" i="35"/>
  <c r="L347" i="35"/>
  <c r="R347" i="35"/>
  <c r="L344" i="35"/>
  <c r="R344" i="35"/>
  <c r="L204" i="35"/>
  <c r="R204" i="35"/>
  <c r="R190" i="35"/>
  <c r="L190" i="35"/>
  <c r="R189" i="35"/>
  <c r="L189" i="35"/>
  <c r="L251" i="35"/>
  <c r="R251" i="35"/>
  <c r="L298" i="35"/>
  <c r="L274" i="35"/>
  <c r="L202" i="35"/>
  <c r="R202" i="35"/>
  <c r="L147" i="35"/>
  <c r="R147" i="35"/>
  <c r="L133" i="35"/>
  <c r="R133" i="35"/>
  <c r="L32" i="35"/>
  <c r="R32" i="35"/>
  <c r="L586" i="35"/>
  <c r="R586" i="35"/>
  <c r="R576" i="35"/>
  <c r="L576" i="35"/>
  <c r="L523" i="35"/>
  <c r="L411" i="35"/>
  <c r="R411" i="35"/>
  <c r="L404" i="35"/>
  <c r="R404" i="35"/>
  <c r="R253" i="35"/>
  <c r="L253" i="35"/>
  <c r="L348" i="35"/>
  <c r="R348" i="35"/>
  <c r="L346" i="35"/>
  <c r="R346" i="35"/>
  <c r="L162" i="35"/>
  <c r="R162" i="35"/>
  <c r="L201" i="35"/>
  <c r="R201" i="35"/>
  <c r="L174" i="35"/>
  <c r="R174" i="35"/>
  <c r="L157" i="35"/>
  <c r="L22" i="35"/>
  <c r="L272" i="35" l="1"/>
  <c r="L389" i="35"/>
  <c r="L397" i="35"/>
  <c r="L365" i="35"/>
  <c r="N365" i="35" s="1"/>
  <c r="L598" i="35"/>
  <c r="L156" i="35"/>
  <c r="T199" i="35"/>
  <c r="U199" i="35" s="1"/>
  <c r="V199" i="35" s="1"/>
  <c r="L188" i="35"/>
  <c r="L17" i="35"/>
  <c r="L70" i="35"/>
  <c r="L183" i="35"/>
  <c r="L545" i="35"/>
  <c r="L621" i="35"/>
  <c r="L606" i="35"/>
  <c r="L81" i="35"/>
  <c r="L342" i="35"/>
  <c r="L258" i="35"/>
  <c r="L522" i="35"/>
  <c r="L119" i="35"/>
  <c r="L194" i="35"/>
  <c r="L288" i="35"/>
  <c r="L612" i="35"/>
  <c r="L625" i="35"/>
  <c r="L250" i="35"/>
  <c r="L519" i="35"/>
  <c r="L42" i="35"/>
  <c r="L176" i="35"/>
  <c r="L160" i="35"/>
  <c r="L12" i="35"/>
  <c r="L169" i="35"/>
  <c r="L313" i="35"/>
  <c r="K476" i="35"/>
  <c r="J476" i="35" s="1"/>
  <c r="L476" i="35" s="1"/>
  <c r="K475" i="35"/>
  <c r="J475" i="35" s="1"/>
  <c r="L475" i="35" s="1"/>
  <c r="K474" i="35"/>
  <c r="K473" i="35"/>
  <c r="K293" i="35"/>
  <c r="J293" i="35" s="1"/>
  <c r="L293" i="35" s="1"/>
  <c r="L292" i="35" s="1"/>
  <c r="L291" i="35" s="1"/>
  <c r="K463" i="35"/>
  <c r="J463" i="35" s="1"/>
  <c r="L463" i="35" s="1"/>
  <c r="K462" i="35"/>
  <c r="J462" i="35" s="1"/>
  <c r="L462" i="35" s="1"/>
  <c r="K460" i="35"/>
  <c r="J460" i="35" s="1"/>
  <c r="L460" i="35" s="1"/>
  <c r="K454" i="35"/>
  <c r="J454" i="35" s="1"/>
  <c r="L454" i="35" s="1"/>
  <c r="K452" i="35"/>
  <c r="J452" i="35" s="1"/>
  <c r="L452" i="35" s="1"/>
  <c r="K451" i="35"/>
  <c r="J451" i="35" s="1"/>
  <c r="L451" i="35" s="1"/>
  <c r="K800" i="41" l="1"/>
  <c r="J800" i="41" s="1"/>
  <c r="K439" i="35"/>
  <c r="J439" i="35" s="1"/>
  <c r="L439" i="35" s="1"/>
  <c r="L438" i="35" s="1"/>
  <c r="K444" i="35"/>
  <c r="J444" i="35" s="1"/>
  <c r="L444" i="35" s="1"/>
  <c r="L443" i="35" s="1"/>
  <c r="L449" i="35"/>
  <c r="J474" i="35"/>
  <c r="O474" i="35"/>
  <c r="K338" i="35"/>
  <c r="K335" i="35"/>
  <c r="O473" i="35"/>
  <c r="J473" i="35"/>
  <c r="L597" i="35"/>
  <c r="L596" i="35" s="1"/>
  <c r="L544" i="35"/>
  <c r="L312" i="35"/>
  <c r="L341" i="35"/>
  <c r="L187" i="35"/>
  <c r="L624" i="35"/>
  <c r="L193" i="35"/>
  <c r="L180" i="35"/>
  <c r="L11" i="35"/>
  <c r="L159" i="35"/>
  <c r="L516" i="35"/>
  <c r="L16" i="35"/>
  <c r="L168" i="35"/>
  <c r="L287" i="35"/>
  <c r="L521" i="35"/>
  <c r="L620" i="35"/>
  <c r="K264" i="35"/>
  <c r="J264" i="35" s="1"/>
  <c r="L264" i="35" s="1"/>
  <c r="L263" i="35" s="1"/>
  <c r="K222" i="35"/>
  <c r="J222" i="35" s="1"/>
  <c r="L222" i="35" s="1"/>
  <c r="K184" i="41"/>
  <c r="J184" i="41" s="1"/>
  <c r="L184" i="41" s="1"/>
  <c r="L182" i="41" s="1"/>
  <c r="L179" i="41" s="1"/>
  <c r="L800" i="41" l="1"/>
  <c r="L799" i="41" s="1"/>
  <c r="L797" i="41" s="1"/>
  <c r="R800" i="41"/>
  <c r="L437" i="35"/>
  <c r="K123" i="35"/>
  <c r="J123" i="35" s="1"/>
  <c r="L123" i="35" s="1"/>
  <c r="L121" i="35" s="1"/>
  <c r="L118" i="35" s="1"/>
  <c r="L448" i="35"/>
  <c r="L447" i="35" s="1"/>
  <c r="R449" i="35"/>
  <c r="J338" i="35"/>
  <c r="O338" i="35"/>
  <c r="J335" i="35"/>
  <c r="O335" i="35"/>
  <c r="L473" i="35"/>
  <c r="R473" i="35"/>
  <c r="R474" i="35"/>
  <c r="L474" i="35"/>
  <c r="L192" i="35"/>
  <c r="L543" i="35"/>
  <c r="L286" i="35"/>
  <c r="L515" i="35"/>
  <c r="L623" i="35"/>
  <c r="L340" i="35"/>
  <c r="L619" i="35"/>
  <c r="L166" i="35"/>
  <c r="L10" i="35"/>
  <c r="L311" i="35"/>
  <c r="R335" i="35" l="1"/>
  <c r="L335" i="35"/>
  <c r="L334" i="35" s="1"/>
  <c r="L472" i="35"/>
  <c r="R338" i="35"/>
  <c r="L338" i="35"/>
  <c r="L337" i="35" s="1"/>
  <c r="L326" i="35" l="1"/>
  <c r="L325" i="35" s="1"/>
  <c r="K490" i="35" l="1"/>
  <c r="J490" i="35" s="1"/>
  <c r="L490" i="35" s="1"/>
  <c r="L489" i="35" s="1"/>
  <c r="H2191" i="24"/>
  <c r="J2191" i="24" s="1"/>
  <c r="D2192" i="24" l="1"/>
  <c r="D2193" i="24"/>
  <c r="L471" i="35"/>
  <c r="L470" i="35" l="1"/>
  <c r="K283" i="35" l="1"/>
  <c r="J283" i="35" s="1"/>
  <c r="L283" i="35" s="1"/>
  <c r="K542" i="35" l="1"/>
  <c r="J542" i="35" s="1"/>
  <c r="R542" i="35" s="1"/>
  <c r="L282" i="35"/>
  <c r="L542" i="35" l="1"/>
  <c r="L541" i="35" s="1"/>
  <c r="L271" i="35"/>
  <c r="L527" i="35" l="1"/>
  <c r="L270" i="35"/>
  <c r="L525" i="35" l="1"/>
  <c r="K151" i="35" l="1"/>
  <c r="O151" i="35" s="1"/>
  <c r="K149" i="35"/>
  <c r="O149" i="35" s="1"/>
  <c r="K150" i="35"/>
  <c r="J150" i="35" s="1"/>
  <c r="G1317" i="24"/>
  <c r="G1316" i="24"/>
  <c r="J149" i="35" l="1"/>
  <c r="R149" i="35" s="1"/>
  <c r="J151" i="35"/>
  <c r="R151" i="35" s="1"/>
  <c r="O150" i="35"/>
  <c r="R150" i="35"/>
  <c r="L150" i="35"/>
  <c r="L149" i="35" l="1"/>
  <c r="L151" i="35"/>
  <c r="L146" i="35" l="1"/>
  <c r="L145" i="35" s="1"/>
  <c r="L144" i="35" l="1"/>
  <c r="K227" i="35" l="1"/>
  <c r="J227" i="35" s="1"/>
  <c r="L227" i="35" s="1"/>
  <c r="K257" i="35"/>
  <c r="J257" i="35" l="1"/>
  <c r="O257" i="35"/>
  <c r="L226" i="35"/>
  <c r="R257" i="35" l="1"/>
  <c r="L257" i="35"/>
  <c r="K217" i="35" l="1"/>
  <c r="J217" i="35" s="1"/>
  <c r="L217" i="35" s="1"/>
  <c r="K218" i="35"/>
  <c r="J218" i="35" s="1"/>
  <c r="L218" i="35" s="1"/>
  <c r="K241" i="35"/>
  <c r="J241" i="35" s="1"/>
  <c r="K223" i="35"/>
  <c r="J223" i="35" s="1"/>
  <c r="L223" i="35" s="1"/>
  <c r="K246" i="35"/>
  <c r="J246" i="35" s="1"/>
  <c r="L256" i="35"/>
  <c r="K221" i="35"/>
  <c r="J221" i="35" s="1"/>
  <c r="L221" i="35" s="1"/>
  <c r="K244" i="35"/>
  <c r="J244" i="35" s="1"/>
  <c r="K219" i="35"/>
  <c r="J219" i="35" s="1"/>
  <c r="L219" i="35" s="1"/>
  <c r="K242" i="35"/>
  <c r="J242" i="35" s="1"/>
  <c r="K224" i="35"/>
  <c r="J224" i="35" s="1"/>
  <c r="L224" i="35" s="1"/>
  <c r="K247" i="35"/>
  <c r="J247" i="35" s="1"/>
  <c r="K243" i="35"/>
  <c r="J243" i="35" s="1"/>
  <c r="L243" i="35" s="1"/>
  <c r="K220" i="35"/>
  <c r="J220" i="35" s="1"/>
  <c r="L220" i="35" s="1"/>
  <c r="L246" i="35" l="1"/>
  <c r="R246" i="35"/>
  <c r="L247" i="35"/>
  <c r="R247" i="35"/>
  <c r="L242" i="35"/>
  <c r="R242" i="35"/>
  <c r="L241" i="35"/>
  <c r="R241" i="35"/>
  <c r="R244" i="35"/>
  <c r="L244" i="35"/>
  <c r="C9" i="34" l="1"/>
  <c r="C15" i="34"/>
  <c r="K420" i="35" l="1"/>
  <c r="K428" i="35"/>
  <c r="K412" i="35"/>
  <c r="K436" i="35"/>
  <c r="J436" i="35" s="1"/>
  <c r="K380" i="35"/>
  <c r="R436" i="35" l="1"/>
  <c r="L436" i="35"/>
  <c r="O412" i="35"/>
  <c r="J412" i="35"/>
  <c r="J428" i="35"/>
  <c r="O428" i="35"/>
  <c r="J380" i="35"/>
  <c r="O380" i="35"/>
  <c r="O420" i="35"/>
  <c r="J420" i="35"/>
  <c r="R412" i="35" l="1"/>
  <c r="L412" i="35"/>
  <c r="L428" i="35"/>
  <c r="R428" i="35"/>
  <c r="L429" i="35"/>
  <c r="R420" i="35"/>
  <c r="L420" i="35"/>
  <c r="L380" i="35"/>
  <c r="R380" i="35"/>
  <c r="L413" i="35" l="1"/>
  <c r="L421" i="35"/>
  <c r="L405" i="35"/>
  <c r="L373" i="35"/>
  <c r="L356" i="35" l="1"/>
  <c r="L388" i="35"/>
  <c r="K196" i="41"/>
  <c r="K195" i="41"/>
  <c r="J195" i="41" s="1"/>
  <c r="L195" i="41" s="1"/>
  <c r="K132" i="41"/>
  <c r="J132" i="41" s="1"/>
  <c r="L132" i="41" s="1"/>
  <c r="K149" i="41"/>
  <c r="J149" i="41" s="1"/>
  <c r="L149" i="41" s="1"/>
  <c r="K75" i="41"/>
  <c r="I32" i="33"/>
  <c r="B4" i="32"/>
  <c r="D4" i="32" s="1"/>
  <c r="D5" i="32"/>
  <c r="D6" i="32"/>
  <c r="D3" i="32"/>
  <c r="C16" i="13"/>
  <c r="B5" i="25"/>
  <c r="D5" i="25" s="1"/>
  <c r="D6" i="25"/>
  <c r="B8" i="25"/>
  <c r="D8" i="25" s="1"/>
  <c r="B9" i="25"/>
  <c r="D9" i="25" s="1"/>
  <c r="D10" i="25"/>
  <c r="D11" i="25"/>
  <c r="F6" i="13"/>
  <c r="I6" i="13" s="1"/>
  <c r="G6" i="13"/>
  <c r="L6" i="13" s="1"/>
  <c r="F7" i="13"/>
  <c r="I7" i="13" s="1"/>
  <c r="G7" i="13"/>
  <c r="F12" i="13"/>
  <c r="I12" i="13" s="1"/>
  <c r="G12" i="13"/>
  <c r="P12" i="13" s="1"/>
  <c r="D16" i="13"/>
  <c r="C18" i="13"/>
  <c r="D18" i="13"/>
  <c r="Q19" i="13"/>
  <c r="D22" i="13"/>
  <c r="G22" i="13" s="1"/>
  <c r="N22" i="13"/>
  <c r="W22" i="13"/>
  <c r="X22" i="13"/>
  <c r="Y22" i="13"/>
  <c r="Z22" i="13"/>
  <c r="AA22" i="13"/>
  <c r="AB22" i="13"/>
  <c r="AC22" i="13"/>
  <c r="AD22" i="13"/>
  <c r="AE22" i="13"/>
  <c r="AF22" i="13"/>
  <c r="AG22" i="13"/>
  <c r="AH22" i="13"/>
  <c r="I27" i="13"/>
  <c r="J27" i="13" s="1"/>
  <c r="I28" i="13"/>
  <c r="J28" i="13" s="1"/>
  <c r="I29" i="13"/>
  <c r="J29" i="13" s="1"/>
  <c r="I30" i="13"/>
  <c r="J30" i="13" s="1"/>
  <c r="I31" i="13"/>
  <c r="J31" i="13" s="1"/>
  <c r="I32" i="13"/>
  <c r="J32" i="13" s="1"/>
  <c r="I33" i="13"/>
  <c r="J33" i="13" s="1"/>
  <c r="C39" i="13"/>
  <c r="D39" i="13" s="1"/>
  <c r="C40" i="13"/>
  <c r="D40" i="13" s="1"/>
  <c r="E40" i="13" s="1"/>
  <c r="C41" i="13"/>
  <c r="D41" i="13" s="1"/>
  <c r="E41" i="13" s="1"/>
  <c r="F41" i="13" s="1"/>
  <c r="V41" i="13" s="1"/>
  <c r="W41" i="13" s="1"/>
  <c r="X41" i="13" s="1"/>
  <c r="Y41" i="13" s="1"/>
  <c r="C42" i="13"/>
  <c r="D42" i="13" s="1"/>
  <c r="E42" i="13" s="1"/>
  <c r="C43" i="13"/>
  <c r="D43" i="13" s="1"/>
  <c r="C44" i="13"/>
  <c r="D44" i="13" s="1"/>
  <c r="E44" i="13" s="1"/>
  <c r="C45" i="13"/>
  <c r="D45" i="13" s="1"/>
  <c r="E45" i="13" s="1"/>
  <c r="C46" i="13"/>
  <c r="D46" i="13" s="1"/>
  <c r="C47" i="13"/>
  <c r="D47" i="13" s="1"/>
  <c r="E47" i="13" s="1"/>
  <c r="C53" i="13"/>
  <c r="D53" i="13" s="1"/>
  <c r="U53" i="13"/>
  <c r="C54" i="13"/>
  <c r="D54" i="13" s="1"/>
  <c r="E54" i="13" s="1"/>
  <c r="U54" i="13"/>
  <c r="C55" i="13"/>
  <c r="D55" i="13" s="1"/>
  <c r="U55" i="13"/>
  <c r="B56" i="13"/>
  <c r="C56" i="13" s="1"/>
  <c r="U56" i="13"/>
  <c r="C57" i="13"/>
  <c r="D57" i="13" s="1"/>
  <c r="E57" i="13" s="1"/>
  <c r="U57" i="13"/>
  <c r="B58" i="13"/>
  <c r="U58" i="13"/>
  <c r="C59" i="13"/>
  <c r="D59" i="13" s="1"/>
  <c r="E59" i="13" s="1"/>
  <c r="U59" i="13"/>
  <c r="B60" i="13"/>
  <c r="C60" i="13" s="1"/>
  <c r="U60" i="13"/>
  <c r="C61" i="13"/>
  <c r="D61" i="13" s="1"/>
  <c r="U61" i="13"/>
  <c r="F66" i="13"/>
  <c r="G66" i="13" s="1"/>
  <c r="F67" i="13"/>
  <c r="G67" i="13" s="1"/>
  <c r="F68" i="13"/>
  <c r="G68" i="13" s="1"/>
  <c r="F69" i="13"/>
  <c r="G69" i="13" s="1"/>
  <c r="F70" i="13"/>
  <c r="G70" i="13" s="1"/>
  <c r="F71" i="13"/>
  <c r="G71" i="13" s="1"/>
  <c r="F72" i="13"/>
  <c r="G72" i="13" s="1"/>
  <c r="K203" i="41"/>
  <c r="J203" i="41" s="1"/>
  <c r="L203" i="41" s="1"/>
  <c r="J8" i="30"/>
  <c r="A9" i="30"/>
  <c r="O9" i="30"/>
  <c r="R9" i="30"/>
  <c r="A10" i="30"/>
  <c r="O10" i="30"/>
  <c r="R10" i="30"/>
  <c r="A11" i="30"/>
  <c r="K11" i="30" s="1"/>
  <c r="J11" i="30" s="1"/>
  <c r="R11" i="30" s="1"/>
  <c r="O11" i="30"/>
  <c r="A12" i="30"/>
  <c r="K12" i="30" s="1"/>
  <c r="O12" i="30"/>
  <c r="R12" i="30"/>
  <c r="A13" i="30"/>
  <c r="O13" i="30"/>
  <c r="R13" i="30"/>
  <c r="A14" i="30"/>
  <c r="K14" i="30" s="1"/>
  <c r="J14" i="30" s="1"/>
  <c r="R14" i="30" s="1"/>
  <c r="E14" i="30"/>
  <c r="G14" i="30"/>
  <c r="O14" i="30"/>
  <c r="A15" i="30"/>
  <c r="K15" i="30" s="1"/>
  <c r="O15" i="30"/>
  <c r="R15" i="30"/>
  <c r="A16" i="30"/>
  <c r="K16" i="30" s="1"/>
  <c r="O16" i="30"/>
  <c r="R16" i="30"/>
  <c r="A17" i="30"/>
  <c r="K17" i="30" s="1"/>
  <c r="J17" i="30" s="1"/>
  <c r="R17" i="30" s="1"/>
  <c r="E17" i="30"/>
  <c r="G17" i="30"/>
  <c r="O17" i="30"/>
  <c r="A18" i="30"/>
  <c r="K18" i="30" s="1"/>
  <c r="J18" i="30" s="1"/>
  <c r="L18" i="30" s="1"/>
  <c r="E18" i="30"/>
  <c r="G18" i="30"/>
  <c r="O18" i="30"/>
  <c r="A19" i="30"/>
  <c r="K19" i="30" s="1"/>
  <c r="J19" i="30" s="1"/>
  <c r="E19" i="30"/>
  <c r="G19" i="30"/>
  <c r="O19" i="30"/>
  <c r="A20" i="30"/>
  <c r="K20" i="30" s="1"/>
  <c r="J20" i="30" s="1"/>
  <c r="L20" i="30" s="1"/>
  <c r="E20" i="30"/>
  <c r="G20" i="30"/>
  <c r="O20" i="30"/>
  <c r="A21" i="30"/>
  <c r="K21" i="30" s="1"/>
  <c r="R21" i="30"/>
  <c r="A22" i="30"/>
  <c r="K22" i="30" s="1"/>
  <c r="J22" i="30" s="1"/>
  <c r="L22" i="30" s="1"/>
  <c r="L21" i="30" s="1"/>
  <c r="E22" i="30"/>
  <c r="G22" i="30"/>
  <c r="O22" i="30"/>
  <c r="A23" i="30"/>
  <c r="K23" i="30" s="1"/>
  <c r="R23" i="30"/>
  <c r="A24" i="30"/>
  <c r="K24" i="30" s="1"/>
  <c r="J24" i="30" s="1"/>
  <c r="L24" i="30" s="1"/>
  <c r="E24" i="30"/>
  <c r="G24" i="30"/>
  <c r="A25" i="30"/>
  <c r="K25" i="30" s="1"/>
  <c r="J25" i="30" s="1"/>
  <c r="L25" i="30" s="1"/>
  <c r="E25" i="30"/>
  <c r="G25" i="30"/>
  <c r="A26" i="30"/>
  <c r="E26" i="30"/>
  <c r="G26" i="30"/>
  <c r="K26" i="30"/>
  <c r="J26" i="30" s="1"/>
  <c r="L26" i="30" s="1"/>
  <c r="A27" i="30"/>
  <c r="O27" i="30"/>
  <c r="R27" i="30"/>
  <c r="A28" i="30"/>
  <c r="K28" i="30" s="1"/>
  <c r="J28" i="30" s="1"/>
  <c r="R28" i="30" s="1"/>
  <c r="O28" i="30"/>
  <c r="A29" i="30"/>
  <c r="K29" i="30" s="1"/>
  <c r="O29" i="30"/>
  <c r="R29" i="30"/>
  <c r="A30" i="30"/>
  <c r="O30" i="30"/>
  <c r="R30" i="30"/>
  <c r="A31" i="30"/>
  <c r="E31" i="30"/>
  <c r="G31" i="30"/>
  <c r="J31" i="30"/>
  <c r="O31" i="30"/>
  <c r="A32" i="30"/>
  <c r="E32" i="30"/>
  <c r="G32" i="30"/>
  <c r="J32" i="30"/>
  <c r="L32" i="30" s="1"/>
  <c r="A33" i="30"/>
  <c r="K33" i="30" s="1"/>
  <c r="J33" i="30" s="1"/>
  <c r="L33" i="30" s="1"/>
  <c r="E33" i="30"/>
  <c r="G33" i="30"/>
  <c r="A34" i="30"/>
  <c r="K34" i="30" s="1"/>
  <c r="J34" i="30" s="1"/>
  <c r="L34" i="30" s="1"/>
  <c r="E34" i="30"/>
  <c r="G34" i="30"/>
  <c r="A35" i="30"/>
  <c r="K35" i="30" s="1"/>
  <c r="J35" i="30" s="1"/>
  <c r="L35" i="30" s="1"/>
  <c r="E35" i="30"/>
  <c r="G35" i="30"/>
  <c r="A36" i="30"/>
  <c r="K36" i="30" s="1"/>
  <c r="J36" i="30" s="1"/>
  <c r="L36" i="30" s="1"/>
  <c r="E36" i="30"/>
  <c r="G36" i="30"/>
  <c r="A37" i="30"/>
  <c r="K37" i="30" s="1"/>
  <c r="O37" i="30"/>
  <c r="R37" i="30"/>
  <c r="A38" i="30"/>
  <c r="E38" i="30"/>
  <c r="G38" i="30"/>
  <c r="I38" i="30"/>
  <c r="A39" i="30"/>
  <c r="K39" i="30" s="1"/>
  <c r="O39" i="30"/>
  <c r="R39" i="30"/>
  <c r="A40" i="30"/>
  <c r="K40" i="30" s="1"/>
  <c r="O40" i="30" s="1"/>
  <c r="E40" i="30"/>
  <c r="G40" i="30"/>
  <c r="A41" i="30"/>
  <c r="K41" i="30" s="1"/>
  <c r="J41" i="30" s="1"/>
  <c r="L41" i="30" s="1"/>
  <c r="E41" i="30"/>
  <c r="G41" i="30"/>
  <c r="A42" i="30"/>
  <c r="K42" i="30" s="1"/>
  <c r="J42" i="30" s="1"/>
  <c r="L42" i="30" s="1"/>
  <c r="E42" i="30"/>
  <c r="G42" i="30"/>
  <c r="A43" i="30"/>
  <c r="K43" i="30" s="1"/>
  <c r="J43" i="30" s="1"/>
  <c r="L43" i="30" s="1"/>
  <c r="E43" i="30"/>
  <c r="G43" i="30"/>
  <c r="A44" i="30"/>
  <c r="K44" i="30" s="1"/>
  <c r="J44" i="30" s="1"/>
  <c r="L44" i="30" s="1"/>
  <c r="E44" i="30"/>
  <c r="G44" i="30"/>
  <c r="A45" i="30"/>
  <c r="K45" i="30" s="1"/>
  <c r="J45" i="30" s="1"/>
  <c r="L45" i="30" s="1"/>
  <c r="E45" i="30"/>
  <c r="G45" i="30"/>
  <c r="A46" i="30"/>
  <c r="K46" i="30" s="1"/>
  <c r="J46" i="30" s="1"/>
  <c r="L46" i="30" s="1"/>
  <c r="E46" i="30"/>
  <c r="G46" i="30"/>
  <c r="A47" i="30"/>
  <c r="K47" i="30" s="1"/>
  <c r="J47" i="30" s="1"/>
  <c r="L47" i="30" s="1"/>
  <c r="E47" i="30"/>
  <c r="G47" i="30"/>
  <c r="A48" i="30"/>
  <c r="K48" i="30" s="1"/>
  <c r="J48" i="30" s="1"/>
  <c r="L48" i="30" s="1"/>
  <c r="E48" i="30"/>
  <c r="G48" i="30"/>
  <c r="A49" i="30"/>
  <c r="E49" i="30"/>
  <c r="G49" i="30"/>
  <c r="J49" i="30"/>
  <c r="L49" i="30" s="1"/>
  <c r="A50" i="30"/>
  <c r="O50" i="30"/>
  <c r="R50" i="30"/>
  <c r="A51" i="30"/>
  <c r="O51" i="30"/>
  <c r="R51" i="30"/>
  <c r="A52" i="30"/>
  <c r="K52" i="30" s="1"/>
  <c r="O52" i="30"/>
  <c r="R52" i="30"/>
  <c r="A53" i="30"/>
  <c r="O53" i="30"/>
  <c r="R53" i="30"/>
  <c r="A54" i="30"/>
  <c r="E54" i="30"/>
  <c r="G54" i="30"/>
  <c r="O54" i="30"/>
  <c r="A55" i="30"/>
  <c r="K55" i="30" s="1"/>
  <c r="J55" i="30" s="1"/>
  <c r="L55" i="30" s="1"/>
  <c r="E55" i="30"/>
  <c r="G55" i="30"/>
  <c r="O55" i="30"/>
  <c r="A56" i="30"/>
  <c r="K56" i="30" s="1"/>
  <c r="A57" i="30"/>
  <c r="K57" i="30" s="1"/>
  <c r="A58" i="30"/>
  <c r="K58" i="30" s="1"/>
  <c r="J58" i="30" s="1"/>
  <c r="L58" i="30" s="1"/>
  <c r="E58" i="30"/>
  <c r="G58" i="30"/>
  <c r="A59" i="30"/>
  <c r="K59" i="30" s="1"/>
  <c r="J59" i="30" s="1"/>
  <c r="L59" i="30" s="1"/>
  <c r="E59" i="30"/>
  <c r="G59" i="30"/>
  <c r="A60" i="30"/>
  <c r="K60" i="30" s="1"/>
  <c r="J60" i="30" s="1"/>
  <c r="L60" i="30" s="1"/>
  <c r="E60" i="30"/>
  <c r="G60" i="30"/>
  <c r="A61" i="30"/>
  <c r="K61" i="30" s="1"/>
  <c r="J61" i="30" s="1"/>
  <c r="L61" i="30" s="1"/>
  <c r="E61" i="30"/>
  <c r="G61" i="30"/>
  <c r="A62" i="30"/>
  <c r="K62" i="30" s="1"/>
  <c r="J62" i="30" s="1"/>
  <c r="L62" i="30" s="1"/>
  <c r="E62" i="30"/>
  <c r="G62" i="30"/>
  <c r="A63" i="30"/>
  <c r="K63" i="30" s="1"/>
  <c r="J63" i="30" s="1"/>
  <c r="L63" i="30" s="1"/>
  <c r="E63" i="30"/>
  <c r="G63" i="30"/>
  <c r="A64" i="30"/>
  <c r="K64" i="30" s="1"/>
  <c r="J64" i="30" s="1"/>
  <c r="L64" i="30" s="1"/>
  <c r="E64" i="30"/>
  <c r="G64" i="30"/>
  <c r="A65" i="30"/>
  <c r="K65" i="30" s="1"/>
  <c r="J65" i="30" s="1"/>
  <c r="L65" i="30" s="1"/>
  <c r="E65" i="30"/>
  <c r="G65" i="30"/>
  <c r="A66" i="30"/>
  <c r="K66" i="30" s="1"/>
  <c r="J66" i="30" s="1"/>
  <c r="L66" i="30" s="1"/>
  <c r="E66" i="30"/>
  <c r="G66" i="30"/>
  <c r="A67" i="30"/>
  <c r="K67" i="30" s="1"/>
  <c r="O67" i="30"/>
  <c r="R67" i="30"/>
  <c r="A68" i="30"/>
  <c r="K68" i="30" s="1"/>
  <c r="O68" i="30"/>
  <c r="R68" i="30"/>
  <c r="A69" i="30"/>
  <c r="K69" i="30" s="1"/>
  <c r="J69" i="30" s="1"/>
  <c r="R69" i="30" s="1"/>
  <c r="E69" i="30"/>
  <c r="G69" i="30"/>
  <c r="I69" i="30"/>
  <c r="A70" i="30"/>
  <c r="K70" i="30" s="1"/>
  <c r="J70" i="30" s="1"/>
  <c r="L70" i="30" s="1"/>
  <c r="E70" i="30"/>
  <c r="G70" i="30"/>
  <c r="A71" i="30"/>
  <c r="K71" i="30" s="1"/>
  <c r="J71" i="30" s="1"/>
  <c r="L71" i="30" s="1"/>
  <c r="E71" i="30"/>
  <c r="G71" i="30"/>
  <c r="A72" i="30"/>
  <c r="K72" i="30" s="1"/>
  <c r="J72" i="30" s="1"/>
  <c r="L72" i="30" s="1"/>
  <c r="E72" i="30"/>
  <c r="G72" i="30"/>
  <c r="A73" i="30"/>
  <c r="K73" i="30" s="1"/>
  <c r="J73" i="30" s="1"/>
  <c r="L73" i="30" s="1"/>
  <c r="E73" i="30"/>
  <c r="G73" i="30"/>
  <c r="A74" i="30"/>
  <c r="K74" i="30" s="1"/>
  <c r="J74" i="30" s="1"/>
  <c r="E74" i="30"/>
  <c r="G74" i="30"/>
  <c r="A75" i="30"/>
  <c r="K75" i="30" s="1"/>
  <c r="J75" i="30" s="1"/>
  <c r="E75" i="30"/>
  <c r="G75" i="30"/>
  <c r="A76" i="30"/>
  <c r="K76" i="30" s="1"/>
  <c r="O76" i="30"/>
  <c r="R76" i="30"/>
  <c r="A77" i="30"/>
  <c r="O77" i="30"/>
  <c r="R77" i="30"/>
  <c r="A78" i="30"/>
  <c r="E78" i="30"/>
  <c r="G78" i="30"/>
  <c r="K78" i="30"/>
  <c r="J78" i="30" s="1"/>
  <c r="L78" i="30" s="1"/>
  <c r="A79" i="30"/>
  <c r="K79" i="30" s="1"/>
  <c r="J79" i="30" s="1"/>
  <c r="L79" i="30" s="1"/>
  <c r="E79" i="30"/>
  <c r="G79" i="30"/>
  <c r="O79" i="30"/>
  <c r="A80" i="30"/>
  <c r="O80" i="30"/>
  <c r="R80" i="30"/>
  <c r="A81" i="30"/>
  <c r="K81" i="30" s="1"/>
  <c r="J81" i="30" s="1"/>
  <c r="R81" i="30" s="1"/>
  <c r="O81" i="30"/>
  <c r="A82" i="30"/>
  <c r="K82" i="30" s="1"/>
  <c r="O82" i="30"/>
  <c r="R82" i="30"/>
  <c r="A83" i="30"/>
  <c r="K83" i="30" s="1"/>
  <c r="O83" i="30"/>
  <c r="R83" i="30"/>
  <c r="A84" i="30"/>
  <c r="K84" i="30" s="1"/>
  <c r="J84" i="30" s="1"/>
  <c r="E84" i="30"/>
  <c r="G84" i="30"/>
  <c r="I84" i="30"/>
  <c r="A85" i="30"/>
  <c r="K85" i="30" s="1"/>
  <c r="J85" i="30" s="1"/>
  <c r="L85" i="30" s="1"/>
  <c r="E85" i="30"/>
  <c r="G85" i="30"/>
  <c r="A86" i="30"/>
  <c r="K86" i="30" s="1"/>
  <c r="J86" i="30" s="1"/>
  <c r="L86" i="30" s="1"/>
  <c r="E86" i="30"/>
  <c r="G86" i="30"/>
  <c r="A87" i="30"/>
  <c r="K87" i="30" s="1"/>
  <c r="J87" i="30" s="1"/>
  <c r="L87" i="30" s="1"/>
  <c r="E87" i="30"/>
  <c r="G87" i="30"/>
  <c r="A88" i="30"/>
  <c r="K88" i="30" s="1"/>
  <c r="J88" i="30" s="1"/>
  <c r="L88" i="30" s="1"/>
  <c r="E88" i="30"/>
  <c r="G88" i="30"/>
  <c r="A89" i="30"/>
  <c r="K89" i="30" s="1"/>
  <c r="J89" i="30" s="1"/>
  <c r="L89" i="30" s="1"/>
  <c r="E89" i="30"/>
  <c r="G89" i="30"/>
  <c r="A90" i="30"/>
  <c r="K90" i="30" s="1"/>
  <c r="J90" i="30" s="1"/>
  <c r="L90" i="30" s="1"/>
  <c r="E90" i="30"/>
  <c r="G90" i="30"/>
  <c r="A91" i="30"/>
  <c r="K91" i="30" s="1"/>
  <c r="J91" i="30" s="1"/>
  <c r="L91" i="30" s="1"/>
  <c r="E91" i="30"/>
  <c r="G91" i="30"/>
  <c r="A92" i="30"/>
  <c r="K92" i="30" s="1"/>
  <c r="J92" i="30" s="1"/>
  <c r="L92" i="30" s="1"/>
  <c r="E92" i="30"/>
  <c r="G92" i="30"/>
  <c r="A93" i="30"/>
  <c r="K93" i="30" s="1"/>
  <c r="J93" i="30" s="1"/>
  <c r="L93" i="30" s="1"/>
  <c r="E93" i="30"/>
  <c r="G93" i="30"/>
  <c r="A94" i="30"/>
  <c r="K94" i="30" s="1"/>
  <c r="J94" i="30" s="1"/>
  <c r="L94" i="30" s="1"/>
  <c r="E94" i="30"/>
  <c r="G94" i="30"/>
  <c r="A95" i="30"/>
  <c r="E95" i="30"/>
  <c r="G95" i="30"/>
  <c r="A96" i="30"/>
  <c r="K96" i="30" s="1"/>
  <c r="J96" i="30" s="1"/>
  <c r="L96" i="30" s="1"/>
  <c r="E96" i="30"/>
  <c r="G96" i="30"/>
  <c r="A97" i="30"/>
  <c r="K97" i="30" s="1"/>
  <c r="J97" i="30" s="1"/>
  <c r="L97" i="30" s="1"/>
  <c r="E97" i="30"/>
  <c r="G97" i="30"/>
  <c r="A98" i="30"/>
  <c r="K98" i="30" s="1"/>
  <c r="J98" i="30" s="1"/>
  <c r="L98" i="30" s="1"/>
  <c r="E98" i="30"/>
  <c r="G98" i="30"/>
  <c r="A99" i="30"/>
  <c r="K99" i="30" s="1"/>
  <c r="J99" i="30" s="1"/>
  <c r="L99" i="30" s="1"/>
  <c r="E99" i="30"/>
  <c r="G99" i="30"/>
  <c r="A100" i="30"/>
  <c r="K100" i="30" s="1"/>
  <c r="J100" i="30" s="1"/>
  <c r="L100" i="30" s="1"/>
  <c r="E100" i="30"/>
  <c r="G100" i="30"/>
  <c r="A101" i="30"/>
  <c r="K101" i="30" s="1"/>
  <c r="J101" i="30" s="1"/>
  <c r="L101" i="30" s="1"/>
  <c r="E101" i="30"/>
  <c r="G101" i="30"/>
  <c r="A102" i="30"/>
  <c r="K102" i="30" s="1"/>
  <c r="J102" i="30" s="1"/>
  <c r="L102" i="30" s="1"/>
  <c r="E102" i="30"/>
  <c r="G102" i="30"/>
  <c r="A103" i="30"/>
  <c r="K103" i="30" s="1"/>
  <c r="J103" i="30" s="1"/>
  <c r="L103" i="30" s="1"/>
  <c r="E103" i="30"/>
  <c r="G103" i="30"/>
  <c r="A104" i="30"/>
  <c r="K104" i="30" s="1"/>
  <c r="J104" i="30" s="1"/>
  <c r="L104" i="30" s="1"/>
  <c r="E104" i="30"/>
  <c r="G104" i="30"/>
  <c r="A105" i="30"/>
  <c r="K105" i="30" s="1"/>
  <c r="J105" i="30" s="1"/>
  <c r="E105" i="30"/>
  <c r="G105" i="30"/>
  <c r="I105" i="30"/>
  <c r="A106" i="30"/>
  <c r="K106" i="30" s="1"/>
  <c r="J106" i="30" s="1"/>
  <c r="L106" i="30" s="1"/>
  <c r="E106" i="30"/>
  <c r="G106" i="30"/>
  <c r="A107" i="30"/>
  <c r="K107" i="30" s="1"/>
  <c r="J107" i="30" s="1"/>
  <c r="L107" i="30" s="1"/>
  <c r="E107" i="30"/>
  <c r="G107" i="30"/>
  <c r="A108" i="30"/>
  <c r="K108" i="30" s="1"/>
  <c r="J108" i="30" s="1"/>
  <c r="L108" i="30" s="1"/>
  <c r="E108" i="30"/>
  <c r="G108" i="30"/>
  <c r="A109" i="30"/>
  <c r="K109" i="30" s="1"/>
  <c r="J109" i="30" s="1"/>
  <c r="L109" i="30" s="1"/>
  <c r="E109" i="30"/>
  <c r="G109" i="30"/>
  <c r="A110" i="30"/>
  <c r="K110" i="30" s="1"/>
  <c r="J110" i="30" s="1"/>
  <c r="L110" i="30" s="1"/>
  <c r="E110" i="30"/>
  <c r="G110" i="30"/>
  <c r="A111" i="30"/>
  <c r="K111" i="30" s="1"/>
  <c r="O111" i="30"/>
  <c r="R111" i="30"/>
  <c r="A112" i="30"/>
  <c r="K112" i="30" s="1"/>
  <c r="J112" i="30" s="1"/>
  <c r="L112" i="30" s="1"/>
  <c r="L111" i="30" s="1"/>
  <c r="E112" i="30"/>
  <c r="G112" i="30"/>
  <c r="O112" i="30"/>
  <c r="A113" i="30"/>
  <c r="K113" i="30" s="1"/>
  <c r="O113" i="30"/>
  <c r="R113" i="30"/>
  <c r="A114" i="30"/>
  <c r="O114" i="30"/>
  <c r="R114" i="30"/>
  <c r="A115" i="30"/>
  <c r="E115" i="30"/>
  <c r="G115" i="30"/>
  <c r="I115" i="30"/>
  <c r="O115" i="30" s="1"/>
  <c r="J115" i="30"/>
  <c r="A116" i="30"/>
  <c r="A117" i="30"/>
  <c r="K117" i="30" s="1"/>
  <c r="J117" i="30" s="1"/>
  <c r="L117" i="30" s="1"/>
  <c r="E117" i="30"/>
  <c r="G117" i="30"/>
  <c r="A118" i="30"/>
  <c r="K118" i="30" s="1"/>
  <c r="J118" i="30" s="1"/>
  <c r="L118" i="30" s="1"/>
  <c r="E118" i="30"/>
  <c r="G118" i="30"/>
  <c r="A119" i="30"/>
  <c r="K119" i="30" s="1"/>
  <c r="J119" i="30" s="1"/>
  <c r="L119" i="30" s="1"/>
  <c r="E119" i="30"/>
  <c r="G119" i="30"/>
  <c r="A120" i="30"/>
  <c r="K120" i="30" s="1"/>
  <c r="J120" i="30" s="1"/>
  <c r="L120" i="30" s="1"/>
  <c r="E120" i="30"/>
  <c r="G120" i="30"/>
  <c r="A121" i="30"/>
  <c r="A122" i="30"/>
  <c r="K122" i="30" s="1"/>
  <c r="J122" i="30" s="1"/>
  <c r="L122" i="30" s="1"/>
  <c r="L121" i="30" s="1"/>
  <c r="E122" i="30"/>
  <c r="G122" i="30"/>
  <c r="A123" i="30"/>
  <c r="K123" i="30" s="1"/>
  <c r="O123" i="30"/>
  <c r="R123" i="30"/>
  <c r="A124" i="30"/>
  <c r="O124" i="30"/>
  <c r="R124" i="30"/>
  <c r="A125" i="30"/>
  <c r="K125" i="30" s="1"/>
  <c r="J125" i="30" s="1"/>
  <c r="L125" i="30" s="1"/>
  <c r="E125" i="30"/>
  <c r="G125" i="30"/>
  <c r="A126" i="30"/>
  <c r="K126" i="30" s="1"/>
  <c r="J126" i="30" s="1"/>
  <c r="L126" i="30" s="1"/>
  <c r="E126" i="30"/>
  <c r="G126" i="30"/>
  <c r="A127" i="30"/>
  <c r="K127" i="30" s="1"/>
  <c r="J127" i="30" s="1"/>
  <c r="E127" i="30"/>
  <c r="G127" i="30"/>
  <c r="I127" i="30"/>
  <c r="A128" i="30"/>
  <c r="K128" i="30" s="1"/>
  <c r="J128" i="30" s="1"/>
  <c r="L128" i="30" s="1"/>
  <c r="E128" i="30"/>
  <c r="G128" i="30"/>
  <c r="O128" i="30"/>
  <c r="A129" i="30"/>
  <c r="K129" i="30" s="1"/>
  <c r="J129" i="30" s="1"/>
  <c r="L129" i="30" s="1"/>
  <c r="E129" i="30"/>
  <c r="G129" i="30"/>
  <c r="A130" i="30"/>
  <c r="K130" i="30" s="1"/>
  <c r="J130" i="30" s="1"/>
  <c r="L130" i="30" s="1"/>
  <c r="E130" i="30"/>
  <c r="G130" i="30"/>
  <c r="O130" i="30"/>
  <c r="A131" i="30"/>
  <c r="E131" i="30"/>
  <c r="G131" i="30"/>
  <c r="A132" i="30"/>
  <c r="K132" i="30" s="1"/>
  <c r="J132" i="30" s="1"/>
  <c r="L132" i="30" s="1"/>
  <c r="E132" i="30"/>
  <c r="G132" i="30"/>
  <c r="A133" i="30"/>
  <c r="E133" i="30"/>
  <c r="G133" i="30"/>
  <c r="A134" i="30"/>
  <c r="K134" i="30" s="1"/>
  <c r="J134" i="30" s="1"/>
  <c r="L134" i="30" s="1"/>
  <c r="E134" i="30"/>
  <c r="G134" i="30"/>
  <c r="A135" i="30"/>
  <c r="K135" i="30" s="1"/>
  <c r="J135" i="30" s="1"/>
  <c r="L135" i="30" s="1"/>
  <c r="E135" i="30"/>
  <c r="G135" i="30"/>
  <c r="A136" i="30"/>
  <c r="K136" i="30" s="1"/>
  <c r="J136" i="30" s="1"/>
  <c r="L136" i="30" s="1"/>
  <c r="E136" i="30"/>
  <c r="G136" i="30"/>
  <c r="A137" i="30"/>
  <c r="K137" i="30" s="1"/>
  <c r="O137" i="30" s="1"/>
  <c r="E137" i="30"/>
  <c r="G137" i="30"/>
  <c r="A138" i="30"/>
  <c r="O138" i="30"/>
  <c r="R138" i="30"/>
  <c r="A139" i="30"/>
  <c r="K139" i="30" s="1"/>
  <c r="J139" i="30" s="1"/>
  <c r="R139" i="30" s="1"/>
  <c r="O139" i="30"/>
  <c r="A140" i="30"/>
  <c r="K140" i="30" s="1"/>
  <c r="O140" i="30"/>
  <c r="R140" i="30"/>
  <c r="A141" i="30"/>
  <c r="O141" i="30"/>
  <c r="R141" i="30"/>
  <c r="A142" i="30"/>
  <c r="A143" i="30"/>
  <c r="O143" i="30"/>
  <c r="R143" i="30"/>
  <c r="A144" i="30"/>
  <c r="O144" i="30"/>
  <c r="R144" i="30"/>
  <c r="A145" i="30"/>
  <c r="A146" i="30"/>
  <c r="O146" i="30"/>
  <c r="R146" i="30"/>
  <c r="A147" i="30"/>
  <c r="R147" i="30"/>
  <c r="A148" i="30"/>
  <c r="K148" i="30" s="1"/>
  <c r="J148" i="30" s="1"/>
  <c r="E148" i="30"/>
  <c r="G148" i="30"/>
  <c r="O148" i="30"/>
  <c r="A149" i="30"/>
  <c r="A150" i="30"/>
  <c r="A151" i="30"/>
  <c r="K151" i="30" s="1"/>
  <c r="J151" i="30" s="1"/>
  <c r="L151" i="30" s="1"/>
  <c r="L150" i="30" s="1"/>
  <c r="E151" i="30"/>
  <c r="G151" i="30"/>
  <c r="A152" i="30"/>
  <c r="O152" i="30"/>
  <c r="R152" i="30"/>
  <c r="A153" i="30"/>
  <c r="K153" i="30" s="1"/>
  <c r="J153" i="30" s="1"/>
  <c r="R153" i="30" s="1"/>
  <c r="O153" i="30"/>
  <c r="A154" i="30"/>
  <c r="K154" i="30" s="1"/>
  <c r="O154" i="30"/>
  <c r="R154" i="30"/>
  <c r="A155" i="30"/>
  <c r="O155" i="30"/>
  <c r="R155" i="30"/>
  <c r="A156" i="30"/>
  <c r="K156" i="30" s="1"/>
  <c r="J156" i="30" s="1"/>
  <c r="E156" i="30"/>
  <c r="G156" i="30"/>
  <c r="I156" i="30"/>
  <c r="A157" i="30"/>
  <c r="E157" i="30"/>
  <c r="G157" i="30"/>
  <c r="I157" i="30"/>
  <c r="K157" i="30"/>
  <c r="A158" i="30"/>
  <c r="E158" i="30"/>
  <c r="G158" i="30"/>
  <c r="I158" i="30"/>
  <c r="K158" i="30"/>
  <c r="A159" i="30"/>
  <c r="K159" i="30" s="1"/>
  <c r="E159" i="30"/>
  <c r="G159" i="30"/>
  <c r="I159" i="30"/>
  <c r="A160" i="30"/>
  <c r="K160" i="30" s="1"/>
  <c r="J160" i="30" s="1"/>
  <c r="R160" i="30" s="1"/>
  <c r="E160" i="30"/>
  <c r="G160" i="30"/>
  <c r="I160" i="30"/>
  <c r="A161" i="30"/>
  <c r="E161" i="30"/>
  <c r="G161" i="30"/>
  <c r="I161" i="30"/>
  <c r="K161" i="30"/>
  <c r="J161" i="30" s="1"/>
  <c r="R161" i="30" s="1"/>
  <c r="A162" i="30"/>
  <c r="K162" i="30" s="1"/>
  <c r="O162" i="30"/>
  <c r="R162" i="30"/>
  <c r="A163" i="30"/>
  <c r="O163" i="30"/>
  <c r="R163" i="30"/>
  <c r="A164" i="30"/>
  <c r="K164" i="30" s="1"/>
  <c r="E164" i="30"/>
  <c r="G164" i="30"/>
  <c r="I164" i="30"/>
  <c r="A165" i="30"/>
  <c r="K165" i="30" s="1"/>
  <c r="J165" i="30" s="1"/>
  <c r="L165" i="30" s="1"/>
  <c r="E165" i="30"/>
  <c r="G165" i="30"/>
  <c r="O165" i="30"/>
  <c r="A166" i="30"/>
  <c r="K166" i="30" s="1"/>
  <c r="O166" i="30"/>
  <c r="R166" i="30"/>
  <c r="A167" i="30"/>
  <c r="K167" i="30" s="1"/>
  <c r="O167" i="30"/>
  <c r="R167" i="30"/>
  <c r="A168" i="30"/>
  <c r="K168" i="30" s="1"/>
  <c r="J168" i="30" s="1"/>
  <c r="R168" i="30" s="1"/>
  <c r="E168" i="30"/>
  <c r="G168" i="30"/>
  <c r="I168" i="30"/>
  <c r="A169" i="30"/>
  <c r="K169" i="30" s="1"/>
  <c r="O169" i="30"/>
  <c r="R169" i="30"/>
  <c r="A170" i="30"/>
  <c r="I170" i="30"/>
  <c r="K170" i="30"/>
  <c r="J170" i="30" s="1"/>
  <c r="A171" i="30"/>
  <c r="K171" i="30" s="1"/>
  <c r="R171" i="30"/>
  <c r="A172" i="30"/>
  <c r="I172" i="30"/>
  <c r="O172" i="30" s="1"/>
  <c r="J172" i="30"/>
  <c r="A173" i="30"/>
  <c r="K173" i="30" s="1"/>
  <c r="O173" i="30"/>
  <c r="R173" i="30"/>
  <c r="A174" i="30"/>
  <c r="O174" i="30"/>
  <c r="R174" i="30"/>
  <c r="A175" i="30"/>
  <c r="I175" i="30"/>
  <c r="K175" i="30"/>
  <c r="A176" i="30"/>
  <c r="I176" i="30"/>
  <c r="K176" i="30"/>
  <c r="A177" i="30"/>
  <c r="O177" i="30"/>
  <c r="R177" i="30"/>
  <c r="A178" i="30"/>
  <c r="O178" i="30"/>
  <c r="R178" i="30"/>
  <c r="A179" i="30"/>
  <c r="K179" i="30" s="1"/>
  <c r="J179" i="30" s="1"/>
  <c r="R179" i="30" s="1"/>
  <c r="O179" i="30"/>
  <c r="A180" i="30"/>
  <c r="K180" i="30" s="1"/>
  <c r="O180" i="30"/>
  <c r="R180" i="30"/>
  <c r="A181" i="30"/>
  <c r="O181" i="30"/>
  <c r="R181" i="30"/>
  <c r="A182" i="30"/>
  <c r="E182" i="30"/>
  <c r="G182" i="30"/>
  <c r="I182" i="30"/>
  <c r="A183" i="30"/>
  <c r="E183" i="30"/>
  <c r="G183" i="30"/>
  <c r="I183" i="30"/>
  <c r="K183" i="30"/>
  <c r="E184" i="30"/>
  <c r="G184" i="30"/>
  <c r="K184" i="30"/>
  <c r="J184" i="30" s="1"/>
  <c r="A185" i="30"/>
  <c r="O185" i="30"/>
  <c r="R185" i="30"/>
  <c r="A186" i="30"/>
  <c r="K186" i="30" s="1"/>
  <c r="J186" i="30" s="1"/>
  <c r="R186" i="30" s="1"/>
  <c r="O186" i="30"/>
  <c r="A187" i="30"/>
  <c r="K187" i="30" s="1"/>
  <c r="O187" i="30"/>
  <c r="R187" i="30"/>
  <c r="A188" i="30"/>
  <c r="K188" i="30" s="1"/>
  <c r="O188" i="30"/>
  <c r="R188" i="30"/>
  <c r="A189" i="30"/>
  <c r="K189" i="30" s="1"/>
  <c r="J189" i="30" s="1"/>
  <c r="L189" i="30" s="1"/>
  <c r="E189" i="30"/>
  <c r="G189" i="30"/>
  <c r="A190" i="30"/>
  <c r="K190" i="30" s="1"/>
  <c r="J190" i="30" s="1"/>
  <c r="L190" i="30" s="1"/>
  <c r="E190" i="30"/>
  <c r="G190" i="30"/>
  <c r="A191" i="30"/>
  <c r="K191" i="30" s="1"/>
  <c r="J191" i="30" s="1"/>
  <c r="L191" i="30" s="1"/>
  <c r="E191" i="30"/>
  <c r="G191" i="30"/>
  <c r="A192" i="30"/>
  <c r="K192" i="30" s="1"/>
  <c r="J192" i="30" s="1"/>
  <c r="L192" i="30" s="1"/>
  <c r="E192" i="30"/>
  <c r="G192" i="30"/>
  <c r="A193" i="30"/>
  <c r="K193" i="30" s="1"/>
  <c r="J193" i="30" s="1"/>
  <c r="L193" i="30" s="1"/>
  <c r="E193" i="30"/>
  <c r="G193" i="30"/>
  <c r="A194" i="30"/>
  <c r="E194" i="30"/>
  <c r="G194" i="30"/>
  <c r="O194" i="30"/>
  <c r="A195" i="30"/>
  <c r="K195" i="30" s="1"/>
  <c r="J195" i="30" s="1"/>
  <c r="R195" i="30" s="1"/>
  <c r="E195" i="30"/>
  <c r="G195" i="30"/>
  <c r="O195" i="30"/>
  <c r="A196" i="30"/>
  <c r="K196" i="30" s="1"/>
  <c r="J196" i="30" s="1"/>
  <c r="L196" i="30" s="1"/>
  <c r="E196" i="30"/>
  <c r="G196" i="30"/>
  <c r="O196" i="30"/>
  <c r="A197" i="30"/>
  <c r="E197" i="30"/>
  <c r="G197" i="30"/>
  <c r="O197" i="30"/>
  <c r="A198" i="30"/>
  <c r="K198" i="30" s="1"/>
  <c r="J198" i="30" s="1"/>
  <c r="E198" i="30"/>
  <c r="G198" i="30"/>
  <c r="I198" i="30"/>
  <c r="O198" i="30" s="1"/>
  <c r="A199" i="30"/>
  <c r="K199" i="30" s="1"/>
  <c r="J199" i="30" s="1"/>
  <c r="R199" i="30" s="1"/>
  <c r="E199" i="30"/>
  <c r="G199" i="30"/>
  <c r="O199" i="30"/>
  <c r="A200" i="30"/>
  <c r="K200" i="30" s="1"/>
  <c r="J200" i="30" s="1"/>
  <c r="L200" i="30" s="1"/>
  <c r="E200" i="30"/>
  <c r="G200" i="30"/>
  <c r="O200" i="30"/>
  <c r="A201" i="30"/>
  <c r="K201" i="30" s="1"/>
  <c r="J201" i="30" s="1"/>
  <c r="L201" i="30" s="1"/>
  <c r="E201" i="30"/>
  <c r="G201" i="30"/>
  <c r="A202" i="30"/>
  <c r="E202" i="30"/>
  <c r="G202" i="30"/>
  <c r="O202" i="30"/>
  <c r="A203" i="30"/>
  <c r="K203" i="30" s="1"/>
  <c r="J203" i="30" s="1"/>
  <c r="R203" i="30" s="1"/>
  <c r="O203" i="30"/>
  <c r="A204" i="30"/>
  <c r="E204" i="30"/>
  <c r="G204" i="30"/>
  <c r="O204" i="30"/>
  <c r="A205" i="30"/>
  <c r="K205" i="30" s="1"/>
  <c r="J205" i="30" s="1"/>
  <c r="R205" i="30" s="1"/>
  <c r="O205" i="30"/>
  <c r="A206" i="30"/>
  <c r="E206" i="30"/>
  <c r="G206" i="30"/>
  <c r="O206" i="30"/>
  <c r="A207" i="30"/>
  <c r="K207" i="30" s="1"/>
  <c r="J207" i="30" s="1"/>
  <c r="R207" i="30" s="1"/>
  <c r="E207" i="30"/>
  <c r="G207" i="30"/>
  <c r="I207" i="30"/>
  <c r="A208" i="30"/>
  <c r="E208" i="30"/>
  <c r="G208" i="30"/>
  <c r="I208" i="30"/>
  <c r="K208" i="30"/>
  <c r="J208" i="30" s="1"/>
  <c r="A209" i="30"/>
  <c r="E209" i="30"/>
  <c r="G209" i="30"/>
  <c r="I209" i="30"/>
  <c r="O209" i="30" s="1"/>
  <c r="A210" i="30"/>
  <c r="K210" i="30" s="1"/>
  <c r="J210" i="30" s="1"/>
  <c r="R210" i="30" s="1"/>
  <c r="E210" i="30"/>
  <c r="G210" i="30"/>
  <c r="A211" i="30"/>
  <c r="K211" i="30" s="1"/>
  <c r="J211" i="30" s="1"/>
  <c r="E211" i="30"/>
  <c r="G211" i="30"/>
  <c r="I211" i="30"/>
  <c r="A212" i="30"/>
  <c r="E212" i="30"/>
  <c r="G212" i="30"/>
  <c r="I212" i="30"/>
  <c r="K212" i="30"/>
  <c r="J212" i="30" s="1"/>
  <c r="R212" i="30" s="1"/>
  <c r="A213" i="30"/>
  <c r="K213" i="30" s="1"/>
  <c r="J213" i="30" s="1"/>
  <c r="E213" i="30"/>
  <c r="G213" i="30"/>
  <c r="O213" i="30"/>
  <c r="A214" i="30"/>
  <c r="K214" i="30" s="1"/>
  <c r="J214" i="30" s="1"/>
  <c r="R214" i="30" s="1"/>
  <c r="O214" i="30"/>
  <c r="A215" i="30"/>
  <c r="E215" i="30"/>
  <c r="G215" i="30"/>
  <c r="I215" i="30"/>
  <c r="O215" i="30" s="1"/>
  <c r="A216" i="30"/>
  <c r="O216" i="30"/>
  <c r="R216" i="30"/>
  <c r="A217" i="30"/>
  <c r="K217" i="30" s="1"/>
  <c r="O217" i="30"/>
  <c r="R217" i="30"/>
  <c r="A218" i="30"/>
  <c r="K218" i="30" s="1"/>
  <c r="O218" i="30"/>
  <c r="R218" i="30"/>
  <c r="A219" i="30"/>
  <c r="O219" i="30"/>
  <c r="R219" i="30"/>
  <c r="A220" i="30"/>
  <c r="E220" i="30"/>
  <c r="G220" i="30"/>
  <c r="I220" i="30"/>
  <c r="I223" i="30" s="1"/>
  <c r="A221" i="30"/>
  <c r="K221" i="30" s="1"/>
  <c r="J221" i="30" s="1"/>
  <c r="R221" i="30" s="1"/>
  <c r="E221" i="30"/>
  <c r="G221" i="30"/>
  <c r="O221" i="30"/>
  <c r="A222" i="30"/>
  <c r="K222" i="30" s="1"/>
  <c r="J222" i="30" s="1"/>
  <c r="L222" i="30" s="1"/>
  <c r="E222" i="30"/>
  <c r="G222" i="30"/>
  <c r="O222" i="30"/>
  <c r="A223" i="30"/>
  <c r="E223" i="30"/>
  <c r="G223" i="30"/>
  <c r="A224" i="30"/>
  <c r="K224" i="30" s="1"/>
  <c r="J224" i="30" s="1"/>
  <c r="R224" i="30" s="1"/>
  <c r="E224" i="30"/>
  <c r="G224" i="30"/>
  <c r="O224" i="30"/>
  <c r="A225" i="30"/>
  <c r="K225" i="30" s="1"/>
  <c r="E225" i="30"/>
  <c r="G225" i="30"/>
  <c r="A226" i="30"/>
  <c r="K226" i="30" s="1"/>
  <c r="O226" i="30"/>
  <c r="R226" i="30"/>
  <c r="A227" i="30"/>
  <c r="E227" i="30"/>
  <c r="G227" i="30"/>
  <c r="O227" i="30"/>
  <c r="A228" i="30"/>
  <c r="K228" i="30" s="1"/>
  <c r="J228" i="30" s="1"/>
  <c r="L228" i="30" s="1"/>
  <c r="E228" i="30"/>
  <c r="G228" i="30"/>
  <c r="O228" i="30"/>
  <c r="A229" i="30"/>
  <c r="K229" i="30" s="1"/>
  <c r="J229" i="30" s="1"/>
  <c r="R229" i="30" s="1"/>
  <c r="E229" i="30"/>
  <c r="G229" i="30"/>
  <c r="O229" i="30"/>
  <c r="A230" i="30"/>
  <c r="E230" i="30"/>
  <c r="G230" i="30"/>
  <c r="I230" i="30"/>
  <c r="O230" i="30" s="1"/>
  <c r="A231" i="30"/>
  <c r="K231" i="30" s="1"/>
  <c r="J231" i="30" s="1"/>
  <c r="R231" i="30" s="1"/>
  <c r="E231" i="30"/>
  <c r="G231" i="30"/>
  <c r="O231" i="30"/>
  <c r="A232" i="30"/>
  <c r="K232" i="30" s="1"/>
  <c r="J232" i="30" s="1"/>
  <c r="E232" i="30"/>
  <c r="G232" i="30"/>
  <c r="I232" i="30"/>
  <c r="O232" i="30" s="1"/>
  <c r="A233" i="30"/>
  <c r="K233" i="30" s="1"/>
  <c r="O233" i="30"/>
  <c r="R233" i="30"/>
  <c r="A234" i="30"/>
  <c r="E234" i="30"/>
  <c r="G234" i="30"/>
  <c r="I234" i="30"/>
  <c r="I237" i="30" s="1"/>
  <c r="A235" i="30"/>
  <c r="K235" i="30" s="1"/>
  <c r="J235" i="30" s="1"/>
  <c r="E235" i="30"/>
  <c r="G235" i="30"/>
  <c r="O235" i="30"/>
  <c r="A236" i="30"/>
  <c r="K236" i="30" s="1"/>
  <c r="J236" i="30" s="1"/>
  <c r="L236" i="30" s="1"/>
  <c r="E236" i="30"/>
  <c r="G236" i="30"/>
  <c r="O236" i="30"/>
  <c r="A237" i="30"/>
  <c r="E237" i="30"/>
  <c r="G237" i="30"/>
  <c r="A238" i="30"/>
  <c r="K238" i="30" s="1"/>
  <c r="J238" i="30" s="1"/>
  <c r="L238" i="30" s="1"/>
  <c r="E238" i="30"/>
  <c r="G238" i="30"/>
  <c r="O238" i="30"/>
  <c r="A239" i="30"/>
  <c r="K239" i="30" s="1"/>
  <c r="J239" i="30" s="1"/>
  <c r="E239" i="30"/>
  <c r="G239" i="30"/>
  <c r="A240" i="30"/>
  <c r="K240" i="30" s="1"/>
  <c r="J240" i="30" s="1"/>
  <c r="L240" i="30" s="1"/>
  <c r="E240" i="30"/>
  <c r="G240" i="30"/>
  <c r="O240" i="30"/>
  <c r="A241" i="30"/>
  <c r="K241" i="30" s="1"/>
  <c r="O241" i="30"/>
  <c r="R241" i="30"/>
  <c r="A242" i="30"/>
  <c r="K242" i="30" s="1"/>
  <c r="J242" i="30" s="1"/>
  <c r="E242" i="30"/>
  <c r="G242" i="30"/>
  <c r="I242" i="30"/>
  <c r="A243" i="30"/>
  <c r="E243" i="30"/>
  <c r="G243" i="30"/>
  <c r="I243" i="30"/>
  <c r="K243" i="30"/>
  <c r="J243" i="30" s="1"/>
  <c r="A244" i="30"/>
  <c r="K244" i="30" s="1"/>
  <c r="J244" i="30" s="1"/>
  <c r="E244" i="30"/>
  <c r="G244" i="30"/>
  <c r="I244" i="30"/>
  <c r="A245" i="30"/>
  <c r="E245" i="30"/>
  <c r="G245" i="30"/>
  <c r="O245" i="30"/>
  <c r="A246" i="30"/>
  <c r="K246" i="30" s="1"/>
  <c r="J246" i="30" s="1"/>
  <c r="L246" i="30" s="1"/>
  <c r="E246" i="30"/>
  <c r="G246" i="30"/>
  <c r="O246" i="30"/>
  <c r="A247" i="30"/>
  <c r="K247" i="30" s="1"/>
  <c r="J247" i="30" s="1"/>
  <c r="R247" i="30" s="1"/>
  <c r="E247" i="30"/>
  <c r="G247" i="30"/>
  <c r="O247" i="30"/>
  <c r="A248" i="30"/>
  <c r="E248" i="30"/>
  <c r="G248" i="30"/>
  <c r="O248" i="30"/>
  <c r="A249" i="30"/>
  <c r="K249" i="30" s="1"/>
  <c r="J249" i="30" s="1"/>
  <c r="E249" i="30"/>
  <c r="G249" i="30"/>
  <c r="I249" i="30"/>
  <c r="O249" i="30" s="1"/>
  <c r="A250" i="30"/>
  <c r="K250" i="30" s="1"/>
  <c r="J250" i="30" s="1"/>
  <c r="R250" i="30" s="1"/>
  <c r="E250" i="30"/>
  <c r="G250" i="30"/>
  <c r="O250" i="30"/>
  <c r="A251" i="30"/>
  <c r="K251" i="30" s="1"/>
  <c r="O251" i="30"/>
  <c r="R251" i="30"/>
  <c r="A252" i="30"/>
  <c r="K252" i="30" s="1"/>
  <c r="J252" i="30" s="1"/>
  <c r="E252" i="30"/>
  <c r="G252" i="30"/>
  <c r="O252" i="30"/>
  <c r="A253" i="30"/>
  <c r="K253" i="30" s="1"/>
  <c r="J253" i="30" s="1"/>
  <c r="E253" i="30"/>
  <c r="G253" i="30"/>
  <c r="O253" i="30"/>
  <c r="A254" i="30"/>
  <c r="K254" i="30" s="1"/>
  <c r="J254" i="30" s="1"/>
  <c r="E254" i="30"/>
  <c r="G254" i="30"/>
  <c r="O254" i="30"/>
  <c r="A255" i="30"/>
  <c r="K255" i="30" s="1"/>
  <c r="J255" i="30" s="1"/>
  <c r="R255" i="30" s="1"/>
  <c r="E255" i="30"/>
  <c r="G255" i="30"/>
  <c r="O255" i="30"/>
  <c r="A256" i="30"/>
  <c r="K256" i="30" s="1"/>
  <c r="J256" i="30" s="1"/>
  <c r="R256" i="30" s="1"/>
  <c r="E256" i="30"/>
  <c r="G256" i="30"/>
  <c r="I256" i="30"/>
  <c r="O256" i="30" s="1"/>
  <c r="A257" i="30"/>
  <c r="K257" i="30" s="1"/>
  <c r="J257" i="30" s="1"/>
  <c r="R257" i="30" s="1"/>
  <c r="E257" i="30"/>
  <c r="G257" i="30"/>
  <c r="O257" i="30"/>
  <c r="A258" i="30"/>
  <c r="O258" i="30"/>
  <c r="R258" i="30"/>
  <c r="A259" i="30"/>
  <c r="O259" i="30"/>
  <c r="A260" i="30"/>
  <c r="K260" i="30" s="1"/>
  <c r="O260" i="30"/>
  <c r="R260" i="30"/>
  <c r="A261" i="30"/>
  <c r="O261" i="30"/>
  <c r="R261" i="30"/>
  <c r="A262" i="30"/>
  <c r="K262" i="30" s="1"/>
  <c r="J262" i="30" s="1"/>
  <c r="E262" i="30"/>
  <c r="G262" i="30"/>
  <c r="I262" i="30"/>
  <c r="I264" i="30" s="1"/>
  <c r="A263" i="30"/>
  <c r="K263" i="30" s="1"/>
  <c r="J263" i="30" s="1"/>
  <c r="L263" i="30" s="1"/>
  <c r="E263" i="30"/>
  <c r="G263" i="30"/>
  <c r="A264" i="30"/>
  <c r="K264" i="30" s="1"/>
  <c r="J264" i="30" s="1"/>
  <c r="R264" i="30" s="1"/>
  <c r="E264" i="30"/>
  <c r="G264" i="30"/>
  <c r="A265" i="30"/>
  <c r="K265" i="30" s="1"/>
  <c r="O265" i="30" s="1"/>
  <c r="E265" i="30"/>
  <c r="G265" i="30"/>
  <c r="A266" i="30"/>
  <c r="K266" i="30" s="1"/>
  <c r="J266" i="30" s="1"/>
  <c r="E266" i="30"/>
  <c r="G266" i="30"/>
  <c r="O266" i="30"/>
  <c r="A267" i="30"/>
  <c r="K267" i="30" s="1"/>
  <c r="O267" i="30"/>
  <c r="R267" i="30"/>
  <c r="A268" i="30"/>
  <c r="K268" i="30" s="1"/>
  <c r="J268" i="30" s="1"/>
  <c r="R268" i="30" s="1"/>
  <c r="E268" i="30"/>
  <c r="G268" i="30"/>
  <c r="I268" i="30"/>
  <c r="O268" i="30" s="1"/>
  <c r="A269" i="30"/>
  <c r="K269" i="30" s="1"/>
  <c r="J269" i="30" s="1"/>
  <c r="L269" i="30" s="1"/>
  <c r="E269" i="30"/>
  <c r="G269" i="30"/>
  <c r="A270" i="30"/>
  <c r="O270" i="30"/>
  <c r="R270" i="30"/>
  <c r="A271" i="30"/>
  <c r="K271" i="30" s="1"/>
  <c r="J271" i="30" s="1"/>
  <c r="R271" i="30" s="1"/>
  <c r="O271" i="30"/>
  <c r="A272" i="30"/>
  <c r="K272" i="30" s="1"/>
  <c r="O272" i="30"/>
  <c r="R272" i="30"/>
  <c r="A273" i="30"/>
  <c r="K273" i="30" s="1"/>
  <c r="O273" i="30"/>
  <c r="R273" i="30"/>
  <c r="A274" i="30"/>
  <c r="K274" i="30" s="1"/>
  <c r="E274" i="30"/>
  <c r="G274" i="30"/>
  <c r="A275" i="30"/>
  <c r="K275" i="30" s="1"/>
  <c r="J275" i="30" s="1"/>
  <c r="L275" i="30" s="1"/>
  <c r="E275" i="30"/>
  <c r="G275" i="30"/>
  <c r="A276" i="30"/>
  <c r="K276" i="30" s="1"/>
  <c r="J276" i="30" s="1"/>
  <c r="L276" i="30" s="1"/>
  <c r="E276" i="30"/>
  <c r="G276" i="30"/>
  <c r="A277" i="30"/>
  <c r="E277" i="30"/>
  <c r="G277" i="30"/>
  <c r="A278" i="30"/>
  <c r="A279" i="30"/>
  <c r="E279" i="30"/>
  <c r="G279" i="30"/>
  <c r="J279" i="30"/>
  <c r="L279" i="30" s="1"/>
  <c r="L278" i="30" s="1"/>
  <c r="A280" i="30"/>
  <c r="O280" i="30"/>
  <c r="R280" i="30"/>
  <c r="A281" i="30"/>
  <c r="O281" i="30"/>
  <c r="R281" i="30"/>
  <c r="A282" i="30"/>
  <c r="K282" i="30" s="1"/>
  <c r="J282" i="30" s="1"/>
  <c r="L282" i="30" s="1"/>
  <c r="E282" i="30"/>
  <c r="G282" i="30"/>
  <c r="A283" i="30"/>
  <c r="K283" i="30" s="1"/>
  <c r="J283" i="30" s="1"/>
  <c r="L283" i="30" s="1"/>
  <c r="E283" i="30"/>
  <c r="G283" i="30"/>
  <c r="A284" i="30"/>
  <c r="K284" i="30" s="1"/>
  <c r="J284" i="30" s="1"/>
  <c r="L284" i="30" s="1"/>
  <c r="E284" i="30"/>
  <c r="G284" i="30"/>
  <c r="A285" i="30"/>
  <c r="K285" i="30" s="1"/>
  <c r="J285" i="30" s="1"/>
  <c r="L285" i="30" s="1"/>
  <c r="E285" i="30"/>
  <c r="G285" i="30"/>
  <c r="A286" i="30"/>
  <c r="K286" i="30" s="1"/>
  <c r="J286" i="30" s="1"/>
  <c r="L286" i="30" s="1"/>
  <c r="E286" i="30"/>
  <c r="G286" i="30"/>
  <c r="A287" i="30"/>
  <c r="K287" i="30" s="1"/>
  <c r="J287" i="30" s="1"/>
  <c r="L287" i="30" s="1"/>
  <c r="E287" i="30"/>
  <c r="G287" i="30"/>
  <c r="A288" i="30"/>
  <c r="E288" i="30"/>
  <c r="G288" i="30"/>
  <c r="I288" i="30"/>
  <c r="K288" i="30"/>
  <c r="J288" i="30" s="1"/>
  <c r="A289" i="30"/>
  <c r="K289" i="30" s="1"/>
  <c r="J289" i="30" s="1"/>
  <c r="R289" i="30" s="1"/>
  <c r="E289" i="30"/>
  <c r="G289" i="30"/>
  <c r="O289" i="30"/>
  <c r="A290" i="30"/>
  <c r="O290" i="30"/>
  <c r="R290" i="30"/>
  <c r="A291" i="30"/>
  <c r="O291" i="30"/>
  <c r="R291" i="30"/>
  <c r="A292" i="30"/>
  <c r="K292" i="30" s="1"/>
  <c r="J292" i="30" s="1"/>
  <c r="L292" i="30" s="1"/>
  <c r="E292" i="30"/>
  <c r="G292" i="30"/>
  <c r="A293" i="30"/>
  <c r="K293" i="30" s="1"/>
  <c r="J293" i="30" s="1"/>
  <c r="L293" i="30" s="1"/>
  <c r="E293" i="30"/>
  <c r="G293" i="30"/>
  <c r="A294" i="30"/>
  <c r="K294" i="30" s="1"/>
  <c r="E294" i="30"/>
  <c r="G294" i="30"/>
  <c r="A295" i="30"/>
  <c r="O295" i="30"/>
  <c r="R295" i="30"/>
  <c r="A296" i="30"/>
  <c r="O296" i="30"/>
  <c r="R296" i="30"/>
  <c r="A297" i="30"/>
  <c r="J297" i="30"/>
  <c r="R297" i="30" s="1"/>
  <c r="O297" i="30"/>
  <c r="A298" i="30"/>
  <c r="J298" i="30"/>
  <c r="L298" i="30" s="1"/>
  <c r="O298" i="30"/>
  <c r="A299" i="30"/>
  <c r="O299" i="30"/>
  <c r="R299" i="30"/>
  <c r="A300" i="30"/>
  <c r="K300" i="30" s="1"/>
  <c r="J300" i="30" s="1"/>
  <c r="R300" i="30" s="1"/>
  <c r="O300" i="30"/>
  <c r="A301" i="30"/>
  <c r="K301" i="30" s="1"/>
  <c r="O301" i="30"/>
  <c r="R301" i="30"/>
  <c r="A302" i="30"/>
  <c r="O302" i="30"/>
  <c r="R302" i="30"/>
  <c r="A303" i="30"/>
  <c r="E303" i="30"/>
  <c r="G303" i="30"/>
  <c r="I303" i="30"/>
  <c r="K303" i="30"/>
  <c r="J303" i="30" s="1"/>
  <c r="A304" i="30"/>
  <c r="K304" i="30" s="1"/>
  <c r="J304" i="30" s="1"/>
  <c r="E304" i="30"/>
  <c r="G304" i="30"/>
  <c r="I304" i="30"/>
  <c r="A305" i="30"/>
  <c r="E305" i="30"/>
  <c r="G305" i="30"/>
  <c r="I305" i="30"/>
  <c r="K305" i="30"/>
  <c r="J305" i="30" s="1"/>
  <c r="A306" i="30"/>
  <c r="K306" i="30" s="1"/>
  <c r="J306" i="30" s="1"/>
  <c r="E306" i="30"/>
  <c r="G306" i="30"/>
  <c r="I306" i="30"/>
  <c r="A307" i="30"/>
  <c r="E307" i="30"/>
  <c r="G307" i="30"/>
  <c r="I307" i="30"/>
  <c r="K307" i="30"/>
  <c r="J307" i="30" s="1"/>
  <c r="A308" i="30"/>
  <c r="K308" i="30" s="1"/>
  <c r="H308" i="30"/>
  <c r="I311" i="30" s="1"/>
  <c r="O308" i="30"/>
  <c r="R308" i="30"/>
  <c r="A309" i="30"/>
  <c r="K309" i="30" s="1"/>
  <c r="J309" i="30" s="1"/>
  <c r="E309" i="30"/>
  <c r="G309" i="30"/>
  <c r="A310" i="30"/>
  <c r="K310" i="30" s="1"/>
  <c r="J310" i="30" s="1"/>
  <c r="E310" i="30"/>
  <c r="G310" i="30"/>
  <c r="A311" i="30"/>
  <c r="E311" i="30"/>
  <c r="G311" i="30"/>
  <c r="A312" i="30"/>
  <c r="A313" i="30"/>
  <c r="K313" i="30" s="1"/>
  <c r="J313" i="30" s="1"/>
  <c r="E313" i="30"/>
  <c r="G313" i="30"/>
  <c r="I313" i="30"/>
  <c r="A314" i="30"/>
  <c r="A315" i="30"/>
  <c r="E315" i="30"/>
  <c r="G315" i="30"/>
  <c r="I315" i="30"/>
  <c r="K315" i="30"/>
  <c r="J315" i="30" s="1"/>
  <c r="A316" i="30"/>
  <c r="K316" i="30" s="1"/>
  <c r="J316" i="30" s="1"/>
  <c r="E316" i="30"/>
  <c r="G316" i="30"/>
  <c r="I316" i="30"/>
  <c r="A317" i="30"/>
  <c r="K317" i="30" s="1"/>
  <c r="J317" i="30" s="1"/>
  <c r="E317" i="30"/>
  <c r="G317" i="30"/>
  <c r="I317" i="30"/>
  <c r="A318" i="30"/>
  <c r="K318" i="30" s="1"/>
  <c r="J318" i="30" s="1"/>
  <c r="E318" i="30"/>
  <c r="G318" i="30"/>
  <c r="I318" i="30"/>
  <c r="A319" i="30"/>
  <c r="A320" i="30"/>
  <c r="K320" i="30" s="1"/>
  <c r="J320" i="30" s="1"/>
  <c r="E320" i="30"/>
  <c r="G320" i="30"/>
  <c r="A321" i="30"/>
  <c r="E321" i="30"/>
  <c r="G321" i="30"/>
  <c r="A322" i="30"/>
  <c r="E322" i="30"/>
  <c r="G322" i="30"/>
  <c r="A323" i="30"/>
  <c r="K323" i="30" s="1"/>
  <c r="J323" i="30" s="1"/>
  <c r="E323" i="30"/>
  <c r="G323" i="30"/>
  <c r="A324" i="30"/>
  <c r="K324" i="30" s="1"/>
  <c r="J324" i="30" s="1"/>
  <c r="E324" i="30"/>
  <c r="G324" i="30"/>
  <c r="A325" i="30"/>
  <c r="A326" i="30"/>
  <c r="E326" i="30"/>
  <c r="G326" i="30"/>
  <c r="I326" i="30"/>
  <c r="K326" i="30"/>
  <c r="J326" i="30" s="1"/>
  <c r="A327" i="30"/>
  <c r="A328" i="30"/>
  <c r="K328" i="30" s="1"/>
  <c r="J328" i="30" s="1"/>
  <c r="E328" i="30"/>
  <c r="G328" i="30"/>
  <c r="I328" i="30"/>
  <c r="A329" i="30"/>
  <c r="A330" i="30"/>
  <c r="E330" i="30"/>
  <c r="G330" i="30"/>
  <c r="I330" i="30"/>
  <c r="K330" i="30"/>
  <c r="J330" i="30" s="1"/>
  <c r="A331" i="30"/>
  <c r="A332" i="30"/>
  <c r="E332" i="30"/>
  <c r="G332" i="30"/>
  <c r="I332" i="30"/>
  <c r="K332" i="30"/>
  <c r="J332" i="30" s="1"/>
  <c r="A333" i="30"/>
  <c r="K333" i="30" s="1"/>
  <c r="J333" i="30" s="1"/>
  <c r="L333" i="30" s="1"/>
  <c r="E333" i="30"/>
  <c r="G333" i="30"/>
  <c r="A334" i="30"/>
  <c r="E334" i="30"/>
  <c r="G334" i="30"/>
  <c r="I334" i="30"/>
  <c r="K334" i="30"/>
  <c r="J334" i="30" s="1"/>
  <c r="A335" i="30"/>
  <c r="O335" i="30"/>
  <c r="R335" i="30"/>
  <c r="A336" i="30"/>
  <c r="K336" i="30" s="1"/>
  <c r="J336" i="30" s="1"/>
  <c r="R336" i="30" s="1"/>
  <c r="O336" i="30"/>
  <c r="A337" i="30"/>
  <c r="K337" i="30" s="1"/>
  <c r="O337" i="30"/>
  <c r="R337" i="30"/>
  <c r="A338" i="30"/>
  <c r="O338" i="30"/>
  <c r="R338" i="30"/>
  <c r="A339" i="30"/>
  <c r="K339" i="30" s="1"/>
  <c r="J339" i="30" s="1"/>
  <c r="L339" i="30" s="1"/>
  <c r="E339" i="30"/>
  <c r="G339" i="30"/>
  <c r="O339" i="30"/>
  <c r="A340" i="30"/>
  <c r="K340" i="30" s="1"/>
  <c r="E340" i="30"/>
  <c r="G340" i="30"/>
  <c r="I340" i="30"/>
  <c r="I341" i="30" s="1"/>
  <c r="A341" i="30"/>
  <c r="K341" i="30" s="1"/>
  <c r="J341" i="30" s="1"/>
  <c r="E341" i="30"/>
  <c r="G341" i="30"/>
  <c r="A342" i="30"/>
  <c r="E342" i="30"/>
  <c r="G342" i="30"/>
  <c r="I342" i="30"/>
  <c r="K342" i="30"/>
  <c r="J342" i="30" s="1"/>
  <c r="A343" i="30"/>
  <c r="K343" i="30" s="1"/>
  <c r="H343" i="30"/>
  <c r="I345" i="30" s="1"/>
  <c r="O343" i="30"/>
  <c r="R343" i="30"/>
  <c r="A344" i="30"/>
  <c r="K344" i="30" s="1"/>
  <c r="J344" i="30" s="1"/>
  <c r="R344" i="30" s="1"/>
  <c r="E344" i="30"/>
  <c r="G344" i="30"/>
  <c r="O344" i="30"/>
  <c r="A345" i="30"/>
  <c r="K345" i="30" s="1"/>
  <c r="E345" i="30"/>
  <c r="G345" i="30"/>
  <c r="A346" i="30"/>
  <c r="K346" i="30" s="1"/>
  <c r="O346" i="30"/>
  <c r="R346" i="30"/>
  <c r="A347" i="30"/>
  <c r="K347" i="30" s="1"/>
  <c r="J347" i="30" s="1"/>
  <c r="R347" i="30" s="1"/>
  <c r="E347" i="30"/>
  <c r="G347" i="30"/>
  <c r="O347" i="30"/>
  <c r="A348" i="30"/>
  <c r="K348" i="30" s="1"/>
  <c r="J348" i="30" s="1"/>
  <c r="L348" i="30" s="1"/>
  <c r="E348" i="30"/>
  <c r="G348" i="30"/>
  <c r="A349" i="30"/>
  <c r="A350" i="30"/>
  <c r="K350" i="30" s="1"/>
  <c r="J350" i="30" s="1"/>
  <c r="E350" i="30"/>
  <c r="G350" i="30"/>
  <c r="I350" i="30"/>
  <c r="A351" i="30"/>
  <c r="E351" i="30"/>
  <c r="G351" i="30"/>
  <c r="I351" i="30"/>
  <c r="K351" i="30"/>
  <c r="J351" i="30" s="1"/>
  <c r="A352" i="30"/>
  <c r="A353" i="30"/>
  <c r="K353" i="30" s="1"/>
  <c r="J353" i="30" s="1"/>
  <c r="E353" i="30"/>
  <c r="G353" i="30"/>
  <c r="I353" i="30"/>
  <c r="A354" i="30"/>
  <c r="E354" i="30"/>
  <c r="G354" i="30"/>
  <c r="I354" i="30"/>
  <c r="O354" i="30" s="1"/>
  <c r="K354" i="30"/>
  <c r="J354" i="30" s="1"/>
  <c r="R354" i="30" s="1"/>
  <c r="A355" i="30"/>
  <c r="A356" i="30"/>
  <c r="E356" i="30"/>
  <c r="G356" i="30"/>
  <c r="I356" i="30"/>
  <c r="K356" i="30"/>
  <c r="J356" i="30" s="1"/>
  <c r="A357" i="30"/>
  <c r="E357" i="30"/>
  <c r="G357" i="30"/>
  <c r="I357" i="30"/>
  <c r="K357" i="30"/>
  <c r="J357" i="30" s="1"/>
  <c r="A358" i="30"/>
  <c r="K358" i="30" s="1"/>
  <c r="J358" i="30" s="1"/>
  <c r="E358" i="30"/>
  <c r="G358" i="30"/>
  <c r="I358" i="30"/>
  <c r="A359" i="30"/>
  <c r="A360" i="30"/>
  <c r="E360" i="30"/>
  <c r="G360" i="30"/>
  <c r="I360" i="30"/>
  <c r="K360" i="30"/>
  <c r="J360" i="30" s="1"/>
  <c r="A361" i="30"/>
  <c r="K361" i="30" s="1"/>
  <c r="J361" i="30" s="1"/>
  <c r="L361" i="30" s="1"/>
  <c r="E361" i="30"/>
  <c r="G361" i="30"/>
  <c r="A362" i="30"/>
  <c r="O362" i="30"/>
  <c r="R362" i="30"/>
  <c r="A363" i="30"/>
  <c r="K363" i="30" s="1"/>
  <c r="J363" i="30" s="1"/>
  <c r="R363" i="30" s="1"/>
  <c r="O363" i="30"/>
  <c r="A364" i="30"/>
  <c r="K364" i="30" s="1"/>
  <c r="O364" i="30"/>
  <c r="R364" i="30"/>
  <c r="A365" i="30"/>
  <c r="K365" i="30" s="1"/>
  <c r="H365" i="30"/>
  <c r="O365" i="30"/>
  <c r="R365" i="30"/>
  <c r="A366" i="30"/>
  <c r="K366" i="30" s="1"/>
  <c r="J366" i="30" s="1"/>
  <c r="E366" i="30"/>
  <c r="G366" i="30"/>
  <c r="A367" i="30"/>
  <c r="K367" i="30" s="1"/>
  <c r="J367" i="30" s="1"/>
  <c r="E367" i="30"/>
  <c r="G367" i="30"/>
  <c r="A368" i="30"/>
  <c r="E368" i="30"/>
  <c r="G368" i="30"/>
  <c r="I368" i="30"/>
  <c r="K368" i="30"/>
  <c r="J368" i="30" s="1"/>
  <c r="A369" i="30"/>
  <c r="E369" i="30"/>
  <c r="G369" i="30"/>
  <c r="A370" i="30"/>
  <c r="K370" i="30" s="1"/>
  <c r="J370" i="30" s="1"/>
  <c r="E370" i="30"/>
  <c r="G370" i="30"/>
  <c r="A371" i="30"/>
  <c r="K371" i="30" s="1"/>
  <c r="O371" i="30"/>
  <c r="R371" i="30"/>
  <c r="A372" i="30"/>
  <c r="K372" i="30" s="1"/>
  <c r="J372" i="30" s="1"/>
  <c r="L372" i="30" s="1"/>
  <c r="E372" i="30"/>
  <c r="G372" i="30"/>
  <c r="O372" i="30"/>
  <c r="A373" i="30"/>
  <c r="K373" i="30" s="1"/>
  <c r="J373" i="30" s="1"/>
  <c r="L373" i="30" s="1"/>
  <c r="E373" i="30"/>
  <c r="G373" i="30"/>
  <c r="A374" i="30"/>
  <c r="K374" i="30" s="1"/>
  <c r="J374" i="30" s="1"/>
  <c r="R374" i="30" s="1"/>
  <c r="O374" i="30"/>
  <c r="A375" i="30"/>
  <c r="K375" i="30" s="1"/>
  <c r="J375" i="30" s="1"/>
  <c r="R375" i="30" s="1"/>
  <c r="E375" i="30"/>
  <c r="G375" i="30"/>
  <c r="O375" i="30"/>
  <c r="A376" i="30"/>
  <c r="O376" i="30"/>
  <c r="R376" i="30"/>
  <c r="A377" i="30"/>
  <c r="K377" i="30" s="1"/>
  <c r="J377" i="30" s="1"/>
  <c r="R377" i="30" s="1"/>
  <c r="O377" i="30"/>
  <c r="A378" i="30"/>
  <c r="K378" i="30" s="1"/>
  <c r="O378" i="30"/>
  <c r="R378" i="30"/>
  <c r="A379" i="30"/>
  <c r="K379" i="30" s="1"/>
  <c r="A380" i="30"/>
  <c r="K380" i="30" s="1"/>
  <c r="J380" i="30" s="1"/>
  <c r="R380" i="30" s="1"/>
  <c r="E380" i="30"/>
  <c r="G380" i="30"/>
  <c r="I380" i="30"/>
  <c r="A381" i="30"/>
  <c r="E381" i="30"/>
  <c r="G381" i="30"/>
  <c r="I381" i="30"/>
  <c r="K381" i="30"/>
  <c r="J381" i="30" s="1"/>
  <c r="A382" i="30"/>
  <c r="K382" i="30" s="1"/>
  <c r="J382" i="30" s="1"/>
  <c r="E382" i="30"/>
  <c r="G382" i="30"/>
  <c r="I382" i="30"/>
  <c r="A383" i="30"/>
  <c r="E383" i="30"/>
  <c r="G383" i="30"/>
  <c r="I383" i="30"/>
  <c r="K383" i="30"/>
  <c r="A384" i="30"/>
  <c r="E384" i="30"/>
  <c r="G384" i="30"/>
  <c r="I384" i="30"/>
  <c r="K384" i="30"/>
  <c r="J384" i="30" s="1"/>
  <c r="A385" i="30"/>
  <c r="K385" i="30" s="1"/>
  <c r="A386" i="30"/>
  <c r="E386" i="30"/>
  <c r="G386" i="30"/>
  <c r="I386" i="30"/>
  <c r="K386" i="30"/>
  <c r="J386" i="30" s="1"/>
  <c r="A387" i="30"/>
  <c r="E387" i="30"/>
  <c r="G387" i="30"/>
  <c r="I387" i="30"/>
  <c r="K387" i="30"/>
  <c r="J387" i="30" s="1"/>
  <c r="A388" i="30"/>
  <c r="E388" i="30"/>
  <c r="G388" i="30"/>
  <c r="I388" i="30"/>
  <c r="K388" i="30"/>
  <c r="J388" i="30" s="1"/>
  <c r="R388" i="30" s="1"/>
  <c r="A389" i="30"/>
  <c r="E389" i="30"/>
  <c r="G389" i="30"/>
  <c r="I389" i="30"/>
  <c r="K389" i="30"/>
  <c r="J389" i="30" s="1"/>
  <c r="A390" i="30"/>
  <c r="K390" i="30" s="1"/>
  <c r="J390" i="30" s="1"/>
  <c r="R390" i="30" s="1"/>
  <c r="E390" i="30"/>
  <c r="G390" i="30"/>
  <c r="I390" i="30"/>
  <c r="A391" i="30"/>
  <c r="K391" i="30" s="1"/>
  <c r="A392" i="30"/>
  <c r="K392" i="30" s="1"/>
  <c r="J392" i="30" s="1"/>
  <c r="R392" i="30" s="1"/>
  <c r="E392" i="30"/>
  <c r="G392" i="30"/>
  <c r="I392" i="30"/>
  <c r="O392" i="30" s="1"/>
  <c r="A393" i="30"/>
  <c r="E393" i="30"/>
  <c r="G393" i="30"/>
  <c r="I393" i="30"/>
  <c r="K393" i="30"/>
  <c r="J393" i="30" s="1"/>
  <c r="A394" i="30"/>
  <c r="K394" i="30" s="1"/>
  <c r="J394" i="30" s="1"/>
  <c r="E394" i="30"/>
  <c r="G394" i="30"/>
  <c r="I394" i="30"/>
  <c r="O394" i="30" s="1"/>
  <c r="A395" i="30"/>
  <c r="K395" i="30" s="1"/>
  <c r="J395" i="30" s="1"/>
  <c r="R395" i="30" s="1"/>
  <c r="E395" i="30"/>
  <c r="G395" i="30"/>
  <c r="I395" i="30"/>
  <c r="O395" i="30" s="1"/>
  <c r="A396" i="30"/>
  <c r="K396" i="30" s="1"/>
  <c r="J396" i="30" s="1"/>
  <c r="E396" i="30"/>
  <c r="G396" i="30"/>
  <c r="I396" i="30"/>
  <c r="O396" i="30" s="1"/>
  <c r="A397" i="30"/>
  <c r="K397" i="30" s="1"/>
  <c r="A398" i="30"/>
  <c r="E398" i="30"/>
  <c r="G398" i="30"/>
  <c r="I398" i="30"/>
  <c r="O398" i="30" s="1"/>
  <c r="K398" i="30"/>
  <c r="J398" i="30" s="1"/>
  <c r="A399" i="30"/>
  <c r="K399" i="30" s="1"/>
  <c r="J399" i="30" s="1"/>
  <c r="E399" i="30"/>
  <c r="G399" i="30"/>
  <c r="I399" i="30"/>
  <c r="A400" i="30"/>
  <c r="K400" i="30" s="1"/>
  <c r="J400" i="30" s="1"/>
  <c r="E400" i="30"/>
  <c r="G400" i="30"/>
  <c r="I400" i="30"/>
  <c r="O400" i="30" s="1"/>
  <c r="A401" i="30"/>
  <c r="K401" i="30" s="1"/>
  <c r="J401" i="30" s="1"/>
  <c r="R401" i="30" s="1"/>
  <c r="E401" i="30"/>
  <c r="G401" i="30"/>
  <c r="I401" i="30"/>
  <c r="O401" i="30" s="1"/>
  <c r="A402" i="30"/>
  <c r="K402" i="30" s="1"/>
  <c r="J402" i="30" s="1"/>
  <c r="R402" i="30" s="1"/>
  <c r="E402" i="30"/>
  <c r="G402" i="30"/>
  <c r="I402" i="30"/>
  <c r="O402" i="30" s="1"/>
  <c r="A403" i="30"/>
  <c r="A404" i="30"/>
  <c r="K404" i="30" s="1"/>
  <c r="J404" i="30" s="1"/>
  <c r="E404" i="30"/>
  <c r="G404" i="30"/>
  <c r="I404" i="30"/>
  <c r="A405" i="30"/>
  <c r="E405" i="30"/>
  <c r="G405" i="30"/>
  <c r="I405" i="30"/>
  <c r="K405" i="30"/>
  <c r="J405" i="30" s="1"/>
  <c r="A406" i="30"/>
  <c r="E406" i="30"/>
  <c r="G406" i="30"/>
  <c r="I406" i="30"/>
  <c r="K406" i="30"/>
  <c r="J406" i="30" s="1"/>
  <c r="A407" i="30"/>
  <c r="K407" i="30" s="1"/>
  <c r="J407" i="30" s="1"/>
  <c r="E407" i="30"/>
  <c r="G407" i="30"/>
  <c r="I407" i="30"/>
  <c r="A408" i="30"/>
  <c r="K408" i="30" s="1"/>
  <c r="O408" i="30"/>
  <c r="R408" i="30"/>
  <c r="A409" i="30"/>
  <c r="K409" i="30" s="1"/>
  <c r="J409" i="30" s="1"/>
  <c r="R409" i="30" s="1"/>
  <c r="E409" i="30"/>
  <c r="G409" i="30"/>
  <c r="I409" i="30"/>
  <c r="O409" i="30" s="1"/>
  <c r="A410" i="30"/>
  <c r="E410" i="30"/>
  <c r="G410" i="30"/>
  <c r="I410" i="30"/>
  <c r="K410" i="30"/>
  <c r="J410" i="30" s="1"/>
  <c r="A411" i="30"/>
  <c r="K411" i="30" s="1"/>
  <c r="O411" i="30"/>
  <c r="R411" i="30"/>
  <c r="A412" i="30"/>
  <c r="E412" i="30"/>
  <c r="G412" i="30"/>
  <c r="I412" i="30"/>
  <c r="O412" i="30" s="1"/>
  <c r="K412" i="30"/>
  <c r="J412" i="30" s="1"/>
  <c r="R412" i="30" s="1"/>
  <c r="A413" i="30"/>
  <c r="E413" i="30"/>
  <c r="G413" i="30"/>
  <c r="I413" i="30"/>
  <c r="K413" i="30"/>
  <c r="J413" i="30" s="1"/>
  <c r="A414" i="30"/>
  <c r="E414" i="30"/>
  <c r="G414" i="30"/>
  <c r="I414" i="30"/>
  <c r="K414" i="30"/>
  <c r="J414" i="30" s="1"/>
  <c r="A415" i="30"/>
  <c r="K415" i="30" s="1"/>
  <c r="J415" i="30" s="1"/>
  <c r="L415" i="30" s="1"/>
  <c r="E415" i="30"/>
  <c r="G415" i="30"/>
  <c r="A416" i="30"/>
  <c r="K416" i="30" s="1"/>
  <c r="J416" i="30" s="1"/>
  <c r="L416" i="30" s="1"/>
  <c r="E416" i="30"/>
  <c r="G416" i="30"/>
  <c r="A417" i="30"/>
  <c r="A418" i="30"/>
  <c r="E418" i="30"/>
  <c r="G418" i="30"/>
  <c r="I418" i="30"/>
  <c r="K418" i="30"/>
  <c r="J418" i="30" s="1"/>
  <c r="A419" i="30"/>
  <c r="E419" i="30"/>
  <c r="G419" i="30"/>
  <c r="I419" i="30"/>
  <c r="K419" i="30"/>
  <c r="J419" i="30" s="1"/>
  <c r="A420" i="30"/>
  <c r="K420" i="30" s="1"/>
  <c r="J420" i="30" s="1"/>
  <c r="E420" i="30"/>
  <c r="G420" i="30"/>
  <c r="I420" i="30"/>
  <c r="A421" i="30"/>
  <c r="K421" i="30" s="1"/>
  <c r="J421" i="30" s="1"/>
  <c r="E421" i="30"/>
  <c r="G421" i="30"/>
  <c r="I421" i="30"/>
  <c r="A422" i="30"/>
  <c r="A423" i="30"/>
  <c r="E423" i="30"/>
  <c r="G423" i="30"/>
  <c r="I423" i="30"/>
  <c r="A424" i="30"/>
  <c r="E424" i="30"/>
  <c r="G424" i="30"/>
  <c r="I424" i="30"/>
  <c r="K424" i="30"/>
  <c r="J424" i="30" s="1"/>
  <c r="A425" i="30"/>
  <c r="E425" i="30"/>
  <c r="G425" i="30"/>
  <c r="I425" i="30"/>
  <c r="K425" i="30"/>
  <c r="J425" i="30" s="1"/>
  <c r="A426" i="30"/>
  <c r="K426" i="30" s="1"/>
  <c r="J426" i="30" s="1"/>
  <c r="L426" i="30" s="1"/>
  <c r="E426" i="30"/>
  <c r="G426" i="30"/>
  <c r="A427" i="30"/>
  <c r="K427" i="30" s="1"/>
  <c r="J427" i="30" s="1"/>
  <c r="E427" i="30"/>
  <c r="G427" i="30"/>
  <c r="I427" i="30"/>
  <c r="A428" i="30"/>
  <c r="A429" i="30"/>
  <c r="K429" i="30" s="1"/>
  <c r="J429" i="30" s="1"/>
  <c r="E429" i="30"/>
  <c r="G429" i="30"/>
  <c r="I429" i="30"/>
  <c r="A430" i="30"/>
  <c r="E430" i="30"/>
  <c r="G430" i="30"/>
  <c r="I430" i="30"/>
  <c r="K430" i="30"/>
  <c r="J430" i="30" s="1"/>
  <c r="A431" i="30"/>
  <c r="E431" i="30"/>
  <c r="G431" i="30"/>
  <c r="I431" i="30"/>
  <c r="K431" i="30"/>
  <c r="J431" i="30" s="1"/>
  <c r="A432" i="30"/>
  <c r="E432" i="30"/>
  <c r="G432" i="30"/>
  <c r="I432" i="30"/>
  <c r="K432" i="30"/>
  <c r="J432" i="30" s="1"/>
  <c r="A433" i="30"/>
  <c r="K433" i="30" s="1"/>
  <c r="J433" i="30" s="1"/>
  <c r="E433" i="30"/>
  <c r="G433" i="30"/>
  <c r="I433" i="30"/>
  <c r="A434" i="30"/>
  <c r="A435" i="30"/>
  <c r="E435" i="30"/>
  <c r="G435" i="30"/>
  <c r="I435" i="30"/>
  <c r="K435" i="30"/>
  <c r="J435" i="30" s="1"/>
  <c r="A436" i="30"/>
  <c r="K436" i="30" s="1"/>
  <c r="J436" i="30" s="1"/>
  <c r="E436" i="30"/>
  <c r="G436" i="30"/>
  <c r="I436" i="30"/>
  <c r="A437" i="30"/>
  <c r="E437" i="30"/>
  <c r="G437" i="30"/>
  <c r="I437" i="30"/>
  <c r="K437" i="30"/>
  <c r="J437" i="30" s="1"/>
  <c r="A438" i="30"/>
  <c r="E438" i="30"/>
  <c r="G438" i="30"/>
  <c r="I438" i="30"/>
  <c r="K438" i="30"/>
  <c r="J438" i="30" s="1"/>
  <c r="A439" i="30"/>
  <c r="E439" i="30"/>
  <c r="G439" i="30"/>
  <c r="I439" i="30"/>
  <c r="K439" i="30"/>
  <c r="J439" i="30" s="1"/>
  <c r="A440" i="30"/>
  <c r="A441" i="30"/>
  <c r="E441" i="30"/>
  <c r="G441" i="30"/>
  <c r="I441" i="30"/>
  <c r="K441" i="30"/>
  <c r="J441" i="30" s="1"/>
  <c r="A442" i="30"/>
  <c r="E442" i="30"/>
  <c r="G442" i="30"/>
  <c r="I442" i="30"/>
  <c r="K442" i="30"/>
  <c r="J442" i="30" s="1"/>
  <c r="A443" i="30"/>
  <c r="K443" i="30" s="1"/>
  <c r="J443" i="30" s="1"/>
  <c r="E443" i="30"/>
  <c r="G443" i="30"/>
  <c r="I443" i="30"/>
  <c r="A444" i="30"/>
  <c r="E444" i="30"/>
  <c r="G444" i="30"/>
  <c r="I444" i="30"/>
  <c r="K444" i="30"/>
  <c r="J444" i="30" s="1"/>
  <c r="A445" i="30"/>
  <c r="E445" i="30"/>
  <c r="G445" i="30"/>
  <c r="I445" i="30"/>
  <c r="K445" i="30"/>
  <c r="J445" i="30" s="1"/>
  <c r="A446" i="30"/>
  <c r="A447" i="30"/>
  <c r="E447" i="30"/>
  <c r="G447" i="30"/>
  <c r="I447" i="30"/>
  <c r="K447" i="30"/>
  <c r="J447" i="30" s="1"/>
  <c r="A448" i="30"/>
  <c r="A449" i="30"/>
  <c r="K449" i="30" s="1"/>
  <c r="J449" i="30" s="1"/>
  <c r="E449" i="30"/>
  <c r="G449" i="30"/>
  <c r="I449" i="30"/>
  <c r="A450" i="30"/>
  <c r="E450" i="30"/>
  <c r="G450" i="30"/>
  <c r="I450" i="30"/>
  <c r="K450" i="30"/>
  <c r="J450" i="30" s="1"/>
  <c r="A451" i="30"/>
  <c r="E451" i="30"/>
  <c r="G451" i="30"/>
  <c r="I451" i="30"/>
  <c r="K451" i="30"/>
  <c r="J451" i="30" s="1"/>
  <c r="A452" i="30"/>
  <c r="E452" i="30"/>
  <c r="G452" i="30"/>
  <c r="I452" i="30"/>
  <c r="K452" i="30"/>
  <c r="J452" i="30" s="1"/>
  <c r="A453" i="30"/>
  <c r="K453" i="30" s="1"/>
  <c r="J453" i="30" s="1"/>
  <c r="E453" i="30"/>
  <c r="G453" i="30"/>
  <c r="I453" i="30"/>
  <c r="A454" i="30"/>
  <c r="E454" i="30"/>
  <c r="G454" i="30"/>
  <c r="I454" i="30"/>
  <c r="K454" i="30"/>
  <c r="J454" i="30" s="1"/>
  <c r="A455" i="30"/>
  <c r="A456" i="30"/>
  <c r="K456" i="30" s="1"/>
  <c r="J456" i="30" s="1"/>
  <c r="E456" i="30"/>
  <c r="G456" i="30"/>
  <c r="I456" i="30"/>
  <c r="A457" i="30"/>
  <c r="E457" i="30"/>
  <c r="G457" i="30"/>
  <c r="I457" i="30"/>
  <c r="K457" i="30"/>
  <c r="J457" i="30" s="1"/>
  <c r="A458" i="30"/>
  <c r="E458" i="30"/>
  <c r="G458" i="30"/>
  <c r="I458" i="30"/>
  <c r="K458" i="30"/>
  <c r="J458" i="30" s="1"/>
  <c r="A459" i="30"/>
  <c r="A460" i="30"/>
  <c r="K460" i="30" s="1"/>
  <c r="J460" i="30" s="1"/>
  <c r="E460" i="30"/>
  <c r="G460" i="30"/>
  <c r="I460" i="30"/>
  <c r="A461" i="30"/>
  <c r="E461" i="30"/>
  <c r="G461" i="30"/>
  <c r="I461" i="30"/>
  <c r="K461" i="30"/>
  <c r="J461" i="30" s="1"/>
  <c r="A462" i="30"/>
  <c r="A463" i="30"/>
  <c r="K463" i="30" s="1"/>
  <c r="O463" i="30"/>
  <c r="R463" i="30"/>
  <c r="A464" i="30"/>
  <c r="K464" i="30" s="1"/>
  <c r="J464" i="30" s="1"/>
  <c r="R464" i="30" s="1"/>
  <c r="E464" i="30"/>
  <c r="G464" i="30"/>
  <c r="I464" i="30"/>
  <c r="A465" i="30"/>
  <c r="E465" i="30"/>
  <c r="G465" i="30"/>
  <c r="I465" i="30"/>
  <c r="K465" i="30"/>
  <c r="J465" i="30" s="1"/>
  <c r="A466" i="30"/>
  <c r="K466" i="30" s="1"/>
  <c r="E466" i="30"/>
  <c r="G466" i="30"/>
  <c r="I466" i="30"/>
  <c r="A467" i="30"/>
  <c r="E467" i="30"/>
  <c r="G467" i="30"/>
  <c r="I467" i="30"/>
  <c r="K467" i="30"/>
  <c r="J467" i="30" s="1"/>
  <c r="A468" i="30"/>
  <c r="E468" i="30"/>
  <c r="G468" i="30"/>
  <c r="I468" i="30"/>
  <c r="K468" i="30"/>
  <c r="J468" i="30" s="1"/>
  <c r="A469" i="30"/>
  <c r="K469" i="30" s="1"/>
  <c r="A470" i="30"/>
  <c r="E470" i="30"/>
  <c r="G470" i="30"/>
  <c r="I470" i="30"/>
  <c r="K470" i="30"/>
  <c r="J470" i="30" s="1"/>
  <c r="A471" i="30"/>
  <c r="E471" i="30"/>
  <c r="G471" i="30"/>
  <c r="I471" i="30"/>
  <c r="K471" i="30"/>
  <c r="J471" i="30" s="1"/>
  <c r="A472" i="30"/>
  <c r="E472" i="30"/>
  <c r="G472" i="30"/>
  <c r="I472" i="30"/>
  <c r="K472" i="30"/>
  <c r="A473" i="30"/>
  <c r="E473" i="30"/>
  <c r="G473" i="30"/>
  <c r="I473" i="30"/>
  <c r="K473" i="30"/>
  <c r="A474" i="30"/>
  <c r="K474" i="30" s="1"/>
  <c r="E474" i="30"/>
  <c r="G474" i="30"/>
  <c r="I474" i="30"/>
  <c r="A475" i="30"/>
  <c r="K475" i="30" s="1"/>
  <c r="A476" i="30"/>
  <c r="K476" i="30" s="1"/>
  <c r="J476" i="30" s="1"/>
  <c r="R476" i="30" s="1"/>
  <c r="E476" i="30"/>
  <c r="G476" i="30"/>
  <c r="I476" i="30"/>
  <c r="O476" i="30" s="1"/>
  <c r="A477" i="30"/>
  <c r="E477" i="30"/>
  <c r="G477" i="30"/>
  <c r="I477" i="30"/>
  <c r="K477" i="30"/>
  <c r="J477" i="30" s="1"/>
  <c r="A478" i="30"/>
  <c r="K478" i="30" s="1"/>
  <c r="J478" i="30" s="1"/>
  <c r="L478" i="30" s="1"/>
  <c r="E478" i="30"/>
  <c r="G478" i="30"/>
  <c r="I478" i="30"/>
  <c r="O478" i="30" s="1"/>
  <c r="A479" i="30"/>
  <c r="K479" i="30" s="1"/>
  <c r="J479" i="30" s="1"/>
  <c r="R479" i="30" s="1"/>
  <c r="E479" i="30"/>
  <c r="G479" i="30"/>
  <c r="I479" i="30"/>
  <c r="O479" i="30" s="1"/>
  <c r="A480" i="30"/>
  <c r="K480" i="30" s="1"/>
  <c r="J480" i="30" s="1"/>
  <c r="R480" i="30" s="1"/>
  <c r="E480" i="30"/>
  <c r="G480" i="30"/>
  <c r="I480" i="30"/>
  <c r="O480" i="30" s="1"/>
  <c r="A481" i="30"/>
  <c r="K481" i="30" s="1"/>
  <c r="A482" i="30"/>
  <c r="K482" i="30" s="1"/>
  <c r="J482" i="30" s="1"/>
  <c r="E482" i="30"/>
  <c r="G482" i="30"/>
  <c r="I482" i="30"/>
  <c r="O482" i="30" s="1"/>
  <c r="A483" i="30"/>
  <c r="E483" i="30"/>
  <c r="G483" i="30"/>
  <c r="I483" i="30"/>
  <c r="K483" i="30"/>
  <c r="J483" i="30" s="1"/>
  <c r="A484" i="30"/>
  <c r="K484" i="30" s="1"/>
  <c r="J484" i="30" s="1"/>
  <c r="R484" i="30" s="1"/>
  <c r="E484" i="30"/>
  <c r="G484" i="30"/>
  <c r="I484" i="30"/>
  <c r="O484" i="30" s="1"/>
  <c r="A485" i="30"/>
  <c r="K485" i="30" s="1"/>
  <c r="J485" i="30" s="1"/>
  <c r="R485" i="30" s="1"/>
  <c r="E485" i="30"/>
  <c r="G485" i="30"/>
  <c r="I485" i="30"/>
  <c r="O485" i="30" s="1"/>
  <c r="A486" i="30"/>
  <c r="K486" i="30" s="1"/>
  <c r="J486" i="30" s="1"/>
  <c r="E486" i="30"/>
  <c r="G486" i="30"/>
  <c r="I486" i="30"/>
  <c r="O486" i="30" s="1"/>
  <c r="A487" i="30"/>
  <c r="K487" i="30" s="1"/>
  <c r="A488" i="30"/>
  <c r="K488" i="30" s="1"/>
  <c r="J488" i="30" s="1"/>
  <c r="R488" i="30" s="1"/>
  <c r="E488" i="30"/>
  <c r="G488" i="30"/>
  <c r="I488" i="30"/>
  <c r="O488" i="30" s="1"/>
  <c r="A489" i="30"/>
  <c r="E489" i="30"/>
  <c r="G489" i="30"/>
  <c r="I489" i="30"/>
  <c r="K489" i="30"/>
  <c r="J489" i="30" s="1"/>
  <c r="A490" i="30"/>
  <c r="K490" i="30" s="1"/>
  <c r="J490" i="30" s="1"/>
  <c r="R490" i="30" s="1"/>
  <c r="E490" i="30"/>
  <c r="G490" i="30"/>
  <c r="I490" i="30"/>
  <c r="A491" i="30"/>
  <c r="E491" i="30"/>
  <c r="G491" i="30"/>
  <c r="I491" i="30"/>
  <c r="K491" i="30"/>
  <c r="J491" i="30" s="1"/>
  <c r="R491" i="30" s="1"/>
  <c r="A492" i="30"/>
  <c r="K492" i="30" s="1"/>
  <c r="J492" i="30" s="1"/>
  <c r="E492" i="30"/>
  <c r="G492" i="30"/>
  <c r="I492" i="30"/>
  <c r="O492" i="30" s="1"/>
  <c r="A493" i="30"/>
  <c r="K493" i="30" s="1"/>
  <c r="A494" i="30"/>
  <c r="E494" i="30"/>
  <c r="G494" i="30"/>
  <c r="I494" i="30"/>
  <c r="O494" i="30" s="1"/>
  <c r="A495" i="30"/>
  <c r="K495" i="30" s="1"/>
  <c r="J495" i="30" s="1"/>
  <c r="E495" i="30"/>
  <c r="G495" i="30"/>
  <c r="I495" i="30"/>
  <c r="A496" i="30"/>
  <c r="K496" i="30" s="1"/>
  <c r="J496" i="30" s="1"/>
  <c r="E496" i="30"/>
  <c r="G496" i="30"/>
  <c r="I496" i="30"/>
  <c r="O496" i="30" s="1"/>
  <c r="A497" i="30"/>
  <c r="K497" i="30" s="1"/>
  <c r="J497" i="30" s="1"/>
  <c r="E497" i="30"/>
  <c r="G497" i="30"/>
  <c r="I497" i="30"/>
  <c r="O497" i="30" s="1"/>
  <c r="A498" i="30"/>
  <c r="K498" i="30" s="1"/>
  <c r="J498" i="30" s="1"/>
  <c r="E498" i="30"/>
  <c r="G498" i="30"/>
  <c r="I498" i="30"/>
  <c r="O498" i="30" s="1"/>
  <c r="A499" i="30"/>
  <c r="K499" i="30" s="1"/>
  <c r="A500" i="30"/>
  <c r="K500" i="30" s="1"/>
  <c r="J500" i="30" s="1"/>
  <c r="E500" i="30"/>
  <c r="G500" i="30"/>
  <c r="I500" i="30"/>
  <c r="O500" i="30" s="1"/>
  <c r="A501" i="30"/>
  <c r="E501" i="30"/>
  <c r="G501" i="30"/>
  <c r="I501" i="30"/>
  <c r="K501" i="30"/>
  <c r="J501" i="30" s="1"/>
  <c r="A502" i="30"/>
  <c r="K502" i="30" s="1"/>
  <c r="J502" i="30" s="1"/>
  <c r="R502" i="30" s="1"/>
  <c r="E502" i="30"/>
  <c r="G502" i="30"/>
  <c r="I502" i="30"/>
  <c r="O502" i="30" s="1"/>
  <c r="A503" i="30"/>
  <c r="E503" i="30"/>
  <c r="G503" i="30"/>
  <c r="I503" i="30"/>
  <c r="O503" i="30" s="1"/>
  <c r="K503" i="30"/>
  <c r="J503" i="30" s="1"/>
  <c r="A504" i="30"/>
  <c r="K504" i="30" s="1"/>
  <c r="J504" i="30" s="1"/>
  <c r="E504" i="30"/>
  <c r="G504" i="30"/>
  <c r="I504" i="30"/>
  <c r="O504" i="30" s="1"/>
  <c r="A505" i="30"/>
  <c r="K505" i="30" s="1"/>
  <c r="A506" i="30"/>
  <c r="K506" i="30" s="1"/>
  <c r="J506" i="30" s="1"/>
  <c r="R506" i="30" s="1"/>
  <c r="E506" i="30"/>
  <c r="G506" i="30"/>
  <c r="I506" i="30"/>
  <c r="O506" i="30" s="1"/>
  <c r="A507" i="30"/>
  <c r="E507" i="30"/>
  <c r="G507" i="30"/>
  <c r="I507" i="30"/>
  <c r="K507" i="30"/>
  <c r="J507" i="30" s="1"/>
  <c r="A508" i="30"/>
  <c r="K508" i="30" s="1"/>
  <c r="J508" i="30" s="1"/>
  <c r="R508" i="30" s="1"/>
  <c r="E508" i="30"/>
  <c r="G508" i="30"/>
  <c r="I508" i="30"/>
  <c r="O508" i="30" s="1"/>
  <c r="A509" i="30"/>
  <c r="K509" i="30" s="1"/>
  <c r="J509" i="30" s="1"/>
  <c r="E509" i="30"/>
  <c r="G509" i="30"/>
  <c r="I509" i="30"/>
  <c r="O509" i="30" s="1"/>
  <c r="A510" i="30"/>
  <c r="K510" i="30" s="1"/>
  <c r="J510" i="30" s="1"/>
  <c r="R510" i="30" s="1"/>
  <c r="E510" i="30"/>
  <c r="G510" i="30"/>
  <c r="I510" i="30"/>
  <c r="O510" i="30" s="1"/>
  <c r="A511" i="30"/>
  <c r="K511" i="30" s="1"/>
  <c r="O511" i="30"/>
  <c r="R511" i="30"/>
  <c r="A512" i="30"/>
  <c r="K512" i="30" s="1"/>
  <c r="J512" i="30" s="1"/>
  <c r="R512" i="30" s="1"/>
  <c r="E512" i="30"/>
  <c r="G512" i="30"/>
  <c r="I512" i="30"/>
  <c r="O512" i="30" s="1"/>
  <c r="A513" i="30"/>
  <c r="K513" i="30" s="1"/>
  <c r="J513" i="30" s="1"/>
  <c r="E513" i="30"/>
  <c r="G513" i="30"/>
  <c r="I513" i="30"/>
  <c r="A514" i="30"/>
  <c r="K514" i="30" s="1"/>
  <c r="J514" i="30" s="1"/>
  <c r="E514" i="30"/>
  <c r="G514" i="30"/>
  <c r="I514" i="30"/>
  <c r="A515" i="30"/>
  <c r="K515" i="30" s="1"/>
  <c r="O515" i="30"/>
  <c r="R515" i="30"/>
  <c r="A516" i="30"/>
  <c r="K516" i="30" s="1"/>
  <c r="J516" i="30" s="1"/>
  <c r="E516" i="30"/>
  <c r="G516" i="30"/>
  <c r="I516" i="30"/>
  <c r="O516" i="30" s="1"/>
  <c r="A517" i="30"/>
  <c r="K517" i="30" s="1"/>
  <c r="J517" i="30" s="1"/>
  <c r="L517" i="30" s="1"/>
  <c r="G517" i="30"/>
  <c r="A518" i="30"/>
  <c r="K518" i="30" s="1"/>
  <c r="O518" i="30"/>
  <c r="R518" i="30"/>
  <c r="A519" i="30"/>
  <c r="K519" i="30" s="1"/>
  <c r="J519" i="30" s="1"/>
  <c r="R519" i="30" s="1"/>
  <c r="E519" i="30"/>
  <c r="G519" i="30"/>
  <c r="I519" i="30"/>
  <c r="O519" i="30" s="1"/>
  <c r="A520" i="30"/>
  <c r="K520" i="30" s="1"/>
  <c r="J520" i="30" s="1"/>
  <c r="E520" i="30"/>
  <c r="G520" i="30"/>
  <c r="I520" i="30"/>
  <c r="A521" i="30"/>
  <c r="K521" i="30" s="1"/>
  <c r="O521" i="30"/>
  <c r="R521" i="30"/>
  <c r="A522" i="30"/>
  <c r="K522" i="30" s="1"/>
  <c r="J522" i="30" s="1"/>
  <c r="L522" i="30" s="1"/>
  <c r="E522" i="30"/>
  <c r="G522" i="30"/>
  <c r="A523" i="30"/>
  <c r="K523" i="30" s="1"/>
  <c r="J523" i="30" s="1"/>
  <c r="L523" i="30" s="1"/>
  <c r="E523" i="30"/>
  <c r="G523" i="30"/>
  <c r="A524" i="30"/>
  <c r="K524" i="30" s="1"/>
  <c r="J524" i="30" s="1"/>
  <c r="L524" i="30" s="1"/>
  <c r="E524" i="30"/>
  <c r="G524" i="30"/>
  <c r="A525" i="30"/>
  <c r="K525" i="30" s="1"/>
  <c r="J525" i="30" s="1"/>
  <c r="L525" i="30" s="1"/>
  <c r="E525" i="30"/>
  <c r="G525" i="30"/>
  <c r="A526" i="30"/>
  <c r="K526" i="30" s="1"/>
  <c r="J526" i="30" s="1"/>
  <c r="L526" i="30" s="1"/>
  <c r="E526" i="30"/>
  <c r="G526" i="30"/>
  <c r="A527" i="30"/>
  <c r="K527" i="30" s="1"/>
  <c r="J527" i="30" s="1"/>
  <c r="L527" i="30" s="1"/>
  <c r="E527" i="30"/>
  <c r="G527" i="30"/>
  <c r="A528" i="30"/>
  <c r="K528" i="30" s="1"/>
  <c r="O528" i="30"/>
  <c r="R528" i="30"/>
  <c r="A529" i="30"/>
  <c r="K529" i="30" s="1"/>
  <c r="J529" i="30" s="1"/>
  <c r="E529" i="30"/>
  <c r="G529" i="30"/>
  <c r="I529" i="30"/>
  <c r="O529" i="30" s="1"/>
  <c r="A530" i="30"/>
  <c r="K530" i="30" s="1"/>
  <c r="J530" i="30" s="1"/>
  <c r="E530" i="30"/>
  <c r="G530" i="30"/>
  <c r="I530" i="30"/>
  <c r="A531" i="30"/>
  <c r="E531" i="30"/>
  <c r="G531" i="30"/>
  <c r="I531" i="30"/>
  <c r="K531" i="30"/>
  <c r="J531" i="30" s="1"/>
  <c r="A532" i="30"/>
  <c r="E532" i="30"/>
  <c r="G532" i="30"/>
  <c r="I532" i="30"/>
  <c r="K532" i="30"/>
  <c r="J532" i="30" s="1"/>
  <c r="A533" i="30"/>
  <c r="E533" i="30"/>
  <c r="G533" i="30"/>
  <c r="I533" i="30"/>
  <c r="K533" i="30"/>
  <c r="J533" i="30" s="1"/>
  <c r="A534" i="30"/>
  <c r="K534" i="30" s="1"/>
  <c r="O534" i="30"/>
  <c r="R534" i="30"/>
  <c r="A535" i="30"/>
  <c r="K535" i="30" s="1"/>
  <c r="J535" i="30" s="1"/>
  <c r="R535" i="30" s="1"/>
  <c r="E535" i="30"/>
  <c r="G535" i="30"/>
  <c r="I535" i="30"/>
  <c r="O535" i="30" s="1"/>
  <c r="A536" i="30"/>
  <c r="K536" i="30" s="1"/>
  <c r="J536" i="30" s="1"/>
  <c r="L536" i="30" s="1"/>
  <c r="E536" i="30"/>
  <c r="G536" i="30"/>
  <c r="A537" i="30"/>
  <c r="K537" i="30" s="1"/>
  <c r="J537" i="30" s="1"/>
  <c r="L537" i="30" s="1"/>
  <c r="E537" i="30"/>
  <c r="G537" i="30"/>
  <c r="A538" i="30"/>
  <c r="K538" i="30" s="1"/>
  <c r="J538" i="30" s="1"/>
  <c r="L538" i="30" s="1"/>
  <c r="E538" i="30"/>
  <c r="G538" i="30"/>
  <c r="A539" i="30"/>
  <c r="E539" i="30"/>
  <c r="G539" i="30"/>
  <c r="I539" i="30"/>
  <c r="K539" i="30"/>
  <c r="J539" i="30" s="1"/>
  <c r="A540" i="30"/>
  <c r="K540" i="30" s="1"/>
  <c r="J540" i="30" s="1"/>
  <c r="E540" i="30"/>
  <c r="G540" i="30"/>
  <c r="I540" i="30"/>
  <c r="A541" i="30"/>
  <c r="E541" i="30"/>
  <c r="G541" i="30"/>
  <c r="I541" i="30"/>
  <c r="K541" i="30"/>
  <c r="J541" i="30" s="1"/>
  <c r="A542" i="30"/>
  <c r="K542" i="30" s="1"/>
  <c r="O542" i="30"/>
  <c r="R542" i="30"/>
  <c r="A543" i="30"/>
  <c r="K543" i="30" s="1"/>
  <c r="J543" i="30" s="1"/>
  <c r="E543" i="30"/>
  <c r="G543" i="30"/>
  <c r="I543" i="30"/>
  <c r="O543" i="30" s="1"/>
  <c r="A544" i="30"/>
  <c r="K544" i="30" s="1"/>
  <c r="J544" i="30" s="1"/>
  <c r="E544" i="30"/>
  <c r="G544" i="30"/>
  <c r="I544" i="30"/>
  <c r="A545" i="30"/>
  <c r="E545" i="30"/>
  <c r="G545" i="30"/>
  <c r="I545" i="30"/>
  <c r="K545" i="30"/>
  <c r="J545" i="30" s="1"/>
  <c r="A546" i="30"/>
  <c r="E546" i="30"/>
  <c r="G546" i="30"/>
  <c r="I546" i="30"/>
  <c r="K546" i="30"/>
  <c r="J546" i="30" s="1"/>
  <c r="A547" i="30"/>
  <c r="K547" i="30" s="1"/>
  <c r="J547" i="30" s="1"/>
  <c r="L547" i="30" s="1"/>
  <c r="E547" i="30"/>
  <c r="G547" i="30"/>
  <c r="A548" i="30"/>
  <c r="E548" i="30"/>
  <c r="G548" i="30"/>
  <c r="I548" i="30"/>
  <c r="K548" i="30"/>
  <c r="J548" i="30" s="1"/>
  <c r="A549" i="30"/>
  <c r="K549" i="30" s="1"/>
  <c r="O549" i="30"/>
  <c r="R549" i="30"/>
  <c r="A550" i="30"/>
  <c r="E550" i="30"/>
  <c r="G550" i="30"/>
  <c r="I550" i="30"/>
  <c r="O550" i="30" s="1"/>
  <c r="K550" i="30"/>
  <c r="J550" i="30" s="1"/>
  <c r="A551" i="30"/>
  <c r="K551" i="30" s="1"/>
  <c r="J551" i="30" s="1"/>
  <c r="E551" i="30"/>
  <c r="G551" i="30"/>
  <c r="I551" i="30"/>
  <c r="A552" i="30"/>
  <c r="K552" i="30" s="1"/>
  <c r="J552" i="30" s="1"/>
  <c r="L552" i="30" s="1"/>
  <c r="E552" i="30"/>
  <c r="G552" i="30"/>
  <c r="A553" i="30"/>
  <c r="K553" i="30" s="1"/>
  <c r="J553" i="30" s="1"/>
  <c r="E553" i="30"/>
  <c r="G553" i="30"/>
  <c r="I553" i="30"/>
  <c r="A554" i="30"/>
  <c r="K554" i="30" s="1"/>
  <c r="J554" i="30" s="1"/>
  <c r="L554" i="30" s="1"/>
  <c r="E554" i="30"/>
  <c r="G554" i="30"/>
  <c r="A555" i="30"/>
  <c r="E555" i="30"/>
  <c r="G555" i="30"/>
  <c r="I555" i="30"/>
  <c r="K555" i="30"/>
  <c r="J555" i="30" s="1"/>
  <c r="A556" i="30"/>
  <c r="K556" i="30" s="1"/>
  <c r="O556" i="30"/>
  <c r="R556" i="30"/>
  <c r="A557" i="30"/>
  <c r="K557" i="30" s="1"/>
  <c r="J557" i="30" s="1"/>
  <c r="E557" i="30"/>
  <c r="G557" i="30"/>
  <c r="I557" i="30"/>
  <c r="O557" i="30" s="1"/>
  <c r="A558" i="30"/>
  <c r="E558" i="30"/>
  <c r="G558" i="30"/>
  <c r="I558" i="30"/>
  <c r="K558" i="30"/>
  <c r="J558" i="30" s="1"/>
  <c r="A559" i="30"/>
  <c r="E559" i="30"/>
  <c r="G559" i="30"/>
  <c r="I559" i="30"/>
  <c r="O559" i="30" s="1"/>
  <c r="K559" i="30"/>
  <c r="J559" i="30" s="1"/>
  <c r="A560" i="30"/>
  <c r="K560" i="30" s="1"/>
  <c r="O560" i="30"/>
  <c r="R560" i="30"/>
  <c r="A561" i="30"/>
  <c r="K561" i="30" s="1"/>
  <c r="J561" i="30" s="1"/>
  <c r="R561" i="30" s="1"/>
  <c r="E561" i="30"/>
  <c r="G561" i="30"/>
  <c r="I561" i="30"/>
  <c r="O561" i="30" s="1"/>
  <c r="A562" i="30"/>
  <c r="K562" i="30" s="1"/>
  <c r="J562" i="30" s="1"/>
  <c r="E562" i="30"/>
  <c r="G562" i="30"/>
  <c r="I562" i="30"/>
  <c r="A563" i="30"/>
  <c r="K563" i="30" s="1"/>
  <c r="J563" i="30" s="1"/>
  <c r="E563" i="30"/>
  <c r="G563" i="30"/>
  <c r="I563" i="30"/>
  <c r="O563" i="30" s="1"/>
  <c r="A564" i="30"/>
  <c r="K564" i="30" s="1"/>
  <c r="O564" i="30"/>
  <c r="R564" i="30"/>
  <c r="A565" i="30"/>
  <c r="K565" i="30" s="1"/>
  <c r="J565" i="30" s="1"/>
  <c r="E565" i="30"/>
  <c r="G565" i="30"/>
  <c r="I565" i="30"/>
  <c r="O565" i="30" s="1"/>
  <c r="A566" i="30"/>
  <c r="E566" i="30"/>
  <c r="G566" i="30"/>
  <c r="I566" i="30"/>
  <c r="K566" i="30"/>
  <c r="J566" i="30" s="1"/>
  <c r="A567" i="30"/>
  <c r="E567" i="30"/>
  <c r="G567" i="30"/>
  <c r="I567" i="30"/>
  <c r="O567" i="30" s="1"/>
  <c r="K567" i="30"/>
  <c r="J567" i="30" s="1"/>
  <c r="A568" i="30"/>
  <c r="K568" i="30" s="1"/>
  <c r="J568" i="30" s="1"/>
  <c r="R568" i="30" s="1"/>
  <c r="E568" i="30"/>
  <c r="G568" i="30"/>
  <c r="I568" i="30"/>
  <c r="O568" i="30" s="1"/>
  <c r="A569" i="30"/>
  <c r="K569" i="30" s="1"/>
  <c r="J569" i="30" s="1"/>
  <c r="R569" i="30" s="1"/>
  <c r="E569" i="30"/>
  <c r="G569" i="30"/>
  <c r="I569" i="30"/>
  <c r="O569" i="30" s="1"/>
  <c r="A570" i="30"/>
  <c r="K570" i="30" s="1"/>
  <c r="O570" i="30"/>
  <c r="R570" i="30"/>
  <c r="A571" i="30"/>
  <c r="K571" i="30" s="1"/>
  <c r="J571" i="30" s="1"/>
  <c r="E571" i="30"/>
  <c r="G571" i="30"/>
  <c r="I571" i="30"/>
  <c r="O571" i="30" s="1"/>
  <c r="A572" i="30"/>
  <c r="E572" i="30"/>
  <c r="G572" i="30"/>
  <c r="I572" i="30"/>
  <c r="K572" i="30"/>
  <c r="J572" i="30" s="1"/>
  <c r="A573" i="30"/>
  <c r="K573" i="30" s="1"/>
  <c r="J573" i="30" s="1"/>
  <c r="R573" i="30" s="1"/>
  <c r="E573" i="30"/>
  <c r="G573" i="30"/>
  <c r="I573" i="30"/>
  <c r="O573" i="30" s="1"/>
  <c r="A574" i="30"/>
  <c r="K574" i="30" s="1"/>
  <c r="J574" i="30" s="1"/>
  <c r="R574" i="30" s="1"/>
  <c r="E574" i="30"/>
  <c r="G574" i="30"/>
  <c r="O574" i="30"/>
  <c r="A575" i="30"/>
  <c r="K575" i="30" s="1"/>
  <c r="J575" i="30" s="1"/>
  <c r="E575" i="30"/>
  <c r="G575" i="30"/>
  <c r="I575" i="30"/>
  <c r="O575" i="30" s="1"/>
  <c r="A576" i="30"/>
  <c r="K576" i="30" s="1"/>
  <c r="O576" i="30"/>
  <c r="R576" i="30"/>
  <c r="A577" i="30"/>
  <c r="K577" i="30" s="1"/>
  <c r="J577" i="30" s="1"/>
  <c r="R577" i="30" s="1"/>
  <c r="E577" i="30"/>
  <c r="G577" i="30"/>
  <c r="I577" i="30"/>
  <c r="O577" i="30" s="1"/>
  <c r="A578" i="30"/>
  <c r="K578" i="30" s="1"/>
  <c r="J578" i="30" s="1"/>
  <c r="E578" i="30"/>
  <c r="G578" i="30"/>
  <c r="I578" i="30"/>
  <c r="A579" i="30"/>
  <c r="K579" i="30" s="1"/>
  <c r="J579" i="30" s="1"/>
  <c r="E579" i="30"/>
  <c r="G579" i="30"/>
  <c r="I579" i="30"/>
  <c r="A580" i="30"/>
  <c r="K580" i="30" s="1"/>
  <c r="J580" i="30" s="1"/>
  <c r="E580" i="30"/>
  <c r="G580" i="30"/>
  <c r="I580" i="30"/>
  <c r="O580" i="30" s="1"/>
  <c r="A581" i="30"/>
  <c r="K581" i="30" s="1"/>
  <c r="J581" i="30" s="1"/>
  <c r="L581" i="30" s="1"/>
  <c r="E581" i="30"/>
  <c r="G581" i="30"/>
  <c r="A582" i="30"/>
  <c r="A583" i="30"/>
  <c r="K583" i="30" s="1"/>
  <c r="J583" i="30" s="1"/>
  <c r="E583" i="30"/>
  <c r="G583" i="30"/>
  <c r="I583" i="30"/>
  <c r="A584" i="30"/>
  <c r="K584" i="30" s="1"/>
  <c r="J584" i="30" s="1"/>
  <c r="E584" i="30"/>
  <c r="G584" i="30"/>
  <c r="I584" i="30"/>
  <c r="A585" i="30"/>
  <c r="A586" i="30"/>
  <c r="K586" i="30" s="1"/>
  <c r="J586" i="30" s="1"/>
  <c r="E586" i="30"/>
  <c r="G586" i="30"/>
  <c r="I586" i="30"/>
  <c r="A587" i="30"/>
  <c r="K587" i="30" s="1"/>
  <c r="J587" i="30" s="1"/>
  <c r="E587" i="30"/>
  <c r="G587" i="30"/>
  <c r="I587" i="30"/>
  <c r="A588" i="30"/>
  <c r="A589" i="30"/>
  <c r="K589" i="30" s="1"/>
  <c r="O589" i="30"/>
  <c r="R589" i="30"/>
  <c r="A590" i="30"/>
  <c r="E590" i="30"/>
  <c r="G590" i="30"/>
  <c r="I590" i="30"/>
  <c r="K590" i="30"/>
  <c r="J590" i="30" s="1"/>
  <c r="R590" i="30" s="1"/>
  <c r="A591" i="30"/>
  <c r="E591" i="30"/>
  <c r="G591" i="30"/>
  <c r="I591" i="30"/>
  <c r="K591" i="30"/>
  <c r="J591" i="30" s="1"/>
  <c r="A592" i="30"/>
  <c r="A593" i="30"/>
  <c r="K593" i="30" s="1"/>
  <c r="H593" i="30"/>
  <c r="O593" i="30"/>
  <c r="R593" i="30"/>
  <c r="A594" i="30"/>
  <c r="K594" i="30" s="1"/>
  <c r="J594" i="30" s="1"/>
  <c r="R594" i="30" s="1"/>
  <c r="E594" i="30"/>
  <c r="G594" i="30"/>
  <c r="O594" i="30"/>
  <c r="A595" i="30"/>
  <c r="K595" i="30" s="1"/>
  <c r="J595" i="30" s="1"/>
  <c r="L595" i="30" s="1"/>
  <c r="E595" i="30"/>
  <c r="G595" i="30"/>
  <c r="A596" i="30"/>
  <c r="O596" i="30"/>
  <c r="R596" i="30"/>
  <c r="A597" i="30"/>
  <c r="K597" i="30" s="1"/>
  <c r="J597" i="30" s="1"/>
  <c r="R597" i="30" s="1"/>
  <c r="O597" i="30"/>
  <c r="A598" i="30"/>
  <c r="K598" i="30" s="1"/>
  <c r="O598" i="30"/>
  <c r="R598" i="30"/>
  <c r="A599" i="30"/>
  <c r="K599" i="30" s="1"/>
  <c r="O599" i="30"/>
  <c r="R599" i="30"/>
  <c r="A600" i="30"/>
  <c r="E600" i="30"/>
  <c r="G600" i="30"/>
  <c r="A601" i="30"/>
  <c r="K601" i="30" s="1"/>
  <c r="J601" i="30" s="1"/>
  <c r="L601" i="30" s="1"/>
  <c r="E601" i="30"/>
  <c r="G601" i="30"/>
  <c r="A602" i="30"/>
  <c r="K602" i="30" s="1"/>
  <c r="J602" i="30" s="1"/>
  <c r="L602" i="30" s="1"/>
  <c r="E602" i="30"/>
  <c r="G602" i="30"/>
  <c r="A603" i="30"/>
  <c r="K603" i="30" s="1"/>
  <c r="J603" i="30" s="1"/>
  <c r="L603" i="30" s="1"/>
  <c r="E603" i="30"/>
  <c r="G603" i="30"/>
  <c r="A604" i="30"/>
  <c r="K604" i="30" s="1"/>
  <c r="J604" i="30" s="1"/>
  <c r="L604" i="30" s="1"/>
  <c r="E604" i="30"/>
  <c r="G604" i="30"/>
  <c r="A605" i="30"/>
  <c r="K605" i="30" s="1"/>
  <c r="J605" i="30" s="1"/>
  <c r="L605" i="30" s="1"/>
  <c r="E605" i="30"/>
  <c r="G605" i="30"/>
  <c r="A606" i="30"/>
  <c r="K606" i="30" s="1"/>
  <c r="J606" i="30" s="1"/>
  <c r="L606" i="30" s="1"/>
  <c r="E606" i="30"/>
  <c r="G606" i="30"/>
  <c r="A607" i="30"/>
  <c r="K607" i="30" s="1"/>
  <c r="J607" i="30" s="1"/>
  <c r="L607" i="30" s="1"/>
  <c r="E607" i="30"/>
  <c r="G607" i="30"/>
  <c r="A608" i="30"/>
  <c r="K608" i="30" s="1"/>
  <c r="J608" i="30" s="1"/>
  <c r="L608" i="30" s="1"/>
  <c r="E608" i="30"/>
  <c r="G608" i="30"/>
  <c r="A609" i="30"/>
  <c r="K609" i="30" s="1"/>
  <c r="J609" i="30" s="1"/>
  <c r="E609" i="30"/>
  <c r="G609" i="30"/>
  <c r="O609" i="30"/>
  <c r="A610" i="30"/>
  <c r="A611" i="30"/>
  <c r="E611" i="30"/>
  <c r="G611" i="30"/>
  <c r="A612" i="30"/>
  <c r="K612" i="30" s="1"/>
  <c r="O612" i="30"/>
  <c r="R612" i="30"/>
  <c r="A613" i="30"/>
  <c r="K613" i="30" s="1"/>
  <c r="J613" i="30" s="1"/>
  <c r="E613" i="30"/>
  <c r="G613" i="30"/>
  <c r="O613" i="30"/>
  <c r="A614" i="30"/>
  <c r="K614" i="30" s="1"/>
  <c r="J614" i="30" s="1"/>
  <c r="L614" i="30" s="1"/>
  <c r="E614" i="30"/>
  <c r="G614" i="30"/>
  <c r="A615" i="30"/>
  <c r="K615" i="30" s="1"/>
  <c r="J615" i="30" s="1"/>
  <c r="L615" i="30" s="1"/>
  <c r="E615" i="30"/>
  <c r="G615" i="30"/>
  <c r="A616" i="30"/>
  <c r="K616" i="30" s="1"/>
  <c r="O616" i="30"/>
  <c r="R616" i="30"/>
  <c r="A617" i="30"/>
  <c r="K617" i="30" s="1"/>
  <c r="J617" i="30" s="1"/>
  <c r="L617" i="30" s="1"/>
  <c r="E617" i="30"/>
  <c r="G617" i="30"/>
  <c r="O617" i="30"/>
  <c r="A618" i="30"/>
  <c r="K618" i="30" s="1"/>
  <c r="J618" i="30" s="1"/>
  <c r="L618" i="30" s="1"/>
  <c r="E618" i="30"/>
  <c r="G618" i="30"/>
  <c r="A619" i="30"/>
  <c r="K619" i="30" s="1"/>
  <c r="J619" i="30" s="1"/>
  <c r="L619" i="30" s="1"/>
  <c r="E619" i="30"/>
  <c r="G619" i="30"/>
  <c r="A620" i="30"/>
  <c r="A621" i="30"/>
  <c r="K621" i="30" s="1"/>
  <c r="J621" i="30" s="1"/>
  <c r="L621" i="30" s="1"/>
  <c r="L620" i="30" s="1"/>
  <c r="E621" i="30"/>
  <c r="G621" i="30"/>
  <c r="A622" i="30"/>
  <c r="A623" i="30"/>
  <c r="E623" i="30"/>
  <c r="G623" i="30"/>
  <c r="A624" i="30"/>
  <c r="K624" i="30" s="1"/>
  <c r="J624" i="30" s="1"/>
  <c r="L624" i="30" s="1"/>
  <c r="E624" i="30"/>
  <c r="G624" i="30"/>
  <c r="A625" i="30"/>
  <c r="K625" i="30" s="1"/>
  <c r="J625" i="30" s="1"/>
  <c r="L625" i="30" s="1"/>
  <c r="E625" i="30"/>
  <c r="G625" i="30"/>
  <c r="A626" i="30"/>
  <c r="A627" i="30"/>
  <c r="K627" i="30" s="1"/>
  <c r="J627" i="30" s="1"/>
  <c r="L627" i="30" s="1"/>
  <c r="E627" i="30"/>
  <c r="G627" i="30"/>
  <c r="A628" i="30"/>
  <c r="K628" i="30" s="1"/>
  <c r="J628" i="30" s="1"/>
  <c r="L628" i="30" s="1"/>
  <c r="E628" i="30"/>
  <c r="G628" i="30"/>
  <c r="A629" i="30"/>
  <c r="K629" i="30" s="1"/>
  <c r="J629" i="30" s="1"/>
  <c r="L629" i="30" s="1"/>
  <c r="E629" i="30"/>
  <c r="G629" i="30"/>
  <c r="A630" i="30"/>
  <c r="K630" i="30" s="1"/>
  <c r="J630" i="30" s="1"/>
  <c r="L630" i="30" s="1"/>
  <c r="E630" i="30"/>
  <c r="G630" i="30"/>
  <c r="A631" i="30"/>
  <c r="K631" i="30" s="1"/>
  <c r="J631" i="30" s="1"/>
  <c r="L631" i="30" s="1"/>
  <c r="E631" i="30"/>
  <c r="G631" i="30"/>
  <c r="A632" i="30"/>
  <c r="K632" i="30" s="1"/>
  <c r="J632" i="30" s="1"/>
  <c r="L632" i="30" s="1"/>
  <c r="E632" i="30"/>
  <c r="G632" i="30"/>
  <c r="A633" i="30"/>
  <c r="A634" i="30"/>
  <c r="K634" i="30" s="1"/>
  <c r="J634" i="30" s="1"/>
  <c r="L634" i="30" s="1"/>
  <c r="E634" i="30"/>
  <c r="G634" i="30"/>
  <c r="A635" i="30"/>
  <c r="K635" i="30" s="1"/>
  <c r="J635" i="30" s="1"/>
  <c r="L635" i="30" s="1"/>
  <c r="E635" i="30"/>
  <c r="G635" i="30"/>
  <c r="A636" i="30"/>
  <c r="K636" i="30" s="1"/>
  <c r="J636" i="30" s="1"/>
  <c r="L636" i="30" s="1"/>
  <c r="E636" i="30"/>
  <c r="G636" i="30"/>
  <c r="A637" i="30"/>
  <c r="K637" i="30" s="1"/>
  <c r="J637" i="30" s="1"/>
  <c r="L637" i="30" s="1"/>
  <c r="E637" i="30"/>
  <c r="G637" i="30"/>
  <c r="A638" i="30"/>
  <c r="K638" i="30" s="1"/>
  <c r="J638" i="30" s="1"/>
  <c r="L638" i="30" s="1"/>
  <c r="E638" i="30"/>
  <c r="G638" i="30"/>
  <c r="A639" i="30"/>
  <c r="K639" i="30" s="1"/>
  <c r="J639" i="30" s="1"/>
  <c r="L639" i="30" s="1"/>
  <c r="E639" i="30"/>
  <c r="G639" i="30"/>
  <c r="A640" i="30"/>
  <c r="A641" i="30"/>
  <c r="K641" i="30" s="1"/>
  <c r="J641" i="30" s="1"/>
  <c r="L641" i="30" s="1"/>
  <c r="E641" i="30"/>
  <c r="G641" i="30"/>
  <c r="A642" i="30"/>
  <c r="K642" i="30" s="1"/>
  <c r="J642" i="30" s="1"/>
  <c r="L642" i="30" s="1"/>
  <c r="E642" i="30"/>
  <c r="G642" i="30"/>
  <c r="A643" i="30"/>
  <c r="K643" i="30" s="1"/>
  <c r="J643" i="30" s="1"/>
  <c r="L643" i="30" s="1"/>
  <c r="E643" i="30"/>
  <c r="G643" i="30"/>
  <c r="A644" i="30"/>
  <c r="K644" i="30" s="1"/>
  <c r="J644" i="30" s="1"/>
  <c r="L644" i="30" s="1"/>
  <c r="E644" i="30"/>
  <c r="G644" i="30"/>
  <c r="A645" i="30"/>
  <c r="K645" i="30" s="1"/>
  <c r="J645" i="30" s="1"/>
  <c r="L645" i="30" s="1"/>
  <c r="E645" i="30"/>
  <c r="G645" i="30"/>
  <c r="A646" i="30"/>
  <c r="K646" i="30" s="1"/>
  <c r="J646" i="30" s="1"/>
  <c r="L646" i="30" s="1"/>
  <c r="E646" i="30"/>
  <c r="G646" i="30"/>
  <c r="A647" i="30"/>
  <c r="A648" i="30"/>
  <c r="K648" i="30" s="1"/>
  <c r="J648" i="30" s="1"/>
  <c r="L648" i="30" s="1"/>
  <c r="E648" i="30"/>
  <c r="G648" i="30"/>
  <c r="A649" i="30"/>
  <c r="K649" i="30" s="1"/>
  <c r="J649" i="30" s="1"/>
  <c r="L649" i="30" s="1"/>
  <c r="E649" i="30"/>
  <c r="G649" i="30"/>
  <c r="A650" i="30"/>
  <c r="K650" i="30" s="1"/>
  <c r="J650" i="30" s="1"/>
  <c r="L650" i="30" s="1"/>
  <c r="E650" i="30"/>
  <c r="G650" i="30"/>
  <c r="A651" i="30"/>
  <c r="K651" i="30" s="1"/>
  <c r="J651" i="30" s="1"/>
  <c r="L651" i="30" s="1"/>
  <c r="E651" i="30"/>
  <c r="G651" i="30"/>
  <c r="A652" i="30"/>
  <c r="K652" i="30" s="1"/>
  <c r="J652" i="30" s="1"/>
  <c r="L652" i="30" s="1"/>
  <c r="E652" i="30"/>
  <c r="G652" i="30"/>
  <c r="A653" i="30"/>
  <c r="K653" i="30" s="1"/>
  <c r="J653" i="30" s="1"/>
  <c r="L653" i="30" s="1"/>
  <c r="E653" i="30"/>
  <c r="G653" i="30"/>
  <c r="A654" i="30"/>
  <c r="A655" i="30"/>
  <c r="K655" i="30" s="1"/>
  <c r="J655" i="30" s="1"/>
  <c r="L655" i="30" s="1"/>
  <c r="E655" i="30"/>
  <c r="G655" i="30"/>
  <c r="A656" i="30"/>
  <c r="K656" i="30" s="1"/>
  <c r="J656" i="30" s="1"/>
  <c r="L656" i="30" s="1"/>
  <c r="E656" i="30"/>
  <c r="G656" i="30"/>
  <c r="A657" i="30"/>
  <c r="K657" i="30" s="1"/>
  <c r="J657" i="30" s="1"/>
  <c r="L657" i="30" s="1"/>
  <c r="E657" i="30"/>
  <c r="G657" i="30"/>
  <c r="A658" i="30"/>
  <c r="K658" i="30" s="1"/>
  <c r="J658" i="30" s="1"/>
  <c r="L658" i="30" s="1"/>
  <c r="E658" i="30"/>
  <c r="G658" i="30"/>
  <c r="A659" i="30"/>
  <c r="K659" i="30" s="1"/>
  <c r="J659" i="30" s="1"/>
  <c r="L659" i="30" s="1"/>
  <c r="E659" i="30"/>
  <c r="G659" i="30"/>
  <c r="A660" i="30"/>
  <c r="K660" i="30" s="1"/>
  <c r="J660" i="30" s="1"/>
  <c r="L660" i="30" s="1"/>
  <c r="E660" i="30"/>
  <c r="G660" i="30"/>
  <c r="A661" i="30"/>
  <c r="A662" i="30"/>
  <c r="K662" i="30" s="1"/>
  <c r="J662" i="30" s="1"/>
  <c r="L662" i="30" s="1"/>
  <c r="E662" i="30"/>
  <c r="G662" i="30"/>
  <c r="A663" i="30"/>
  <c r="K663" i="30" s="1"/>
  <c r="J663" i="30" s="1"/>
  <c r="L663" i="30" s="1"/>
  <c r="E663" i="30"/>
  <c r="G663" i="30"/>
  <c r="A664" i="30"/>
  <c r="K664" i="30" s="1"/>
  <c r="J664" i="30" s="1"/>
  <c r="L664" i="30" s="1"/>
  <c r="E664" i="30"/>
  <c r="G664" i="30"/>
  <c r="A665" i="30"/>
  <c r="K665" i="30" s="1"/>
  <c r="J665" i="30" s="1"/>
  <c r="L665" i="30" s="1"/>
  <c r="E665" i="30"/>
  <c r="G665" i="30"/>
  <c r="A666" i="30"/>
  <c r="K666" i="30" s="1"/>
  <c r="J666" i="30" s="1"/>
  <c r="L666" i="30" s="1"/>
  <c r="E666" i="30"/>
  <c r="G666" i="30"/>
  <c r="A667" i="30"/>
  <c r="K667" i="30" s="1"/>
  <c r="J667" i="30" s="1"/>
  <c r="L667" i="30" s="1"/>
  <c r="E667" i="30"/>
  <c r="G667" i="30"/>
  <c r="A668" i="30"/>
  <c r="A669" i="30"/>
  <c r="K669" i="30" s="1"/>
  <c r="J669" i="30" s="1"/>
  <c r="L669" i="30" s="1"/>
  <c r="E669" i="30"/>
  <c r="G669" i="30"/>
  <c r="A670" i="30"/>
  <c r="K670" i="30" s="1"/>
  <c r="J670" i="30" s="1"/>
  <c r="L670" i="30" s="1"/>
  <c r="E670" i="30"/>
  <c r="G670" i="30"/>
  <c r="A671" i="30"/>
  <c r="K671" i="30" s="1"/>
  <c r="J671" i="30" s="1"/>
  <c r="L671" i="30" s="1"/>
  <c r="E671" i="30"/>
  <c r="G671" i="30"/>
  <c r="A672" i="30"/>
  <c r="A673" i="30"/>
  <c r="K673" i="30" s="1"/>
  <c r="J673" i="30" s="1"/>
  <c r="L673" i="30" s="1"/>
  <c r="E673" i="30"/>
  <c r="G673" i="30"/>
  <c r="A674" i="30"/>
  <c r="K674" i="30" s="1"/>
  <c r="J674" i="30" s="1"/>
  <c r="L674" i="30" s="1"/>
  <c r="E674" i="30"/>
  <c r="G674" i="30"/>
  <c r="A675" i="30"/>
  <c r="K675" i="30" s="1"/>
  <c r="J675" i="30" s="1"/>
  <c r="L675" i="30" s="1"/>
  <c r="E675" i="30"/>
  <c r="G675" i="30"/>
  <c r="A676" i="30"/>
  <c r="K676" i="30" s="1"/>
  <c r="J676" i="30" s="1"/>
  <c r="L676" i="30" s="1"/>
  <c r="E676" i="30"/>
  <c r="G676" i="30"/>
  <c r="A677" i="30"/>
  <c r="K677" i="30" s="1"/>
  <c r="J677" i="30" s="1"/>
  <c r="L677" i="30" s="1"/>
  <c r="E677" i="30"/>
  <c r="G677" i="30"/>
  <c r="A678" i="30"/>
  <c r="A679" i="30"/>
  <c r="K679" i="30" s="1"/>
  <c r="J679" i="30" s="1"/>
  <c r="L679" i="30" s="1"/>
  <c r="E679" i="30"/>
  <c r="G679" i="30"/>
  <c r="A680" i="30"/>
  <c r="K680" i="30" s="1"/>
  <c r="J680" i="30" s="1"/>
  <c r="L680" i="30" s="1"/>
  <c r="E680" i="30"/>
  <c r="G680" i="30"/>
  <c r="A681" i="30"/>
  <c r="K681" i="30" s="1"/>
  <c r="J681" i="30" s="1"/>
  <c r="L681" i="30" s="1"/>
  <c r="E681" i="30"/>
  <c r="G681" i="30"/>
  <c r="A682" i="30"/>
  <c r="K682" i="30" s="1"/>
  <c r="J682" i="30" s="1"/>
  <c r="L682" i="30" s="1"/>
  <c r="E682" i="30"/>
  <c r="G682" i="30"/>
  <c r="A683" i="30"/>
  <c r="K683" i="30" s="1"/>
  <c r="J683" i="30" s="1"/>
  <c r="L683" i="30" s="1"/>
  <c r="E683" i="30"/>
  <c r="G683" i="30"/>
  <c r="A684" i="30"/>
  <c r="A685" i="30"/>
  <c r="K685" i="30" s="1"/>
  <c r="J685" i="30" s="1"/>
  <c r="L685" i="30" s="1"/>
  <c r="E685" i="30"/>
  <c r="G685" i="30"/>
  <c r="A686" i="30"/>
  <c r="K686" i="30" s="1"/>
  <c r="J686" i="30" s="1"/>
  <c r="L686" i="30" s="1"/>
  <c r="E686" i="30"/>
  <c r="G686" i="30"/>
  <c r="A687" i="30"/>
  <c r="O687" i="30"/>
  <c r="R687" i="30"/>
  <c r="A688" i="30"/>
  <c r="K688" i="30" s="1"/>
  <c r="J688" i="30" s="1"/>
  <c r="R688" i="30" s="1"/>
  <c r="O688" i="30"/>
  <c r="A689" i="30"/>
  <c r="K689" i="30" s="1"/>
  <c r="O689" i="30"/>
  <c r="R689" i="30"/>
  <c r="A690" i="30"/>
  <c r="O690" i="30"/>
  <c r="R690" i="30"/>
  <c r="A691" i="30"/>
  <c r="K691" i="30" s="1"/>
  <c r="O691" i="30" s="1"/>
  <c r="E691" i="30"/>
  <c r="G691" i="30"/>
  <c r="A692" i="30"/>
  <c r="K692" i="30" s="1"/>
  <c r="J692" i="30" s="1"/>
  <c r="L692" i="30" s="1"/>
  <c r="E692" i="30"/>
  <c r="G692" i="30"/>
  <c r="A693" i="30"/>
  <c r="K693" i="30" s="1"/>
  <c r="J693" i="30" s="1"/>
  <c r="L693" i="30" s="1"/>
  <c r="E693" i="30"/>
  <c r="G693" i="30"/>
  <c r="A694" i="30"/>
  <c r="K694" i="30" s="1"/>
  <c r="J694" i="30" s="1"/>
  <c r="L694" i="30" s="1"/>
  <c r="E694" i="30"/>
  <c r="G694" i="30"/>
  <c r="A695" i="30"/>
  <c r="K695" i="30" s="1"/>
  <c r="J695" i="30" s="1"/>
  <c r="L695" i="30" s="1"/>
  <c r="E695" i="30"/>
  <c r="G695" i="30"/>
  <c r="A696" i="30"/>
  <c r="K696" i="30" s="1"/>
  <c r="J696" i="30" s="1"/>
  <c r="L696" i="30" s="1"/>
  <c r="E696" i="30"/>
  <c r="G696" i="30"/>
  <c r="A697" i="30"/>
  <c r="K697" i="30" s="1"/>
  <c r="J697" i="30" s="1"/>
  <c r="L697" i="30" s="1"/>
  <c r="E697" i="30"/>
  <c r="G697" i="30"/>
  <c r="A698" i="30"/>
  <c r="K698" i="30" s="1"/>
  <c r="J698" i="30" s="1"/>
  <c r="L698" i="30" s="1"/>
  <c r="E698" i="30"/>
  <c r="G698" i="30"/>
  <c r="A699" i="30"/>
  <c r="K699" i="30" s="1"/>
  <c r="J699" i="30" s="1"/>
  <c r="E699" i="30"/>
  <c r="G699" i="30"/>
  <c r="I699" i="30"/>
  <c r="A700" i="30"/>
  <c r="K700" i="30" s="1"/>
  <c r="J700" i="30" s="1"/>
  <c r="L700" i="30" s="1"/>
  <c r="E700" i="30"/>
  <c r="G700" i="30"/>
  <c r="A701" i="30"/>
  <c r="K701" i="30" s="1"/>
  <c r="J701" i="30" s="1"/>
  <c r="E701" i="30"/>
  <c r="G701" i="30"/>
  <c r="I701" i="30"/>
  <c r="A702" i="30"/>
  <c r="E702" i="30"/>
  <c r="G702" i="30"/>
  <c r="I702" i="30"/>
  <c r="K702" i="30"/>
  <c r="J702" i="30" s="1"/>
  <c r="A703" i="30"/>
  <c r="K703" i="30" s="1"/>
  <c r="J703" i="30" s="1"/>
  <c r="L703" i="30" s="1"/>
  <c r="E703" i="30"/>
  <c r="G703" i="30"/>
  <c r="A704" i="30"/>
  <c r="A705" i="30"/>
  <c r="K705" i="30" s="1"/>
  <c r="J705" i="30" s="1"/>
  <c r="L705" i="30" s="1"/>
  <c r="E705" i="30"/>
  <c r="G705" i="30"/>
  <c r="A706" i="30"/>
  <c r="K706" i="30" s="1"/>
  <c r="J706" i="30" s="1"/>
  <c r="L706" i="30" s="1"/>
  <c r="E706" i="30"/>
  <c r="G706" i="30"/>
  <c r="A707" i="30"/>
  <c r="K707" i="30" s="1"/>
  <c r="O707" i="30"/>
  <c r="R707" i="30"/>
  <c r="A708" i="30"/>
  <c r="K708" i="30" s="1"/>
  <c r="J708" i="30" s="1"/>
  <c r="L708" i="30" s="1"/>
  <c r="E708" i="30"/>
  <c r="G708" i="30"/>
  <c r="O708" i="30"/>
  <c r="A709" i="30"/>
  <c r="K709" i="30" s="1"/>
  <c r="J709" i="30" s="1"/>
  <c r="L709" i="30" s="1"/>
  <c r="E709" i="30"/>
  <c r="G709" i="30"/>
  <c r="O709" i="30"/>
  <c r="A710" i="30"/>
  <c r="K710" i="30" s="1"/>
  <c r="J710" i="30" s="1"/>
  <c r="L710" i="30" s="1"/>
  <c r="E710" i="30"/>
  <c r="G710" i="30"/>
  <c r="O710" i="30"/>
  <c r="A711" i="30"/>
  <c r="K711" i="30" s="1"/>
  <c r="J711" i="30" s="1"/>
  <c r="L711" i="30" s="1"/>
  <c r="E711" i="30"/>
  <c r="G711" i="30"/>
  <c r="O711" i="30"/>
  <c r="A712" i="30"/>
  <c r="A713" i="30"/>
  <c r="K713" i="30" s="1"/>
  <c r="J713" i="30" s="1"/>
  <c r="L713" i="30" s="1"/>
  <c r="L712" i="30" s="1"/>
  <c r="E713" i="30"/>
  <c r="G713" i="30"/>
  <c r="A714" i="30"/>
  <c r="K714" i="30" s="1"/>
  <c r="O714" i="30"/>
  <c r="R714" i="30"/>
  <c r="A715" i="30"/>
  <c r="K715" i="30" s="1"/>
  <c r="J715" i="30" s="1"/>
  <c r="L715" i="30" s="1"/>
  <c r="E715" i="30"/>
  <c r="G715" i="30"/>
  <c r="A716" i="30"/>
  <c r="K716" i="30" s="1"/>
  <c r="J716" i="30" s="1"/>
  <c r="L716" i="30" s="1"/>
  <c r="E716" i="30"/>
  <c r="G716" i="30"/>
  <c r="O716" i="30"/>
  <c r="A717" i="30"/>
  <c r="K717" i="30" s="1"/>
  <c r="O717" i="30"/>
  <c r="R717" i="30"/>
  <c r="A718" i="30"/>
  <c r="K718" i="30" s="1"/>
  <c r="J718" i="30" s="1"/>
  <c r="R718" i="30" s="1"/>
  <c r="E718" i="30"/>
  <c r="G718" i="30"/>
  <c r="O718" i="30"/>
  <c r="A719" i="30"/>
  <c r="A720" i="30"/>
  <c r="E720" i="30"/>
  <c r="G720" i="30"/>
  <c r="A721" i="30"/>
  <c r="E721" i="30"/>
  <c r="G721" i="30"/>
  <c r="A722" i="30"/>
  <c r="K722" i="30" s="1"/>
  <c r="J722" i="30" s="1"/>
  <c r="L722" i="30" s="1"/>
  <c r="E722" i="30"/>
  <c r="G722" i="30"/>
  <c r="A723" i="30"/>
  <c r="K723" i="30" s="1"/>
  <c r="J723" i="30" s="1"/>
  <c r="L723" i="30" s="1"/>
  <c r="E723" i="30"/>
  <c r="G723" i="30"/>
  <c r="A724" i="30"/>
  <c r="K724" i="30" s="1"/>
  <c r="J724" i="30" s="1"/>
  <c r="L724" i="30" s="1"/>
  <c r="E724" i="30"/>
  <c r="G724" i="30"/>
  <c r="A725" i="30"/>
  <c r="K725" i="30" s="1"/>
  <c r="J725" i="30" s="1"/>
  <c r="L725" i="30" s="1"/>
  <c r="E725" i="30"/>
  <c r="G725" i="30"/>
  <c r="A726" i="30"/>
  <c r="K726" i="30" s="1"/>
  <c r="J726" i="30" s="1"/>
  <c r="L726" i="30" s="1"/>
  <c r="E726" i="30"/>
  <c r="G726" i="30"/>
  <c r="A727" i="30"/>
  <c r="K727" i="30" s="1"/>
  <c r="J727" i="30" s="1"/>
  <c r="L727" i="30" s="1"/>
  <c r="E727" i="30"/>
  <c r="G727" i="30"/>
  <c r="A728" i="30"/>
  <c r="K728" i="30" s="1"/>
  <c r="J728" i="30" s="1"/>
  <c r="E728" i="30"/>
  <c r="G728" i="30"/>
  <c r="I728" i="30"/>
  <c r="A729" i="30"/>
  <c r="K729" i="30" s="1"/>
  <c r="J729" i="30" s="1"/>
  <c r="L729" i="30" s="1"/>
  <c r="E729" i="30"/>
  <c r="G729" i="30"/>
  <c r="A730" i="30"/>
  <c r="K730" i="30" s="1"/>
  <c r="J730" i="30" s="1"/>
  <c r="L730" i="30" s="1"/>
  <c r="E730" i="30"/>
  <c r="G730" i="30"/>
  <c r="A731" i="30"/>
  <c r="K731" i="30" s="1"/>
  <c r="J731" i="30" s="1"/>
  <c r="L731" i="30" s="1"/>
  <c r="E731" i="30"/>
  <c r="G731" i="30"/>
  <c r="A732" i="30"/>
  <c r="K732" i="30" s="1"/>
  <c r="J732" i="30" s="1"/>
  <c r="L732" i="30" s="1"/>
  <c r="E732" i="30"/>
  <c r="G732" i="30"/>
  <c r="A733" i="30"/>
  <c r="K733" i="30" s="1"/>
  <c r="O733" i="30"/>
  <c r="R733" i="30"/>
  <c r="A734" i="30"/>
  <c r="K734" i="30" s="1"/>
  <c r="J734" i="30" s="1"/>
  <c r="L734" i="30" s="1"/>
  <c r="E734" i="30"/>
  <c r="G734" i="30"/>
  <c r="O734" i="30"/>
  <c r="A735" i="30"/>
  <c r="K735" i="30" s="1"/>
  <c r="J735" i="30" s="1"/>
  <c r="L735" i="30" s="1"/>
  <c r="E735" i="30"/>
  <c r="G735" i="30"/>
  <c r="A736" i="30"/>
  <c r="K736" i="30" s="1"/>
  <c r="J736" i="30" s="1"/>
  <c r="L736" i="30" s="1"/>
  <c r="E736" i="30"/>
  <c r="G736" i="30"/>
  <c r="A737" i="30"/>
  <c r="K737" i="30" s="1"/>
  <c r="J737" i="30" s="1"/>
  <c r="L737" i="30" s="1"/>
  <c r="E737" i="30"/>
  <c r="G737" i="30"/>
  <c r="A738" i="30"/>
  <c r="K738" i="30" s="1"/>
  <c r="O738" i="30"/>
  <c r="R738" i="30"/>
  <c r="A739" i="30"/>
  <c r="K739" i="30" s="1"/>
  <c r="J739" i="30" s="1"/>
  <c r="L739" i="30" s="1"/>
  <c r="E739" i="30"/>
  <c r="G739" i="30"/>
  <c r="A740" i="30"/>
  <c r="K740" i="30" s="1"/>
  <c r="J740" i="30" s="1"/>
  <c r="E740" i="30"/>
  <c r="G740" i="30"/>
  <c r="O740" i="30"/>
  <c r="A741" i="30"/>
  <c r="O741" i="30"/>
  <c r="R741" i="30"/>
  <c r="A742" i="30"/>
  <c r="K742" i="30" s="1"/>
  <c r="O742" i="30"/>
  <c r="R742" i="30"/>
  <c r="A743" i="30"/>
  <c r="O743" i="30"/>
  <c r="R743" i="30"/>
  <c r="A744" i="30"/>
  <c r="E744" i="30"/>
  <c r="G744" i="30"/>
  <c r="I744" i="30"/>
  <c r="K744" i="30"/>
  <c r="A745" i="30"/>
  <c r="K745" i="30" s="1"/>
  <c r="O745" i="30"/>
  <c r="R745" i="30"/>
  <c r="A746" i="30"/>
  <c r="K746" i="30" s="1"/>
  <c r="O746" i="30" s="1"/>
  <c r="E746" i="30"/>
  <c r="G746" i="30"/>
  <c r="A747" i="30"/>
  <c r="K747" i="30" s="1"/>
  <c r="O747" i="30"/>
  <c r="R747" i="30"/>
  <c r="A748" i="30"/>
  <c r="K748" i="30" s="1"/>
  <c r="J748" i="30" s="1"/>
  <c r="R748" i="30" s="1"/>
  <c r="E748" i="30"/>
  <c r="G748" i="30"/>
  <c r="A749" i="30"/>
  <c r="K749" i="30" s="1"/>
  <c r="J749" i="30" s="1"/>
  <c r="R749" i="30" s="1"/>
  <c r="E749" i="30"/>
  <c r="G749" i="30"/>
  <c r="A750" i="30"/>
  <c r="K750" i="30" s="1"/>
  <c r="O750" i="30"/>
  <c r="R750" i="30"/>
  <c r="A751" i="30"/>
  <c r="K751" i="30" s="1"/>
  <c r="O751" i="30" s="1"/>
  <c r="E751" i="30"/>
  <c r="G751" i="30"/>
  <c r="A755" i="30"/>
  <c r="O755" i="30"/>
  <c r="R755" i="30"/>
  <c r="A756" i="30"/>
  <c r="K756" i="30" s="1"/>
  <c r="O756" i="30"/>
  <c r="R756" i="30"/>
  <c r="A757" i="30"/>
  <c r="O757" i="30"/>
  <c r="R757" i="30"/>
  <c r="A758" i="30"/>
  <c r="K758" i="30" s="1"/>
  <c r="J758" i="30" s="1"/>
  <c r="R758" i="30" s="1"/>
  <c r="E758" i="30"/>
  <c r="G758" i="30"/>
  <c r="O758" i="30"/>
  <c r="A759" i="30"/>
  <c r="O759" i="30"/>
  <c r="R759" i="30"/>
  <c r="A760" i="30"/>
  <c r="K760" i="30" s="1"/>
  <c r="J760" i="30" s="1"/>
  <c r="R760" i="30" s="1"/>
  <c r="O760" i="30"/>
  <c r="A761" i="30"/>
  <c r="K761" i="30" s="1"/>
  <c r="O761" i="30"/>
  <c r="R761" i="30"/>
  <c r="A762" i="30"/>
  <c r="O762" i="30"/>
  <c r="R762" i="30"/>
  <c r="A763" i="30"/>
  <c r="K763" i="30" s="1"/>
  <c r="J763" i="30" s="1"/>
  <c r="E763" i="30"/>
  <c r="G763" i="30"/>
  <c r="I763" i="30"/>
  <c r="A764" i="30"/>
  <c r="K764" i="30" s="1"/>
  <c r="J764" i="30" s="1"/>
  <c r="E764" i="30"/>
  <c r="G764" i="30"/>
  <c r="I764" i="30"/>
  <c r="A765" i="30"/>
  <c r="K765" i="30" s="1"/>
  <c r="J765" i="30" s="1"/>
  <c r="L765" i="30" s="1"/>
  <c r="E765" i="30"/>
  <c r="G765" i="30"/>
  <c r="A766" i="30"/>
  <c r="K766" i="30" s="1"/>
  <c r="H766" i="30"/>
  <c r="O766" i="30"/>
  <c r="R766" i="30"/>
  <c r="A767" i="30"/>
  <c r="K767" i="30" s="1"/>
  <c r="E767" i="30"/>
  <c r="G767" i="30"/>
  <c r="A768" i="30"/>
  <c r="K768" i="30" s="1"/>
  <c r="J768" i="30" s="1"/>
  <c r="E768" i="30"/>
  <c r="G768" i="30"/>
  <c r="A769" i="30"/>
  <c r="K769" i="30" s="1"/>
  <c r="J769" i="30" s="1"/>
  <c r="L769" i="30" s="1"/>
  <c r="E769" i="30"/>
  <c r="G769" i="30"/>
  <c r="A770" i="30"/>
  <c r="K770" i="30" s="1"/>
  <c r="J770" i="30" s="1"/>
  <c r="L770" i="30" s="1"/>
  <c r="E770" i="30"/>
  <c r="G770" i="30"/>
  <c r="A771" i="30"/>
  <c r="K771" i="30" s="1"/>
  <c r="O771" i="30"/>
  <c r="R771" i="30"/>
  <c r="A772" i="30"/>
  <c r="K772" i="30" s="1"/>
  <c r="J772" i="30" s="1"/>
  <c r="E772" i="30"/>
  <c r="G772" i="30"/>
  <c r="I772" i="30"/>
  <c r="A773" i="30"/>
  <c r="E773" i="30"/>
  <c r="G773" i="30"/>
  <c r="I773" i="30"/>
  <c r="A774" i="30"/>
  <c r="A775" i="30"/>
  <c r="K775" i="30" s="1"/>
  <c r="J775" i="30" s="1"/>
  <c r="E775" i="30"/>
  <c r="G775" i="30"/>
  <c r="I775" i="30"/>
  <c r="A776" i="30"/>
  <c r="K776" i="30" s="1"/>
  <c r="J776" i="30" s="1"/>
  <c r="E776" i="30"/>
  <c r="G776" i="30"/>
  <c r="I776" i="30"/>
  <c r="A777" i="30"/>
  <c r="K777" i="30" s="1"/>
  <c r="O777" i="30"/>
  <c r="R777" i="30"/>
  <c r="A778" i="30"/>
  <c r="E778" i="30"/>
  <c r="G778" i="30"/>
  <c r="I778" i="30"/>
  <c r="K778" i="30"/>
  <c r="J778" i="30" s="1"/>
  <c r="A779" i="30"/>
  <c r="K779" i="30" s="1"/>
  <c r="J779" i="30" s="1"/>
  <c r="E779" i="30"/>
  <c r="G779" i="30"/>
  <c r="I779" i="30"/>
  <c r="A780" i="30"/>
  <c r="A781" i="30"/>
  <c r="K781" i="30" s="1"/>
  <c r="J781" i="30" s="1"/>
  <c r="L781" i="30" s="1"/>
  <c r="E781" i="30"/>
  <c r="G781" i="30"/>
  <c r="A782" i="30"/>
  <c r="K782" i="30" s="1"/>
  <c r="J782" i="30" s="1"/>
  <c r="L782" i="30" s="1"/>
  <c r="E782" i="30"/>
  <c r="G782" i="30"/>
  <c r="A783" i="30"/>
  <c r="K783" i="30" s="1"/>
  <c r="J783" i="30" s="1"/>
  <c r="L783" i="30" s="1"/>
  <c r="E783" i="30"/>
  <c r="G783" i="30"/>
  <c r="A784" i="30"/>
  <c r="K784" i="30" s="1"/>
  <c r="J784" i="30" s="1"/>
  <c r="L784" i="30" s="1"/>
  <c r="E784" i="30"/>
  <c r="G784" i="30"/>
  <c r="A785" i="30"/>
  <c r="O785" i="30"/>
  <c r="R785" i="30"/>
  <c r="A786" i="30"/>
  <c r="K786" i="30" s="1"/>
  <c r="O786" i="30"/>
  <c r="R786" i="30"/>
  <c r="A787" i="30"/>
  <c r="O787" i="30"/>
  <c r="R787" i="30"/>
  <c r="A788" i="30"/>
  <c r="K788" i="30" s="1"/>
  <c r="J788" i="30" s="1"/>
  <c r="L788" i="30" s="1"/>
  <c r="E788" i="30"/>
  <c r="G788" i="30"/>
  <c r="O788" i="30"/>
  <c r="A789" i="30"/>
  <c r="K789" i="30" s="1"/>
  <c r="J789" i="30" s="1"/>
  <c r="L789" i="30" s="1"/>
  <c r="E789" i="30"/>
  <c r="G789" i="30"/>
  <c r="O789" i="30"/>
  <c r="A790" i="30"/>
  <c r="K790" i="30" s="1"/>
  <c r="J790" i="30" s="1"/>
  <c r="R790" i="30" s="1"/>
  <c r="E790" i="30"/>
  <c r="G790" i="30"/>
  <c r="O790" i="30"/>
  <c r="A791" i="30"/>
  <c r="K791" i="30" s="1"/>
  <c r="J791" i="30" s="1"/>
  <c r="R791" i="30" s="1"/>
  <c r="E791" i="30"/>
  <c r="G791" i="30"/>
  <c r="O791" i="30"/>
  <c r="A792" i="30"/>
  <c r="K792" i="30" s="1"/>
  <c r="J792" i="30" s="1"/>
  <c r="L792" i="30" s="1"/>
  <c r="E792" i="30"/>
  <c r="G792" i="30"/>
  <c r="O792" i="30"/>
  <c r="A793" i="30"/>
  <c r="K793" i="30" s="1"/>
  <c r="J793" i="30" s="1"/>
  <c r="L793" i="30" s="1"/>
  <c r="E793" i="30"/>
  <c r="G793" i="30"/>
  <c r="O793" i="30"/>
  <c r="A794" i="30"/>
  <c r="K794" i="30" s="1"/>
  <c r="J794" i="30" s="1"/>
  <c r="L794" i="30" s="1"/>
  <c r="E794" i="30"/>
  <c r="G794" i="30"/>
  <c r="O794" i="30"/>
  <c r="A795" i="30"/>
  <c r="K795" i="30" s="1"/>
  <c r="J795" i="30" s="1"/>
  <c r="L795" i="30" s="1"/>
  <c r="E795" i="30"/>
  <c r="G795" i="30"/>
  <c r="O795" i="30"/>
  <c r="A796" i="30"/>
  <c r="K796" i="30" s="1"/>
  <c r="J796" i="30" s="1"/>
  <c r="E796" i="30"/>
  <c r="G796" i="30"/>
  <c r="O796" i="30"/>
  <c r="A797" i="30"/>
  <c r="K797" i="30" s="1"/>
  <c r="J797" i="30" s="1"/>
  <c r="L797" i="30" s="1"/>
  <c r="E797" i="30"/>
  <c r="G797" i="30"/>
  <c r="A798" i="30"/>
  <c r="K798" i="30" s="1"/>
  <c r="J798" i="30" s="1"/>
  <c r="L798" i="30" s="1"/>
  <c r="E798" i="30"/>
  <c r="G798" i="30"/>
  <c r="A799" i="30"/>
  <c r="K799" i="30" s="1"/>
  <c r="J799" i="30" s="1"/>
  <c r="R799" i="30" s="1"/>
  <c r="E799" i="30"/>
  <c r="G799" i="30"/>
  <c r="O799" i="30"/>
  <c r="A800" i="30"/>
  <c r="K800" i="30" s="1"/>
  <c r="J800" i="30" s="1"/>
  <c r="L800" i="30" s="1"/>
  <c r="E800" i="30"/>
  <c r="G800" i="30"/>
  <c r="O800" i="30"/>
  <c r="A801" i="30"/>
  <c r="K801" i="30" s="1"/>
  <c r="J801" i="30" s="1"/>
  <c r="E801" i="30"/>
  <c r="G801" i="30"/>
  <c r="O801" i="30"/>
  <c r="A802" i="30"/>
  <c r="K802" i="30" s="1"/>
  <c r="J802" i="30" s="1"/>
  <c r="E802" i="30"/>
  <c r="G802" i="30"/>
  <c r="O802" i="30"/>
  <c r="A803" i="30"/>
  <c r="K803" i="30" s="1"/>
  <c r="J803" i="30" s="1"/>
  <c r="E803" i="30"/>
  <c r="G803" i="30"/>
  <c r="O803" i="30"/>
  <c r="A804" i="30"/>
  <c r="K804" i="30" s="1"/>
  <c r="J804" i="30" s="1"/>
  <c r="L804" i="30" s="1"/>
  <c r="E804" i="30"/>
  <c r="G804" i="30"/>
  <c r="O804" i="30"/>
  <c r="A805" i="30"/>
  <c r="K805" i="30" s="1"/>
  <c r="J805" i="30" s="1"/>
  <c r="R805" i="30" s="1"/>
  <c r="E805" i="30"/>
  <c r="G805" i="30"/>
  <c r="O805" i="30"/>
  <c r="A806" i="30"/>
  <c r="K806" i="30" s="1"/>
  <c r="J806" i="30" s="1"/>
  <c r="L806" i="30" s="1"/>
  <c r="E806" i="30"/>
  <c r="G806" i="30"/>
  <c r="O806" i="30"/>
  <c r="A807" i="30"/>
  <c r="K807" i="30" s="1"/>
  <c r="J807" i="30" s="1"/>
  <c r="L807" i="30" s="1"/>
  <c r="E807" i="30"/>
  <c r="G807" i="30"/>
  <c r="O807" i="30"/>
  <c r="A808" i="30"/>
  <c r="K808" i="30" s="1"/>
  <c r="J808" i="30" s="1"/>
  <c r="E808" i="30"/>
  <c r="G808" i="30"/>
  <c r="O808" i="30"/>
  <c r="A809" i="30"/>
  <c r="K809" i="30" s="1"/>
  <c r="J809" i="30" s="1"/>
  <c r="L809" i="30" s="1"/>
  <c r="E809" i="30"/>
  <c r="G809" i="30"/>
  <c r="O809" i="30"/>
  <c r="A810" i="30"/>
  <c r="K810" i="30" s="1"/>
  <c r="J810" i="30" s="1"/>
  <c r="E810" i="30"/>
  <c r="G810" i="30"/>
  <c r="O810" i="30"/>
  <c r="A811" i="30"/>
  <c r="K811" i="30" s="1"/>
  <c r="J811" i="30" s="1"/>
  <c r="E811" i="30"/>
  <c r="G811" i="30"/>
  <c r="O811" i="30"/>
  <c r="A812" i="30"/>
  <c r="K812" i="30" s="1"/>
  <c r="J812" i="30" s="1"/>
  <c r="E812" i="30"/>
  <c r="G812" i="30"/>
  <c r="O812" i="30"/>
  <c r="A813" i="30"/>
  <c r="K813" i="30" s="1"/>
  <c r="J813" i="30" s="1"/>
  <c r="E813" i="30"/>
  <c r="G813" i="30"/>
  <c r="O813" i="30"/>
  <c r="A814" i="30"/>
  <c r="K814" i="30" s="1"/>
  <c r="J814" i="30" s="1"/>
  <c r="E814" i="30"/>
  <c r="G814" i="30"/>
  <c r="O814" i="30"/>
  <c r="A815" i="30"/>
  <c r="K815" i="30" s="1"/>
  <c r="J815" i="30" s="1"/>
  <c r="R815" i="30" s="1"/>
  <c r="E815" i="30"/>
  <c r="G815" i="30"/>
  <c r="O815" i="30"/>
  <c r="A816" i="30"/>
  <c r="K816" i="30" s="1"/>
  <c r="J816" i="30" s="1"/>
  <c r="L816" i="30" s="1"/>
  <c r="E816" i="30"/>
  <c r="G816" i="30"/>
  <c r="O816" i="30"/>
  <c r="A817" i="30"/>
  <c r="K817" i="30" s="1"/>
  <c r="J817" i="30" s="1"/>
  <c r="L817" i="30" s="1"/>
  <c r="E817" i="30"/>
  <c r="G817" i="30"/>
  <c r="O817" i="30"/>
  <c r="A818" i="30"/>
  <c r="K818" i="30" s="1"/>
  <c r="J818" i="30" s="1"/>
  <c r="R818" i="30" s="1"/>
  <c r="E818" i="30"/>
  <c r="G818" i="30"/>
  <c r="O818" i="30"/>
  <c r="A819" i="30"/>
  <c r="K819" i="30" s="1"/>
  <c r="J819" i="30" s="1"/>
  <c r="L819" i="30" s="1"/>
  <c r="E819" i="30"/>
  <c r="G819" i="30"/>
  <c r="O819" i="30"/>
  <c r="A820" i="30"/>
  <c r="K820" i="30" s="1"/>
  <c r="J820" i="30" s="1"/>
  <c r="E820" i="30"/>
  <c r="G820" i="30"/>
  <c r="O820" i="30"/>
  <c r="A821" i="30"/>
  <c r="K821" i="30" s="1"/>
  <c r="J821" i="30" s="1"/>
  <c r="R821" i="30" s="1"/>
  <c r="E821" i="30"/>
  <c r="G821" i="30"/>
  <c r="O821" i="30"/>
  <c r="A822" i="30"/>
  <c r="K822" i="30" s="1"/>
  <c r="J822" i="30" s="1"/>
  <c r="L822" i="30" s="1"/>
  <c r="E822" i="30"/>
  <c r="G822" i="30"/>
  <c r="O822" i="30"/>
  <c r="A823" i="30"/>
  <c r="K823" i="30" s="1"/>
  <c r="J823" i="30" s="1"/>
  <c r="L823" i="30" s="1"/>
  <c r="E823" i="30"/>
  <c r="G823" i="30"/>
  <c r="O823" i="30"/>
  <c r="A824" i="30"/>
  <c r="K824" i="30" s="1"/>
  <c r="J824" i="30" s="1"/>
  <c r="R824" i="30" s="1"/>
  <c r="E824" i="30"/>
  <c r="G824" i="30"/>
  <c r="O824" i="30"/>
  <c r="A825" i="30"/>
  <c r="K825" i="30" s="1"/>
  <c r="J825" i="30" s="1"/>
  <c r="L825" i="30" s="1"/>
  <c r="E825" i="30"/>
  <c r="G825" i="30"/>
  <c r="O825" i="30"/>
  <c r="A826" i="30"/>
  <c r="K826" i="30" s="1"/>
  <c r="J826" i="30" s="1"/>
  <c r="L826" i="30" s="1"/>
  <c r="E826" i="30"/>
  <c r="G826" i="30"/>
  <c r="O826" i="30"/>
  <c r="A827" i="30"/>
  <c r="K827" i="30" s="1"/>
  <c r="J827" i="30" s="1"/>
  <c r="L827" i="30" s="1"/>
  <c r="E827" i="30"/>
  <c r="G827" i="30"/>
  <c r="O827" i="30"/>
  <c r="A828" i="30"/>
  <c r="K828" i="30" s="1"/>
  <c r="J828" i="30" s="1"/>
  <c r="L828" i="30" s="1"/>
  <c r="E828" i="30"/>
  <c r="G828" i="30"/>
  <c r="O828" i="30"/>
  <c r="A829" i="30"/>
  <c r="K829" i="30" s="1"/>
  <c r="J829" i="30" s="1"/>
  <c r="L829" i="30" s="1"/>
  <c r="E829" i="30"/>
  <c r="G829" i="30"/>
  <c r="O829" i="30"/>
  <c r="A830" i="30"/>
  <c r="K830" i="30" s="1"/>
  <c r="J830" i="30" s="1"/>
  <c r="E830" i="30"/>
  <c r="G830" i="30"/>
  <c r="O830" i="30"/>
  <c r="A831" i="30"/>
  <c r="K831" i="30" s="1"/>
  <c r="J831" i="30" s="1"/>
  <c r="R831" i="30" s="1"/>
  <c r="E831" i="30"/>
  <c r="G831" i="30"/>
  <c r="O831" i="30"/>
  <c r="A832" i="30"/>
  <c r="K832" i="30" s="1"/>
  <c r="J832" i="30" s="1"/>
  <c r="L832" i="30" s="1"/>
  <c r="E832" i="30"/>
  <c r="G832" i="30"/>
  <c r="O832" i="30"/>
  <c r="A833" i="30"/>
  <c r="K833" i="30" s="1"/>
  <c r="J833" i="30" s="1"/>
  <c r="R833" i="30" s="1"/>
  <c r="E833" i="30"/>
  <c r="G833" i="30"/>
  <c r="O833" i="30"/>
  <c r="A834" i="30"/>
  <c r="K834" i="30" s="1"/>
  <c r="J834" i="30" s="1"/>
  <c r="E834" i="30"/>
  <c r="G834" i="30"/>
  <c r="O834" i="30"/>
  <c r="A835" i="30"/>
  <c r="K835" i="30" s="1"/>
  <c r="J835" i="30" s="1"/>
  <c r="L835" i="30" s="1"/>
  <c r="E835" i="30"/>
  <c r="G835" i="30"/>
  <c r="O835" i="30"/>
  <c r="A836" i="30"/>
  <c r="K836" i="30" s="1"/>
  <c r="J836" i="30" s="1"/>
  <c r="L836" i="30" s="1"/>
  <c r="E836" i="30"/>
  <c r="G836" i="30"/>
  <c r="O836" i="30"/>
  <c r="A837" i="30"/>
  <c r="K837" i="30" s="1"/>
  <c r="J837" i="30" s="1"/>
  <c r="E837" i="30"/>
  <c r="G837" i="30"/>
  <c r="O837" i="30"/>
  <c r="A838" i="30"/>
  <c r="K838" i="30" s="1"/>
  <c r="J838" i="30" s="1"/>
  <c r="R838" i="30" s="1"/>
  <c r="E838" i="30"/>
  <c r="G838" i="30"/>
  <c r="O838" i="30"/>
  <c r="A839" i="30"/>
  <c r="K839" i="30" s="1"/>
  <c r="J839" i="30" s="1"/>
  <c r="L839" i="30" s="1"/>
  <c r="E839" i="30"/>
  <c r="G839" i="30"/>
  <c r="O839" i="30"/>
  <c r="A840" i="30"/>
  <c r="K840" i="30" s="1"/>
  <c r="J840" i="30" s="1"/>
  <c r="E840" i="30"/>
  <c r="G840" i="30"/>
  <c r="O840" i="30"/>
  <c r="A841" i="30"/>
  <c r="K841" i="30" s="1"/>
  <c r="J841" i="30" s="1"/>
  <c r="E841" i="30"/>
  <c r="G841" i="30"/>
  <c r="O841" i="30"/>
  <c r="A842" i="30"/>
  <c r="K842" i="30" s="1"/>
  <c r="J842" i="30" s="1"/>
  <c r="R842" i="30" s="1"/>
  <c r="E842" i="30"/>
  <c r="G842" i="30"/>
  <c r="O842" i="30"/>
  <c r="A843" i="30"/>
  <c r="K843" i="30" s="1"/>
  <c r="J843" i="30" s="1"/>
  <c r="L843" i="30" s="1"/>
  <c r="E843" i="30"/>
  <c r="G843" i="30"/>
  <c r="O843" i="30"/>
  <c r="A844" i="30"/>
  <c r="K844" i="30" s="1"/>
  <c r="J844" i="30" s="1"/>
  <c r="L844" i="30" s="1"/>
  <c r="E844" i="30"/>
  <c r="G844" i="30"/>
  <c r="O844" i="30"/>
  <c r="A845" i="30"/>
  <c r="K845" i="30" s="1"/>
  <c r="J845" i="30" s="1"/>
  <c r="L845" i="30" s="1"/>
  <c r="E845" i="30"/>
  <c r="G845" i="30"/>
  <c r="O845" i="30"/>
  <c r="A846" i="30"/>
  <c r="K846" i="30" s="1"/>
  <c r="J846" i="30" s="1"/>
  <c r="L846" i="30" s="1"/>
  <c r="E846" i="30"/>
  <c r="G846" i="30"/>
  <c r="O846" i="30"/>
  <c r="A847" i="30"/>
  <c r="K847" i="30" s="1"/>
  <c r="J847" i="30" s="1"/>
  <c r="L847" i="30" s="1"/>
  <c r="E847" i="30"/>
  <c r="G847" i="30"/>
  <c r="O847" i="30"/>
  <c r="A848" i="30"/>
  <c r="K848" i="30" s="1"/>
  <c r="J848" i="30" s="1"/>
  <c r="L848" i="30" s="1"/>
  <c r="E848" i="30"/>
  <c r="G848" i="30"/>
  <c r="O848" i="30"/>
  <c r="A849" i="30"/>
  <c r="A850" i="30"/>
  <c r="K850" i="30" s="1"/>
  <c r="J850" i="30" s="1"/>
  <c r="L850" i="30" s="1"/>
  <c r="E850" i="30"/>
  <c r="G850" i="30"/>
  <c r="A851" i="30"/>
  <c r="K851" i="30" s="1"/>
  <c r="J851" i="30" s="1"/>
  <c r="L851" i="30" s="1"/>
  <c r="E851" i="30"/>
  <c r="G851" i="30"/>
  <c r="A852" i="30"/>
  <c r="K852" i="30" s="1"/>
  <c r="J852" i="30" s="1"/>
  <c r="L852" i="30" s="1"/>
  <c r="E852" i="30"/>
  <c r="G852" i="30"/>
  <c r="A853" i="30"/>
  <c r="K853" i="30" s="1"/>
  <c r="J853" i="30" s="1"/>
  <c r="L853" i="30" s="1"/>
  <c r="E853" i="30"/>
  <c r="G853" i="30"/>
  <c r="A854" i="30"/>
  <c r="K854" i="30" s="1"/>
  <c r="J854" i="30" s="1"/>
  <c r="L854" i="30" s="1"/>
  <c r="E854" i="30"/>
  <c r="G854" i="30"/>
  <c r="A855" i="30"/>
  <c r="K855" i="30" s="1"/>
  <c r="J855" i="30" s="1"/>
  <c r="L855" i="30" s="1"/>
  <c r="E855" i="30"/>
  <c r="G855" i="30"/>
  <c r="A856" i="30"/>
  <c r="A857" i="30"/>
  <c r="K857" i="30" s="1"/>
  <c r="J857" i="30" s="1"/>
  <c r="L857" i="30" s="1"/>
  <c r="E857" i="30"/>
  <c r="G857" i="30"/>
  <c r="A858" i="30"/>
  <c r="K858" i="30" s="1"/>
  <c r="J858" i="30" s="1"/>
  <c r="L858" i="30" s="1"/>
  <c r="E858" i="30"/>
  <c r="G858" i="30"/>
  <c r="A859" i="30"/>
  <c r="K859" i="30" s="1"/>
  <c r="J859" i="30" s="1"/>
  <c r="L859" i="30" s="1"/>
  <c r="E859" i="30"/>
  <c r="G859" i="30"/>
  <c r="A860" i="30"/>
  <c r="K860" i="30" s="1"/>
  <c r="J860" i="30" s="1"/>
  <c r="L860" i="30" s="1"/>
  <c r="E860" i="30"/>
  <c r="G860" i="30"/>
  <c r="A861" i="30"/>
  <c r="K861" i="30" s="1"/>
  <c r="J861" i="30" s="1"/>
  <c r="L861" i="30" s="1"/>
  <c r="E861" i="30"/>
  <c r="G861" i="30"/>
  <c r="A862" i="30"/>
  <c r="K862" i="30" s="1"/>
  <c r="J862" i="30" s="1"/>
  <c r="L862" i="30" s="1"/>
  <c r="E862" i="30"/>
  <c r="G862" i="30"/>
  <c r="A863" i="30"/>
  <c r="A864" i="30"/>
  <c r="K864" i="30" s="1"/>
  <c r="J864" i="30" s="1"/>
  <c r="L864" i="30" s="1"/>
  <c r="E864" i="30"/>
  <c r="G864" i="30"/>
  <c r="A865" i="30"/>
  <c r="K865" i="30" s="1"/>
  <c r="J865" i="30" s="1"/>
  <c r="L865" i="30" s="1"/>
  <c r="E865" i="30"/>
  <c r="G865" i="30"/>
  <c r="A866" i="30"/>
  <c r="K866" i="30" s="1"/>
  <c r="J866" i="30" s="1"/>
  <c r="L866" i="30" s="1"/>
  <c r="E866" i="30"/>
  <c r="G866" i="30"/>
  <c r="A867" i="30"/>
  <c r="K867" i="30" s="1"/>
  <c r="J867" i="30" s="1"/>
  <c r="L867" i="30" s="1"/>
  <c r="E867" i="30"/>
  <c r="G867" i="30"/>
  <c r="A868" i="30"/>
  <c r="K868" i="30" s="1"/>
  <c r="J868" i="30" s="1"/>
  <c r="L868" i="30" s="1"/>
  <c r="E868" i="30"/>
  <c r="G868" i="30"/>
  <c r="A869" i="30"/>
  <c r="K869" i="30" s="1"/>
  <c r="J869" i="30" s="1"/>
  <c r="L869" i="30" s="1"/>
  <c r="E869" i="30"/>
  <c r="G869" i="30"/>
  <c r="A870" i="30"/>
  <c r="K870" i="30" s="1"/>
  <c r="J870" i="30" s="1"/>
  <c r="L870" i="30" s="1"/>
  <c r="E870" i="30"/>
  <c r="G870" i="30"/>
  <c r="A871" i="30"/>
  <c r="K871" i="30" s="1"/>
  <c r="J871" i="30" s="1"/>
  <c r="L871" i="30" s="1"/>
  <c r="E871" i="30"/>
  <c r="G871" i="30"/>
  <c r="A872" i="30"/>
  <c r="K872" i="30" s="1"/>
  <c r="J872" i="30" s="1"/>
  <c r="L872" i="30" s="1"/>
  <c r="E872" i="30"/>
  <c r="G872" i="30"/>
  <c r="A873" i="30"/>
  <c r="K873" i="30" s="1"/>
  <c r="J873" i="30" s="1"/>
  <c r="L873" i="30" s="1"/>
  <c r="E873" i="30"/>
  <c r="G873" i="30"/>
  <c r="A874" i="30"/>
  <c r="K874" i="30" s="1"/>
  <c r="J874" i="30" s="1"/>
  <c r="L874" i="30" s="1"/>
  <c r="E874" i="30"/>
  <c r="G874" i="30"/>
  <c r="A875" i="30"/>
  <c r="K875" i="30" s="1"/>
  <c r="J875" i="30" s="1"/>
  <c r="L875" i="30" s="1"/>
  <c r="E875" i="30"/>
  <c r="G875" i="30"/>
  <c r="A876" i="30"/>
  <c r="K876" i="30" s="1"/>
  <c r="J876" i="30" s="1"/>
  <c r="L876" i="30" s="1"/>
  <c r="E876" i="30"/>
  <c r="G876" i="30"/>
  <c r="A877" i="30"/>
  <c r="K877" i="30" s="1"/>
  <c r="J877" i="30" s="1"/>
  <c r="L877" i="30" s="1"/>
  <c r="E877" i="30"/>
  <c r="G877" i="30"/>
  <c r="A878" i="30"/>
  <c r="K878" i="30" s="1"/>
  <c r="J878" i="30" s="1"/>
  <c r="L878" i="30" s="1"/>
  <c r="E878" i="30"/>
  <c r="G878" i="30"/>
  <c r="A879" i="30"/>
  <c r="K879" i="30" s="1"/>
  <c r="J879" i="30" s="1"/>
  <c r="L879" i="30" s="1"/>
  <c r="E879" i="30"/>
  <c r="G879" i="30"/>
  <c r="A880" i="30"/>
  <c r="K880" i="30" s="1"/>
  <c r="J880" i="30" s="1"/>
  <c r="L880" i="30" s="1"/>
  <c r="E880" i="30"/>
  <c r="G880" i="30"/>
  <c r="A881" i="30"/>
  <c r="K881" i="30" s="1"/>
  <c r="J881" i="30" s="1"/>
  <c r="L881" i="30" s="1"/>
  <c r="E881" i="30"/>
  <c r="G881" i="30"/>
  <c r="A882" i="30"/>
  <c r="A883" i="30"/>
  <c r="K883" i="30" s="1"/>
  <c r="J883" i="30" s="1"/>
  <c r="L883" i="30" s="1"/>
  <c r="L882" i="30" s="1"/>
  <c r="E883" i="30"/>
  <c r="G883" i="30"/>
  <c r="A884" i="30"/>
  <c r="K884" i="30" s="1"/>
  <c r="J884" i="30" s="1"/>
  <c r="R884" i="30" s="1"/>
  <c r="O884" i="30"/>
  <c r="A885" i="30"/>
  <c r="K885" i="30" s="1"/>
  <c r="J885" i="30" s="1"/>
  <c r="R885" i="30" s="1"/>
  <c r="E885" i="30"/>
  <c r="G885" i="30"/>
  <c r="O885" i="30"/>
  <c r="A886" i="30"/>
  <c r="K886" i="30" s="1"/>
  <c r="J886" i="30" s="1"/>
  <c r="L886" i="30" s="1"/>
  <c r="E886" i="30"/>
  <c r="G886" i="30"/>
  <c r="A887" i="30"/>
  <c r="O887" i="30"/>
  <c r="R887" i="30"/>
  <c r="A888" i="30"/>
  <c r="O888" i="30"/>
  <c r="R888" i="30"/>
  <c r="A889" i="30"/>
  <c r="O889" i="30"/>
  <c r="R889" i="30"/>
  <c r="A890" i="30"/>
  <c r="K890" i="30" s="1"/>
  <c r="J890" i="30" s="1"/>
  <c r="L890" i="30" s="1"/>
  <c r="E890" i="30"/>
  <c r="G890" i="30"/>
  <c r="A891" i="30"/>
  <c r="K891" i="30" s="1"/>
  <c r="J891" i="30" s="1"/>
  <c r="L891" i="30" s="1"/>
  <c r="E891" i="30"/>
  <c r="G891" i="30"/>
  <c r="A892" i="30"/>
  <c r="E892" i="30"/>
  <c r="G892" i="30"/>
  <c r="A893" i="30"/>
  <c r="E893" i="30"/>
  <c r="G893" i="30"/>
  <c r="A894" i="30"/>
  <c r="O894" i="30"/>
  <c r="R894" i="30"/>
  <c r="A895" i="30"/>
  <c r="O895" i="30"/>
  <c r="R895" i="30"/>
  <c r="A896" i="30"/>
  <c r="O896" i="30"/>
  <c r="R896" i="30"/>
  <c r="A897" i="30"/>
  <c r="K897" i="30" s="1"/>
  <c r="J897" i="30" s="1"/>
  <c r="R897" i="30" s="1"/>
  <c r="E897" i="30"/>
  <c r="G897" i="30"/>
  <c r="I897" i="30"/>
  <c r="A898" i="30"/>
  <c r="O898" i="30"/>
  <c r="R898" i="30"/>
  <c r="A899" i="30"/>
  <c r="K899" i="30" s="1"/>
  <c r="O899" i="30"/>
  <c r="R899" i="30"/>
  <c r="A900" i="30"/>
  <c r="O900" i="30"/>
  <c r="R900" i="30"/>
  <c r="A901" i="30"/>
  <c r="K901" i="30" s="1"/>
  <c r="O901" i="30" s="1"/>
  <c r="E901" i="30"/>
  <c r="G901" i="30"/>
  <c r="A902" i="30"/>
  <c r="K902" i="30" s="1"/>
  <c r="J902" i="30" s="1"/>
  <c r="L902" i="30" s="1"/>
  <c r="E902" i="30"/>
  <c r="A903" i="30"/>
  <c r="K903" i="30" s="1"/>
  <c r="O903" i="30" s="1"/>
  <c r="E903" i="30"/>
  <c r="A904" i="30"/>
  <c r="K904" i="30" s="1"/>
  <c r="O904" i="30"/>
  <c r="R904" i="30"/>
  <c r="A905" i="30"/>
  <c r="J905" i="30"/>
  <c r="L905" i="30" s="1"/>
  <c r="O905" i="30"/>
  <c r="A906" i="30"/>
  <c r="L906" i="30"/>
  <c r="L904" i="30" s="1"/>
  <c r="O906" i="30"/>
  <c r="R906" i="30"/>
  <c r="A907" i="30"/>
  <c r="O907" i="30"/>
  <c r="R907" i="30"/>
  <c r="A908" i="30"/>
  <c r="O908" i="30"/>
  <c r="R908" i="30"/>
  <c r="A909" i="30"/>
  <c r="K909" i="30" s="1"/>
  <c r="O909" i="30"/>
  <c r="R909" i="30"/>
  <c r="A910" i="30"/>
  <c r="K910" i="30" s="1"/>
  <c r="J910" i="30" s="1"/>
  <c r="R910" i="30" s="1"/>
  <c r="E910" i="30"/>
  <c r="G910" i="30"/>
  <c r="O910" i="30"/>
  <c r="A911" i="30"/>
  <c r="K911" i="30" s="1"/>
  <c r="E911" i="30"/>
  <c r="G911" i="30"/>
  <c r="A912" i="30"/>
  <c r="K912" i="30" s="1"/>
  <c r="O912" i="30"/>
  <c r="R912" i="30"/>
  <c r="A913" i="30"/>
  <c r="K913" i="30" s="1"/>
  <c r="J913" i="30" s="1"/>
  <c r="E913" i="30"/>
  <c r="G913" i="30"/>
  <c r="O913" i="30"/>
  <c r="A914" i="30"/>
  <c r="K914" i="30" s="1"/>
  <c r="J914" i="30" s="1"/>
  <c r="L914" i="30" s="1"/>
  <c r="E914" i="30"/>
  <c r="G914" i="30"/>
  <c r="O914" i="30"/>
  <c r="A915" i="30"/>
  <c r="K915" i="30" s="1"/>
  <c r="O915" i="30"/>
  <c r="R915" i="30"/>
  <c r="A916" i="30"/>
  <c r="K916" i="30" s="1"/>
  <c r="J916" i="30" s="1"/>
  <c r="L916" i="30" s="1"/>
  <c r="L915" i="30" s="1"/>
  <c r="E916" i="30"/>
  <c r="G916" i="30"/>
  <c r="O916" i="30"/>
  <c r="A917" i="30"/>
  <c r="K917" i="30" s="1"/>
  <c r="O917" i="30"/>
  <c r="R917" i="30"/>
  <c r="A918" i="30"/>
  <c r="K918" i="30" s="1"/>
  <c r="J918" i="30" s="1"/>
  <c r="R918" i="30" s="1"/>
  <c r="E918" i="30"/>
  <c r="G918" i="30"/>
  <c r="O918" i="30"/>
  <c r="A919" i="30"/>
  <c r="K919" i="30" s="1"/>
  <c r="O919" i="30"/>
  <c r="R919" i="30"/>
  <c r="A920" i="30"/>
  <c r="E920" i="30"/>
  <c r="G920" i="30"/>
  <c r="I920" i="30"/>
  <c r="K920" i="30"/>
  <c r="J920" i="30" s="1"/>
  <c r="A921" i="30"/>
  <c r="K921" i="30" s="1"/>
  <c r="J921" i="30" s="1"/>
  <c r="L921" i="30" s="1"/>
  <c r="E921" i="30"/>
  <c r="G921" i="30"/>
  <c r="A922" i="30"/>
  <c r="O922" i="30"/>
  <c r="R922" i="30"/>
  <c r="A923" i="30"/>
  <c r="O923" i="30"/>
  <c r="R923" i="30"/>
  <c r="A924" i="30"/>
  <c r="O924" i="30"/>
  <c r="R924" i="30"/>
  <c r="A925" i="30"/>
  <c r="J925" i="30"/>
  <c r="O925" i="30"/>
  <c r="A926" i="30"/>
  <c r="O926" i="30"/>
  <c r="R926" i="30"/>
  <c r="A927" i="30"/>
  <c r="K927" i="30" s="1"/>
  <c r="O927" i="30"/>
  <c r="R927" i="30"/>
  <c r="A928" i="30"/>
  <c r="O928" i="30"/>
  <c r="R928" i="30"/>
  <c r="A929" i="30"/>
  <c r="J929" i="30"/>
  <c r="O929" i="30"/>
  <c r="R930" i="30"/>
  <c r="J935" i="30"/>
  <c r="K941" i="30"/>
  <c r="J8" i="27"/>
  <c r="A9" i="27"/>
  <c r="O9" i="27"/>
  <c r="R9" i="27"/>
  <c r="A10" i="27"/>
  <c r="O10" i="27"/>
  <c r="R10" i="27"/>
  <c r="A11" i="27"/>
  <c r="K11" i="27" s="1"/>
  <c r="J11" i="27" s="1"/>
  <c r="R11" i="27" s="1"/>
  <c r="O11" i="27"/>
  <c r="A12" i="27"/>
  <c r="K12" i="27" s="1"/>
  <c r="O12" i="27"/>
  <c r="R12" i="27"/>
  <c r="A13" i="27"/>
  <c r="O13" i="27"/>
  <c r="R13" i="27"/>
  <c r="A14" i="27"/>
  <c r="K14" i="27" s="1"/>
  <c r="J14" i="27" s="1"/>
  <c r="R14" i="27" s="1"/>
  <c r="E14" i="27"/>
  <c r="G14" i="27"/>
  <c r="O14" i="27"/>
  <c r="A15" i="27"/>
  <c r="K15" i="27" s="1"/>
  <c r="O15" i="27"/>
  <c r="R15" i="27"/>
  <c r="A16" i="27"/>
  <c r="O16" i="27"/>
  <c r="R16" i="27"/>
  <c r="A17" i="27"/>
  <c r="K17" i="27" s="1"/>
  <c r="J17" i="27" s="1"/>
  <c r="L17" i="27" s="1"/>
  <c r="E17" i="27"/>
  <c r="G17" i="27"/>
  <c r="O17" i="27"/>
  <c r="A18" i="27"/>
  <c r="K18" i="27" s="1"/>
  <c r="J18" i="27" s="1"/>
  <c r="E18" i="27"/>
  <c r="G18" i="27"/>
  <c r="O18" i="27"/>
  <c r="A19" i="27"/>
  <c r="K19" i="27" s="1"/>
  <c r="J19" i="27" s="1"/>
  <c r="L19" i="27" s="1"/>
  <c r="E19" i="27"/>
  <c r="G19" i="27"/>
  <c r="O19" i="27"/>
  <c r="A20" i="27"/>
  <c r="K20" i="27" s="1"/>
  <c r="J20" i="27" s="1"/>
  <c r="L20" i="27" s="1"/>
  <c r="E20" i="27"/>
  <c r="G20" i="27"/>
  <c r="O20" i="27"/>
  <c r="A21" i="27"/>
  <c r="K21" i="27" s="1"/>
  <c r="R21" i="27"/>
  <c r="A22" i="27"/>
  <c r="K22" i="27" s="1"/>
  <c r="J22" i="27" s="1"/>
  <c r="R22" i="27" s="1"/>
  <c r="E22" i="27"/>
  <c r="G22" i="27"/>
  <c r="O22" i="27"/>
  <c r="A23" i="27"/>
  <c r="K23" i="27" s="1"/>
  <c r="R23" i="27"/>
  <c r="A24" i="27"/>
  <c r="K24" i="27" s="1"/>
  <c r="J24" i="27" s="1"/>
  <c r="R24" i="27" s="1"/>
  <c r="E24" i="27"/>
  <c r="G24" i="27"/>
  <c r="A25" i="27"/>
  <c r="K25" i="27" s="1"/>
  <c r="J25" i="27" s="1"/>
  <c r="L25" i="27" s="1"/>
  <c r="E25" i="27"/>
  <c r="G25" i="27"/>
  <c r="A26" i="27"/>
  <c r="E26" i="27"/>
  <c r="G26" i="27"/>
  <c r="K26" i="27"/>
  <c r="J26" i="27" s="1"/>
  <c r="L26" i="27" s="1"/>
  <c r="A27" i="27"/>
  <c r="O27" i="27"/>
  <c r="R27" i="27"/>
  <c r="A28" i="27"/>
  <c r="K28" i="27" s="1"/>
  <c r="J28" i="27" s="1"/>
  <c r="R28" i="27" s="1"/>
  <c r="O28" i="27"/>
  <c r="A29" i="27"/>
  <c r="K29" i="27" s="1"/>
  <c r="O29" i="27"/>
  <c r="R29" i="27"/>
  <c r="A30" i="27"/>
  <c r="O30" i="27"/>
  <c r="R30" i="27"/>
  <c r="A31" i="27"/>
  <c r="E31" i="27"/>
  <c r="G31" i="27"/>
  <c r="J31" i="27"/>
  <c r="R31" i="27" s="1"/>
  <c r="O31" i="27"/>
  <c r="A32" i="27"/>
  <c r="E32" i="27"/>
  <c r="G32" i="27"/>
  <c r="J32" i="27"/>
  <c r="L32" i="27" s="1"/>
  <c r="A33" i="27"/>
  <c r="K33" i="27" s="1"/>
  <c r="J33" i="27" s="1"/>
  <c r="L33" i="27" s="1"/>
  <c r="E33" i="27"/>
  <c r="G33" i="27"/>
  <c r="A34" i="27"/>
  <c r="K34" i="27" s="1"/>
  <c r="J34" i="27" s="1"/>
  <c r="L34" i="27" s="1"/>
  <c r="E34" i="27"/>
  <c r="G34" i="27"/>
  <c r="A35" i="27"/>
  <c r="K35" i="27" s="1"/>
  <c r="J35" i="27" s="1"/>
  <c r="L35" i="27" s="1"/>
  <c r="E35" i="27"/>
  <c r="G35" i="27"/>
  <c r="A36" i="27"/>
  <c r="K36" i="27" s="1"/>
  <c r="J36" i="27" s="1"/>
  <c r="L36" i="27" s="1"/>
  <c r="E36" i="27"/>
  <c r="G36" i="27"/>
  <c r="A37" i="27"/>
  <c r="K37" i="27" s="1"/>
  <c r="O37" i="27"/>
  <c r="R37" i="27"/>
  <c r="A38" i="27"/>
  <c r="K38" i="27" s="1"/>
  <c r="J38" i="27" s="1"/>
  <c r="E38" i="27"/>
  <c r="O38" i="27"/>
  <c r="A39" i="27"/>
  <c r="K39" i="27" s="1"/>
  <c r="O39" i="27"/>
  <c r="R39" i="27"/>
  <c r="A40" i="27"/>
  <c r="K40" i="27" s="1"/>
  <c r="E40" i="27"/>
  <c r="G40" i="27"/>
  <c r="A41" i="27"/>
  <c r="K41" i="27" s="1"/>
  <c r="J41" i="27" s="1"/>
  <c r="L41" i="27" s="1"/>
  <c r="E41" i="27"/>
  <c r="G41" i="27"/>
  <c r="A42" i="27"/>
  <c r="K42" i="27" s="1"/>
  <c r="J42" i="27" s="1"/>
  <c r="L42" i="27" s="1"/>
  <c r="E42" i="27"/>
  <c r="G42" i="27"/>
  <c r="A43" i="27"/>
  <c r="K43" i="27" s="1"/>
  <c r="J43" i="27" s="1"/>
  <c r="L43" i="27" s="1"/>
  <c r="E43" i="27"/>
  <c r="G43" i="27"/>
  <c r="A44" i="27"/>
  <c r="K44" i="27" s="1"/>
  <c r="J44" i="27" s="1"/>
  <c r="L44" i="27" s="1"/>
  <c r="E44" i="27"/>
  <c r="G44" i="27"/>
  <c r="A45" i="27"/>
  <c r="K45" i="27" s="1"/>
  <c r="J45" i="27" s="1"/>
  <c r="L45" i="27" s="1"/>
  <c r="E45" i="27"/>
  <c r="G45" i="27"/>
  <c r="A46" i="27"/>
  <c r="K46" i="27" s="1"/>
  <c r="J46" i="27" s="1"/>
  <c r="L46" i="27" s="1"/>
  <c r="E46" i="27"/>
  <c r="G46" i="27"/>
  <c r="A47" i="27"/>
  <c r="K47" i="27" s="1"/>
  <c r="J47" i="27" s="1"/>
  <c r="L47" i="27" s="1"/>
  <c r="E47" i="27"/>
  <c r="G47" i="27"/>
  <c r="A48" i="27"/>
  <c r="K48" i="27" s="1"/>
  <c r="J48" i="27" s="1"/>
  <c r="L48" i="27" s="1"/>
  <c r="E48" i="27"/>
  <c r="G48" i="27"/>
  <c r="A49" i="27"/>
  <c r="E49" i="27"/>
  <c r="G49" i="27"/>
  <c r="J49" i="27"/>
  <c r="L49" i="27" s="1"/>
  <c r="A50" i="27"/>
  <c r="O50" i="27"/>
  <c r="R50" i="27"/>
  <c r="A51" i="27"/>
  <c r="K51" i="27" s="1"/>
  <c r="O51" i="27"/>
  <c r="R51" i="27"/>
  <c r="A52" i="27"/>
  <c r="K52" i="27" s="1"/>
  <c r="O52" i="27"/>
  <c r="R52" i="27"/>
  <c r="A53" i="27"/>
  <c r="O53" i="27"/>
  <c r="R53" i="27"/>
  <c r="A54" i="27"/>
  <c r="K54" i="27" s="1"/>
  <c r="J54" i="27" s="1"/>
  <c r="R54" i="27" s="1"/>
  <c r="E54" i="27"/>
  <c r="G54" i="27"/>
  <c r="O54" i="27"/>
  <c r="A55" i="27"/>
  <c r="K55" i="27" s="1"/>
  <c r="J55" i="27" s="1"/>
  <c r="R55" i="27" s="1"/>
  <c r="E55" i="27"/>
  <c r="G55" i="27"/>
  <c r="O55" i="27"/>
  <c r="A56" i="27"/>
  <c r="K56" i="27" s="1"/>
  <c r="A57" i="27"/>
  <c r="K57" i="27" s="1"/>
  <c r="A58" i="27"/>
  <c r="K58" i="27" s="1"/>
  <c r="J58" i="27" s="1"/>
  <c r="L58" i="27" s="1"/>
  <c r="E58" i="27"/>
  <c r="G58" i="27"/>
  <c r="A59" i="27"/>
  <c r="K59" i="27" s="1"/>
  <c r="J59" i="27" s="1"/>
  <c r="L59" i="27" s="1"/>
  <c r="E59" i="27"/>
  <c r="G59" i="27"/>
  <c r="A60" i="27"/>
  <c r="K60" i="27" s="1"/>
  <c r="J60" i="27" s="1"/>
  <c r="L60" i="27" s="1"/>
  <c r="E60" i="27"/>
  <c r="G60" i="27"/>
  <c r="A61" i="27"/>
  <c r="K61" i="27" s="1"/>
  <c r="J61" i="27" s="1"/>
  <c r="L61" i="27" s="1"/>
  <c r="E61" i="27"/>
  <c r="G61" i="27"/>
  <c r="A62" i="27"/>
  <c r="K62" i="27" s="1"/>
  <c r="J62" i="27" s="1"/>
  <c r="L62" i="27" s="1"/>
  <c r="E62" i="27"/>
  <c r="G62" i="27"/>
  <c r="A63" i="27"/>
  <c r="K63" i="27" s="1"/>
  <c r="J63" i="27" s="1"/>
  <c r="L63" i="27" s="1"/>
  <c r="E63" i="27"/>
  <c r="G63" i="27"/>
  <c r="A64" i="27"/>
  <c r="K64" i="27" s="1"/>
  <c r="J64" i="27" s="1"/>
  <c r="L64" i="27" s="1"/>
  <c r="E64" i="27"/>
  <c r="G64" i="27"/>
  <c r="A65" i="27"/>
  <c r="K65" i="27" s="1"/>
  <c r="J65" i="27" s="1"/>
  <c r="L65" i="27" s="1"/>
  <c r="E65" i="27"/>
  <c r="G65" i="27"/>
  <c r="A66" i="27"/>
  <c r="K66" i="27" s="1"/>
  <c r="J66" i="27" s="1"/>
  <c r="L66" i="27" s="1"/>
  <c r="E66" i="27"/>
  <c r="G66" i="27"/>
  <c r="A67" i="27"/>
  <c r="K67" i="27" s="1"/>
  <c r="O67" i="27"/>
  <c r="R67" i="27"/>
  <c r="A68" i="27"/>
  <c r="K68" i="27" s="1"/>
  <c r="O68" i="27"/>
  <c r="R68" i="27"/>
  <c r="A69" i="27"/>
  <c r="K69" i="27" s="1"/>
  <c r="E69" i="27"/>
  <c r="G69" i="27"/>
  <c r="I69" i="27"/>
  <c r="I74" i="27" s="1"/>
  <c r="A70" i="27"/>
  <c r="K70" i="27" s="1"/>
  <c r="J70" i="27" s="1"/>
  <c r="L70" i="27" s="1"/>
  <c r="E70" i="27"/>
  <c r="G70" i="27"/>
  <c r="A71" i="27"/>
  <c r="K71" i="27" s="1"/>
  <c r="J71" i="27" s="1"/>
  <c r="L71" i="27" s="1"/>
  <c r="E71" i="27"/>
  <c r="G71" i="27"/>
  <c r="A72" i="27"/>
  <c r="K72" i="27" s="1"/>
  <c r="J72" i="27" s="1"/>
  <c r="L72" i="27" s="1"/>
  <c r="E72" i="27"/>
  <c r="G72" i="27"/>
  <c r="A73" i="27"/>
  <c r="K73" i="27" s="1"/>
  <c r="J73" i="27" s="1"/>
  <c r="L73" i="27" s="1"/>
  <c r="E73" i="27"/>
  <c r="G73" i="27"/>
  <c r="A74" i="27"/>
  <c r="K74" i="27" s="1"/>
  <c r="J74" i="27" s="1"/>
  <c r="E74" i="27"/>
  <c r="G74" i="27"/>
  <c r="A75" i="27"/>
  <c r="K75" i="27" s="1"/>
  <c r="J75" i="27" s="1"/>
  <c r="E75" i="27"/>
  <c r="G75" i="27"/>
  <c r="A76" i="27"/>
  <c r="K76" i="27" s="1"/>
  <c r="O76" i="27"/>
  <c r="R76" i="27"/>
  <c r="A77" i="27"/>
  <c r="O77" i="27"/>
  <c r="R77" i="27"/>
  <c r="A78" i="27"/>
  <c r="E78" i="27"/>
  <c r="G78" i="27"/>
  <c r="K78" i="27"/>
  <c r="J78" i="27" s="1"/>
  <c r="L78" i="27" s="1"/>
  <c r="A79" i="27"/>
  <c r="K79" i="27" s="1"/>
  <c r="J79" i="27" s="1"/>
  <c r="R79" i="27" s="1"/>
  <c r="E79" i="27"/>
  <c r="G79" i="27"/>
  <c r="O79" i="27"/>
  <c r="A80" i="27"/>
  <c r="O80" i="27"/>
  <c r="R80" i="27"/>
  <c r="A81" i="27"/>
  <c r="K81" i="27" s="1"/>
  <c r="J81" i="27" s="1"/>
  <c r="R81" i="27" s="1"/>
  <c r="O81" i="27"/>
  <c r="A82" i="27"/>
  <c r="K82" i="27" s="1"/>
  <c r="O82" i="27"/>
  <c r="R82" i="27"/>
  <c r="A83" i="27"/>
  <c r="K83" i="27" s="1"/>
  <c r="O83" i="27"/>
  <c r="R83" i="27"/>
  <c r="A84" i="27"/>
  <c r="K84" i="27" s="1"/>
  <c r="J84" i="27" s="1"/>
  <c r="L84" i="27" s="1"/>
  <c r="E84" i="27"/>
  <c r="G84" i="27"/>
  <c r="A85" i="27"/>
  <c r="K85" i="27" s="1"/>
  <c r="J85" i="27" s="1"/>
  <c r="L85" i="27" s="1"/>
  <c r="E85" i="27"/>
  <c r="G85" i="27"/>
  <c r="A86" i="27"/>
  <c r="K86" i="27" s="1"/>
  <c r="J86" i="27" s="1"/>
  <c r="L86" i="27" s="1"/>
  <c r="E86" i="27"/>
  <c r="G86" i="27"/>
  <c r="A87" i="27"/>
  <c r="K87" i="27" s="1"/>
  <c r="J87" i="27" s="1"/>
  <c r="L87" i="27" s="1"/>
  <c r="E87" i="27"/>
  <c r="G87" i="27"/>
  <c r="A88" i="27"/>
  <c r="K88" i="27" s="1"/>
  <c r="J88" i="27" s="1"/>
  <c r="L88" i="27" s="1"/>
  <c r="E88" i="27"/>
  <c r="G88" i="27"/>
  <c r="A89" i="27"/>
  <c r="K89" i="27" s="1"/>
  <c r="J89" i="27" s="1"/>
  <c r="L89" i="27" s="1"/>
  <c r="E89" i="27"/>
  <c r="G89" i="27"/>
  <c r="A90" i="27"/>
  <c r="K90" i="27" s="1"/>
  <c r="J90" i="27" s="1"/>
  <c r="L90" i="27" s="1"/>
  <c r="E90" i="27"/>
  <c r="G90" i="27"/>
  <c r="A91" i="27"/>
  <c r="K91" i="27" s="1"/>
  <c r="J91" i="27" s="1"/>
  <c r="L91" i="27" s="1"/>
  <c r="E91" i="27"/>
  <c r="G91" i="27"/>
  <c r="A92" i="27"/>
  <c r="K92" i="27" s="1"/>
  <c r="J92" i="27" s="1"/>
  <c r="L92" i="27" s="1"/>
  <c r="E92" i="27"/>
  <c r="G92" i="27"/>
  <c r="A93" i="27"/>
  <c r="K93" i="27" s="1"/>
  <c r="J93" i="27" s="1"/>
  <c r="L93" i="27" s="1"/>
  <c r="E93" i="27"/>
  <c r="G93" i="27"/>
  <c r="A94" i="27"/>
  <c r="K94" i="27" s="1"/>
  <c r="J94" i="27" s="1"/>
  <c r="L94" i="27" s="1"/>
  <c r="E94" i="27"/>
  <c r="G94" i="27"/>
  <c r="A95" i="27"/>
  <c r="E95" i="27"/>
  <c r="G95" i="27"/>
  <c r="A96" i="27"/>
  <c r="K96" i="27" s="1"/>
  <c r="J96" i="27" s="1"/>
  <c r="L96" i="27" s="1"/>
  <c r="E96" i="27"/>
  <c r="G96" i="27"/>
  <c r="A97" i="27"/>
  <c r="K97" i="27" s="1"/>
  <c r="J97" i="27" s="1"/>
  <c r="L97" i="27" s="1"/>
  <c r="E97" i="27"/>
  <c r="G97" i="27"/>
  <c r="A98" i="27"/>
  <c r="K98" i="27" s="1"/>
  <c r="J98" i="27" s="1"/>
  <c r="L98" i="27" s="1"/>
  <c r="E98" i="27"/>
  <c r="G98" i="27"/>
  <c r="A99" i="27"/>
  <c r="K99" i="27" s="1"/>
  <c r="J99" i="27" s="1"/>
  <c r="L99" i="27" s="1"/>
  <c r="E99" i="27"/>
  <c r="G99" i="27"/>
  <c r="A100" i="27"/>
  <c r="K100" i="27" s="1"/>
  <c r="J100" i="27" s="1"/>
  <c r="L100" i="27" s="1"/>
  <c r="E100" i="27"/>
  <c r="G100" i="27"/>
  <c r="A101" i="27"/>
  <c r="K101" i="27" s="1"/>
  <c r="J101" i="27" s="1"/>
  <c r="L101" i="27" s="1"/>
  <c r="E101" i="27"/>
  <c r="G101" i="27"/>
  <c r="A102" i="27"/>
  <c r="K102" i="27" s="1"/>
  <c r="J102" i="27" s="1"/>
  <c r="L102" i="27" s="1"/>
  <c r="E102" i="27"/>
  <c r="G102" i="27"/>
  <c r="A103" i="27"/>
  <c r="K103" i="27" s="1"/>
  <c r="J103" i="27" s="1"/>
  <c r="L103" i="27" s="1"/>
  <c r="E103" i="27"/>
  <c r="G103" i="27"/>
  <c r="A104" i="27"/>
  <c r="K104" i="27" s="1"/>
  <c r="J104" i="27" s="1"/>
  <c r="L104" i="27" s="1"/>
  <c r="E104" i="27"/>
  <c r="G104" i="27"/>
  <c r="A105" i="27"/>
  <c r="K105" i="27" s="1"/>
  <c r="J105" i="27" s="1"/>
  <c r="L105" i="27" s="1"/>
  <c r="E105" i="27"/>
  <c r="G105" i="27"/>
  <c r="A106" i="27"/>
  <c r="K106" i="27" s="1"/>
  <c r="J106" i="27" s="1"/>
  <c r="L106" i="27" s="1"/>
  <c r="E106" i="27"/>
  <c r="G106" i="27"/>
  <c r="A107" i="27"/>
  <c r="K107" i="27" s="1"/>
  <c r="J107" i="27" s="1"/>
  <c r="L107" i="27" s="1"/>
  <c r="E107" i="27"/>
  <c r="G107" i="27"/>
  <c r="A108" i="27"/>
  <c r="K108" i="27" s="1"/>
  <c r="J108" i="27" s="1"/>
  <c r="L108" i="27" s="1"/>
  <c r="E108" i="27"/>
  <c r="G108" i="27"/>
  <c r="A109" i="27"/>
  <c r="K109" i="27" s="1"/>
  <c r="J109" i="27" s="1"/>
  <c r="L109" i="27" s="1"/>
  <c r="E109" i="27"/>
  <c r="G109" i="27"/>
  <c r="A110" i="27"/>
  <c r="K110" i="27" s="1"/>
  <c r="J110" i="27" s="1"/>
  <c r="L110" i="27" s="1"/>
  <c r="E110" i="27"/>
  <c r="G110" i="27"/>
  <c r="A111" i="27"/>
  <c r="K111" i="27" s="1"/>
  <c r="O111" i="27"/>
  <c r="R111" i="27"/>
  <c r="A112" i="27"/>
  <c r="K112" i="27" s="1"/>
  <c r="J112" i="27" s="1"/>
  <c r="E112" i="27"/>
  <c r="G112" i="27"/>
  <c r="O112" i="27"/>
  <c r="A113" i="27"/>
  <c r="K113" i="27" s="1"/>
  <c r="O113" i="27"/>
  <c r="R113" i="27"/>
  <c r="A114" i="27"/>
  <c r="O114" i="27"/>
  <c r="R114" i="27"/>
  <c r="A115" i="27"/>
  <c r="E115" i="27"/>
  <c r="G115" i="27"/>
  <c r="I115" i="27"/>
  <c r="J115" i="27"/>
  <c r="R115" i="27" s="1"/>
  <c r="A116" i="27"/>
  <c r="A117" i="27"/>
  <c r="K117" i="27" s="1"/>
  <c r="J117" i="27" s="1"/>
  <c r="L117" i="27" s="1"/>
  <c r="E117" i="27"/>
  <c r="G117" i="27"/>
  <c r="A118" i="27"/>
  <c r="K118" i="27" s="1"/>
  <c r="J118" i="27" s="1"/>
  <c r="L118" i="27" s="1"/>
  <c r="E118" i="27"/>
  <c r="G118" i="27"/>
  <c r="A119" i="27"/>
  <c r="K119" i="27" s="1"/>
  <c r="J119" i="27" s="1"/>
  <c r="L119" i="27" s="1"/>
  <c r="E119" i="27"/>
  <c r="G119" i="27"/>
  <c r="A120" i="27"/>
  <c r="K120" i="27" s="1"/>
  <c r="J120" i="27" s="1"/>
  <c r="L120" i="27" s="1"/>
  <c r="E120" i="27"/>
  <c r="G120" i="27"/>
  <c r="A121" i="27"/>
  <c r="A122" i="27"/>
  <c r="K122" i="27" s="1"/>
  <c r="J122" i="27" s="1"/>
  <c r="L122" i="27" s="1"/>
  <c r="L121" i="27" s="1"/>
  <c r="E122" i="27"/>
  <c r="G122" i="27"/>
  <c r="A123" i="27"/>
  <c r="K123" i="27" s="1"/>
  <c r="O123" i="27"/>
  <c r="R123" i="27"/>
  <c r="A124" i="27"/>
  <c r="O124" i="27"/>
  <c r="R124" i="27"/>
  <c r="A125" i="27"/>
  <c r="K125" i="27" s="1"/>
  <c r="J125" i="27" s="1"/>
  <c r="L125" i="27" s="1"/>
  <c r="E125" i="27"/>
  <c r="G125" i="27"/>
  <c r="A126" i="27"/>
  <c r="K126" i="27" s="1"/>
  <c r="J126" i="27" s="1"/>
  <c r="L126" i="27" s="1"/>
  <c r="E126" i="27"/>
  <c r="G126" i="27"/>
  <c r="A127" i="27"/>
  <c r="K127" i="27" s="1"/>
  <c r="J127" i="27" s="1"/>
  <c r="L127" i="27" s="1"/>
  <c r="E127" i="27"/>
  <c r="G127" i="27"/>
  <c r="A128" i="27"/>
  <c r="K128" i="27" s="1"/>
  <c r="J128" i="27" s="1"/>
  <c r="E128" i="27"/>
  <c r="G128" i="27"/>
  <c r="O128" i="27"/>
  <c r="A129" i="27"/>
  <c r="K129" i="27" s="1"/>
  <c r="J129" i="27" s="1"/>
  <c r="L129" i="27" s="1"/>
  <c r="E129" i="27"/>
  <c r="G129" i="27"/>
  <c r="A130" i="27"/>
  <c r="K130" i="27" s="1"/>
  <c r="J130" i="27" s="1"/>
  <c r="R130" i="27" s="1"/>
  <c r="E130" i="27"/>
  <c r="G130" i="27"/>
  <c r="O130" i="27"/>
  <c r="A131" i="27"/>
  <c r="K131" i="27" s="1"/>
  <c r="J131" i="27" s="1"/>
  <c r="L131" i="27" s="1"/>
  <c r="E131" i="27"/>
  <c r="G131" i="27"/>
  <c r="A132" i="27"/>
  <c r="K132" i="27" s="1"/>
  <c r="J132" i="27" s="1"/>
  <c r="L132" i="27" s="1"/>
  <c r="E132" i="27"/>
  <c r="G132" i="27"/>
  <c r="A133" i="27"/>
  <c r="E133" i="27"/>
  <c r="G133" i="27"/>
  <c r="A134" i="27"/>
  <c r="K134" i="27" s="1"/>
  <c r="J134" i="27" s="1"/>
  <c r="L134" i="27" s="1"/>
  <c r="E134" i="27"/>
  <c r="G134" i="27"/>
  <c r="A135" i="27"/>
  <c r="K135" i="27" s="1"/>
  <c r="J135" i="27" s="1"/>
  <c r="L135" i="27" s="1"/>
  <c r="E135" i="27"/>
  <c r="G135" i="27"/>
  <c r="A136" i="27"/>
  <c r="K136" i="27" s="1"/>
  <c r="J136" i="27" s="1"/>
  <c r="L136" i="27" s="1"/>
  <c r="E136" i="27"/>
  <c r="G136" i="27"/>
  <c r="A137" i="27"/>
  <c r="K137" i="27" s="1"/>
  <c r="E137" i="27"/>
  <c r="G137" i="27"/>
  <c r="A138" i="27"/>
  <c r="O138" i="27"/>
  <c r="R138" i="27"/>
  <c r="A139" i="27"/>
  <c r="K139" i="27" s="1"/>
  <c r="J139" i="27" s="1"/>
  <c r="R139" i="27" s="1"/>
  <c r="O139" i="27"/>
  <c r="A140" i="27"/>
  <c r="K140" i="27" s="1"/>
  <c r="O140" i="27"/>
  <c r="R140" i="27"/>
  <c r="A141" i="27"/>
  <c r="O141" i="27"/>
  <c r="R141" i="27"/>
  <c r="A142" i="27"/>
  <c r="A143" i="27"/>
  <c r="O143" i="27"/>
  <c r="R143" i="27"/>
  <c r="A144" i="27"/>
  <c r="O144" i="27"/>
  <c r="R144" i="27"/>
  <c r="A145" i="27"/>
  <c r="A146" i="27"/>
  <c r="O146" i="27"/>
  <c r="R146" i="27"/>
  <c r="A147" i="27"/>
  <c r="R147" i="27"/>
  <c r="A148" i="27"/>
  <c r="K148" i="27" s="1"/>
  <c r="J148" i="27" s="1"/>
  <c r="R148" i="27" s="1"/>
  <c r="E148" i="27"/>
  <c r="G148" i="27"/>
  <c r="O148" i="27"/>
  <c r="A149" i="27"/>
  <c r="A150" i="27"/>
  <c r="A151" i="27"/>
  <c r="K151" i="27" s="1"/>
  <c r="J151" i="27" s="1"/>
  <c r="L151" i="27" s="1"/>
  <c r="L150" i="27" s="1"/>
  <c r="E151" i="27"/>
  <c r="G151" i="27"/>
  <c r="A152" i="27"/>
  <c r="O152" i="27"/>
  <c r="R152" i="27"/>
  <c r="A153" i="27"/>
  <c r="K153" i="27" s="1"/>
  <c r="J153" i="27" s="1"/>
  <c r="R153" i="27" s="1"/>
  <c r="O153" i="27"/>
  <c r="A154" i="27"/>
  <c r="K154" i="27" s="1"/>
  <c r="O154" i="27"/>
  <c r="R154" i="27"/>
  <c r="A155" i="27"/>
  <c r="O155" i="27"/>
  <c r="R155" i="27"/>
  <c r="A156" i="27"/>
  <c r="K156" i="27" s="1"/>
  <c r="E156" i="27"/>
  <c r="G156" i="27"/>
  <c r="I156" i="27"/>
  <c r="A157" i="27"/>
  <c r="K157" i="27" s="1"/>
  <c r="J157" i="27" s="1"/>
  <c r="E157" i="27"/>
  <c r="G157" i="27"/>
  <c r="I157" i="27"/>
  <c r="A158" i="27"/>
  <c r="E158" i="27"/>
  <c r="G158" i="27"/>
  <c r="I158" i="27"/>
  <c r="K158" i="27"/>
  <c r="A159" i="27"/>
  <c r="K159" i="27" s="1"/>
  <c r="E159" i="27"/>
  <c r="G159" i="27"/>
  <c r="I159" i="27"/>
  <c r="A160" i="27"/>
  <c r="K160" i="27" s="1"/>
  <c r="J160" i="27" s="1"/>
  <c r="R160" i="27" s="1"/>
  <c r="E160" i="27"/>
  <c r="G160" i="27"/>
  <c r="I160" i="27"/>
  <c r="A161" i="27"/>
  <c r="K161" i="27" s="1"/>
  <c r="E161" i="27"/>
  <c r="G161" i="27"/>
  <c r="I161" i="27"/>
  <c r="A162" i="27"/>
  <c r="K162" i="27" s="1"/>
  <c r="O162" i="27"/>
  <c r="R162" i="27"/>
  <c r="A163" i="27"/>
  <c r="O163" i="27"/>
  <c r="R163" i="27"/>
  <c r="A164" i="27"/>
  <c r="K164" i="27" s="1"/>
  <c r="J164" i="27" s="1"/>
  <c r="E164" i="27"/>
  <c r="G164" i="27"/>
  <c r="I164" i="27"/>
  <c r="A165" i="27"/>
  <c r="K165" i="27" s="1"/>
  <c r="J165" i="27" s="1"/>
  <c r="E165" i="27"/>
  <c r="G165" i="27"/>
  <c r="O165" i="27"/>
  <c r="A166" i="27"/>
  <c r="K166" i="27" s="1"/>
  <c r="O166" i="27"/>
  <c r="R166" i="27"/>
  <c r="A167" i="27"/>
  <c r="K167" i="27" s="1"/>
  <c r="O167" i="27"/>
  <c r="R167" i="27"/>
  <c r="A168" i="27"/>
  <c r="K168" i="27" s="1"/>
  <c r="J168" i="27" s="1"/>
  <c r="R168" i="27" s="1"/>
  <c r="E168" i="27"/>
  <c r="G168" i="27"/>
  <c r="I168" i="27"/>
  <c r="A169" i="27"/>
  <c r="K169" i="27" s="1"/>
  <c r="O169" i="27"/>
  <c r="R169" i="27"/>
  <c r="A170" i="27"/>
  <c r="I170" i="27"/>
  <c r="K170" i="27"/>
  <c r="O170" i="27" s="1"/>
  <c r="A171" i="27"/>
  <c r="K171" i="27" s="1"/>
  <c r="R171" i="27"/>
  <c r="A172" i="27"/>
  <c r="I172" i="27"/>
  <c r="O172" i="27" s="1"/>
  <c r="J172" i="27"/>
  <c r="A173" i="27"/>
  <c r="K173" i="27" s="1"/>
  <c r="O173" i="27"/>
  <c r="R173" i="27"/>
  <c r="A174" i="27"/>
  <c r="O174" i="27"/>
  <c r="R174" i="27"/>
  <c r="A175" i="27"/>
  <c r="I175" i="27"/>
  <c r="K175" i="27"/>
  <c r="A176" i="27"/>
  <c r="I176" i="27"/>
  <c r="L176" i="27" s="1"/>
  <c r="K176" i="27"/>
  <c r="J176" i="27" s="1"/>
  <c r="R176" i="27" s="1"/>
  <c r="A177" i="27"/>
  <c r="O177" i="27"/>
  <c r="R177" i="27"/>
  <c r="A178" i="27"/>
  <c r="O178" i="27"/>
  <c r="R178" i="27"/>
  <c r="A179" i="27"/>
  <c r="K179" i="27" s="1"/>
  <c r="J179" i="27" s="1"/>
  <c r="R179" i="27" s="1"/>
  <c r="O179" i="27"/>
  <c r="A180" i="27"/>
  <c r="K180" i="27" s="1"/>
  <c r="J180" i="27" s="1"/>
  <c r="R180" i="27" s="1"/>
  <c r="O180" i="27"/>
  <c r="A181" i="27"/>
  <c r="K181" i="27" s="1"/>
  <c r="J181" i="27" s="1"/>
  <c r="R181" i="27" s="1"/>
  <c r="O181" i="27"/>
  <c r="A182" i="27"/>
  <c r="L182" i="27"/>
  <c r="L181" i="27" s="1"/>
  <c r="O182" i="27"/>
  <c r="R182" i="27"/>
  <c r="A183" i="27"/>
  <c r="O183" i="27"/>
  <c r="R183" i="27"/>
  <c r="A184" i="27"/>
  <c r="K184" i="27" s="1"/>
  <c r="J184" i="27" s="1"/>
  <c r="R184" i="27" s="1"/>
  <c r="O184" i="27"/>
  <c r="A185" i="27"/>
  <c r="K185" i="27" s="1"/>
  <c r="O185" i="27"/>
  <c r="R185" i="27"/>
  <c r="A186" i="27"/>
  <c r="K186" i="27" s="1"/>
  <c r="O186" i="27"/>
  <c r="R186" i="27"/>
  <c r="A187" i="27"/>
  <c r="K187" i="27" s="1"/>
  <c r="J187" i="27" s="1"/>
  <c r="L187" i="27" s="1"/>
  <c r="E187" i="27"/>
  <c r="G187" i="27"/>
  <c r="A188" i="27"/>
  <c r="K188" i="27" s="1"/>
  <c r="J188" i="27" s="1"/>
  <c r="L188" i="27" s="1"/>
  <c r="E188" i="27"/>
  <c r="G188" i="27"/>
  <c r="A189" i="27"/>
  <c r="K189" i="27" s="1"/>
  <c r="J189" i="27" s="1"/>
  <c r="L189" i="27" s="1"/>
  <c r="E189" i="27"/>
  <c r="G189" i="27"/>
  <c r="A190" i="27"/>
  <c r="K190" i="27" s="1"/>
  <c r="J190" i="27" s="1"/>
  <c r="L190" i="27" s="1"/>
  <c r="E190" i="27"/>
  <c r="G190" i="27"/>
  <c r="A191" i="27"/>
  <c r="K191" i="27" s="1"/>
  <c r="J191" i="27" s="1"/>
  <c r="L191" i="27" s="1"/>
  <c r="E191" i="27"/>
  <c r="G191" i="27"/>
  <c r="A192" i="27"/>
  <c r="K192" i="27" s="1"/>
  <c r="J192" i="27" s="1"/>
  <c r="E192" i="27"/>
  <c r="G192" i="27"/>
  <c r="O192" i="27"/>
  <c r="A193" i="27"/>
  <c r="K193" i="27" s="1"/>
  <c r="J193" i="27" s="1"/>
  <c r="L193" i="27" s="1"/>
  <c r="E193" i="27"/>
  <c r="G193" i="27"/>
  <c r="O193" i="27"/>
  <c r="A194" i="27"/>
  <c r="K194" i="27" s="1"/>
  <c r="J194" i="27" s="1"/>
  <c r="E194" i="27"/>
  <c r="G194" i="27"/>
  <c r="O194" i="27"/>
  <c r="A195" i="27"/>
  <c r="K195" i="27" s="1"/>
  <c r="J195" i="27" s="1"/>
  <c r="E195" i="27"/>
  <c r="G195" i="27"/>
  <c r="O195" i="27"/>
  <c r="A196" i="27"/>
  <c r="K196" i="27" s="1"/>
  <c r="J196" i="27" s="1"/>
  <c r="E196" i="27"/>
  <c r="G196" i="27"/>
  <c r="I196" i="27"/>
  <c r="O196" i="27" s="1"/>
  <c r="A197" i="27"/>
  <c r="K197" i="27" s="1"/>
  <c r="J197" i="27" s="1"/>
  <c r="L197" i="27" s="1"/>
  <c r="E197" i="27"/>
  <c r="G197" i="27"/>
  <c r="O197" i="27"/>
  <c r="A198" i="27"/>
  <c r="K198" i="27" s="1"/>
  <c r="J198" i="27" s="1"/>
  <c r="R198" i="27" s="1"/>
  <c r="E198" i="27"/>
  <c r="G198" i="27"/>
  <c r="O198" i="27"/>
  <c r="A199" i="27"/>
  <c r="K199" i="27" s="1"/>
  <c r="J199" i="27" s="1"/>
  <c r="L199" i="27" s="1"/>
  <c r="E199" i="27"/>
  <c r="G199" i="27"/>
  <c r="A200" i="27"/>
  <c r="K200" i="27" s="1"/>
  <c r="J200" i="27" s="1"/>
  <c r="R200" i="27" s="1"/>
  <c r="E200" i="27"/>
  <c r="G200" i="27"/>
  <c r="O200" i="27"/>
  <c r="A201" i="27"/>
  <c r="K201" i="27" s="1"/>
  <c r="J201" i="27" s="1"/>
  <c r="R201" i="27" s="1"/>
  <c r="O201" i="27"/>
  <c r="A202" i="27"/>
  <c r="K202" i="27" s="1"/>
  <c r="J202" i="27" s="1"/>
  <c r="L202" i="27" s="1"/>
  <c r="L201" i="27" s="1"/>
  <c r="E202" i="27"/>
  <c r="G202" i="27"/>
  <c r="O202" i="27"/>
  <c r="A203" i="27"/>
  <c r="K203" i="27" s="1"/>
  <c r="J203" i="27" s="1"/>
  <c r="R203" i="27" s="1"/>
  <c r="O203" i="27"/>
  <c r="A204" i="27"/>
  <c r="K204" i="27" s="1"/>
  <c r="J204" i="27" s="1"/>
  <c r="R204" i="27" s="1"/>
  <c r="E204" i="27"/>
  <c r="G204" i="27"/>
  <c r="O204" i="27"/>
  <c r="A205" i="27"/>
  <c r="K205" i="27" s="1"/>
  <c r="J205" i="27" s="1"/>
  <c r="E205" i="27"/>
  <c r="G205" i="27"/>
  <c r="I205" i="27"/>
  <c r="O205" i="27" s="1"/>
  <c r="A206" i="27"/>
  <c r="K206" i="27" s="1"/>
  <c r="J206" i="27" s="1"/>
  <c r="E206" i="27"/>
  <c r="G206" i="27"/>
  <c r="I206" i="27"/>
  <c r="O206" i="27" s="1"/>
  <c r="A207" i="27"/>
  <c r="E207" i="27"/>
  <c r="G207" i="27"/>
  <c r="I207" i="27"/>
  <c r="I208" i="27" s="1"/>
  <c r="O208" i="27" s="1"/>
  <c r="A208" i="27"/>
  <c r="K208" i="27" s="1"/>
  <c r="J208" i="27" s="1"/>
  <c r="E208" i="27"/>
  <c r="G208" i="27"/>
  <c r="A209" i="27"/>
  <c r="K209" i="27" s="1"/>
  <c r="J209" i="27" s="1"/>
  <c r="E209" i="27"/>
  <c r="G209" i="27"/>
  <c r="I209" i="27"/>
  <c r="O209" i="27" s="1"/>
  <c r="A210" i="27"/>
  <c r="K210" i="27" s="1"/>
  <c r="J210" i="27" s="1"/>
  <c r="E210" i="27"/>
  <c r="G210" i="27"/>
  <c r="I210" i="27"/>
  <c r="O210" i="27" s="1"/>
  <c r="A211" i="27"/>
  <c r="K211" i="27" s="1"/>
  <c r="J211" i="27" s="1"/>
  <c r="L211" i="27" s="1"/>
  <c r="E211" i="27"/>
  <c r="G211" i="27"/>
  <c r="O211" i="27"/>
  <c r="A212" i="27"/>
  <c r="K212" i="27" s="1"/>
  <c r="J212" i="27" s="1"/>
  <c r="R212" i="27" s="1"/>
  <c r="O212" i="27"/>
  <c r="A213" i="27"/>
  <c r="K213" i="27" s="1"/>
  <c r="J213" i="27" s="1"/>
  <c r="E213" i="27"/>
  <c r="G213" i="27"/>
  <c r="I213" i="27"/>
  <c r="O213" i="27" s="1"/>
  <c r="A214" i="27"/>
  <c r="O214" i="27"/>
  <c r="R214" i="27"/>
  <c r="A215" i="27"/>
  <c r="O215" i="27"/>
  <c r="R215" i="27"/>
  <c r="A216" i="27"/>
  <c r="K216" i="27" s="1"/>
  <c r="O216" i="27"/>
  <c r="R216" i="27"/>
  <c r="A217" i="27"/>
  <c r="K217" i="27" s="1"/>
  <c r="O217" i="27"/>
  <c r="R217" i="27"/>
  <c r="A218" i="27"/>
  <c r="K218" i="27" s="1"/>
  <c r="E218" i="27"/>
  <c r="G218" i="27"/>
  <c r="I218" i="27"/>
  <c r="A219" i="27"/>
  <c r="K219" i="27" s="1"/>
  <c r="J219" i="27" s="1"/>
  <c r="R219" i="27" s="1"/>
  <c r="E219" i="27"/>
  <c r="G219" i="27"/>
  <c r="O219" i="27"/>
  <c r="A220" i="27"/>
  <c r="K220" i="27" s="1"/>
  <c r="J220" i="27" s="1"/>
  <c r="E220" i="27"/>
  <c r="G220" i="27"/>
  <c r="O220" i="27"/>
  <c r="A221" i="27"/>
  <c r="K221" i="27" s="1"/>
  <c r="E221" i="27"/>
  <c r="G221" i="27"/>
  <c r="A222" i="27"/>
  <c r="K222" i="27" s="1"/>
  <c r="J222" i="27" s="1"/>
  <c r="L222" i="27" s="1"/>
  <c r="E222" i="27"/>
  <c r="G222" i="27"/>
  <c r="O222" i="27"/>
  <c r="A223" i="27"/>
  <c r="K223" i="27" s="1"/>
  <c r="J223" i="27" s="1"/>
  <c r="R223" i="27" s="1"/>
  <c r="E223" i="27"/>
  <c r="G223" i="27"/>
  <c r="A224" i="27"/>
  <c r="K224" i="27" s="1"/>
  <c r="O224" i="27"/>
  <c r="R224" i="27"/>
  <c r="A225" i="27"/>
  <c r="K225" i="27" s="1"/>
  <c r="E225" i="27"/>
  <c r="G225" i="27"/>
  <c r="I225" i="27"/>
  <c r="I230" i="27" s="1"/>
  <c r="A226" i="27"/>
  <c r="K226" i="27" s="1"/>
  <c r="J226" i="27" s="1"/>
  <c r="L226" i="27" s="1"/>
  <c r="E226" i="27"/>
  <c r="G226" i="27"/>
  <c r="O226" i="27"/>
  <c r="A227" i="27"/>
  <c r="K227" i="27" s="1"/>
  <c r="J227" i="27" s="1"/>
  <c r="R227" i="27" s="1"/>
  <c r="E227" i="27"/>
  <c r="G227" i="27"/>
  <c r="O227" i="27"/>
  <c r="A228" i="27"/>
  <c r="K228" i="27" s="1"/>
  <c r="J228" i="27" s="1"/>
  <c r="R228" i="27" s="1"/>
  <c r="E228" i="27"/>
  <c r="G228" i="27"/>
  <c r="A229" i="27"/>
  <c r="K229" i="27" s="1"/>
  <c r="J229" i="27" s="1"/>
  <c r="E229" i="27"/>
  <c r="G229" i="27"/>
  <c r="O229" i="27"/>
  <c r="A230" i="27"/>
  <c r="K230" i="27" s="1"/>
  <c r="J230" i="27" s="1"/>
  <c r="R230" i="27" s="1"/>
  <c r="E230" i="27"/>
  <c r="G230" i="27"/>
  <c r="A231" i="27"/>
  <c r="K231" i="27" s="1"/>
  <c r="O231" i="27"/>
  <c r="R231" i="27"/>
  <c r="A232" i="27"/>
  <c r="K232" i="27" s="1"/>
  <c r="J232" i="27" s="1"/>
  <c r="L232" i="27" s="1"/>
  <c r="E232" i="27"/>
  <c r="G232" i="27"/>
  <c r="A233" i="27"/>
  <c r="K233" i="27" s="1"/>
  <c r="J233" i="27" s="1"/>
  <c r="L233" i="27" s="1"/>
  <c r="E233" i="27"/>
  <c r="G233" i="27"/>
  <c r="O233" i="27"/>
  <c r="A234" i="27"/>
  <c r="K234" i="27" s="1"/>
  <c r="J234" i="27" s="1"/>
  <c r="L234" i="27" s="1"/>
  <c r="E234" i="27"/>
  <c r="G234" i="27"/>
  <c r="O234" i="27"/>
  <c r="A235" i="27"/>
  <c r="K235" i="27" s="1"/>
  <c r="J235" i="27" s="1"/>
  <c r="R235" i="27" s="1"/>
  <c r="E235" i="27"/>
  <c r="G235" i="27"/>
  <c r="O235" i="27"/>
  <c r="A236" i="27"/>
  <c r="K236" i="27" s="1"/>
  <c r="J236" i="27" s="1"/>
  <c r="R236" i="27" s="1"/>
  <c r="E236" i="27"/>
  <c r="G236" i="27"/>
  <c r="O236" i="27"/>
  <c r="A237" i="27"/>
  <c r="K237" i="27" s="1"/>
  <c r="J237" i="27" s="1"/>
  <c r="E237" i="27"/>
  <c r="G237" i="27"/>
  <c r="O237" i="27"/>
  <c r="A238" i="27"/>
  <c r="K238" i="27" s="1"/>
  <c r="J238" i="27" s="1"/>
  <c r="R238" i="27" s="1"/>
  <c r="E238" i="27"/>
  <c r="G238" i="27"/>
  <c r="O238" i="27"/>
  <c r="A239" i="27"/>
  <c r="K239" i="27" s="1"/>
  <c r="O239" i="27"/>
  <c r="R239" i="27"/>
  <c r="A240" i="27"/>
  <c r="E240" i="27"/>
  <c r="G240" i="27"/>
  <c r="I240" i="27"/>
  <c r="K240" i="27"/>
  <c r="J240" i="27" s="1"/>
  <c r="A241" i="27"/>
  <c r="K241" i="27" s="1"/>
  <c r="J241" i="27" s="1"/>
  <c r="E241" i="27"/>
  <c r="G241" i="27"/>
  <c r="I241" i="27"/>
  <c r="A242" i="27"/>
  <c r="E242" i="27"/>
  <c r="G242" i="27"/>
  <c r="I242" i="27"/>
  <c r="K242" i="27"/>
  <c r="J242" i="27" s="1"/>
  <c r="A243" i="27"/>
  <c r="E243" i="27"/>
  <c r="G243" i="27"/>
  <c r="O243" i="27"/>
  <c r="A244" i="27"/>
  <c r="K244" i="27" s="1"/>
  <c r="J244" i="27" s="1"/>
  <c r="R244" i="27" s="1"/>
  <c r="E244" i="27"/>
  <c r="G244" i="27"/>
  <c r="O244" i="27"/>
  <c r="A245" i="27"/>
  <c r="K245" i="27" s="1"/>
  <c r="J245" i="27" s="1"/>
  <c r="L245" i="27" s="1"/>
  <c r="E245" i="27"/>
  <c r="G245" i="27"/>
  <c r="O245" i="27"/>
  <c r="A246" i="27"/>
  <c r="K246" i="27" s="1"/>
  <c r="J246" i="27" s="1"/>
  <c r="L246" i="27" s="1"/>
  <c r="E246" i="27"/>
  <c r="G246" i="27"/>
  <c r="O246" i="27"/>
  <c r="A247" i="27"/>
  <c r="K247" i="27" s="1"/>
  <c r="J247" i="27" s="1"/>
  <c r="R247" i="27" s="1"/>
  <c r="E247" i="27"/>
  <c r="G247" i="27"/>
  <c r="I247" i="27"/>
  <c r="O247" i="27" s="1"/>
  <c r="A248" i="27"/>
  <c r="K248" i="27" s="1"/>
  <c r="J248" i="27" s="1"/>
  <c r="R248" i="27" s="1"/>
  <c r="E248" i="27"/>
  <c r="G248" i="27"/>
  <c r="O248" i="27"/>
  <c r="A249" i="27"/>
  <c r="K249" i="27" s="1"/>
  <c r="O249" i="27"/>
  <c r="R249" i="27"/>
  <c r="A250" i="27"/>
  <c r="K250" i="27" s="1"/>
  <c r="J250" i="27" s="1"/>
  <c r="R250" i="27" s="1"/>
  <c r="E250" i="27"/>
  <c r="G250" i="27"/>
  <c r="O250" i="27"/>
  <c r="A251" i="27"/>
  <c r="K251" i="27" s="1"/>
  <c r="J251" i="27" s="1"/>
  <c r="R251" i="27" s="1"/>
  <c r="E251" i="27"/>
  <c r="G251" i="27"/>
  <c r="O251" i="27"/>
  <c r="A252" i="27"/>
  <c r="K252" i="27" s="1"/>
  <c r="J252" i="27" s="1"/>
  <c r="L252" i="27" s="1"/>
  <c r="E252" i="27"/>
  <c r="G252" i="27"/>
  <c r="O252" i="27"/>
  <c r="A253" i="27"/>
  <c r="K253" i="27" s="1"/>
  <c r="J253" i="27" s="1"/>
  <c r="R253" i="27" s="1"/>
  <c r="E253" i="27"/>
  <c r="G253" i="27"/>
  <c r="O253" i="27"/>
  <c r="A254" i="27"/>
  <c r="K254" i="27" s="1"/>
  <c r="J254" i="27" s="1"/>
  <c r="R254" i="27" s="1"/>
  <c r="E254" i="27"/>
  <c r="G254" i="27"/>
  <c r="I254" i="27"/>
  <c r="O254" i="27" s="1"/>
  <c r="A255" i="27"/>
  <c r="K255" i="27" s="1"/>
  <c r="J255" i="27" s="1"/>
  <c r="L255" i="27" s="1"/>
  <c r="E255" i="27"/>
  <c r="G255" i="27"/>
  <c r="O255" i="27"/>
  <c r="A256" i="27"/>
  <c r="O256" i="27"/>
  <c r="R256" i="27"/>
  <c r="A257" i="27"/>
  <c r="K257" i="27" s="1"/>
  <c r="J257" i="27" s="1"/>
  <c r="R257" i="27" s="1"/>
  <c r="O257" i="27"/>
  <c r="A258" i="27"/>
  <c r="K258" i="27" s="1"/>
  <c r="O258" i="27"/>
  <c r="R258" i="27"/>
  <c r="A259" i="27"/>
  <c r="K259" i="27" s="1"/>
  <c r="H259" i="27"/>
  <c r="H339" i="27" s="1"/>
  <c r="I341" i="27" s="1"/>
  <c r="O259" i="27"/>
  <c r="R259" i="27"/>
  <c r="A260" i="27"/>
  <c r="K260" i="27" s="1"/>
  <c r="J260" i="27" s="1"/>
  <c r="E260" i="27"/>
  <c r="G260" i="27"/>
  <c r="A261" i="27"/>
  <c r="K261" i="27" s="1"/>
  <c r="J261" i="27" s="1"/>
  <c r="L261" i="27" s="1"/>
  <c r="E261" i="27"/>
  <c r="G261" i="27"/>
  <c r="A262" i="27"/>
  <c r="K262" i="27" s="1"/>
  <c r="J262" i="27" s="1"/>
  <c r="R262" i="27" s="1"/>
  <c r="E262" i="27"/>
  <c r="G262" i="27"/>
  <c r="A263" i="27"/>
  <c r="K263" i="27" s="1"/>
  <c r="J263" i="27" s="1"/>
  <c r="R263" i="27" s="1"/>
  <c r="E263" i="27"/>
  <c r="G263" i="27"/>
  <c r="A264" i="27"/>
  <c r="K264" i="27" s="1"/>
  <c r="J264" i="27" s="1"/>
  <c r="R264" i="27" s="1"/>
  <c r="E264" i="27"/>
  <c r="G264" i="27"/>
  <c r="O264" i="27"/>
  <c r="A265" i="27"/>
  <c r="K265" i="27" s="1"/>
  <c r="O265" i="27"/>
  <c r="R265" i="27"/>
  <c r="A266" i="27"/>
  <c r="K266" i="27" s="1"/>
  <c r="J266" i="27" s="1"/>
  <c r="R266" i="27" s="1"/>
  <c r="E266" i="27"/>
  <c r="G266" i="27"/>
  <c r="I266" i="27"/>
  <c r="O266" i="27" s="1"/>
  <c r="A267" i="27"/>
  <c r="K267" i="27" s="1"/>
  <c r="J267" i="27" s="1"/>
  <c r="L267" i="27" s="1"/>
  <c r="E267" i="27"/>
  <c r="G267" i="27"/>
  <c r="A268" i="27"/>
  <c r="O268" i="27"/>
  <c r="R268" i="27"/>
  <c r="A269" i="27"/>
  <c r="K269" i="27" s="1"/>
  <c r="J269" i="27" s="1"/>
  <c r="R269" i="27" s="1"/>
  <c r="O269" i="27"/>
  <c r="A270" i="27"/>
  <c r="K270" i="27" s="1"/>
  <c r="O270" i="27"/>
  <c r="R270" i="27"/>
  <c r="A271" i="27"/>
  <c r="O271" i="27"/>
  <c r="R271" i="27"/>
  <c r="A272" i="27"/>
  <c r="K272" i="27" s="1"/>
  <c r="E272" i="27"/>
  <c r="G272" i="27"/>
  <c r="A273" i="27"/>
  <c r="K273" i="27" s="1"/>
  <c r="J273" i="27" s="1"/>
  <c r="L273" i="27" s="1"/>
  <c r="E273" i="27"/>
  <c r="G273" i="27"/>
  <c r="A274" i="27"/>
  <c r="K274" i="27" s="1"/>
  <c r="J274" i="27" s="1"/>
  <c r="L274" i="27" s="1"/>
  <c r="E274" i="27"/>
  <c r="G274" i="27"/>
  <c r="A275" i="27"/>
  <c r="A276" i="27"/>
  <c r="E276" i="27"/>
  <c r="G276" i="27"/>
  <c r="J276" i="27"/>
  <c r="L276" i="27" s="1"/>
  <c r="L275" i="27" s="1"/>
  <c r="A277" i="27"/>
  <c r="O277" i="27"/>
  <c r="R277" i="27"/>
  <c r="A278" i="27"/>
  <c r="O278" i="27"/>
  <c r="R278" i="27"/>
  <c r="A279" i="27"/>
  <c r="K279" i="27" s="1"/>
  <c r="J279" i="27" s="1"/>
  <c r="L279" i="27" s="1"/>
  <c r="E279" i="27"/>
  <c r="G279" i="27"/>
  <c r="A280" i="27"/>
  <c r="K280" i="27" s="1"/>
  <c r="J280" i="27" s="1"/>
  <c r="L280" i="27" s="1"/>
  <c r="E280" i="27"/>
  <c r="G280" i="27"/>
  <c r="A281" i="27"/>
  <c r="K281" i="27" s="1"/>
  <c r="J281" i="27" s="1"/>
  <c r="L281" i="27" s="1"/>
  <c r="E281" i="27"/>
  <c r="G281" i="27"/>
  <c r="A282" i="27"/>
  <c r="K282" i="27" s="1"/>
  <c r="J282" i="27" s="1"/>
  <c r="L282" i="27" s="1"/>
  <c r="E282" i="27"/>
  <c r="G282" i="27"/>
  <c r="A283" i="27"/>
  <c r="K283" i="27" s="1"/>
  <c r="J283" i="27" s="1"/>
  <c r="L283" i="27" s="1"/>
  <c r="E283" i="27"/>
  <c r="G283" i="27"/>
  <c r="A284" i="27"/>
  <c r="K284" i="27" s="1"/>
  <c r="J284" i="27" s="1"/>
  <c r="E284" i="27"/>
  <c r="G284" i="27"/>
  <c r="I284" i="27"/>
  <c r="A285" i="27"/>
  <c r="K285" i="27" s="1"/>
  <c r="J285" i="27" s="1"/>
  <c r="E285" i="27"/>
  <c r="G285" i="27"/>
  <c r="O285" i="27"/>
  <c r="A286" i="27"/>
  <c r="O286" i="27"/>
  <c r="R286" i="27"/>
  <c r="A287" i="27"/>
  <c r="O287" i="27"/>
  <c r="R287" i="27"/>
  <c r="A288" i="27"/>
  <c r="K288" i="27" s="1"/>
  <c r="O288" i="27" s="1"/>
  <c r="E288" i="27"/>
  <c r="G288" i="27"/>
  <c r="A289" i="27"/>
  <c r="K289" i="27" s="1"/>
  <c r="J289" i="27" s="1"/>
  <c r="L289" i="27" s="1"/>
  <c r="E289" i="27"/>
  <c r="G289" i="27"/>
  <c r="A290" i="27"/>
  <c r="K290" i="27" s="1"/>
  <c r="E290" i="27"/>
  <c r="G290" i="27"/>
  <c r="A291" i="27"/>
  <c r="O291" i="27"/>
  <c r="R291" i="27"/>
  <c r="A292" i="27"/>
  <c r="O292" i="27"/>
  <c r="R292" i="27"/>
  <c r="A293" i="27"/>
  <c r="J293" i="27"/>
  <c r="O293" i="27"/>
  <c r="A294" i="27"/>
  <c r="J294" i="27"/>
  <c r="L294" i="27" s="1"/>
  <c r="O294" i="27"/>
  <c r="A295" i="27"/>
  <c r="O295" i="27"/>
  <c r="R295" i="27"/>
  <c r="A296" i="27"/>
  <c r="K296" i="27" s="1"/>
  <c r="J296" i="27" s="1"/>
  <c r="R296" i="27" s="1"/>
  <c r="O296" i="27"/>
  <c r="A297" i="27"/>
  <c r="K297" i="27" s="1"/>
  <c r="O297" i="27"/>
  <c r="R297" i="27"/>
  <c r="A298" i="27"/>
  <c r="K298" i="27" s="1"/>
  <c r="H298" i="27"/>
  <c r="O298" i="27"/>
  <c r="R298" i="27"/>
  <c r="A299" i="27"/>
  <c r="K299" i="27" s="1"/>
  <c r="J299" i="27" s="1"/>
  <c r="E299" i="27"/>
  <c r="G299" i="27"/>
  <c r="A300" i="27"/>
  <c r="K300" i="27" s="1"/>
  <c r="J300" i="27" s="1"/>
  <c r="E300" i="27"/>
  <c r="G300" i="27"/>
  <c r="A301" i="27"/>
  <c r="K301" i="27" s="1"/>
  <c r="J301" i="27" s="1"/>
  <c r="E301" i="27"/>
  <c r="G301" i="27"/>
  <c r="A302" i="27"/>
  <c r="K302" i="27" s="1"/>
  <c r="J302" i="27" s="1"/>
  <c r="E302" i="27"/>
  <c r="G302" i="27"/>
  <c r="A303" i="27"/>
  <c r="K303" i="27" s="1"/>
  <c r="J303" i="27" s="1"/>
  <c r="E303" i="27"/>
  <c r="G303" i="27"/>
  <c r="A304" i="27"/>
  <c r="K304" i="27" s="1"/>
  <c r="O304" i="27"/>
  <c r="R304" i="27"/>
  <c r="A305" i="27"/>
  <c r="K305" i="27" s="1"/>
  <c r="J305" i="27" s="1"/>
  <c r="E305" i="27"/>
  <c r="G305" i="27"/>
  <c r="I305" i="27"/>
  <c r="A306" i="27"/>
  <c r="E306" i="27"/>
  <c r="G306" i="27"/>
  <c r="I306" i="27"/>
  <c r="A307" i="27"/>
  <c r="K307" i="27" s="1"/>
  <c r="E307" i="27"/>
  <c r="G307" i="27"/>
  <c r="I307" i="27"/>
  <c r="A308" i="27"/>
  <c r="A309" i="27"/>
  <c r="E309" i="27"/>
  <c r="G309" i="27"/>
  <c r="I309" i="27"/>
  <c r="K309" i="27"/>
  <c r="J309" i="27" s="1"/>
  <c r="A310" i="27"/>
  <c r="A311" i="27"/>
  <c r="K311" i="27" s="1"/>
  <c r="J311" i="27" s="1"/>
  <c r="E311" i="27"/>
  <c r="G311" i="27"/>
  <c r="I311" i="27"/>
  <c r="A312" i="27"/>
  <c r="K312" i="27" s="1"/>
  <c r="J312" i="27" s="1"/>
  <c r="E312" i="27"/>
  <c r="G312" i="27"/>
  <c r="I312" i="27"/>
  <c r="A313" i="27"/>
  <c r="K313" i="27" s="1"/>
  <c r="J313" i="27" s="1"/>
  <c r="E313" i="27"/>
  <c r="G313" i="27"/>
  <c r="I313" i="27"/>
  <c r="A314" i="27"/>
  <c r="E314" i="27"/>
  <c r="G314" i="27"/>
  <c r="I314" i="27"/>
  <c r="K314" i="27"/>
  <c r="J314" i="27" s="1"/>
  <c r="A315" i="27"/>
  <c r="H315" i="27"/>
  <c r="A316" i="27"/>
  <c r="K316" i="27" s="1"/>
  <c r="J316" i="27" s="1"/>
  <c r="E316" i="27"/>
  <c r="G316" i="27"/>
  <c r="A317" i="27"/>
  <c r="K317" i="27" s="1"/>
  <c r="J317" i="27" s="1"/>
  <c r="E317" i="27"/>
  <c r="G317" i="27"/>
  <c r="A318" i="27"/>
  <c r="E318" i="27"/>
  <c r="G318" i="27"/>
  <c r="A319" i="27"/>
  <c r="K319" i="27" s="1"/>
  <c r="J319" i="27" s="1"/>
  <c r="E319" i="27"/>
  <c r="G319" i="27"/>
  <c r="A320" i="27"/>
  <c r="K320" i="27" s="1"/>
  <c r="J320" i="27" s="1"/>
  <c r="E320" i="27"/>
  <c r="G320" i="27"/>
  <c r="A321" i="27"/>
  <c r="A322" i="27"/>
  <c r="E322" i="27"/>
  <c r="G322" i="27"/>
  <c r="I322" i="27"/>
  <c r="K322" i="27"/>
  <c r="J322" i="27" s="1"/>
  <c r="A323" i="27"/>
  <c r="A324" i="27"/>
  <c r="K324" i="27" s="1"/>
  <c r="J324" i="27" s="1"/>
  <c r="E324" i="27"/>
  <c r="G324" i="27"/>
  <c r="I324" i="27"/>
  <c r="A325" i="27"/>
  <c r="A326" i="27"/>
  <c r="K326" i="27" s="1"/>
  <c r="J326" i="27" s="1"/>
  <c r="E326" i="27"/>
  <c r="G326" i="27"/>
  <c r="I326" i="27"/>
  <c r="A327" i="27"/>
  <c r="A328" i="27"/>
  <c r="K328" i="27" s="1"/>
  <c r="J328" i="27" s="1"/>
  <c r="E328" i="27"/>
  <c r="G328" i="27"/>
  <c r="I328" i="27"/>
  <c r="A329" i="27"/>
  <c r="K329" i="27" s="1"/>
  <c r="J329" i="27" s="1"/>
  <c r="L329" i="27" s="1"/>
  <c r="E329" i="27"/>
  <c r="G329" i="27"/>
  <c r="A330" i="27"/>
  <c r="E330" i="27"/>
  <c r="G330" i="27"/>
  <c r="I330" i="27"/>
  <c r="K330" i="27"/>
  <c r="J330" i="27" s="1"/>
  <c r="A331" i="27"/>
  <c r="O331" i="27"/>
  <c r="R331" i="27"/>
  <c r="A332" i="27"/>
  <c r="K332" i="27" s="1"/>
  <c r="J332" i="27" s="1"/>
  <c r="R332" i="27" s="1"/>
  <c r="O332" i="27"/>
  <c r="A333" i="27"/>
  <c r="K333" i="27" s="1"/>
  <c r="O333" i="27"/>
  <c r="R333" i="27"/>
  <c r="A334" i="27"/>
  <c r="K334" i="27" s="1"/>
  <c r="H334" i="27"/>
  <c r="O334" i="27"/>
  <c r="R334" i="27"/>
  <c r="A335" i="27"/>
  <c r="K335" i="27" s="1"/>
  <c r="J335" i="27" s="1"/>
  <c r="R335" i="27" s="1"/>
  <c r="E335" i="27"/>
  <c r="G335" i="27"/>
  <c r="O335" i="27"/>
  <c r="A336" i="27"/>
  <c r="K336" i="27" s="1"/>
  <c r="E336" i="27"/>
  <c r="G336" i="27"/>
  <c r="A337" i="27"/>
  <c r="K337" i="27" s="1"/>
  <c r="J337" i="27" s="1"/>
  <c r="E337" i="27"/>
  <c r="G337" i="27"/>
  <c r="A338" i="27"/>
  <c r="K338" i="27" s="1"/>
  <c r="J338" i="27" s="1"/>
  <c r="E338" i="27"/>
  <c r="G338" i="27"/>
  <c r="A339" i="27"/>
  <c r="K339" i="27" s="1"/>
  <c r="O339" i="27"/>
  <c r="R339" i="27"/>
  <c r="A340" i="27"/>
  <c r="K340" i="27" s="1"/>
  <c r="J340" i="27" s="1"/>
  <c r="E340" i="27"/>
  <c r="G340" i="27"/>
  <c r="O340" i="27"/>
  <c r="A341" i="27"/>
  <c r="K341" i="27" s="1"/>
  <c r="E341" i="27"/>
  <c r="G341" i="27"/>
  <c r="A342" i="27"/>
  <c r="K342" i="27" s="1"/>
  <c r="O342" i="27"/>
  <c r="R342" i="27"/>
  <c r="A343" i="27"/>
  <c r="K343" i="27" s="1"/>
  <c r="J343" i="27" s="1"/>
  <c r="E343" i="27"/>
  <c r="G343" i="27"/>
  <c r="O343" i="27"/>
  <c r="A344" i="27"/>
  <c r="K344" i="27" s="1"/>
  <c r="J344" i="27" s="1"/>
  <c r="L344" i="27" s="1"/>
  <c r="E344" i="27"/>
  <c r="G344" i="27"/>
  <c r="A345" i="27"/>
  <c r="A346" i="27"/>
  <c r="K346" i="27" s="1"/>
  <c r="J346" i="27" s="1"/>
  <c r="E346" i="27"/>
  <c r="G346" i="27"/>
  <c r="I346" i="27"/>
  <c r="A347" i="27"/>
  <c r="K347" i="27" s="1"/>
  <c r="J347" i="27" s="1"/>
  <c r="E347" i="27"/>
  <c r="G347" i="27"/>
  <c r="I347" i="27"/>
  <c r="A348" i="27"/>
  <c r="A349" i="27"/>
  <c r="K349" i="27" s="1"/>
  <c r="J349" i="27" s="1"/>
  <c r="E349" i="27"/>
  <c r="G349" i="27"/>
  <c r="I349" i="27"/>
  <c r="A350" i="27"/>
  <c r="K350" i="27" s="1"/>
  <c r="J350" i="27" s="1"/>
  <c r="R350" i="27" s="1"/>
  <c r="E350" i="27"/>
  <c r="G350" i="27"/>
  <c r="I350" i="27"/>
  <c r="O350" i="27" s="1"/>
  <c r="A351" i="27"/>
  <c r="A352" i="27"/>
  <c r="K352" i="27" s="1"/>
  <c r="J352" i="27" s="1"/>
  <c r="E352" i="27"/>
  <c r="G352" i="27"/>
  <c r="I352" i="27"/>
  <c r="A353" i="27"/>
  <c r="K353" i="27" s="1"/>
  <c r="J353" i="27" s="1"/>
  <c r="E353" i="27"/>
  <c r="G353" i="27"/>
  <c r="I353" i="27"/>
  <c r="A354" i="27"/>
  <c r="K354" i="27" s="1"/>
  <c r="J354" i="27" s="1"/>
  <c r="E354" i="27"/>
  <c r="G354" i="27"/>
  <c r="I354" i="27"/>
  <c r="A355" i="27"/>
  <c r="A356" i="27"/>
  <c r="E356" i="27"/>
  <c r="G356" i="27"/>
  <c r="I356" i="27"/>
  <c r="K356" i="27"/>
  <c r="J356" i="27" s="1"/>
  <c r="A357" i="27"/>
  <c r="K357" i="27" s="1"/>
  <c r="J357" i="27" s="1"/>
  <c r="L357" i="27" s="1"/>
  <c r="E357" i="27"/>
  <c r="G357" i="27"/>
  <c r="A358" i="27"/>
  <c r="O358" i="27"/>
  <c r="R358" i="27"/>
  <c r="A359" i="27"/>
  <c r="K359" i="27" s="1"/>
  <c r="J359" i="27" s="1"/>
  <c r="R359" i="27" s="1"/>
  <c r="O359" i="27"/>
  <c r="A360" i="27"/>
  <c r="K360" i="27" s="1"/>
  <c r="O360" i="27"/>
  <c r="R360" i="27"/>
  <c r="A361" i="27"/>
  <c r="O361" i="27"/>
  <c r="R361" i="27"/>
  <c r="A362" i="27"/>
  <c r="E362" i="27"/>
  <c r="G362" i="27"/>
  <c r="I362" i="27"/>
  <c r="K362" i="27"/>
  <c r="J362" i="27" s="1"/>
  <c r="A363" i="27"/>
  <c r="K363" i="27" s="1"/>
  <c r="J363" i="27" s="1"/>
  <c r="E363" i="27"/>
  <c r="G363" i="27"/>
  <c r="I363" i="27"/>
  <c r="A364" i="27"/>
  <c r="K364" i="27" s="1"/>
  <c r="J364" i="27" s="1"/>
  <c r="E364" i="27"/>
  <c r="G364" i="27"/>
  <c r="I364" i="27"/>
  <c r="A365" i="27"/>
  <c r="E365" i="27"/>
  <c r="G365" i="27"/>
  <c r="I365" i="27"/>
  <c r="K365" i="27"/>
  <c r="A366" i="27"/>
  <c r="E366" i="27"/>
  <c r="G366" i="27"/>
  <c r="I366" i="27"/>
  <c r="K366" i="27"/>
  <c r="J366" i="27" s="1"/>
  <c r="A367" i="27"/>
  <c r="K367" i="27" s="1"/>
  <c r="O367" i="27"/>
  <c r="R367" i="27"/>
  <c r="A368" i="27"/>
  <c r="K368" i="27" s="1"/>
  <c r="J368" i="27" s="1"/>
  <c r="E368" i="27"/>
  <c r="G368" i="27"/>
  <c r="O368" i="27"/>
  <c r="A369" i="27"/>
  <c r="K369" i="27" s="1"/>
  <c r="J369" i="27" s="1"/>
  <c r="L369" i="27" s="1"/>
  <c r="E369" i="27"/>
  <c r="G369" i="27"/>
  <c r="A370" i="27"/>
  <c r="K370" i="27" s="1"/>
  <c r="J370" i="27" s="1"/>
  <c r="R370" i="27" s="1"/>
  <c r="O370" i="27"/>
  <c r="A371" i="27"/>
  <c r="K371" i="27" s="1"/>
  <c r="J371" i="27" s="1"/>
  <c r="R371" i="27" s="1"/>
  <c r="E371" i="27"/>
  <c r="G371" i="27"/>
  <c r="O371" i="27"/>
  <c r="A372" i="27"/>
  <c r="O372" i="27"/>
  <c r="R372" i="27"/>
  <c r="A373" i="27"/>
  <c r="K373" i="27" s="1"/>
  <c r="J373" i="27" s="1"/>
  <c r="R373" i="27" s="1"/>
  <c r="O373" i="27"/>
  <c r="A374" i="27"/>
  <c r="K374" i="27" s="1"/>
  <c r="O374" i="27"/>
  <c r="R374" i="27"/>
  <c r="A375" i="27"/>
  <c r="K375" i="27" s="1"/>
  <c r="H375" i="27"/>
  <c r="A376" i="27"/>
  <c r="K376" i="27" s="1"/>
  <c r="E376" i="27"/>
  <c r="G376" i="27"/>
  <c r="A377" i="27"/>
  <c r="K377" i="27" s="1"/>
  <c r="J377" i="27" s="1"/>
  <c r="E377" i="27"/>
  <c r="G377" i="27"/>
  <c r="A378" i="27"/>
  <c r="K378" i="27" s="1"/>
  <c r="E378" i="27"/>
  <c r="G378" i="27"/>
  <c r="A379" i="27"/>
  <c r="K379" i="27" s="1"/>
  <c r="J379" i="27" s="1"/>
  <c r="R379" i="27" s="1"/>
  <c r="E379" i="27"/>
  <c r="G379" i="27"/>
  <c r="A380" i="27"/>
  <c r="K380" i="27" s="1"/>
  <c r="J380" i="27" s="1"/>
  <c r="E380" i="27"/>
  <c r="G380" i="27"/>
  <c r="A381" i="27"/>
  <c r="K381" i="27" s="1"/>
  <c r="H381" i="27"/>
  <c r="A382" i="27"/>
  <c r="K382" i="27" s="1"/>
  <c r="J382" i="27" s="1"/>
  <c r="R382" i="27" s="1"/>
  <c r="E382" i="27"/>
  <c r="G382" i="27"/>
  <c r="A383" i="27"/>
  <c r="K383" i="27" s="1"/>
  <c r="J383" i="27" s="1"/>
  <c r="E383" i="27"/>
  <c r="G383" i="27"/>
  <c r="A384" i="27"/>
  <c r="K384" i="27" s="1"/>
  <c r="J384" i="27" s="1"/>
  <c r="E384" i="27"/>
  <c r="G384" i="27"/>
  <c r="A385" i="27"/>
  <c r="K385" i="27" s="1"/>
  <c r="E385" i="27"/>
  <c r="G385" i="27"/>
  <c r="A386" i="27"/>
  <c r="K386" i="27" s="1"/>
  <c r="J386" i="27" s="1"/>
  <c r="R386" i="27" s="1"/>
  <c r="E386" i="27"/>
  <c r="G386" i="27"/>
  <c r="A387" i="27"/>
  <c r="K387" i="27" s="1"/>
  <c r="A388" i="27"/>
  <c r="E388" i="27"/>
  <c r="G388" i="27"/>
  <c r="I388" i="27"/>
  <c r="K388" i="27"/>
  <c r="A389" i="27"/>
  <c r="K389" i="27" s="1"/>
  <c r="J389" i="27" s="1"/>
  <c r="E389" i="27"/>
  <c r="G389" i="27"/>
  <c r="I389" i="27"/>
  <c r="A390" i="27"/>
  <c r="E390" i="27"/>
  <c r="G390" i="27"/>
  <c r="I390" i="27"/>
  <c r="K390" i="27"/>
  <c r="J390" i="27" s="1"/>
  <c r="A391" i="27"/>
  <c r="E391" i="27"/>
  <c r="G391" i="27"/>
  <c r="I391" i="27"/>
  <c r="K391" i="27"/>
  <c r="A392" i="27"/>
  <c r="K392" i="27" s="1"/>
  <c r="E392" i="27"/>
  <c r="G392" i="27"/>
  <c r="I392" i="27"/>
  <c r="A393" i="27"/>
  <c r="K393" i="27" s="1"/>
  <c r="A394" i="27"/>
  <c r="K394" i="27" s="1"/>
  <c r="E394" i="27"/>
  <c r="G394" i="27"/>
  <c r="I394" i="27"/>
  <c r="A395" i="27"/>
  <c r="E395" i="27"/>
  <c r="G395" i="27"/>
  <c r="I395" i="27"/>
  <c r="K395" i="27"/>
  <c r="J395" i="27" s="1"/>
  <c r="A396" i="27"/>
  <c r="K396" i="27" s="1"/>
  <c r="J396" i="27" s="1"/>
  <c r="E396" i="27"/>
  <c r="G396" i="27"/>
  <c r="I396" i="27"/>
  <c r="A397" i="27"/>
  <c r="E397" i="27"/>
  <c r="G397" i="27"/>
  <c r="I397" i="27"/>
  <c r="K397" i="27"/>
  <c r="A398" i="27"/>
  <c r="K398" i="27" s="1"/>
  <c r="E398" i="27"/>
  <c r="G398" i="27"/>
  <c r="I398" i="27"/>
  <c r="A399" i="27"/>
  <c r="H399" i="27"/>
  <c r="I400" i="27" s="1"/>
  <c r="A400" i="27"/>
  <c r="K400" i="27" s="1"/>
  <c r="J400" i="27" s="1"/>
  <c r="E400" i="27"/>
  <c r="G400" i="27"/>
  <c r="A401" i="27"/>
  <c r="K401" i="27" s="1"/>
  <c r="J401" i="27" s="1"/>
  <c r="E401" i="27"/>
  <c r="G401" i="27"/>
  <c r="A402" i="27"/>
  <c r="K402" i="27" s="1"/>
  <c r="J402" i="27" s="1"/>
  <c r="E402" i="27"/>
  <c r="G402" i="27"/>
  <c r="A403" i="27"/>
  <c r="K403" i="27" s="1"/>
  <c r="J403" i="27" s="1"/>
  <c r="E403" i="27"/>
  <c r="G403" i="27"/>
  <c r="A404" i="27"/>
  <c r="K404" i="27" s="1"/>
  <c r="O404" i="27"/>
  <c r="R404" i="27"/>
  <c r="A405" i="27"/>
  <c r="K405" i="27" s="1"/>
  <c r="J405" i="27" s="1"/>
  <c r="E405" i="27"/>
  <c r="G405" i="27"/>
  <c r="I405" i="27"/>
  <c r="O405" i="27" s="1"/>
  <c r="A406" i="27"/>
  <c r="K406" i="27" s="1"/>
  <c r="J406" i="27" s="1"/>
  <c r="E406" i="27"/>
  <c r="G406" i="27"/>
  <c r="I406" i="27"/>
  <c r="A407" i="27"/>
  <c r="K407" i="27" s="1"/>
  <c r="O407" i="27"/>
  <c r="R407" i="27"/>
  <c r="A408" i="27"/>
  <c r="K408" i="27" s="1"/>
  <c r="J408" i="27" s="1"/>
  <c r="E408" i="27"/>
  <c r="G408" i="27"/>
  <c r="I408" i="27"/>
  <c r="O408" i="27" s="1"/>
  <c r="A409" i="27"/>
  <c r="K409" i="27" s="1"/>
  <c r="J409" i="27" s="1"/>
  <c r="E409" i="27"/>
  <c r="G409" i="27"/>
  <c r="I409" i="27"/>
  <c r="A410" i="27"/>
  <c r="K410" i="27" s="1"/>
  <c r="J410" i="27" s="1"/>
  <c r="E410" i="27"/>
  <c r="G410" i="27"/>
  <c r="I410" i="27"/>
  <c r="A411" i="27"/>
  <c r="K411" i="27" s="1"/>
  <c r="J411" i="27" s="1"/>
  <c r="L411" i="27" s="1"/>
  <c r="E411" i="27"/>
  <c r="G411" i="27"/>
  <c r="A412" i="27"/>
  <c r="K412" i="27" s="1"/>
  <c r="J412" i="27" s="1"/>
  <c r="L412" i="27" s="1"/>
  <c r="E412" i="27"/>
  <c r="G412" i="27"/>
  <c r="A413" i="27"/>
  <c r="A414" i="27"/>
  <c r="E414" i="27"/>
  <c r="G414" i="27"/>
  <c r="I414" i="27"/>
  <c r="K414" i="27"/>
  <c r="J414" i="27" s="1"/>
  <c r="A415" i="27"/>
  <c r="K415" i="27" s="1"/>
  <c r="J415" i="27" s="1"/>
  <c r="E415" i="27"/>
  <c r="G415" i="27"/>
  <c r="I415" i="27"/>
  <c r="A416" i="27"/>
  <c r="K416" i="27" s="1"/>
  <c r="J416" i="27" s="1"/>
  <c r="E416" i="27"/>
  <c r="G416" i="27"/>
  <c r="I416" i="27"/>
  <c r="A417" i="27"/>
  <c r="K417" i="27" s="1"/>
  <c r="J417" i="27" s="1"/>
  <c r="E417" i="27"/>
  <c r="G417" i="27"/>
  <c r="I417" i="27"/>
  <c r="A418" i="27"/>
  <c r="A419" i="27"/>
  <c r="E419" i="27"/>
  <c r="G419" i="27"/>
  <c r="I419" i="27"/>
  <c r="A420" i="27"/>
  <c r="K420" i="27" s="1"/>
  <c r="J420" i="27" s="1"/>
  <c r="E420" i="27"/>
  <c r="G420" i="27"/>
  <c r="I420" i="27"/>
  <c r="A421" i="27"/>
  <c r="E421" i="27"/>
  <c r="G421" i="27"/>
  <c r="I421" i="27"/>
  <c r="K421" i="27"/>
  <c r="J421" i="27" s="1"/>
  <c r="A422" i="27"/>
  <c r="K422" i="27" s="1"/>
  <c r="J422" i="27" s="1"/>
  <c r="L422" i="27" s="1"/>
  <c r="E422" i="27"/>
  <c r="G422" i="27"/>
  <c r="A423" i="27"/>
  <c r="E423" i="27"/>
  <c r="G423" i="27"/>
  <c r="I423" i="27"/>
  <c r="K423" i="27"/>
  <c r="J423" i="27" s="1"/>
  <c r="A424" i="27"/>
  <c r="A425" i="27"/>
  <c r="K425" i="27" s="1"/>
  <c r="J425" i="27" s="1"/>
  <c r="E425" i="27"/>
  <c r="G425" i="27"/>
  <c r="I425" i="27"/>
  <c r="A426" i="27"/>
  <c r="K426" i="27" s="1"/>
  <c r="J426" i="27" s="1"/>
  <c r="E426" i="27"/>
  <c r="G426" i="27"/>
  <c r="I426" i="27"/>
  <c r="A427" i="27"/>
  <c r="E427" i="27"/>
  <c r="G427" i="27"/>
  <c r="I427" i="27"/>
  <c r="K427" i="27"/>
  <c r="J427" i="27" s="1"/>
  <c r="A428" i="27"/>
  <c r="K428" i="27" s="1"/>
  <c r="J428" i="27" s="1"/>
  <c r="E428" i="27"/>
  <c r="G428" i="27"/>
  <c r="I428" i="27"/>
  <c r="A429" i="27"/>
  <c r="K429" i="27" s="1"/>
  <c r="J429" i="27" s="1"/>
  <c r="E429" i="27"/>
  <c r="G429" i="27"/>
  <c r="I429" i="27"/>
  <c r="A430" i="27"/>
  <c r="A431" i="27"/>
  <c r="K431" i="27" s="1"/>
  <c r="J431" i="27" s="1"/>
  <c r="E431" i="27"/>
  <c r="G431" i="27"/>
  <c r="I431" i="27"/>
  <c r="A432" i="27"/>
  <c r="E432" i="27"/>
  <c r="G432" i="27"/>
  <c r="I432" i="27"/>
  <c r="K432" i="27"/>
  <c r="J432" i="27" s="1"/>
  <c r="A433" i="27"/>
  <c r="E433" i="27"/>
  <c r="G433" i="27"/>
  <c r="I433" i="27"/>
  <c r="K433" i="27"/>
  <c r="J433" i="27" s="1"/>
  <c r="A434" i="27"/>
  <c r="E434" i="27"/>
  <c r="G434" i="27"/>
  <c r="I434" i="27"/>
  <c r="K434" i="27"/>
  <c r="J434" i="27" s="1"/>
  <c r="A435" i="27"/>
  <c r="K435" i="27" s="1"/>
  <c r="J435" i="27" s="1"/>
  <c r="E435" i="27"/>
  <c r="G435" i="27"/>
  <c r="I435" i="27"/>
  <c r="A436" i="27"/>
  <c r="A437" i="27"/>
  <c r="K437" i="27" s="1"/>
  <c r="J437" i="27" s="1"/>
  <c r="E437" i="27"/>
  <c r="G437" i="27"/>
  <c r="I437" i="27"/>
  <c r="A438" i="27"/>
  <c r="K438" i="27" s="1"/>
  <c r="J438" i="27" s="1"/>
  <c r="E438" i="27"/>
  <c r="G438" i="27"/>
  <c r="I438" i="27"/>
  <c r="A439" i="27"/>
  <c r="K439" i="27" s="1"/>
  <c r="J439" i="27" s="1"/>
  <c r="E439" i="27"/>
  <c r="G439" i="27"/>
  <c r="I439" i="27"/>
  <c r="A440" i="27"/>
  <c r="K440" i="27" s="1"/>
  <c r="J440" i="27" s="1"/>
  <c r="E440" i="27"/>
  <c r="G440" i="27"/>
  <c r="I440" i="27"/>
  <c r="A441" i="27"/>
  <c r="E441" i="27"/>
  <c r="G441" i="27"/>
  <c r="I441" i="27"/>
  <c r="K441" i="27"/>
  <c r="J441" i="27" s="1"/>
  <c r="A442" i="27"/>
  <c r="A443" i="27"/>
  <c r="K443" i="27" s="1"/>
  <c r="J443" i="27" s="1"/>
  <c r="E443" i="27"/>
  <c r="G443" i="27"/>
  <c r="I443" i="27"/>
  <c r="A444" i="27"/>
  <c r="A445" i="27"/>
  <c r="E445" i="27"/>
  <c r="G445" i="27"/>
  <c r="I445" i="27"/>
  <c r="K445" i="27"/>
  <c r="J445" i="27" s="1"/>
  <c r="A446" i="27"/>
  <c r="E446" i="27"/>
  <c r="G446" i="27"/>
  <c r="I446" i="27"/>
  <c r="K446" i="27"/>
  <c r="J446" i="27" s="1"/>
  <c r="A447" i="27"/>
  <c r="K447" i="27" s="1"/>
  <c r="J447" i="27" s="1"/>
  <c r="E447" i="27"/>
  <c r="G447" i="27"/>
  <c r="I447" i="27"/>
  <c r="A448" i="27"/>
  <c r="K448" i="27" s="1"/>
  <c r="J448" i="27" s="1"/>
  <c r="E448" i="27"/>
  <c r="G448" i="27"/>
  <c r="I448" i="27"/>
  <c r="A449" i="27"/>
  <c r="K449" i="27" s="1"/>
  <c r="J449" i="27" s="1"/>
  <c r="E449" i="27"/>
  <c r="G449" i="27"/>
  <c r="I449" i="27"/>
  <c r="A450" i="27"/>
  <c r="K450" i="27" s="1"/>
  <c r="J450" i="27" s="1"/>
  <c r="E450" i="27"/>
  <c r="G450" i="27"/>
  <c r="I450" i="27"/>
  <c r="A451" i="27"/>
  <c r="A452" i="27"/>
  <c r="E452" i="27"/>
  <c r="G452" i="27"/>
  <c r="I452" i="27"/>
  <c r="K452" i="27"/>
  <c r="J452" i="27" s="1"/>
  <c r="A453" i="27"/>
  <c r="E453" i="27"/>
  <c r="G453" i="27"/>
  <c r="I453" i="27"/>
  <c r="K453" i="27"/>
  <c r="J453" i="27" s="1"/>
  <c r="A454" i="27"/>
  <c r="K454" i="27" s="1"/>
  <c r="J454" i="27" s="1"/>
  <c r="E454" i="27"/>
  <c r="G454" i="27"/>
  <c r="I454" i="27"/>
  <c r="A455" i="27"/>
  <c r="A456" i="27"/>
  <c r="E456" i="27"/>
  <c r="G456" i="27"/>
  <c r="I456" i="27"/>
  <c r="K456" i="27"/>
  <c r="J456" i="27" s="1"/>
  <c r="A457" i="27"/>
  <c r="E457" i="27"/>
  <c r="G457" i="27"/>
  <c r="I457" i="27"/>
  <c r="K457" i="27"/>
  <c r="J457" i="27" s="1"/>
  <c r="A458" i="27"/>
  <c r="A459" i="27"/>
  <c r="K459" i="27" s="1"/>
  <c r="H459" i="27"/>
  <c r="I464" i="27" s="1"/>
  <c r="O459" i="27"/>
  <c r="R459" i="27"/>
  <c r="A460" i="27"/>
  <c r="K460" i="27" s="1"/>
  <c r="J460" i="27" s="1"/>
  <c r="R460" i="27" s="1"/>
  <c r="E460" i="27"/>
  <c r="G460" i="27"/>
  <c r="A461" i="27"/>
  <c r="K461" i="27" s="1"/>
  <c r="J461" i="27" s="1"/>
  <c r="E461" i="27"/>
  <c r="G461" i="27"/>
  <c r="A462" i="27"/>
  <c r="K462" i="27" s="1"/>
  <c r="E462" i="27"/>
  <c r="G462" i="27"/>
  <c r="A463" i="27"/>
  <c r="K463" i="27" s="1"/>
  <c r="J463" i="27" s="1"/>
  <c r="R463" i="27" s="1"/>
  <c r="E463" i="27"/>
  <c r="G463" i="27"/>
  <c r="A464" i="27"/>
  <c r="K464" i="27" s="1"/>
  <c r="J464" i="27" s="1"/>
  <c r="R464" i="27" s="1"/>
  <c r="E464" i="27"/>
  <c r="G464" i="27"/>
  <c r="A465" i="27"/>
  <c r="K465" i="27" s="1"/>
  <c r="A466" i="27"/>
  <c r="K466" i="27" s="1"/>
  <c r="J466" i="27" s="1"/>
  <c r="R466" i="27" s="1"/>
  <c r="E466" i="27"/>
  <c r="G466" i="27"/>
  <c r="I466" i="27"/>
  <c r="O466" i="27" s="1"/>
  <c r="A467" i="27"/>
  <c r="E467" i="27"/>
  <c r="G467" i="27"/>
  <c r="I467" i="27"/>
  <c r="K467" i="27"/>
  <c r="J467" i="27" s="1"/>
  <c r="A468" i="27"/>
  <c r="E468" i="27"/>
  <c r="G468" i="27"/>
  <c r="I468" i="27"/>
  <c r="O468" i="27" s="1"/>
  <c r="K468" i="27"/>
  <c r="J468" i="27" s="1"/>
  <c r="R468" i="27" s="1"/>
  <c r="A469" i="27"/>
  <c r="K469" i="27" s="1"/>
  <c r="J469" i="27" s="1"/>
  <c r="E469" i="27"/>
  <c r="G469" i="27"/>
  <c r="I469" i="27"/>
  <c r="O469" i="27" s="1"/>
  <c r="A470" i="27"/>
  <c r="K470" i="27" s="1"/>
  <c r="J470" i="27" s="1"/>
  <c r="E470" i="27"/>
  <c r="G470" i="27"/>
  <c r="I470" i="27"/>
  <c r="O470" i="27" s="1"/>
  <c r="A471" i="27"/>
  <c r="K471" i="27" s="1"/>
  <c r="H471" i="27"/>
  <c r="I472" i="27" s="1"/>
  <c r="A472" i="27"/>
  <c r="K472" i="27" s="1"/>
  <c r="J472" i="27" s="1"/>
  <c r="E472" i="27"/>
  <c r="G472" i="27"/>
  <c r="A473" i="27"/>
  <c r="K473" i="27" s="1"/>
  <c r="J473" i="27" s="1"/>
  <c r="E473" i="27"/>
  <c r="G473" i="27"/>
  <c r="A474" i="27"/>
  <c r="K474" i="27" s="1"/>
  <c r="E474" i="27"/>
  <c r="G474" i="27"/>
  <c r="A475" i="27"/>
  <c r="K475" i="27" s="1"/>
  <c r="E475" i="27"/>
  <c r="G475" i="27"/>
  <c r="A476" i="27"/>
  <c r="K476" i="27" s="1"/>
  <c r="J476" i="27" s="1"/>
  <c r="E476" i="27"/>
  <c r="G476" i="27"/>
  <c r="A477" i="27"/>
  <c r="K477" i="27" s="1"/>
  <c r="H477" i="27"/>
  <c r="A478" i="27"/>
  <c r="K478" i="27" s="1"/>
  <c r="J478" i="27" s="1"/>
  <c r="R478" i="27" s="1"/>
  <c r="E478" i="27"/>
  <c r="G478" i="27"/>
  <c r="A479" i="27"/>
  <c r="K479" i="27" s="1"/>
  <c r="J479" i="27" s="1"/>
  <c r="E479" i="27"/>
  <c r="G479" i="27"/>
  <c r="A480" i="27"/>
  <c r="K480" i="27" s="1"/>
  <c r="E480" i="27"/>
  <c r="G480" i="27"/>
  <c r="A481" i="27"/>
  <c r="K481" i="27" s="1"/>
  <c r="E481" i="27"/>
  <c r="G481" i="27"/>
  <c r="A482" i="27"/>
  <c r="K482" i="27" s="1"/>
  <c r="J482" i="27" s="1"/>
  <c r="E482" i="27"/>
  <c r="G482" i="27"/>
  <c r="A483" i="27"/>
  <c r="K483" i="27" s="1"/>
  <c r="A484" i="27"/>
  <c r="K484" i="27" s="1"/>
  <c r="J484" i="27" s="1"/>
  <c r="R484" i="27" s="1"/>
  <c r="E484" i="27"/>
  <c r="G484" i="27"/>
  <c r="I484" i="27"/>
  <c r="O484" i="27" s="1"/>
  <c r="A485" i="27"/>
  <c r="E485" i="27"/>
  <c r="G485" i="27"/>
  <c r="I485" i="27"/>
  <c r="K485" i="27"/>
  <c r="J485" i="27" s="1"/>
  <c r="A486" i="27"/>
  <c r="K486" i="27" s="1"/>
  <c r="J486" i="27" s="1"/>
  <c r="R486" i="27" s="1"/>
  <c r="E486" i="27"/>
  <c r="G486" i="27"/>
  <c r="I486" i="27"/>
  <c r="O486" i="27" s="1"/>
  <c r="A487" i="27"/>
  <c r="K487" i="27" s="1"/>
  <c r="J487" i="27" s="1"/>
  <c r="E487" i="27"/>
  <c r="G487" i="27"/>
  <c r="I487" i="27"/>
  <c r="O487" i="27" s="1"/>
  <c r="A488" i="27"/>
  <c r="K488" i="27" s="1"/>
  <c r="J488" i="27" s="1"/>
  <c r="E488" i="27"/>
  <c r="G488" i="27"/>
  <c r="I488" i="27"/>
  <c r="O488" i="27" s="1"/>
  <c r="A489" i="27"/>
  <c r="K489" i="27" s="1"/>
  <c r="A490" i="27"/>
  <c r="K490" i="27" s="1"/>
  <c r="J490" i="27" s="1"/>
  <c r="E490" i="27"/>
  <c r="G490" i="27"/>
  <c r="I490" i="27"/>
  <c r="A491" i="27"/>
  <c r="K491" i="27" s="1"/>
  <c r="J491" i="27" s="1"/>
  <c r="E491" i="27"/>
  <c r="G491" i="27"/>
  <c r="I491" i="27"/>
  <c r="A492" i="27"/>
  <c r="E492" i="27"/>
  <c r="G492" i="27"/>
  <c r="I492" i="27"/>
  <c r="K492" i="27"/>
  <c r="A493" i="27"/>
  <c r="K493" i="27" s="1"/>
  <c r="J493" i="27" s="1"/>
  <c r="R493" i="27" s="1"/>
  <c r="E493" i="27"/>
  <c r="G493" i="27"/>
  <c r="I493" i="27"/>
  <c r="A494" i="27"/>
  <c r="E494" i="27"/>
  <c r="G494" i="27"/>
  <c r="I494" i="27"/>
  <c r="K494" i="27"/>
  <c r="A495" i="27"/>
  <c r="K495" i="27" s="1"/>
  <c r="A496" i="27"/>
  <c r="K496" i="27" s="1"/>
  <c r="J496" i="27" s="1"/>
  <c r="R496" i="27" s="1"/>
  <c r="E496" i="27"/>
  <c r="G496" i="27"/>
  <c r="I496" i="27"/>
  <c r="A497" i="27"/>
  <c r="K497" i="27" s="1"/>
  <c r="J497" i="27" s="1"/>
  <c r="E497" i="27"/>
  <c r="G497" i="27"/>
  <c r="I497" i="27"/>
  <c r="A498" i="27"/>
  <c r="K498" i="27" s="1"/>
  <c r="J498" i="27" s="1"/>
  <c r="E498" i="27"/>
  <c r="G498" i="27"/>
  <c r="I498" i="27"/>
  <c r="A499" i="27"/>
  <c r="K499" i="27" s="1"/>
  <c r="E499" i="27"/>
  <c r="G499" i="27"/>
  <c r="I499" i="27"/>
  <c r="A500" i="27"/>
  <c r="E500" i="27"/>
  <c r="G500" i="27"/>
  <c r="I500" i="27"/>
  <c r="K500" i="27"/>
  <c r="J500" i="27" s="1"/>
  <c r="R500" i="27" s="1"/>
  <c r="A501" i="27"/>
  <c r="K501" i="27" s="1"/>
  <c r="A502" i="27"/>
  <c r="E502" i="27"/>
  <c r="G502" i="27"/>
  <c r="I502" i="27"/>
  <c r="K502" i="27"/>
  <c r="J502" i="27" s="1"/>
  <c r="R502" i="27" s="1"/>
  <c r="A503" i="27"/>
  <c r="K503" i="27" s="1"/>
  <c r="J503" i="27" s="1"/>
  <c r="E503" i="27"/>
  <c r="G503" i="27"/>
  <c r="I503" i="27"/>
  <c r="A504" i="27"/>
  <c r="E504" i="27"/>
  <c r="G504" i="27"/>
  <c r="I504" i="27"/>
  <c r="K504" i="27"/>
  <c r="A505" i="27"/>
  <c r="K505" i="27" s="1"/>
  <c r="E505" i="27"/>
  <c r="G505" i="27"/>
  <c r="I505" i="27"/>
  <c r="A506" i="27"/>
  <c r="E506" i="27"/>
  <c r="G506" i="27"/>
  <c r="I506" i="27"/>
  <c r="K506" i="27"/>
  <c r="A507" i="27"/>
  <c r="K507" i="27" s="1"/>
  <c r="H507" i="27"/>
  <c r="O507" i="27"/>
  <c r="R507" i="27"/>
  <c r="A508" i="27"/>
  <c r="K508" i="27" s="1"/>
  <c r="J508" i="27" s="1"/>
  <c r="R508" i="27" s="1"/>
  <c r="E508" i="27"/>
  <c r="G508" i="27"/>
  <c r="A509" i="27"/>
  <c r="K509" i="27" s="1"/>
  <c r="J509" i="27" s="1"/>
  <c r="E509" i="27"/>
  <c r="G509" i="27"/>
  <c r="A510" i="27"/>
  <c r="K510" i="27" s="1"/>
  <c r="J510" i="27" s="1"/>
  <c r="E510" i="27"/>
  <c r="G510" i="27"/>
  <c r="A511" i="27"/>
  <c r="K511" i="27" s="1"/>
  <c r="O511" i="27"/>
  <c r="R511" i="27"/>
  <c r="A512" i="27"/>
  <c r="K512" i="27" s="1"/>
  <c r="J512" i="27" s="1"/>
  <c r="R512" i="27" s="1"/>
  <c r="E512" i="27"/>
  <c r="G512" i="27"/>
  <c r="I512" i="27"/>
  <c r="A513" i="27"/>
  <c r="K513" i="27" s="1"/>
  <c r="J513" i="27" s="1"/>
  <c r="L513" i="27" s="1"/>
  <c r="G513" i="27"/>
  <c r="A514" i="27"/>
  <c r="K514" i="27" s="1"/>
  <c r="O514" i="27"/>
  <c r="R514" i="27"/>
  <c r="A515" i="27"/>
  <c r="E515" i="27"/>
  <c r="G515" i="27"/>
  <c r="I515" i="27"/>
  <c r="O515" i="27" s="1"/>
  <c r="K515" i="27"/>
  <c r="J515" i="27" s="1"/>
  <c r="A516" i="27"/>
  <c r="K516" i="27" s="1"/>
  <c r="J516" i="27" s="1"/>
  <c r="E516" i="27"/>
  <c r="G516" i="27"/>
  <c r="I516" i="27"/>
  <c r="A517" i="27"/>
  <c r="K517" i="27" s="1"/>
  <c r="O517" i="27"/>
  <c r="R517" i="27"/>
  <c r="A518" i="27"/>
  <c r="K518" i="27" s="1"/>
  <c r="J518" i="27" s="1"/>
  <c r="L518" i="27" s="1"/>
  <c r="E518" i="27"/>
  <c r="G518" i="27"/>
  <c r="A519" i="27"/>
  <c r="K519" i="27" s="1"/>
  <c r="J519" i="27" s="1"/>
  <c r="L519" i="27" s="1"/>
  <c r="E519" i="27"/>
  <c r="G519" i="27"/>
  <c r="A520" i="27"/>
  <c r="K520" i="27" s="1"/>
  <c r="J520" i="27" s="1"/>
  <c r="L520" i="27" s="1"/>
  <c r="E520" i="27"/>
  <c r="G520" i="27"/>
  <c r="A521" i="27"/>
  <c r="K521" i="27" s="1"/>
  <c r="J521" i="27" s="1"/>
  <c r="L521" i="27" s="1"/>
  <c r="E521" i="27"/>
  <c r="G521" i="27"/>
  <c r="A522" i="27"/>
  <c r="K522" i="27" s="1"/>
  <c r="J522" i="27" s="1"/>
  <c r="L522" i="27" s="1"/>
  <c r="E522" i="27"/>
  <c r="G522" i="27"/>
  <c r="A523" i="27"/>
  <c r="K523" i="27" s="1"/>
  <c r="J523" i="27" s="1"/>
  <c r="L523" i="27" s="1"/>
  <c r="E523" i="27"/>
  <c r="G523" i="27"/>
  <c r="A524" i="27"/>
  <c r="K524" i="27" s="1"/>
  <c r="O524" i="27"/>
  <c r="R524" i="27"/>
  <c r="A525" i="27"/>
  <c r="K525" i="27" s="1"/>
  <c r="J525" i="27" s="1"/>
  <c r="R525" i="27" s="1"/>
  <c r="E525" i="27"/>
  <c r="G525" i="27"/>
  <c r="I525" i="27"/>
  <c r="O525" i="27" s="1"/>
  <c r="A526" i="27"/>
  <c r="K526" i="27" s="1"/>
  <c r="J526" i="27" s="1"/>
  <c r="E526" i="27"/>
  <c r="G526" i="27"/>
  <c r="I526" i="27"/>
  <c r="A527" i="27"/>
  <c r="K527" i="27" s="1"/>
  <c r="J527" i="27" s="1"/>
  <c r="E527" i="27"/>
  <c r="G527" i="27"/>
  <c r="I527" i="27"/>
  <c r="A528" i="27"/>
  <c r="K528" i="27" s="1"/>
  <c r="J528" i="27" s="1"/>
  <c r="E528" i="27"/>
  <c r="G528" i="27"/>
  <c r="I528" i="27"/>
  <c r="A529" i="27"/>
  <c r="E529" i="27"/>
  <c r="G529" i="27"/>
  <c r="I529" i="27"/>
  <c r="K529" i="27"/>
  <c r="J529" i="27" s="1"/>
  <c r="A530" i="27"/>
  <c r="K530" i="27" s="1"/>
  <c r="O530" i="27"/>
  <c r="R530" i="27"/>
  <c r="A531" i="27"/>
  <c r="K531" i="27" s="1"/>
  <c r="J531" i="27" s="1"/>
  <c r="E531" i="27"/>
  <c r="G531" i="27"/>
  <c r="I531" i="27"/>
  <c r="O531" i="27" s="1"/>
  <c r="A532" i="27"/>
  <c r="K532" i="27" s="1"/>
  <c r="J532" i="27" s="1"/>
  <c r="L532" i="27" s="1"/>
  <c r="E532" i="27"/>
  <c r="G532" i="27"/>
  <c r="A533" i="27"/>
  <c r="K533" i="27" s="1"/>
  <c r="J533" i="27" s="1"/>
  <c r="L533" i="27" s="1"/>
  <c r="E533" i="27"/>
  <c r="G533" i="27"/>
  <c r="A534" i="27"/>
  <c r="K534" i="27" s="1"/>
  <c r="J534" i="27" s="1"/>
  <c r="L534" i="27" s="1"/>
  <c r="E534" i="27"/>
  <c r="G534" i="27"/>
  <c r="A535" i="27"/>
  <c r="K535" i="27" s="1"/>
  <c r="J535" i="27" s="1"/>
  <c r="E535" i="27"/>
  <c r="G535" i="27"/>
  <c r="I535" i="27"/>
  <c r="A536" i="27"/>
  <c r="E536" i="27"/>
  <c r="G536" i="27"/>
  <c r="I536" i="27"/>
  <c r="K536" i="27"/>
  <c r="J536" i="27" s="1"/>
  <c r="A537" i="27"/>
  <c r="K537" i="27" s="1"/>
  <c r="J537" i="27" s="1"/>
  <c r="E537" i="27"/>
  <c r="G537" i="27"/>
  <c r="I537" i="27"/>
  <c r="A538" i="27"/>
  <c r="K538" i="27" s="1"/>
  <c r="O538" i="27"/>
  <c r="R538" i="27"/>
  <c r="A539" i="27"/>
  <c r="K539" i="27" s="1"/>
  <c r="J539" i="27" s="1"/>
  <c r="R539" i="27" s="1"/>
  <c r="E539" i="27"/>
  <c r="G539" i="27"/>
  <c r="I539" i="27"/>
  <c r="O539" i="27" s="1"/>
  <c r="A540" i="27"/>
  <c r="E540" i="27"/>
  <c r="G540" i="27"/>
  <c r="I540" i="27"/>
  <c r="K540" i="27"/>
  <c r="J540" i="27" s="1"/>
  <c r="A541" i="27"/>
  <c r="K541" i="27" s="1"/>
  <c r="J541" i="27" s="1"/>
  <c r="E541" i="27"/>
  <c r="G541" i="27"/>
  <c r="I541" i="27"/>
  <c r="A542" i="27"/>
  <c r="E542" i="27"/>
  <c r="G542" i="27"/>
  <c r="I542" i="27"/>
  <c r="K542" i="27"/>
  <c r="J542" i="27" s="1"/>
  <c r="A543" i="27"/>
  <c r="K543" i="27" s="1"/>
  <c r="J543" i="27" s="1"/>
  <c r="L543" i="27" s="1"/>
  <c r="E543" i="27"/>
  <c r="G543" i="27"/>
  <c r="A544" i="27"/>
  <c r="K544" i="27" s="1"/>
  <c r="J544" i="27" s="1"/>
  <c r="E544" i="27"/>
  <c r="G544" i="27"/>
  <c r="I544" i="27"/>
  <c r="A545" i="27"/>
  <c r="K545" i="27" s="1"/>
  <c r="O545" i="27"/>
  <c r="R545" i="27"/>
  <c r="A546" i="27"/>
  <c r="K546" i="27" s="1"/>
  <c r="J546" i="27" s="1"/>
  <c r="E546" i="27"/>
  <c r="G546" i="27"/>
  <c r="I546" i="27"/>
  <c r="O546" i="27" s="1"/>
  <c r="A547" i="27"/>
  <c r="E547" i="27"/>
  <c r="G547" i="27"/>
  <c r="I547" i="27"/>
  <c r="K547" i="27"/>
  <c r="J547" i="27" s="1"/>
  <c r="A548" i="27"/>
  <c r="K548" i="27" s="1"/>
  <c r="J548" i="27" s="1"/>
  <c r="L548" i="27" s="1"/>
  <c r="E548" i="27"/>
  <c r="G548" i="27"/>
  <c r="A549" i="27"/>
  <c r="K549" i="27" s="1"/>
  <c r="J549" i="27" s="1"/>
  <c r="E549" i="27"/>
  <c r="G549" i="27"/>
  <c r="I549" i="27"/>
  <c r="A550" i="27"/>
  <c r="K550" i="27" s="1"/>
  <c r="J550" i="27" s="1"/>
  <c r="L550" i="27" s="1"/>
  <c r="E550" i="27"/>
  <c r="G550" i="27"/>
  <c r="A551" i="27"/>
  <c r="E551" i="27"/>
  <c r="G551" i="27"/>
  <c r="I551" i="27"/>
  <c r="K551" i="27"/>
  <c r="J551" i="27" s="1"/>
  <c r="A552" i="27"/>
  <c r="K552" i="27" s="1"/>
  <c r="O552" i="27"/>
  <c r="R552" i="27"/>
  <c r="A553" i="27"/>
  <c r="K553" i="27" s="1"/>
  <c r="J553" i="27" s="1"/>
  <c r="E553" i="27"/>
  <c r="G553" i="27"/>
  <c r="I553" i="27"/>
  <c r="O553" i="27" s="1"/>
  <c r="A554" i="27"/>
  <c r="K554" i="27" s="1"/>
  <c r="J554" i="27" s="1"/>
  <c r="E554" i="27"/>
  <c r="G554" i="27"/>
  <c r="I554" i="27"/>
  <c r="A555" i="27"/>
  <c r="K555" i="27" s="1"/>
  <c r="J555" i="27" s="1"/>
  <c r="R555" i="27" s="1"/>
  <c r="E555" i="27"/>
  <c r="G555" i="27"/>
  <c r="I555" i="27"/>
  <c r="O555" i="27" s="1"/>
  <c r="A556" i="27"/>
  <c r="K556" i="27" s="1"/>
  <c r="O556" i="27"/>
  <c r="R556" i="27"/>
  <c r="A557" i="27"/>
  <c r="K557" i="27" s="1"/>
  <c r="J557" i="27" s="1"/>
  <c r="E557" i="27"/>
  <c r="G557" i="27"/>
  <c r="I557" i="27"/>
  <c r="O557" i="27" s="1"/>
  <c r="A558" i="27"/>
  <c r="K558" i="27" s="1"/>
  <c r="J558" i="27" s="1"/>
  <c r="E558" i="27"/>
  <c r="G558" i="27"/>
  <c r="I558" i="27"/>
  <c r="A559" i="27"/>
  <c r="K559" i="27" s="1"/>
  <c r="J559" i="27" s="1"/>
  <c r="E559" i="27"/>
  <c r="G559" i="27"/>
  <c r="I559" i="27"/>
  <c r="O559" i="27" s="1"/>
  <c r="A560" i="27"/>
  <c r="K560" i="27" s="1"/>
  <c r="O560" i="27"/>
  <c r="R560" i="27"/>
  <c r="A561" i="27"/>
  <c r="K561" i="27" s="1"/>
  <c r="J561" i="27" s="1"/>
  <c r="R561" i="27" s="1"/>
  <c r="E561" i="27"/>
  <c r="G561" i="27"/>
  <c r="I561" i="27"/>
  <c r="A562" i="27"/>
  <c r="K562" i="27" s="1"/>
  <c r="J562" i="27" s="1"/>
  <c r="E562" i="27"/>
  <c r="G562" i="27"/>
  <c r="I562" i="27"/>
  <c r="A563" i="27"/>
  <c r="K563" i="27" s="1"/>
  <c r="J563" i="27" s="1"/>
  <c r="R563" i="27" s="1"/>
  <c r="E563" i="27"/>
  <c r="G563" i="27"/>
  <c r="I563" i="27"/>
  <c r="O563" i="27" s="1"/>
  <c r="A564" i="27"/>
  <c r="K564" i="27" s="1"/>
  <c r="J564" i="27" s="1"/>
  <c r="R564" i="27" s="1"/>
  <c r="E564" i="27"/>
  <c r="G564" i="27"/>
  <c r="I564" i="27"/>
  <c r="O564" i="27" s="1"/>
  <c r="A565" i="27"/>
  <c r="K565" i="27" s="1"/>
  <c r="J565" i="27" s="1"/>
  <c r="R565" i="27" s="1"/>
  <c r="E565" i="27"/>
  <c r="G565" i="27"/>
  <c r="I565" i="27"/>
  <c r="O565" i="27" s="1"/>
  <c r="A566" i="27"/>
  <c r="K566" i="27" s="1"/>
  <c r="O566" i="27"/>
  <c r="R566" i="27"/>
  <c r="A567" i="27"/>
  <c r="K567" i="27" s="1"/>
  <c r="J567" i="27" s="1"/>
  <c r="E567" i="27"/>
  <c r="G567" i="27"/>
  <c r="I567" i="27"/>
  <c r="O567" i="27" s="1"/>
  <c r="A568" i="27"/>
  <c r="K568" i="27" s="1"/>
  <c r="J568" i="27" s="1"/>
  <c r="E568" i="27"/>
  <c r="G568" i="27"/>
  <c r="I568" i="27"/>
  <c r="A569" i="27"/>
  <c r="K569" i="27" s="1"/>
  <c r="J569" i="27" s="1"/>
  <c r="R569" i="27" s="1"/>
  <c r="E569" i="27"/>
  <c r="G569" i="27"/>
  <c r="I569" i="27"/>
  <c r="A570" i="27"/>
  <c r="K570" i="27" s="1"/>
  <c r="J570" i="27" s="1"/>
  <c r="R570" i="27" s="1"/>
  <c r="E570" i="27"/>
  <c r="G570" i="27"/>
  <c r="O570" i="27"/>
  <c r="A571" i="27"/>
  <c r="K571" i="27" s="1"/>
  <c r="J571" i="27" s="1"/>
  <c r="E571" i="27"/>
  <c r="G571" i="27"/>
  <c r="I571" i="27"/>
  <c r="O571" i="27" s="1"/>
  <c r="A572" i="27"/>
  <c r="K572" i="27" s="1"/>
  <c r="O572" i="27"/>
  <c r="R572" i="27"/>
  <c r="A573" i="27"/>
  <c r="K573" i="27" s="1"/>
  <c r="J573" i="27" s="1"/>
  <c r="E573" i="27"/>
  <c r="G573" i="27"/>
  <c r="I573" i="27"/>
  <c r="O573" i="27" s="1"/>
  <c r="A574" i="27"/>
  <c r="E574" i="27"/>
  <c r="G574" i="27"/>
  <c r="I574" i="27"/>
  <c r="K574" i="27"/>
  <c r="J574" i="27" s="1"/>
  <c r="A575" i="27"/>
  <c r="K575" i="27" s="1"/>
  <c r="J575" i="27" s="1"/>
  <c r="E575" i="27"/>
  <c r="G575" i="27"/>
  <c r="I575" i="27"/>
  <c r="A576" i="27"/>
  <c r="K576" i="27" s="1"/>
  <c r="J576" i="27" s="1"/>
  <c r="E576" i="27"/>
  <c r="G576" i="27"/>
  <c r="I576" i="27"/>
  <c r="O576" i="27" s="1"/>
  <c r="A577" i="27"/>
  <c r="K577" i="27" s="1"/>
  <c r="J577" i="27" s="1"/>
  <c r="L577" i="27" s="1"/>
  <c r="E577" i="27"/>
  <c r="G577" i="27"/>
  <c r="A578" i="27"/>
  <c r="A579" i="27"/>
  <c r="K579" i="27" s="1"/>
  <c r="J579" i="27" s="1"/>
  <c r="E579" i="27"/>
  <c r="G579" i="27"/>
  <c r="I579" i="27"/>
  <c r="A580" i="27"/>
  <c r="K580" i="27" s="1"/>
  <c r="J580" i="27" s="1"/>
  <c r="E580" i="27"/>
  <c r="G580" i="27"/>
  <c r="I580" i="27"/>
  <c r="A581" i="27"/>
  <c r="A582" i="27"/>
  <c r="K582" i="27" s="1"/>
  <c r="J582" i="27" s="1"/>
  <c r="E582" i="27"/>
  <c r="G582" i="27"/>
  <c r="I582" i="27"/>
  <c r="A583" i="27"/>
  <c r="K583" i="27" s="1"/>
  <c r="J583" i="27" s="1"/>
  <c r="E583" i="27"/>
  <c r="G583" i="27"/>
  <c r="I583" i="27"/>
  <c r="A584" i="27"/>
  <c r="A585" i="27"/>
  <c r="K585" i="27" s="1"/>
  <c r="O585" i="27"/>
  <c r="R585" i="27"/>
  <c r="A586" i="27"/>
  <c r="E586" i="27"/>
  <c r="G586" i="27"/>
  <c r="I586" i="27"/>
  <c r="K586" i="27"/>
  <c r="J586" i="27" s="1"/>
  <c r="R586" i="27" s="1"/>
  <c r="A587" i="27"/>
  <c r="E587" i="27"/>
  <c r="G587" i="27"/>
  <c r="I587" i="27"/>
  <c r="K587" i="27"/>
  <c r="J587" i="27" s="1"/>
  <c r="A588" i="27"/>
  <c r="A589" i="27"/>
  <c r="K589" i="27" s="1"/>
  <c r="H589" i="27"/>
  <c r="I590" i="27" s="1"/>
  <c r="O589" i="27"/>
  <c r="R589" i="27"/>
  <c r="A590" i="27"/>
  <c r="K590" i="27" s="1"/>
  <c r="J590" i="27" s="1"/>
  <c r="E590" i="27"/>
  <c r="G590" i="27"/>
  <c r="A591" i="27"/>
  <c r="K591" i="27" s="1"/>
  <c r="J591" i="27" s="1"/>
  <c r="E591" i="27"/>
  <c r="G591" i="27"/>
  <c r="A592" i="27"/>
  <c r="O592" i="27"/>
  <c r="R592" i="27"/>
  <c r="A593" i="27"/>
  <c r="K593" i="27" s="1"/>
  <c r="J593" i="27" s="1"/>
  <c r="R593" i="27" s="1"/>
  <c r="O593" i="27"/>
  <c r="A594" i="27"/>
  <c r="K594" i="27" s="1"/>
  <c r="O594" i="27"/>
  <c r="R594" i="27"/>
  <c r="A595" i="27"/>
  <c r="K595" i="27" s="1"/>
  <c r="O595" i="27"/>
  <c r="R595" i="27"/>
  <c r="A596" i="27"/>
  <c r="K596" i="27" s="1"/>
  <c r="J596" i="27" s="1"/>
  <c r="L596" i="27" s="1"/>
  <c r="E596" i="27"/>
  <c r="G596" i="27"/>
  <c r="A597" i="27"/>
  <c r="K597" i="27" s="1"/>
  <c r="J597" i="27" s="1"/>
  <c r="L597" i="27" s="1"/>
  <c r="E597" i="27"/>
  <c r="G597" i="27"/>
  <c r="A598" i="27"/>
  <c r="K598" i="27" s="1"/>
  <c r="J598" i="27" s="1"/>
  <c r="L598" i="27" s="1"/>
  <c r="E598" i="27"/>
  <c r="G598" i="27"/>
  <c r="A599" i="27"/>
  <c r="K599" i="27" s="1"/>
  <c r="J599" i="27" s="1"/>
  <c r="L599" i="27" s="1"/>
  <c r="E599" i="27"/>
  <c r="G599" i="27"/>
  <c r="A600" i="27"/>
  <c r="K600" i="27" s="1"/>
  <c r="J600" i="27" s="1"/>
  <c r="L600" i="27" s="1"/>
  <c r="E600" i="27"/>
  <c r="G600" i="27"/>
  <c r="A601" i="27"/>
  <c r="K601" i="27" s="1"/>
  <c r="J601" i="27" s="1"/>
  <c r="L601" i="27" s="1"/>
  <c r="E601" i="27"/>
  <c r="G601" i="27"/>
  <c r="A602" i="27"/>
  <c r="K602" i="27" s="1"/>
  <c r="J602" i="27" s="1"/>
  <c r="L602" i="27" s="1"/>
  <c r="E602" i="27"/>
  <c r="G602" i="27"/>
  <c r="A603" i="27"/>
  <c r="K603" i="27" s="1"/>
  <c r="J603" i="27" s="1"/>
  <c r="L603" i="27" s="1"/>
  <c r="E603" i="27"/>
  <c r="G603" i="27"/>
  <c r="A604" i="27"/>
  <c r="K604" i="27" s="1"/>
  <c r="J604" i="27" s="1"/>
  <c r="L604" i="27" s="1"/>
  <c r="E604" i="27"/>
  <c r="G604" i="27"/>
  <c r="A605" i="27"/>
  <c r="K605" i="27" s="1"/>
  <c r="J605" i="27" s="1"/>
  <c r="L605" i="27" s="1"/>
  <c r="E605" i="27"/>
  <c r="G605" i="27"/>
  <c r="O605" i="27"/>
  <c r="A606" i="27"/>
  <c r="A607" i="27"/>
  <c r="K607" i="27" s="1"/>
  <c r="J607" i="27" s="1"/>
  <c r="L607" i="27" s="1"/>
  <c r="L606" i="27" s="1"/>
  <c r="E607" i="27"/>
  <c r="G607" i="27"/>
  <c r="A608" i="27"/>
  <c r="K608" i="27" s="1"/>
  <c r="O608" i="27"/>
  <c r="R608" i="27"/>
  <c r="A609" i="27"/>
  <c r="K609" i="27" s="1"/>
  <c r="J609" i="27" s="1"/>
  <c r="L609" i="27" s="1"/>
  <c r="E609" i="27"/>
  <c r="G609" i="27"/>
  <c r="O609" i="27"/>
  <c r="A610" i="27"/>
  <c r="K610" i="27" s="1"/>
  <c r="J610" i="27" s="1"/>
  <c r="L610" i="27" s="1"/>
  <c r="E610" i="27"/>
  <c r="G610" i="27"/>
  <c r="A611" i="27"/>
  <c r="K611" i="27" s="1"/>
  <c r="J611" i="27" s="1"/>
  <c r="L611" i="27" s="1"/>
  <c r="E611" i="27"/>
  <c r="G611" i="27"/>
  <c r="A612" i="27"/>
  <c r="K612" i="27" s="1"/>
  <c r="O612" i="27"/>
  <c r="R612" i="27"/>
  <c r="A613" i="27"/>
  <c r="K613" i="27" s="1"/>
  <c r="J613" i="27" s="1"/>
  <c r="E613" i="27"/>
  <c r="G613" i="27"/>
  <c r="O613" i="27"/>
  <c r="A614" i="27"/>
  <c r="K614" i="27" s="1"/>
  <c r="J614" i="27" s="1"/>
  <c r="L614" i="27" s="1"/>
  <c r="E614" i="27"/>
  <c r="G614" i="27"/>
  <c r="A615" i="27"/>
  <c r="K615" i="27" s="1"/>
  <c r="J615" i="27" s="1"/>
  <c r="L615" i="27" s="1"/>
  <c r="E615" i="27"/>
  <c r="G615" i="27"/>
  <c r="A616" i="27"/>
  <c r="A617" i="27"/>
  <c r="K617" i="27" s="1"/>
  <c r="J617" i="27" s="1"/>
  <c r="L617" i="27" s="1"/>
  <c r="L616" i="27" s="1"/>
  <c r="E617" i="27"/>
  <c r="G617" i="27"/>
  <c r="A618" i="27"/>
  <c r="A619" i="27"/>
  <c r="K619" i="27" s="1"/>
  <c r="J619" i="27" s="1"/>
  <c r="L619" i="27" s="1"/>
  <c r="E619" i="27"/>
  <c r="G619" i="27"/>
  <c r="A620" i="27"/>
  <c r="K620" i="27" s="1"/>
  <c r="J620" i="27" s="1"/>
  <c r="L620" i="27" s="1"/>
  <c r="E620" i="27"/>
  <c r="G620" i="27"/>
  <c r="A621" i="27"/>
  <c r="K621" i="27" s="1"/>
  <c r="J621" i="27" s="1"/>
  <c r="L621" i="27" s="1"/>
  <c r="E621" i="27"/>
  <c r="G621" i="27"/>
  <c r="A622" i="27"/>
  <c r="A623" i="27"/>
  <c r="K623" i="27" s="1"/>
  <c r="J623" i="27" s="1"/>
  <c r="L623" i="27" s="1"/>
  <c r="E623" i="27"/>
  <c r="G623" i="27"/>
  <c r="A624" i="27"/>
  <c r="K624" i="27" s="1"/>
  <c r="J624" i="27" s="1"/>
  <c r="L624" i="27" s="1"/>
  <c r="E624" i="27"/>
  <c r="G624" i="27"/>
  <c r="A625" i="27"/>
  <c r="K625" i="27" s="1"/>
  <c r="J625" i="27" s="1"/>
  <c r="L625" i="27" s="1"/>
  <c r="E625" i="27"/>
  <c r="G625" i="27"/>
  <c r="A626" i="27"/>
  <c r="K626" i="27" s="1"/>
  <c r="J626" i="27" s="1"/>
  <c r="L626" i="27" s="1"/>
  <c r="E626" i="27"/>
  <c r="G626" i="27"/>
  <c r="A627" i="27"/>
  <c r="K627" i="27" s="1"/>
  <c r="J627" i="27" s="1"/>
  <c r="L627" i="27" s="1"/>
  <c r="E627" i="27"/>
  <c r="G627" i="27"/>
  <c r="A628" i="27"/>
  <c r="K628" i="27" s="1"/>
  <c r="J628" i="27" s="1"/>
  <c r="L628" i="27" s="1"/>
  <c r="E628" i="27"/>
  <c r="G628" i="27"/>
  <c r="A629" i="27"/>
  <c r="A630" i="27"/>
  <c r="K630" i="27" s="1"/>
  <c r="J630" i="27" s="1"/>
  <c r="L630" i="27" s="1"/>
  <c r="E630" i="27"/>
  <c r="G630" i="27"/>
  <c r="A631" i="27"/>
  <c r="K631" i="27" s="1"/>
  <c r="J631" i="27" s="1"/>
  <c r="L631" i="27" s="1"/>
  <c r="E631" i="27"/>
  <c r="G631" i="27"/>
  <c r="A632" i="27"/>
  <c r="K632" i="27" s="1"/>
  <c r="J632" i="27" s="1"/>
  <c r="L632" i="27" s="1"/>
  <c r="E632" i="27"/>
  <c r="G632" i="27"/>
  <c r="A633" i="27"/>
  <c r="K633" i="27" s="1"/>
  <c r="J633" i="27" s="1"/>
  <c r="L633" i="27" s="1"/>
  <c r="E633" i="27"/>
  <c r="G633" i="27"/>
  <c r="A634" i="27"/>
  <c r="K634" i="27" s="1"/>
  <c r="J634" i="27" s="1"/>
  <c r="L634" i="27" s="1"/>
  <c r="E634" i="27"/>
  <c r="G634" i="27"/>
  <c r="A635" i="27"/>
  <c r="K635" i="27" s="1"/>
  <c r="J635" i="27" s="1"/>
  <c r="L635" i="27" s="1"/>
  <c r="E635" i="27"/>
  <c r="G635" i="27"/>
  <c r="A636" i="27"/>
  <c r="A637" i="27"/>
  <c r="K637" i="27" s="1"/>
  <c r="J637" i="27" s="1"/>
  <c r="L637" i="27" s="1"/>
  <c r="E637" i="27"/>
  <c r="G637" i="27"/>
  <c r="A638" i="27"/>
  <c r="K638" i="27" s="1"/>
  <c r="J638" i="27" s="1"/>
  <c r="L638" i="27" s="1"/>
  <c r="E638" i="27"/>
  <c r="G638" i="27"/>
  <c r="A639" i="27"/>
  <c r="K639" i="27" s="1"/>
  <c r="J639" i="27" s="1"/>
  <c r="L639" i="27" s="1"/>
  <c r="E639" i="27"/>
  <c r="G639" i="27"/>
  <c r="A640" i="27"/>
  <c r="K640" i="27" s="1"/>
  <c r="J640" i="27" s="1"/>
  <c r="L640" i="27" s="1"/>
  <c r="E640" i="27"/>
  <c r="G640" i="27"/>
  <c r="A641" i="27"/>
  <c r="K641" i="27" s="1"/>
  <c r="J641" i="27" s="1"/>
  <c r="L641" i="27" s="1"/>
  <c r="E641" i="27"/>
  <c r="G641" i="27"/>
  <c r="A642" i="27"/>
  <c r="K642" i="27" s="1"/>
  <c r="J642" i="27" s="1"/>
  <c r="L642" i="27" s="1"/>
  <c r="E642" i="27"/>
  <c r="G642" i="27"/>
  <c r="A643" i="27"/>
  <c r="A644" i="27"/>
  <c r="K644" i="27" s="1"/>
  <c r="J644" i="27" s="1"/>
  <c r="L644" i="27" s="1"/>
  <c r="E644" i="27"/>
  <c r="G644" i="27"/>
  <c r="A645" i="27"/>
  <c r="K645" i="27" s="1"/>
  <c r="J645" i="27" s="1"/>
  <c r="L645" i="27" s="1"/>
  <c r="E645" i="27"/>
  <c r="G645" i="27"/>
  <c r="A646" i="27"/>
  <c r="K646" i="27" s="1"/>
  <c r="J646" i="27" s="1"/>
  <c r="L646" i="27" s="1"/>
  <c r="E646" i="27"/>
  <c r="G646" i="27"/>
  <c r="A647" i="27"/>
  <c r="K647" i="27" s="1"/>
  <c r="J647" i="27" s="1"/>
  <c r="L647" i="27" s="1"/>
  <c r="E647" i="27"/>
  <c r="G647" i="27"/>
  <c r="A648" i="27"/>
  <c r="K648" i="27" s="1"/>
  <c r="J648" i="27" s="1"/>
  <c r="L648" i="27" s="1"/>
  <c r="E648" i="27"/>
  <c r="G648" i="27"/>
  <c r="A649" i="27"/>
  <c r="K649" i="27" s="1"/>
  <c r="J649" i="27" s="1"/>
  <c r="L649" i="27" s="1"/>
  <c r="E649" i="27"/>
  <c r="G649" i="27"/>
  <c r="A650" i="27"/>
  <c r="A651" i="27"/>
  <c r="K651" i="27" s="1"/>
  <c r="J651" i="27" s="1"/>
  <c r="L651" i="27" s="1"/>
  <c r="E651" i="27"/>
  <c r="G651" i="27"/>
  <c r="A652" i="27"/>
  <c r="K652" i="27" s="1"/>
  <c r="J652" i="27" s="1"/>
  <c r="L652" i="27" s="1"/>
  <c r="E652" i="27"/>
  <c r="G652" i="27"/>
  <c r="A653" i="27"/>
  <c r="K653" i="27" s="1"/>
  <c r="J653" i="27" s="1"/>
  <c r="L653" i="27" s="1"/>
  <c r="E653" i="27"/>
  <c r="G653" i="27"/>
  <c r="A654" i="27"/>
  <c r="K654" i="27" s="1"/>
  <c r="J654" i="27" s="1"/>
  <c r="L654" i="27" s="1"/>
  <c r="E654" i="27"/>
  <c r="G654" i="27"/>
  <c r="A655" i="27"/>
  <c r="K655" i="27" s="1"/>
  <c r="J655" i="27" s="1"/>
  <c r="L655" i="27" s="1"/>
  <c r="E655" i="27"/>
  <c r="G655" i="27"/>
  <c r="A656" i="27"/>
  <c r="K656" i="27" s="1"/>
  <c r="J656" i="27" s="1"/>
  <c r="L656" i="27" s="1"/>
  <c r="E656" i="27"/>
  <c r="G656" i="27"/>
  <c r="A657" i="27"/>
  <c r="A658" i="27"/>
  <c r="K658" i="27" s="1"/>
  <c r="J658" i="27" s="1"/>
  <c r="L658" i="27" s="1"/>
  <c r="E658" i="27"/>
  <c r="G658" i="27"/>
  <c r="A659" i="27"/>
  <c r="K659" i="27" s="1"/>
  <c r="J659" i="27" s="1"/>
  <c r="L659" i="27" s="1"/>
  <c r="E659" i="27"/>
  <c r="G659" i="27"/>
  <c r="A660" i="27"/>
  <c r="K660" i="27" s="1"/>
  <c r="J660" i="27" s="1"/>
  <c r="L660" i="27" s="1"/>
  <c r="E660" i="27"/>
  <c r="G660" i="27"/>
  <c r="A661" i="27"/>
  <c r="K661" i="27" s="1"/>
  <c r="J661" i="27" s="1"/>
  <c r="L661" i="27" s="1"/>
  <c r="E661" i="27"/>
  <c r="G661" i="27"/>
  <c r="A662" i="27"/>
  <c r="K662" i="27" s="1"/>
  <c r="J662" i="27" s="1"/>
  <c r="L662" i="27" s="1"/>
  <c r="E662" i="27"/>
  <c r="G662" i="27"/>
  <c r="A663" i="27"/>
  <c r="K663" i="27" s="1"/>
  <c r="J663" i="27" s="1"/>
  <c r="L663" i="27" s="1"/>
  <c r="E663" i="27"/>
  <c r="G663" i="27"/>
  <c r="A664" i="27"/>
  <c r="A665" i="27"/>
  <c r="K665" i="27" s="1"/>
  <c r="J665" i="27" s="1"/>
  <c r="L665" i="27" s="1"/>
  <c r="E665" i="27"/>
  <c r="G665" i="27"/>
  <c r="A666" i="27"/>
  <c r="K666" i="27" s="1"/>
  <c r="J666" i="27" s="1"/>
  <c r="L666" i="27" s="1"/>
  <c r="E666" i="27"/>
  <c r="G666" i="27"/>
  <c r="A667" i="27"/>
  <c r="K667" i="27" s="1"/>
  <c r="J667" i="27" s="1"/>
  <c r="L667" i="27" s="1"/>
  <c r="E667" i="27"/>
  <c r="G667" i="27"/>
  <c r="A668" i="27"/>
  <c r="A669" i="27"/>
  <c r="K669" i="27" s="1"/>
  <c r="J669" i="27" s="1"/>
  <c r="L669" i="27" s="1"/>
  <c r="E669" i="27"/>
  <c r="G669" i="27"/>
  <c r="A670" i="27"/>
  <c r="K670" i="27" s="1"/>
  <c r="J670" i="27" s="1"/>
  <c r="L670" i="27" s="1"/>
  <c r="E670" i="27"/>
  <c r="G670" i="27"/>
  <c r="A671" i="27"/>
  <c r="K671" i="27" s="1"/>
  <c r="J671" i="27" s="1"/>
  <c r="L671" i="27" s="1"/>
  <c r="E671" i="27"/>
  <c r="G671" i="27"/>
  <c r="A672" i="27"/>
  <c r="K672" i="27" s="1"/>
  <c r="J672" i="27" s="1"/>
  <c r="L672" i="27" s="1"/>
  <c r="E672" i="27"/>
  <c r="G672" i="27"/>
  <c r="A673" i="27"/>
  <c r="K673" i="27" s="1"/>
  <c r="J673" i="27" s="1"/>
  <c r="L673" i="27" s="1"/>
  <c r="E673" i="27"/>
  <c r="G673" i="27"/>
  <c r="A674" i="27"/>
  <c r="A675" i="27"/>
  <c r="K675" i="27" s="1"/>
  <c r="J675" i="27" s="1"/>
  <c r="L675" i="27" s="1"/>
  <c r="E675" i="27"/>
  <c r="G675" i="27"/>
  <c r="A676" i="27"/>
  <c r="K676" i="27" s="1"/>
  <c r="J676" i="27" s="1"/>
  <c r="L676" i="27" s="1"/>
  <c r="E676" i="27"/>
  <c r="G676" i="27"/>
  <c r="A677" i="27"/>
  <c r="K677" i="27" s="1"/>
  <c r="J677" i="27" s="1"/>
  <c r="L677" i="27" s="1"/>
  <c r="E677" i="27"/>
  <c r="G677" i="27"/>
  <c r="A678" i="27"/>
  <c r="K678" i="27" s="1"/>
  <c r="J678" i="27" s="1"/>
  <c r="L678" i="27" s="1"/>
  <c r="E678" i="27"/>
  <c r="G678" i="27"/>
  <c r="A679" i="27"/>
  <c r="K679" i="27" s="1"/>
  <c r="J679" i="27" s="1"/>
  <c r="L679" i="27" s="1"/>
  <c r="E679" i="27"/>
  <c r="G679" i="27"/>
  <c r="A680" i="27"/>
  <c r="A681" i="27"/>
  <c r="K681" i="27" s="1"/>
  <c r="J681" i="27" s="1"/>
  <c r="L681" i="27" s="1"/>
  <c r="E681" i="27"/>
  <c r="G681" i="27"/>
  <c r="A682" i="27"/>
  <c r="K682" i="27" s="1"/>
  <c r="J682" i="27" s="1"/>
  <c r="L682" i="27" s="1"/>
  <c r="E682" i="27"/>
  <c r="G682" i="27"/>
  <c r="A683" i="27"/>
  <c r="O683" i="27"/>
  <c r="R683" i="27"/>
  <c r="A684" i="27"/>
  <c r="O684" i="27"/>
  <c r="A685" i="27"/>
  <c r="K685" i="27" s="1"/>
  <c r="O685" i="27"/>
  <c r="R685" i="27"/>
  <c r="A686" i="27"/>
  <c r="K686" i="27" s="1"/>
  <c r="O686" i="27"/>
  <c r="R686" i="27"/>
  <c r="A687" i="27"/>
  <c r="K687" i="27" s="1"/>
  <c r="O687" i="27" s="1"/>
  <c r="E687" i="27"/>
  <c r="G687" i="27"/>
  <c r="A688" i="27"/>
  <c r="K688" i="27" s="1"/>
  <c r="J688" i="27" s="1"/>
  <c r="L688" i="27" s="1"/>
  <c r="E688" i="27"/>
  <c r="G688" i="27"/>
  <c r="A689" i="27"/>
  <c r="K689" i="27" s="1"/>
  <c r="J689" i="27" s="1"/>
  <c r="L689" i="27" s="1"/>
  <c r="E689" i="27"/>
  <c r="G689" i="27"/>
  <c r="A690" i="27"/>
  <c r="K690" i="27" s="1"/>
  <c r="J690" i="27" s="1"/>
  <c r="L690" i="27" s="1"/>
  <c r="E690" i="27"/>
  <c r="G690" i="27"/>
  <c r="A691" i="27"/>
  <c r="K691" i="27" s="1"/>
  <c r="J691" i="27" s="1"/>
  <c r="E691" i="27"/>
  <c r="G691" i="27"/>
  <c r="I691" i="27"/>
  <c r="A692" i="27"/>
  <c r="K692" i="27" s="1"/>
  <c r="J692" i="27" s="1"/>
  <c r="L692" i="27" s="1"/>
  <c r="E692" i="27"/>
  <c r="G692" i="27"/>
  <c r="A693" i="27"/>
  <c r="K693" i="27" s="1"/>
  <c r="J693" i="27" s="1"/>
  <c r="L693" i="27" s="1"/>
  <c r="E693" i="27"/>
  <c r="G693" i="27"/>
  <c r="A694" i="27"/>
  <c r="K694" i="27" s="1"/>
  <c r="J694" i="27" s="1"/>
  <c r="L694" i="27" s="1"/>
  <c r="E694" i="27"/>
  <c r="G694" i="27"/>
  <c r="A695" i="27"/>
  <c r="E695" i="27"/>
  <c r="G695" i="27"/>
  <c r="I695" i="27"/>
  <c r="A696" i="27"/>
  <c r="K696" i="27" s="1"/>
  <c r="J696" i="27" s="1"/>
  <c r="L696" i="27" s="1"/>
  <c r="E696" i="27"/>
  <c r="G696" i="27"/>
  <c r="A697" i="27"/>
  <c r="E697" i="27"/>
  <c r="G697" i="27"/>
  <c r="I697" i="27"/>
  <c r="K697" i="27"/>
  <c r="J697" i="27" s="1"/>
  <c r="A698" i="27"/>
  <c r="K698" i="27" s="1"/>
  <c r="J698" i="27" s="1"/>
  <c r="E698" i="27"/>
  <c r="G698" i="27"/>
  <c r="I698" i="27"/>
  <c r="A699" i="27"/>
  <c r="A700" i="27"/>
  <c r="K700" i="27" s="1"/>
  <c r="J700" i="27" s="1"/>
  <c r="L700" i="27" s="1"/>
  <c r="E700" i="27"/>
  <c r="G700" i="27"/>
  <c r="A701" i="27"/>
  <c r="K701" i="27" s="1"/>
  <c r="J701" i="27" s="1"/>
  <c r="L701" i="27" s="1"/>
  <c r="E701" i="27"/>
  <c r="G701" i="27"/>
  <c r="A702" i="27"/>
  <c r="K702" i="27" s="1"/>
  <c r="O702" i="27"/>
  <c r="R702" i="27"/>
  <c r="A703" i="27"/>
  <c r="K703" i="27" s="1"/>
  <c r="J703" i="27" s="1"/>
  <c r="R703" i="27" s="1"/>
  <c r="E703" i="27"/>
  <c r="G703" i="27"/>
  <c r="O703" i="27"/>
  <c r="A704" i="27"/>
  <c r="K704" i="27" s="1"/>
  <c r="J704" i="27" s="1"/>
  <c r="L704" i="27" s="1"/>
  <c r="E704" i="27"/>
  <c r="G704" i="27"/>
  <c r="O704" i="27"/>
  <c r="A705" i="27"/>
  <c r="K705" i="27" s="1"/>
  <c r="J705" i="27" s="1"/>
  <c r="L705" i="27" s="1"/>
  <c r="E705" i="27"/>
  <c r="G705" i="27"/>
  <c r="O705" i="27"/>
  <c r="A706" i="27"/>
  <c r="K706" i="27" s="1"/>
  <c r="J706" i="27" s="1"/>
  <c r="L706" i="27" s="1"/>
  <c r="E706" i="27"/>
  <c r="G706" i="27"/>
  <c r="O706" i="27"/>
  <c r="A707" i="27"/>
  <c r="A708" i="27"/>
  <c r="K708" i="27" s="1"/>
  <c r="J708" i="27" s="1"/>
  <c r="L708" i="27" s="1"/>
  <c r="L707" i="27" s="1"/>
  <c r="E708" i="27"/>
  <c r="G708" i="27"/>
  <c r="A709" i="27"/>
  <c r="K709" i="27" s="1"/>
  <c r="O709" i="27"/>
  <c r="R709" i="27"/>
  <c r="A710" i="27"/>
  <c r="K710" i="27" s="1"/>
  <c r="J710" i="27" s="1"/>
  <c r="L710" i="27" s="1"/>
  <c r="E710" i="27"/>
  <c r="G710" i="27"/>
  <c r="A711" i="27"/>
  <c r="K711" i="27" s="1"/>
  <c r="J711" i="27" s="1"/>
  <c r="R711" i="27" s="1"/>
  <c r="E711" i="27"/>
  <c r="G711" i="27"/>
  <c r="O711" i="27"/>
  <c r="A712" i="27"/>
  <c r="K712" i="27" s="1"/>
  <c r="O712" i="27"/>
  <c r="R712" i="27"/>
  <c r="A713" i="27"/>
  <c r="K713" i="27" s="1"/>
  <c r="J713" i="27" s="1"/>
  <c r="R713" i="27" s="1"/>
  <c r="E713" i="27"/>
  <c r="G713" i="27"/>
  <c r="O713" i="27"/>
  <c r="A714" i="27"/>
  <c r="A715" i="27"/>
  <c r="K715" i="27" s="1"/>
  <c r="J715" i="27" s="1"/>
  <c r="L715" i="27" s="1"/>
  <c r="E715" i="27"/>
  <c r="G715" i="27"/>
  <c r="A716" i="27"/>
  <c r="K716" i="27" s="1"/>
  <c r="J716" i="27" s="1"/>
  <c r="L716" i="27" s="1"/>
  <c r="E716" i="27"/>
  <c r="G716" i="27"/>
  <c r="A717" i="27"/>
  <c r="K717" i="27" s="1"/>
  <c r="J717" i="27" s="1"/>
  <c r="L717" i="27" s="1"/>
  <c r="E717" i="27"/>
  <c r="G717" i="27"/>
  <c r="A718" i="27"/>
  <c r="K718" i="27" s="1"/>
  <c r="J718" i="27" s="1"/>
  <c r="L718" i="27" s="1"/>
  <c r="E718" i="27"/>
  <c r="G718" i="27"/>
  <c r="A719" i="27"/>
  <c r="K719" i="27" s="1"/>
  <c r="J719" i="27" s="1"/>
  <c r="L719" i="27" s="1"/>
  <c r="E719" i="27"/>
  <c r="G719" i="27"/>
  <c r="A720" i="27"/>
  <c r="K720" i="27" s="1"/>
  <c r="O720" i="27"/>
  <c r="R720" i="27"/>
  <c r="A721" i="27"/>
  <c r="K721" i="27" s="1"/>
  <c r="J721" i="27" s="1"/>
  <c r="L721" i="27" s="1"/>
  <c r="E721" i="27"/>
  <c r="G721" i="27"/>
  <c r="O721" i="27"/>
  <c r="A722" i="27"/>
  <c r="K722" i="27" s="1"/>
  <c r="J722" i="27" s="1"/>
  <c r="L722" i="27" s="1"/>
  <c r="E722" i="27"/>
  <c r="G722" i="27"/>
  <c r="A723" i="27"/>
  <c r="K723" i="27" s="1"/>
  <c r="J723" i="27" s="1"/>
  <c r="L723" i="27" s="1"/>
  <c r="E723" i="27"/>
  <c r="G723" i="27"/>
  <c r="A724" i="27"/>
  <c r="K724" i="27" s="1"/>
  <c r="J724" i="27" s="1"/>
  <c r="L724" i="27" s="1"/>
  <c r="E724" i="27"/>
  <c r="G724" i="27"/>
  <c r="A725" i="27"/>
  <c r="K725" i="27" s="1"/>
  <c r="O725" i="27"/>
  <c r="R725" i="27"/>
  <c r="A726" i="27"/>
  <c r="K726" i="27" s="1"/>
  <c r="J726" i="27" s="1"/>
  <c r="L726" i="27" s="1"/>
  <c r="E726" i="27"/>
  <c r="G726" i="27"/>
  <c r="A727" i="27"/>
  <c r="K727" i="27" s="1"/>
  <c r="J727" i="27" s="1"/>
  <c r="L727" i="27" s="1"/>
  <c r="E727" i="27"/>
  <c r="G727" i="27"/>
  <c r="O727" i="27"/>
  <c r="A728" i="27"/>
  <c r="O728" i="27"/>
  <c r="R728" i="27"/>
  <c r="A729" i="27"/>
  <c r="K729" i="27" s="1"/>
  <c r="O729" i="27"/>
  <c r="R729" i="27"/>
  <c r="A730" i="27"/>
  <c r="K730" i="27" s="1"/>
  <c r="O730" i="27"/>
  <c r="R730" i="27"/>
  <c r="A731" i="27"/>
  <c r="K731" i="27" s="1"/>
  <c r="J731" i="27" s="1"/>
  <c r="R731" i="27" s="1"/>
  <c r="E731" i="27"/>
  <c r="G731" i="27"/>
  <c r="O731" i="27"/>
  <c r="A732" i="27"/>
  <c r="O732" i="27"/>
  <c r="R732" i="27"/>
  <c r="A733" i="27"/>
  <c r="K733" i="27" s="1"/>
  <c r="O733" i="27"/>
  <c r="R733" i="27"/>
  <c r="A734" i="27"/>
  <c r="O734" i="27"/>
  <c r="R734" i="27"/>
  <c r="A735" i="27"/>
  <c r="K735" i="27" s="1"/>
  <c r="J735" i="27" s="1"/>
  <c r="E735" i="27"/>
  <c r="G735" i="27"/>
  <c r="O735" i="27"/>
  <c r="A736" i="27"/>
  <c r="O736" i="27"/>
  <c r="R736" i="27"/>
  <c r="A737" i="27"/>
  <c r="K737" i="27" s="1"/>
  <c r="J737" i="27" s="1"/>
  <c r="R737" i="27" s="1"/>
  <c r="O737" i="27"/>
  <c r="A738" i="27"/>
  <c r="K738" i="27" s="1"/>
  <c r="O738" i="27"/>
  <c r="R738" i="27"/>
  <c r="A739" i="27"/>
  <c r="O739" i="27"/>
  <c r="R739" i="27"/>
  <c r="A740" i="27"/>
  <c r="E740" i="27"/>
  <c r="G740" i="27"/>
  <c r="I740" i="27"/>
  <c r="K740" i="27"/>
  <c r="J740" i="27" s="1"/>
  <c r="A741" i="27"/>
  <c r="K741" i="27" s="1"/>
  <c r="J741" i="27" s="1"/>
  <c r="E741" i="27"/>
  <c r="G741" i="27"/>
  <c r="I741" i="27"/>
  <c r="A742" i="27"/>
  <c r="K742" i="27" s="1"/>
  <c r="J742" i="27" s="1"/>
  <c r="L742" i="27" s="1"/>
  <c r="E742" i="27"/>
  <c r="G742" i="27"/>
  <c r="A743" i="27"/>
  <c r="K743" i="27" s="1"/>
  <c r="H743" i="27"/>
  <c r="I745" i="27" s="1"/>
  <c r="O743" i="27"/>
  <c r="R743" i="27"/>
  <c r="A744" i="27"/>
  <c r="K744" i="27" s="1"/>
  <c r="J744" i="27" s="1"/>
  <c r="R744" i="27" s="1"/>
  <c r="E744" i="27"/>
  <c r="G744" i="27"/>
  <c r="A745" i="27"/>
  <c r="K745" i="27" s="1"/>
  <c r="J745" i="27" s="1"/>
  <c r="E745" i="27"/>
  <c r="G745" i="27"/>
  <c r="A746" i="27"/>
  <c r="K746" i="27" s="1"/>
  <c r="J746" i="27" s="1"/>
  <c r="L746" i="27" s="1"/>
  <c r="E746" i="27"/>
  <c r="G746" i="27"/>
  <c r="A747" i="27"/>
  <c r="K747" i="27" s="1"/>
  <c r="J747" i="27" s="1"/>
  <c r="L747" i="27" s="1"/>
  <c r="E747" i="27"/>
  <c r="G747" i="27"/>
  <c r="A748" i="27"/>
  <c r="K748" i="27" s="1"/>
  <c r="H748" i="27"/>
  <c r="O748" i="27"/>
  <c r="R748" i="27"/>
  <c r="A749" i="27"/>
  <c r="K749" i="27" s="1"/>
  <c r="J749" i="27" s="1"/>
  <c r="E749" i="27"/>
  <c r="G749" i="27"/>
  <c r="A750" i="27"/>
  <c r="K750" i="27" s="1"/>
  <c r="J750" i="27" s="1"/>
  <c r="E750" i="27"/>
  <c r="G750" i="27"/>
  <c r="A751" i="27"/>
  <c r="H751" i="27"/>
  <c r="I752" i="27" s="1"/>
  <c r="A752" i="27"/>
  <c r="K752" i="27" s="1"/>
  <c r="J752" i="27" s="1"/>
  <c r="E752" i="27"/>
  <c r="G752" i="27"/>
  <c r="A753" i="27"/>
  <c r="K753" i="27" s="1"/>
  <c r="J753" i="27" s="1"/>
  <c r="E753" i="27"/>
  <c r="G753" i="27"/>
  <c r="A754" i="27"/>
  <c r="K754" i="27" s="1"/>
  <c r="O754" i="27"/>
  <c r="R754" i="27"/>
  <c r="A755" i="27"/>
  <c r="K755" i="27" s="1"/>
  <c r="J755" i="27" s="1"/>
  <c r="E755" i="27"/>
  <c r="G755" i="27"/>
  <c r="A756" i="27"/>
  <c r="K756" i="27" s="1"/>
  <c r="J756" i="27" s="1"/>
  <c r="E756" i="27"/>
  <c r="G756" i="27"/>
  <c r="A757" i="27"/>
  <c r="A758" i="27"/>
  <c r="K758" i="27" s="1"/>
  <c r="J758" i="27" s="1"/>
  <c r="L758" i="27" s="1"/>
  <c r="E758" i="27"/>
  <c r="G758" i="27"/>
  <c r="A759" i="27"/>
  <c r="K759" i="27" s="1"/>
  <c r="J759" i="27" s="1"/>
  <c r="L759" i="27" s="1"/>
  <c r="E759" i="27"/>
  <c r="G759" i="27"/>
  <c r="A760" i="27"/>
  <c r="K760" i="27" s="1"/>
  <c r="J760" i="27" s="1"/>
  <c r="L760" i="27" s="1"/>
  <c r="E760" i="27"/>
  <c r="G760" i="27"/>
  <c r="A761" i="27"/>
  <c r="K761" i="27" s="1"/>
  <c r="J761" i="27" s="1"/>
  <c r="L761" i="27" s="1"/>
  <c r="E761" i="27"/>
  <c r="G761" i="27"/>
  <c r="A762" i="27"/>
  <c r="O762" i="27"/>
  <c r="R762" i="27"/>
  <c r="A763" i="27"/>
  <c r="O763" i="27"/>
  <c r="R763" i="27"/>
  <c r="A764" i="27"/>
  <c r="K764" i="27" s="1"/>
  <c r="O764" i="27"/>
  <c r="R764" i="27"/>
  <c r="A765" i="27"/>
  <c r="K765" i="27" s="1"/>
  <c r="J765" i="27" s="1"/>
  <c r="R765" i="27" s="1"/>
  <c r="E765" i="27"/>
  <c r="G765" i="27"/>
  <c r="A766" i="27"/>
  <c r="K766" i="27" s="1"/>
  <c r="O766" i="27" s="1"/>
  <c r="E766" i="27"/>
  <c r="G766" i="27"/>
  <c r="A767" i="27"/>
  <c r="K767" i="27" s="1"/>
  <c r="J767" i="27" s="1"/>
  <c r="R767" i="27" s="1"/>
  <c r="E767" i="27"/>
  <c r="G767" i="27"/>
  <c r="A768" i="27"/>
  <c r="K768" i="27" s="1"/>
  <c r="J768" i="27" s="1"/>
  <c r="R768" i="27" s="1"/>
  <c r="E768" i="27"/>
  <c r="G768" i="27"/>
  <c r="A769" i="27"/>
  <c r="K769" i="27" s="1"/>
  <c r="O769" i="27" s="1"/>
  <c r="E769" i="27"/>
  <c r="G769" i="27"/>
  <c r="A770" i="27"/>
  <c r="K770" i="27" s="1"/>
  <c r="J770" i="27" s="1"/>
  <c r="L770" i="27" s="1"/>
  <c r="E770" i="27"/>
  <c r="G770" i="27"/>
  <c r="A771" i="27"/>
  <c r="K771" i="27" s="1"/>
  <c r="J771" i="27" s="1"/>
  <c r="L771" i="27" s="1"/>
  <c r="E771" i="27"/>
  <c r="G771" i="27"/>
  <c r="A772" i="27"/>
  <c r="K772" i="27" s="1"/>
  <c r="E772" i="27"/>
  <c r="G772" i="27"/>
  <c r="A773" i="27"/>
  <c r="K773" i="27" s="1"/>
  <c r="E773" i="27"/>
  <c r="G773" i="27"/>
  <c r="A774" i="27"/>
  <c r="K774" i="27" s="1"/>
  <c r="J774" i="27" s="1"/>
  <c r="L774" i="27" s="1"/>
  <c r="E774" i="27"/>
  <c r="G774" i="27"/>
  <c r="A775" i="27"/>
  <c r="K775" i="27" s="1"/>
  <c r="J775" i="27" s="1"/>
  <c r="L775" i="27" s="1"/>
  <c r="E775" i="27"/>
  <c r="G775" i="27"/>
  <c r="A776" i="27"/>
  <c r="K776" i="27" s="1"/>
  <c r="O776" i="27" s="1"/>
  <c r="E776" i="27"/>
  <c r="G776" i="27"/>
  <c r="A777" i="27"/>
  <c r="K777" i="27" s="1"/>
  <c r="E777" i="27"/>
  <c r="G777" i="27"/>
  <c r="A778" i="27"/>
  <c r="K778" i="27" s="1"/>
  <c r="E778" i="27"/>
  <c r="G778" i="27"/>
  <c r="A779" i="27"/>
  <c r="K779" i="27" s="1"/>
  <c r="E779" i="27"/>
  <c r="G779" i="27"/>
  <c r="A780" i="27"/>
  <c r="K780" i="27" s="1"/>
  <c r="E780" i="27"/>
  <c r="G780" i="27"/>
  <c r="A781" i="27"/>
  <c r="K781" i="27" s="1"/>
  <c r="E781" i="27"/>
  <c r="G781" i="27"/>
  <c r="A782" i="27"/>
  <c r="K782" i="27" s="1"/>
  <c r="O782" i="27" s="1"/>
  <c r="E782" i="27"/>
  <c r="G782" i="27"/>
  <c r="A783" i="27"/>
  <c r="K783" i="27" s="1"/>
  <c r="J783" i="27" s="1"/>
  <c r="L783" i="27" s="1"/>
  <c r="E783" i="27"/>
  <c r="G783" i="27"/>
  <c r="A784" i="27"/>
  <c r="K784" i="27" s="1"/>
  <c r="J784" i="27" s="1"/>
  <c r="L784" i="27" s="1"/>
  <c r="E784" i="27"/>
  <c r="G784" i="27"/>
  <c r="A785" i="27"/>
  <c r="K785" i="27" s="1"/>
  <c r="O785" i="27" s="1"/>
  <c r="E785" i="27"/>
  <c r="G785" i="27"/>
  <c r="A786" i="27"/>
  <c r="K786" i="27" s="1"/>
  <c r="J786" i="27" s="1"/>
  <c r="E786" i="27"/>
  <c r="G786" i="27"/>
  <c r="A787" i="27"/>
  <c r="K787" i="27" s="1"/>
  <c r="O787" i="27" s="1"/>
  <c r="E787" i="27"/>
  <c r="G787" i="27"/>
  <c r="A788" i="27"/>
  <c r="K788" i="27" s="1"/>
  <c r="J788" i="27" s="1"/>
  <c r="R788" i="27" s="1"/>
  <c r="E788" i="27"/>
  <c r="G788" i="27"/>
  <c r="A789" i="27"/>
  <c r="K789" i="27" s="1"/>
  <c r="E789" i="27"/>
  <c r="G789" i="27"/>
  <c r="A790" i="27"/>
  <c r="K790" i="27" s="1"/>
  <c r="J790" i="27" s="1"/>
  <c r="R790" i="27" s="1"/>
  <c r="E790" i="27"/>
  <c r="G790" i="27"/>
  <c r="A791" i="27"/>
  <c r="K791" i="27" s="1"/>
  <c r="O791" i="27" s="1"/>
  <c r="E791" i="27"/>
  <c r="G791" i="27"/>
  <c r="A792" i="27"/>
  <c r="K792" i="27" s="1"/>
  <c r="J792" i="27" s="1"/>
  <c r="L792" i="27" s="1"/>
  <c r="E792" i="27"/>
  <c r="G792" i="27"/>
  <c r="A793" i="27"/>
  <c r="K793" i="27" s="1"/>
  <c r="E793" i="27"/>
  <c r="G793" i="27"/>
  <c r="A794" i="27"/>
  <c r="K794" i="27" s="1"/>
  <c r="E794" i="27"/>
  <c r="G794" i="27"/>
  <c r="A795" i="27"/>
  <c r="K795" i="27" s="1"/>
  <c r="J795" i="27" s="1"/>
  <c r="R795" i="27" s="1"/>
  <c r="E795" i="27"/>
  <c r="G795" i="27"/>
  <c r="A796" i="27"/>
  <c r="K796" i="27" s="1"/>
  <c r="E796" i="27"/>
  <c r="G796" i="27"/>
  <c r="A797" i="27"/>
  <c r="K797" i="27" s="1"/>
  <c r="J797" i="27" s="1"/>
  <c r="L797" i="27" s="1"/>
  <c r="E797" i="27"/>
  <c r="G797" i="27"/>
  <c r="A798" i="27"/>
  <c r="K798" i="27" s="1"/>
  <c r="J798" i="27" s="1"/>
  <c r="R798" i="27" s="1"/>
  <c r="E798" i="27"/>
  <c r="G798" i="27"/>
  <c r="A799" i="27"/>
  <c r="K799" i="27" s="1"/>
  <c r="O799" i="27" s="1"/>
  <c r="E799" i="27"/>
  <c r="G799" i="27"/>
  <c r="A800" i="27"/>
  <c r="K800" i="27" s="1"/>
  <c r="E800" i="27"/>
  <c r="G800" i="27"/>
  <c r="A801" i="27"/>
  <c r="K801" i="27" s="1"/>
  <c r="E801" i="27"/>
  <c r="G801" i="27"/>
  <c r="A802" i="27"/>
  <c r="K802" i="27" s="1"/>
  <c r="J802" i="27" s="1"/>
  <c r="L802" i="27" s="1"/>
  <c r="E802" i="27"/>
  <c r="G802" i="27"/>
  <c r="A803" i="27"/>
  <c r="K803" i="27" s="1"/>
  <c r="O803" i="27" s="1"/>
  <c r="E803" i="27"/>
  <c r="G803" i="27"/>
  <c r="A804" i="27"/>
  <c r="K804" i="27" s="1"/>
  <c r="O804" i="27" s="1"/>
  <c r="E804" i="27"/>
  <c r="G804" i="27"/>
  <c r="A805" i="27"/>
  <c r="K805" i="27" s="1"/>
  <c r="J805" i="27" s="1"/>
  <c r="R805" i="27" s="1"/>
  <c r="E805" i="27"/>
  <c r="G805" i="27"/>
  <c r="A806" i="27"/>
  <c r="K806" i="27" s="1"/>
  <c r="J806" i="27" s="1"/>
  <c r="L806" i="27" s="1"/>
  <c r="E806" i="27"/>
  <c r="G806" i="27"/>
  <c r="A807" i="27"/>
  <c r="K807" i="27" s="1"/>
  <c r="E807" i="27"/>
  <c r="G807" i="27"/>
  <c r="A808" i="27"/>
  <c r="K808" i="27" s="1"/>
  <c r="J808" i="27" s="1"/>
  <c r="R808" i="27" s="1"/>
  <c r="E808" i="27"/>
  <c r="G808" i="27"/>
  <c r="A809" i="27"/>
  <c r="K809" i="27" s="1"/>
  <c r="O809" i="27" s="1"/>
  <c r="E809" i="27"/>
  <c r="G809" i="27"/>
  <c r="A810" i="27"/>
  <c r="K810" i="27" s="1"/>
  <c r="E810" i="27"/>
  <c r="G810" i="27"/>
  <c r="A811" i="27"/>
  <c r="K811" i="27" s="1"/>
  <c r="J811" i="27" s="1"/>
  <c r="R811" i="27" s="1"/>
  <c r="E811" i="27"/>
  <c r="G811" i="27"/>
  <c r="A812" i="27"/>
  <c r="K812" i="27" s="1"/>
  <c r="J812" i="27" s="1"/>
  <c r="R812" i="27" s="1"/>
  <c r="E812" i="27"/>
  <c r="G812" i="27"/>
  <c r="A813" i="27"/>
  <c r="K813" i="27" s="1"/>
  <c r="J813" i="27" s="1"/>
  <c r="L813" i="27" s="1"/>
  <c r="E813" i="27"/>
  <c r="G813" i="27"/>
  <c r="A814" i="27"/>
  <c r="K814" i="27" s="1"/>
  <c r="J814" i="27" s="1"/>
  <c r="R814" i="27" s="1"/>
  <c r="E814" i="27"/>
  <c r="G814" i="27"/>
  <c r="A815" i="27"/>
  <c r="K815" i="27" s="1"/>
  <c r="J815" i="27" s="1"/>
  <c r="L815" i="27" s="1"/>
  <c r="E815" i="27"/>
  <c r="G815" i="27"/>
  <c r="A816" i="27"/>
  <c r="K816" i="27" s="1"/>
  <c r="J816" i="27" s="1"/>
  <c r="L816" i="27" s="1"/>
  <c r="E816" i="27"/>
  <c r="G816" i="27"/>
  <c r="A817" i="27"/>
  <c r="K817" i="27" s="1"/>
  <c r="J817" i="27" s="1"/>
  <c r="R817" i="27" s="1"/>
  <c r="E817" i="27"/>
  <c r="G817" i="27"/>
  <c r="A818" i="27"/>
  <c r="K818" i="27" s="1"/>
  <c r="E818" i="27"/>
  <c r="G818" i="27"/>
  <c r="A819" i="27"/>
  <c r="K819" i="27" s="1"/>
  <c r="O819" i="27" s="1"/>
  <c r="E819" i="27"/>
  <c r="G819" i="27"/>
  <c r="A820" i="27"/>
  <c r="K820" i="27" s="1"/>
  <c r="J820" i="27" s="1"/>
  <c r="L820" i="27" s="1"/>
  <c r="E820" i="27"/>
  <c r="G820" i="27"/>
  <c r="A821" i="27"/>
  <c r="K821" i="27" s="1"/>
  <c r="O821" i="27" s="1"/>
  <c r="E821" i="27"/>
  <c r="G821" i="27"/>
  <c r="A822" i="27"/>
  <c r="K822" i="27" s="1"/>
  <c r="E822" i="27"/>
  <c r="G822" i="27"/>
  <c r="A823" i="27"/>
  <c r="K823" i="27" s="1"/>
  <c r="J823" i="27" s="1"/>
  <c r="E823" i="27"/>
  <c r="G823" i="27"/>
  <c r="O823" i="27"/>
  <c r="A824" i="27"/>
  <c r="K824" i="27" s="1"/>
  <c r="J824" i="27" s="1"/>
  <c r="L824" i="27" s="1"/>
  <c r="E824" i="27"/>
  <c r="G824" i="27"/>
  <c r="O824" i="27"/>
  <c r="A825" i="27"/>
  <c r="K825" i="27" s="1"/>
  <c r="J825" i="27" s="1"/>
  <c r="L825" i="27" s="1"/>
  <c r="E825" i="27"/>
  <c r="G825" i="27"/>
  <c r="O825" i="27"/>
  <c r="A826" i="27"/>
  <c r="A827" i="27"/>
  <c r="K827" i="27" s="1"/>
  <c r="J827" i="27" s="1"/>
  <c r="L827" i="27" s="1"/>
  <c r="E827" i="27"/>
  <c r="G827" i="27"/>
  <c r="A828" i="27"/>
  <c r="K828" i="27" s="1"/>
  <c r="J828" i="27" s="1"/>
  <c r="L828" i="27" s="1"/>
  <c r="E828" i="27"/>
  <c r="G828" i="27"/>
  <c r="A829" i="27"/>
  <c r="K829" i="27" s="1"/>
  <c r="J829" i="27" s="1"/>
  <c r="L829" i="27" s="1"/>
  <c r="E829" i="27"/>
  <c r="G829" i="27"/>
  <c r="A830" i="27"/>
  <c r="K830" i="27" s="1"/>
  <c r="J830" i="27" s="1"/>
  <c r="L830" i="27" s="1"/>
  <c r="E830" i="27"/>
  <c r="G830" i="27"/>
  <c r="A831" i="27"/>
  <c r="K831" i="27" s="1"/>
  <c r="J831" i="27" s="1"/>
  <c r="L831" i="27" s="1"/>
  <c r="E831" i="27"/>
  <c r="G831" i="27"/>
  <c r="A832" i="27"/>
  <c r="K832" i="27" s="1"/>
  <c r="J832" i="27" s="1"/>
  <c r="L832" i="27" s="1"/>
  <c r="E832" i="27"/>
  <c r="G832" i="27"/>
  <c r="A833" i="27"/>
  <c r="A834" i="27"/>
  <c r="K834" i="27" s="1"/>
  <c r="J834" i="27" s="1"/>
  <c r="L834" i="27" s="1"/>
  <c r="E834" i="27"/>
  <c r="G834" i="27"/>
  <c r="A835" i="27"/>
  <c r="K835" i="27" s="1"/>
  <c r="J835" i="27" s="1"/>
  <c r="L835" i="27" s="1"/>
  <c r="E835" i="27"/>
  <c r="G835" i="27"/>
  <c r="A836" i="27"/>
  <c r="K836" i="27" s="1"/>
  <c r="J836" i="27" s="1"/>
  <c r="L836" i="27" s="1"/>
  <c r="E836" i="27"/>
  <c r="G836" i="27"/>
  <c r="A837" i="27"/>
  <c r="K837" i="27" s="1"/>
  <c r="J837" i="27" s="1"/>
  <c r="L837" i="27" s="1"/>
  <c r="E837" i="27"/>
  <c r="G837" i="27"/>
  <c r="A838" i="27"/>
  <c r="K838" i="27" s="1"/>
  <c r="J838" i="27" s="1"/>
  <c r="L838" i="27" s="1"/>
  <c r="E838" i="27"/>
  <c r="G838" i="27"/>
  <c r="A839" i="27"/>
  <c r="K839" i="27" s="1"/>
  <c r="J839" i="27" s="1"/>
  <c r="L839" i="27" s="1"/>
  <c r="E839" i="27"/>
  <c r="G839" i="27"/>
  <c r="A840" i="27"/>
  <c r="A841" i="27"/>
  <c r="K841" i="27" s="1"/>
  <c r="J841" i="27" s="1"/>
  <c r="L841" i="27" s="1"/>
  <c r="E841" i="27"/>
  <c r="G841" i="27"/>
  <c r="A842" i="27"/>
  <c r="K842" i="27" s="1"/>
  <c r="J842" i="27" s="1"/>
  <c r="L842" i="27" s="1"/>
  <c r="E842" i="27"/>
  <c r="G842" i="27"/>
  <c r="A843" i="27"/>
  <c r="K843" i="27" s="1"/>
  <c r="J843" i="27" s="1"/>
  <c r="L843" i="27" s="1"/>
  <c r="E843" i="27"/>
  <c r="G843" i="27"/>
  <c r="A844" i="27"/>
  <c r="K844" i="27" s="1"/>
  <c r="J844" i="27" s="1"/>
  <c r="L844" i="27" s="1"/>
  <c r="E844" i="27"/>
  <c r="G844" i="27"/>
  <c r="A845" i="27"/>
  <c r="K845" i="27" s="1"/>
  <c r="J845" i="27" s="1"/>
  <c r="L845" i="27" s="1"/>
  <c r="E845" i="27"/>
  <c r="G845" i="27"/>
  <c r="A846" i="27"/>
  <c r="K846" i="27" s="1"/>
  <c r="J846" i="27" s="1"/>
  <c r="L846" i="27" s="1"/>
  <c r="E846" i="27"/>
  <c r="G846" i="27"/>
  <c r="A847" i="27"/>
  <c r="K847" i="27" s="1"/>
  <c r="J847" i="27" s="1"/>
  <c r="L847" i="27" s="1"/>
  <c r="E847" i="27"/>
  <c r="G847" i="27"/>
  <c r="A848" i="27"/>
  <c r="K848" i="27" s="1"/>
  <c r="J848" i="27" s="1"/>
  <c r="L848" i="27" s="1"/>
  <c r="E848" i="27"/>
  <c r="G848" i="27"/>
  <c r="A849" i="27"/>
  <c r="K849" i="27" s="1"/>
  <c r="J849" i="27" s="1"/>
  <c r="L849" i="27" s="1"/>
  <c r="E849" i="27"/>
  <c r="G849" i="27"/>
  <c r="A850" i="27"/>
  <c r="K850" i="27" s="1"/>
  <c r="J850" i="27" s="1"/>
  <c r="L850" i="27" s="1"/>
  <c r="E850" i="27"/>
  <c r="G850" i="27"/>
  <c r="A851" i="27"/>
  <c r="K851" i="27" s="1"/>
  <c r="J851" i="27" s="1"/>
  <c r="L851" i="27" s="1"/>
  <c r="E851" i="27"/>
  <c r="G851" i="27"/>
  <c r="A852" i="27"/>
  <c r="K852" i="27" s="1"/>
  <c r="J852" i="27" s="1"/>
  <c r="L852" i="27" s="1"/>
  <c r="E852" i="27"/>
  <c r="G852" i="27"/>
  <c r="A853" i="27"/>
  <c r="K853" i="27" s="1"/>
  <c r="J853" i="27" s="1"/>
  <c r="L853" i="27" s="1"/>
  <c r="E853" i="27"/>
  <c r="G853" i="27"/>
  <c r="A854" i="27"/>
  <c r="K854" i="27" s="1"/>
  <c r="J854" i="27" s="1"/>
  <c r="L854" i="27" s="1"/>
  <c r="E854" i="27"/>
  <c r="G854" i="27"/>
  <c r="A855" i="27"/>
  <c r="K855" i="27" s="1"/>
  <c r="J855" i="27" s="1"/>
  <c r="L855" i="27" s="1"/>
  <c r="E855" i="27"/>
  <c r="G855" i="27"/>
  <c r="A856" i="27"/>
  <c r="K856" i="27" s="1"/>
  <c r="J856" i="27" s="1"/>
  <c r="L856" i="27" s="1"/>
  <c r="E856" i="27"/>
  <c r="G856" i="27"/>
  <c r="A857" i="27"/>
  <c r="K857" i="27" s="1"/>
  <c r="J857" i="27" s="1"/>
  <c r="L857" i="27" s="1"/>
  <c r="E857" i="27"/>
  <c r="G857" i="27"/>
  <c r="A858" i="27"/>
  <c r="K858" i="27" s="1"/>
  <c r="J858" i="27" s="1"/>
  <c r="L858" i="27" s="1"/>
  <c r="E858" i="27"/>
  <c r="G858" i="27"/>
  <c r="A859" i="27"/>
  <c r="A860" i="27"/>
  <c r="K860" i="27" s="1"/>
  <c r="J860" i="27" s="1"/>
  <c r="L860" i="27" s="1"/>
  <c r="L859" i="27" s="1"/>
  <c r="E860" i="27"/>
  <c r="G860" i="27"/>
  <c r="A861" i="27"/>
  <c r="K861" i="27" s="1"/>
  <c r="J861" i="27" s="1"/>
  <c r="R861" i="27" s="1"/>
  <c r="O861" i="27"/>
  <c r="A862" i="27"/>
  <c r="K862" i="27" s="1"/>
  <c r="J862" i="27" s="1"/>
  <c r="L862" i="27" s="1"/>
  <c r="E862" i="27"/>
  <c r="G862" i="27"/>
  <c r="O862" i="27"/>
  <c r="A863" i="27"/>
  <c r="K863" i="27" s="1"/>
  <c r="J863" i="27" s="1"/>
  <c r="L863" i="27" s="1"/>
  <c r="E863" i="27"/>
  <c r="G863" i="27"/>
  <c r="A864" i="27"/>
  <c r="O864" i="27"/>
  <c r="R864" i="27"/>
  <c r="A865" i="27"/>
  <c r="K865" i="27" s="1"/>
  <c r="O865" i="27"/>
  <c r="R865" i="27"/>
  <c r="A866" i="27"/>
  <c r="O866" i="27"/>
  <c r="R866" i="27"/>
  <c r="A867" i="27"/>
  <c r="K867" i="27" s="1"/>
  <c r="O867" i="27" s="1"/>
  <c r="E867" i="27"/>
  <c r="G867" i="27"/>
  <c r="A868" i="27"/>
  <c r="K868" i="27" s="1"/>
  <c r="J868" i="27" s="1"/>
  <c r="L868" i="27" s="1"/>
  <c r="E868" i="27"/>
  <c r="G868" i="27"/>
  <c r="A869" i="27"/>
  <c r="K869" i="27" s="1"/>
  <c r="J869" i="27" s="1"/>
  <c r="L869" i="27" s="1"/>
  <c r="E869" i="27"/>
  <c r="G869" i="27"/>
  <c r="A870" i="27"/>
  <c r="E870" i="27"/>
  <c r="G870" i="27"/>
  <c r="A871" i="27"/>
  <c r="O871" i="27"/>
  <c r="R871" i="27"/>
  <c r="A872" i="27"/>
  <c r="O872" i="27"/>
  <c r="R872" i="27"/>
  <c r="A873" i="27"/>
  <c r="K873" i="27" s="1"/>
  <c r="O873" i="27"/>
  <c r="R873" i="27"/>
  <c r="A874" i="27"/>
  <c r="E874" i="27"/>
  <c r="G874" i="27"/>
  <c r="I874" i="27"/>
  <c r="K874" i="27"/>
  <c r="J874" i="27" s="1"/>
  <c r="A875" i="27"/>
  <c r="O875" i="27"/>
  <c r="R875" i="27"/>
  <c r="A876" i="27"/>
  <c r="K876" i="27" s="1"/>
  <c r="O876" i="27"/>
  <c r="R876" i="27"/>
  <c r="A877" i="27"/>
  <c r="K877" i="27" s="1"/>
  <c r="O877" i="27"/>
  <c r="R877" i="27"/>
  <c r="A878" i="27"/>
  <c r="K878" i="27" s="1"/>
  <c r="O878" i="27" s="1"/>
  <c r="E878" i="27"/>
  <c r="G878" i="27"/>
  <c r="A879" i="27"/>
  <c r="K879" i="27" s="1"/>
  <c r="J879" i="27" s="1"/>
  <c r="L879" i="27" s="1"/>
  <c r="E879" i="27"/>
  <c r="A880" i="27"/>
  <c r="K880" i="27" s="1"/>
  <c r="J880" i="27" s="1"/>
  <c r="L880" i="27" s="1"/>
  <c r="E880" i="27"/>
  <c r="A881" i="27"/>
  <c r="K881" i="27" s="1"/>
  <c r="O881" i="27"/>
  <c r="R881" i="27"/>
  <c r="A882" i="27"/>
  <c r="J882" i="27"/>
  <c r="L882" i="27" s="1"/>
  <c r="O882" i="27"/>
  <c r="A883" i="27"/>
  <c r="L883" i="27"/>
  <c r="O883" i="27"/>
  <c r="R883" i="27"/>
  <c r="A884" i="27"/>
  <c r="O884" i="27"/>
  <c r="R884" i="27"/>
  <c r="A885" i="27"/>
  <c r="K885" i="27" s="1"/>
  <c r="O885" i="27"/>
  <c r="R885" i="27"/>
  <c r="A886" i="27"/>
  <c r="K886" i="27" s="1"/>
  <c r="O886" i="27"/>
  <c r="R886" i="27"/>
  <c r="A887" i="27"/>
  <c r="K887" i="27" s="1"/>
  <c r="J887" i="27" s="1"/>
  <c r="R887" i="27" s="1"/>
  <c r="E887" i="27"/>
  <c r="G887" i="27"/>
  <c r="A888" i="27"/>
  <c r="K888" i="27" s="1"/>
  <c r="O888" i="27" s="1"/>
  <c r="E888" i="27"/>
  <c r="G888" i="27"/>
  <c r="A889" i="27"/>
  <c r="K889" i="27" s="1"/>
  <c r="O889" i="27"/>
  <c r="R889" i="27"/>
  <c r="A890" i="27"/>
  <c r="K890" i="27" s="1"/>
  <c r="J890" i="27" s="1"/>
  <c r="E890" i="27"/>
  <c r="G890" i="27"/>
  <c r="A891" i="27"/>
  <c r="K891" i="27" s="1"/>
  <c r="O891" i="27" s="1"/>
  <c r="E891" i="27"/>
  <c r="G891" i="27"/>
  <c r="A892" i="27"/>
  <c r="K892" i="27" s="1"/>
  <c r="O892" i="27"/>
  <c r="R892" i="27"/>
  <c r="A893" i="27"/>
  <c r="K893" i="27" s="1"/>
  <c r="E893" i="27"/>
  <c r="G893" i="27"/>
  <c r="I893" i="27"/>
  <c r="A894" i="27"/>
  <c r="K894" i="27" s="1"/>
  <c r="O894" i="27"/>
  <c r="R894" i="27"/>
  <c r="A895" i="27"/>
  <c r="E895" i="27"/>
  <c r="G895" i="27"/>
  <c r="I895" i="27"/>
  <c r="K895" i="27"/>
  <c r="A896" i="27"/>
  <c r="K896" i="27" s="1"/>
  <c r="J896" i="27" s="1"/>
  <c r="L896" i="27" s="1"/>
  <c r="E896" i="27"/>
  <c r="G896" i="27"/>
  <c r="A897" i="27"/>
  <c r="O897" i="27"/>
  <c r="R897" i="27"/>
  <c r="A898" i="27"/>
  <c r="K898" i="27" s="1"/>
  <c r="O898" i="27"/>
  <c r="R898" i="27"/>
  <c r="A899" i="27"/>
  <c r="K899" i="27" s="1"/>
  <c r="O899" i="27"/>
  <c r="R899" i="27"/>
  <c r="A900" i="27"/>
  <c r="J900" i="27"/>
  <c r="R900" i="27" s="1"/>
  <c r="O900" i="27"/>
  <c r="A901" i="27"/>
  <c r="O901" i="27"/>
  <c r="R901" i="27"/>
  <c r="A902" i="27"/>
  <c r="K902" i="27" s="1"/>
  <c r="O902" i="27"/>
  <c r="R902" i="27"/>
  <c r="A903" i="27"/>
  <c r="K903" i="27" s="1"/>
  <c r="O903" i="27"/>
  <c r="R903" i="27"/>
  <c r="A904" i="27"/>
  <c r="J904" i="27"/>
  <c r="R904" i="27" s="1"/>
  <c r="O904" i="27"/>
  <c r="R905" i="27"/>
  <c r="J916" i="27"/>
  <c r="N917" i="27"/>
  <c r="K922" i="27"/>
  <c r="R17" i="29"/>
  <c r="S22" i="29"/>
  <c r="J25" i="29"/>
  <c r="O26" i="29"/>
  <c r="G32" i="29"/>
  <c r="M33" i="29"/>
  <c r="P35" i="29"/>
  <c r="G38" i="29"/>
  <c r="S40" i="29"/>
  <c r="G42" i="29"/>
  <c r="D54" i="29"/>
  <c r="D55" i="29"/>
  <c r="D56" i="29"/>
  <c r="D57" i="29"/>
  <c r="J8" i="26"/>
  <c r="A9" i="26"/>
  <c r="O9" i="26"/>
  <c r="R9" i="26"/>
  <c r="A10" i="26"/>
  <c r="O10" i="26"/>
  <c r="R10" i="26"/>
  <c r="A11" i="26"/>
  <c r="K11" i="26" s="1"/>
  <c r="J11" i="26" s="1"/>
  <c r="R11" i="26" s="1"/>
  <c r="O11" i="26"/>
  <c r="A12" i="26"/>
  <c r="K12" i="26" s="1"/>
  <c r="O12" i="26"/>
  <c r="R12" i="26"/>
  <c r="A13" i="26"/>
  <c r="K13" i="26" s="1"/>
  <c r="O13" i="26"/>
  <c r="R13" i="26"/>
  <c r="A14" i="26"/>
  <c r="K14" i="26" s="1"/>
  <c r="J14" i="26" s="1"/>
  <c r="E14" i="26"/>
  <c r="G14" i="26"/>
  <c r="O14" i="26"/>
  <c r="A15" i="26"/>
  <c r="K15" i="26" s="1"/>
  <c r="O15" i="26"/>
  <c r="R15" i="26"/>
  <c r="A16" i="26"/>
  <c r="K16" i="26" s="1"/>
  <c r="O16" i="26"/>
  <c r="R16" i="26"/>
  <c r="A17" i="26"/>
  <c r="K17" i="26" s="1"/>
  <c r="J17" i="26" s="1"/>
  <c r="L17" i="26" s="1"/>
  <c r="E17" i="26"/>
  <c r="G17" i="26"/>
  <c r="O17" i="26"/>
  <c r="A18" i="26"/>
  <c r="K18" i="26" s="1"/>
  <c r="J18" i="26" s="1"/>
  <c r="E18" i="26"/>
  <c r="G18" i="26"/>
  <c r="O18" i="26"/>
  <c r="A19" i="26"/>
  <c r="K19" i="26" s="1"/>
  <c r="J19" i="26" s="1"/>
  <c r="E19" i="26"/>
  <c r="G19" i="26"/>
  <c r="O19" i="26"/>
  <c r="A20" i="26"/>
  <c r="K20" i="26" s="1"/>
  <c r="J20" i="26" s="1"/>
  <c r="L20" i="26" s="1"/>
  <c r="E20" i="26"/>
  <c r="G20" i="26"/>
  <c r="O20" i="26"/>
  <c r="A21" i="26"/>
  <c r="K21" i="26" s="1"/>
  <c r="R21" i="26"/>
  <c r="A22" i="26"/>
  <c r="K22" i="26" s="1"/>
  <c r="J22" i="26" s="1"/>
  <c r="R22" i="26" s="1"/>
  <c r="E22" i="26"/>
  <c r="G22" i="26"/>
  <c r="O22" i="26"/>
  <c r="A23" i="26"/>
  <c r="K23" i="26" s="1"/>
  <c r="R23" i="26"/>
  <c r="A24" i="26"/>
  <c r="K24" i="26" s="1"/>
  <c r="J24" i="26" s="1"/>
  <c r="E24" i="26"/>
  <c r="G24" i="26"/>
  <c r="A25" i="26"/>
  <c r="K25" i="26" s="1"/>
  <c r="J25" i="26" s="1"/>
  <c r="L25" i="26" s="1"/>
  <c r="E25" i="26"/>
  <c r="G25" i="26"/>
  <c r="A26" i="26"/>
  <c r="E26" i="26"/>
  <c r="G26" i="26"/>
  <c r="K26" i="26"/>
  <c r="J26" i="26" s="1"/>
  <c r="L26" i="26" s="1"/>
  <c r="A27" i="26"/>
  <c r="O27" i="26"/>
  <c r="R27" i="26"/>
  <c r="A28" i="26"/>
  <c r="K28" i="26" s="1"/>
  <c r="J28" i="26" s="1"/>
  <c r="R28" i="26" s="1"/>
  <c r="O28" i="26"/>
  <c r="A29" i="26"/>
  <c r="K29" i="26" s="1"/>
  <c r="O29" i="26"/>
  <c r="R29" i="26"/>
  <c r="A30" i="26"/>
  <c r="O30" i="26"/>
  <c r="R30" i="26"/>
  <c r="A31" i="26"/>
  <c r="E31" i="26"/>
  <c r="G31" i="26"/>
  <c r="J31" i="26"/>
  <c r="L31" i="26" s="1"/>
  <c r="O31" i="26"/>
  <c r="A32" i="26"/>
  <c r="E32" i="26"/>
  <c r="G32" i="26"/>
  <c r="J32" i="26"/>
  <c r="L32" i="26" s="1"/>
  <c r="A33" i="26"/>
  <c r="K33" i="26" s="1"/>
  <c r="J33" i="26" s="1"/>
  <c r="L33" i="26" s="1"/>
  <c r="E33" i="26"/>
  <c r="G33" i="26"/>
  <c r="A34" i="26"/>
  <c r="K34" i="26" s="1"/>
  <c r="J34" i="26" s="1"/>
  <c r="L34" i="26" s="1"/>
  <c r="E34" i="26"/>
  <c r="G34" i="26"/>
  <c r="A35" i="26"/>
  <c r="K35" i="26" s="1"/>
  <c r="J35" i="26" s="1"/>
  <c r="L35" i="26" s="1"/>
  <c r="E35" i="26"/>
  <c r="G35" i="26"/>
  <c r="A36" i="26"/>
  <c r="K36" i="26" s="1"/>
  <c r="J36" i="26" s="1"/>
  <c r="L36" i="26" s="1"/>
  <c r="E36" i="26"/>
  <c r="G36" i="26"/>
  <c r="A37" i="26"/>
  <c r="K37" i="26" s="1"/>
  <c r="O37" i="26"/>
  <c r="R37" i="26"/>
  <c r="A38" i="26"/>
  <c r="K38" i="26" s="1"/>
  <c r="J38" i="26" s="1"/>
  <c r="L38" i="26" s="1"/>
  <c r="L37" i="26" s="1"/>
  <c r="E38" i="26"/>
  <c r="O38" i="26"/>
  <c r="A39" i="26"/>
  <c r="K39" i="26" s="1"/>
  <c r="O39" i="26"/>
  <c r="R39" i="26"/>
  <c r="A40" i="26"/>
  <c r="K40" i="26" s="1"/>
  <c r="J40" i="26" s="1"/>
  <c r="E40" i="26"/>
  <c r="G40" i="26"/>
  <c r="A41" i="26"/>
  <c r="K41" i="26" s="1"/>
  <c r="J41" i="26" s="1"/>
  <c r="L41" i="26" s="1"/>
  <c r="E41" i="26"/>
  <c r="G41" i="26"/>
  <c r="A42" i="26"/>
  <c r="K42" i="26" s="1"/>
  <c r="J42" i="26" s="1"/>
  <c r="L42" i="26" s="1"/>
  <c r="E42" i="26"/>
  <c r="G42" i="26"/>
  <c r="A43" i="26"/>
  <c r="K43" i="26" s="1"/>
  <c r="J43" i="26" s="1"/>
  <c r="L43" i="26" s="1"/>
  <c r="E43" i="26"/>
  <c r="G43" i="26"/>
  <c r="A44" i="26"/>
  <c r="K44" i="26" s="1"/>
  <c r="J44" i="26" s="1"/>
  <c r="L44" i="26" s="1"/>
  <c r="E44" i="26"/>
  <c r="G44" i="26"/>
  <c r="A45" i="26"/>
  <c r="K45" i="26" s="1"/>
  <c r="J45" i="26" s="1"/>
  <c r="L45" i="26" s="1"/>
  <c r="E45" i="26"/>
  <c r="G45" i="26"/>
  <c r="A46" i="26"/>
  <c r="K46" i="26" s="1"/>
  <c r="J46" i="26" s="1"/>
  <c r="L46" i="26" s="1"/>
  <c r="E46" i="26"/>
  <c r="G46" i="26"/>
  <c r="A47" i="26"/>
  <c r="K47" i="26" s="1"/>
  <c r="J47" i="26" s="1"/>
  <c r="L47" i="26" s="1"/>
  <c r="E47" i="26"/>
  <c r="G47" i="26"/>
  <c r="A48" i="26"/>
  <c r="K48" i="26" s="1"/>
  <c r="J48" i="26" s="1"/>
  <c r="L48" i="26" s="1"/>
  <c r="E48" i="26"/>
  <c r="G48" i="26"/>
  <c r="A49" i="26"/>
  <c r="E49" i="26"/>
  <c r="G49" i="26"/>
  <c r="J49" i="26"/>
  <c r="L49" i="26" s="1"/>
  <c r="A50" i="26"/>
  <c r="O50" i="26"/>
  <c r="R50" i="26"/>
  <c r="A51" i="26"/>
  <c r="K51" i="26" s="1"/>
  <c r="O51" i="26"/>
  <c r="R51" i="26"/>
  <c r="A52" i="26"/>
  <c r="K52" i="26" s="1"/>
  <c r="O52" i="26"/>
  <c r="R52" i="26"/>
  <c r="A53" i="26"/>
  <c r="K53" i="26" s="1"/>
  <c r="O53" i="26"/>
  <c r="R53" i="26"/>
  <c r="A54" i="26"/>
  <c r="K54" i="26" s="1"/>
  <c r="J54" i="26" s="1"/>
  <c r="L54" i="26" s="1"/>
  <c r="E54" i="26"/>
  <c r="G54" i="26"/>
  <c r="A55" i="26"/>
  <c r="K55" i="26" s="1"/>
  <c r="O55" i="26" s="1"/>
  <c r="E55" i="26"/>
  <c r="G55" i="26"/>
  <c r="A56" i="26"/>
  <c r="K56" i="26" s="1"/>
  <c r="A57" i="26"/>
  <c r="K57" i="26" s="1"/>
  <c r="A58" i="26"/>
  <c r="K58" i="26" s="1"/>
  <c r="J58" i="26" s="1"/>
  <c r="L58" i="26" s="1"/>
  <c r="E58" i="26"/>
  <c r="G58" i="26"/>
  <c r="A59" i="26"/>
  <c r="K59" i="26" s="1"/>
  <c r="J59" i="26" s="1"/>
  <c r="L59" i="26" s="1"/>
  <c r="E59" i="26"/>
  <c r="G59" i="26"/>
  <c r="A60" i="26"/>
  <c r="K60" i="26" s="1"/>
  <c r="J60" i="26" s="1"/>
  <c r="L60" i="26" s="1"/>
  <c r="E60" i="26"/>
  <c r="G60" i="26"/>
  <c r="A61" i="26"/>
  <c r="K61" i="26" s="1"/>
  <c r="J61" i="26" s="1"/>
  <c r="L61" i="26" s="1"/>
  <c r="E61" i="26"/>
  <c r="G61" i="26"/>
  <c r="A62" i="26"/>
  <c r="K62" i="26" s="1"/>
  <c r="J62" i="26" s="1"/>
  <c r="L62" i="26" s="1"/>
  <c r="E62" i="26"/>
  <c r="G62" i="26"/>
  <c r="A63" i="26"/>
  <c r="K63" i="26" s="1"/>
  <c r="J63" i="26" s="1"/>
  <c r="L63" i="26" s="1"/>
  <c r="E63" i="26"/>
  <c r="G63" i="26"/>
  <c r="A64" i="26"/>
  <c r="K64" i="26" s="1"/>
  <c r="J64" i="26" s="1"/>
  <c r="L64" i="26" s="1"/>
  <c r="E64" i="26"/>
  <c r="G64" i="26"/>
  <c r="A65" i="26"/>
  <c r="K65" i="26" s="1"/>
  <c r="J65" i="26" s="1"/>
  <c r="L65" i="26" s="1"/>
  <c r="E65" i="26"/>
  <c r="G65" i="26"/>
  <c r="A66" i="26"/>
  <c r="K66" i="26" s="1"/>
  <c r="J66" i="26" s="1"/>
  <c r="L66" i="26" s="1"/>
  <c r="E66" i="26"/>
  <c r="G66" i="26"/>
  <c r="A67" i="26"/>
  <c r="K67" i="26" s="1"/>
  <c r="O67" i="26"/>
  <c r="R67" i="26"/>
  <c r="A68" i="26"/>
  <c r="K68" i="26" s="1"/>
  <c r="O68" i="26"/>
  <c r="R68" i="26"/>
  <c r="A69" i="26"/>
  <c r="K69" i="26" s="1"/>
  <c r="J69" i="26" s="1"/>
  <c r="E69" i="26"/>
  <c r="G69" i="26"/>
  <c r="I69" i="26"/>
  <c r="I74" i="26" s="1"/>
  <c r="A70" i="26"/>
  <c r="K70" i="26" s="1"/>
  <c r="J70" i="26" s="1"/>
  <c r="L70" i="26" s="1"/>
  <c r="E70" i="26"/>
  <c r="G70" i="26"/>
  <c r="A71" i="26"/>
  <c r="K71" i="26" s="1"/>
  <c r="J71" i="26" s="1"/>
  <c r="L71" i="26" s="1"/>
  <c r="E71" i="26"/>
  <c r="G71" i="26"/>
  <c r="A72" i="26"/>
  <c r="K72" i="26" s="1"/>
  <c r="J72" i="26" s="1"/>
  <c r="L72" i="26" s="1"/>
  <c r="E72" i="26"/>
  <c r="G72" i="26"/>
  <c r="A73" i="26"/>
  <c r="K73" i="26" s="1"/>
  <c r="J73" i="26" s="1"/>
  <c r="L73" i="26" s="1"/>
  <c r="E73" i="26"/>
  <c r="G73" i="26"/>
  <c r="A74" i="26"/>
  <c r="K74" i="26" s="1"/>
  <c r="J74" i="26" s="1"/>
  <c r="E74" i="26"/>
  <c r="G74" i="26"/>
  <c r="A75" i="26"/>
  <c r="K75" i="26" s="1"/>
  <c r="J75" i="26" s="1"/>
  <c r="E75" i="26"/>
  <c r="G75" i="26"/>
  <c r="A76" i="26"/>
  <c r="K76" i="26" s="1"/>
  <c r="O76" i="26"/>
  <c r="R76" i="26"/>
  <c r="A77" i="26"/>
  <c r="K77" i="26" s="1"/>
  <c r="O77" i="26"/>
  <c r="R77" i="26"/>
  <c r="A78" i="26"/>
  <c r="E78" i="26"/>
  <c r="G78" i="26"/>
  <c r="K78" i="26"/>
  <c r="J78" i="26" s="1"/>
  <c r="L78" i="26" s="1"/>
  <c r="A79" i="26"/>
  <c r="K79" i="26" s="1"/>
  <c r="J79" i="26" s="1"/>
  <c r="L79" i="26" s="1"/>
  <c r="E79" i="26"/>
  <c r="G79" i="26"/>
  <c r="O79" i="26"/>
  <c r="A80" i="26"/>
  <c r="O80" i="26"/>
  <c r="R80" i="26"/>
  <c r="A81" i="26"/>
  <c r="K81" i="26" s="1"/>
  <c r="J81" i="26" s="1"/>
  <c r="R81" i="26" s="1"/>
  <c r="O81" i="26"/>
  <c r="A82" i="26"/>
  <c r="K82" i="26" s="1"/>
  <c r="O82" i="26"/>
  <c r="R82" i="26"/>
  <c r="A83" i="26"/>
  <c r="O83" i="26"/>
  <c r="R83" i="26"/>
  <c r="A84" i="26"/>
  <c r="K84" i="26" s="1"/>
  <c r="J84" i="26" s="1"/>
  <c r="L84" i="26" s="1"/>
  <c r="E84" i="26"/>
  <c r="G84" i="26"/>
  <c r="A85" i="26"/>
  <c r="K85" i="26" s="1"/>
  <c r="J85" i="26" s="1"/>
  <c r="L85" i="26" s="1"/>
  <c r="E85" i="26"/>
  <c r="G85" i="26"/>
  <c r="A86" i="26"/>
  <c r="K86" i="26" s="1"/>
  <c r="J86" i="26" s="1"/>
  <c r="L86" i="26" s="1"/>
  <c r="E86" i="26"/>
  <c r="G86" i="26"/>
  <c r="A87" i="26"/>
  <c r="K87" i="26" s="1"/>
  <c r="J87" i="26" s="1"/>
  <c r="L87" i="26" s="1"/>
  <c r="E87" i="26"/>
  <c r="G87" i="26"/>
  <c r="A88" i="26"/>
  <c r="K88" i="26" s="1"/>
  <c r="J88" i="26" s="1"/>
  <c r="L88" i="26" s="1"/>
  <c r="E88" i="26"/>
  <c r="G88" i="26"/>
  <c r="A89" i="26"/>
  <c r="K89" i="26" s="1"/>
  <c r="J89" i="26" s="1"/>
  <c r="L89" i="26" s="1"/>
  <c r="E89" i="26"/>
  <c r="G89" i="26"/>
  <c r="A90" i="26"/>
  <c r="K90" i="26" s="1"/>
  <c r="J90" i="26" s="1"/>
  <c r="L90" i="26" s="1"/>
  <c r="E90" i="26"/>
  <c r="G90" i="26"/>
  <c r="A91" i="26"/>
  <c r="K91" i="26" s="1"/>
  <c r="J91" i="26" s="1"/>
  <c r="L91" i="26" s="1"/>
  <c r="E91" i="26"/>
  <c r="G91" i="26"/>
  <c r="A92" i="26"/>
  <c r="K92" i="26" s="1"/>
  <c r="J92" i="26" s="1"/>
  <c r="L92" i="26" s="1"/>
  <c r="E92" i="26"/>
  <c r="G92" i="26"/>
  <c r="A93" i="26"/>
  <c r="K93" i="26" s="1"/>
  <c r="J93" i="26" s="1"/>
  <c r="L93" i="26" s="1"/>
  <c r="E93" i="26"/>
  <c r="G93" i="26"/>
  <c r="A94" i="26"/>
  <c r="K94" i="26" s="1"/>
  <c r="J94" i="26" s="1"/>
  <c r="L94" i="26" s="1"/>
  <c r="E94" i="26"/>
  <c r="G94" i="26"/>
  <c r="A95" i="26"/>
  <c r="K95" i="26" s="1"/>
  <c r="J95" i="26" s="1"/>
  <c r="L95" i="26" s="1"/>
  <c r="E95" i="26"/>
  <c r="G95" i="26"/>
  <c r="A96" i="26"/>
  <c r="K96" i="26" s="1"/>
  <c r="J96" i="26" s="1"/>
  <c r="L96" i="26" s="1"/>
  <c r="E96" i="26"/>
  <c r="G96" i="26"/>
  <c r="A97" i="26"/>
  <c r="K97" i="26" s="1"/>
  <c r="J97" i="26" s="1"/>
  <c r="L97" i="26" s="1"/>
  <c r="E97" i="26"/>
  <c r="G97" i="26"/>
  <c r="A98" i="26"/>
  <c r="K98" i="26" s="1"/>
  <c r="J98" i="26" s="1"/>
  <c r="L98" i="26" s="1"/>
  <c r="E98" i="26"/>
  <c r="G98" i="26"/>
  <c r="A99" i="26"/>
  <c r="K99" i="26" s="1"/>
  <c r="J99" i="26" s="1"/>
  <c r="L99" i="26" s="1"/>
  <c r="E99" i="26"/>
  <c r="G99" i="26"/>
  <c r="A100" i="26"/>
  <c r="K100" i="26" s="1"/>
  <c r="J100" i="26" s="1"/>
  <c r="L100" i="26" s="1"/>
  <c r="E100" i="26"/>
  <c r="G100" i="26"/>
  <c r="A101" i="26"/>
  <c r="K101" i="26" s="1"/>
  <c r="J101" i="26" s="1"/>
  <c r="L101" i="26" s="1"/>
  <c r="E101" i="26"/>
  <c r="G101" i="26"/>
  <c r="A102" i="26"/>
  <c r="K102" i="26" s="1"/>
  <c r="J102" i="26" s="1"/>
  <c r="L102" i="26" s="1"/>
  <c r="E102" i="26"/>
  <c r="G102" i="26"/>
  <c r="A103" i="26"/>
  <c r="K103" i="26" s="1"/>
  <c r="J103" i="26" s="1"/>
  <c r="L103" i="26" s="1"/>
  <c r="E103" i="26"/>
  <c r="G103" i="26"/>
  <c r="A104" i="26"/>
  <c r="K104" i="26" s="1"/>
  <c r="J104" i="26" s="1"/>
  <c r="L104" i="26" s="1"/>
  <c r="E104" i="26"/>
  <c r="G104" i="26"/>
  <c r="A105" i="26"/>
  <c r="K105" i="26" s="1"/>
  <c r="J105" i="26" s="1"/>
  <c r="L105" i="26" s="1"/>
  <c r="E105" i="26"/>
  <c r="G105" i="26"/>
  <c r="A106" i="26"/>
  <c r="K106" i="26" s="1"/>
  <c r="J106" i="26" s="1"/>
  <c r="L106" i="26" s="1"/>
  <c r="E106" i="26"/>
  <c r="G106" i="26"/>
  <c r="A107" i="26"/>
  <c r="K107" i="26" s="1"/>
  <c r="J107" i="26" s="1"/>
  <c r="L107" i="26" s="1"/>
  <c r="E107" i="26"/>
  <c r="G107" i="26"/>
  <c r="A108" i="26"/>
  <c r="K108" i="26" s="1"/>
  <c r="J108" i="26" s="1"/>
  <c r="L108" i="26" s="1"/>
  <c r="E108" i="26"/>
  <c r="G108" i="26"/>
  <c r="A109" i="26"/>
  <c r="K109" i="26" s="1"/>
  <c r="J109" i="26" s="1"/>
  <c r="L109" i="26" s="1"/>
  <c r="E109" i="26"/>
  <c r="G109" i="26"/>
  <c r="A110" i="26"/>
  <c r="K110" i="26" s="1"/>
  <c r="J110" i="26" s="1"/>
  <c r="L110" i="26" s="1"/>
  <c r="E110" i="26"/>
  <c r="G110" i="26"/>
  <c r="A111" i="26"/>
  <c r="K111" i="26" s="1"/>
  <c r="O111" i="26"/>
  <c r="R111" i="26"/>
  <c r="A112" i="26"/>
  <c r="K112" i="26" s="1"/>
  <c r="J112" i="26" s="1"/>
  <c r="E112" i="26"/>
  <c r="G112" i="26"/>
  <c r="O112" i="26"/>
  <c r="A113" i="26"/>
  <c r="K113" i="26" s="1"/>
  <c r="O113" i="26"/>
  <c r="R113" i="26"/>
  <c r="A114" i="26"/>
  <c r="K114" i="26" s="1"/>
  <c r="O114" i="26"/>
  <c r="R114" i="26"/>
  <c r="A115" i="26"/>
  <c r="E115" i="26"/>
  <c r="G115" i="26"/>
  <c r="I115" i="26"/>
  <c r="J115" i="26"/>
  <c r="R115" i="26" s="1"/>
  <c r="A116" i="26"/>
  <c r="A117" i="26"/>
  <c r="K117" i="26" s="1"/>
  <c r="J117" i="26" s="1"/>
  <c r="L117" i="26" s="1"/>
  <c r="E117" i="26"/>
  <c r="G117" i="26"/>
  <c r="A118" i="26"/>
  <c r="K118" i="26" s="1"/>
  <c r="J118" i="26" s="1"/>
  <c r="L118" i="26" s="1"/>
  <c r="E118" i="26"/>
  <c r="G118" i="26"/>
  <c r="A119" i="26"/>
  <c r="K119" i="26" s="1"/>
  <c r="J119" i="26" s="1"/>
  <c r="L119" i="26" s="1"/>
  <c r="E119" i="26"/>
  <c r="G119" i="26"/>
  <c r="A120" i="26"/>
  <c r="K120" i="26" s="1"/>
  <c r="J120" i="26" s="1"/>
  <c r="L120" i="26" s="1"/>
  <c r="E120" i="26"/>
  <c r="G120" i="26"/>
  <c r="A121" i="26"/>
  <c r="A122" i="26"/>
  <c r="K122" i="26" s="1"/>
  <c r="J122" i="26" s="1"/>
  <c r="L122" i="26" s="1"/>
  <c r="L121" i="26" s="1"/>
  <c r="E122" i="26"/>
  <c r="G122" i="26"/>
  <c r="A123" i="26"/>
  <c r="K123" i="26" s="1"/>
  <c r="O123" i="26"/>
  <c r="R123" i="26"/>
  <c r="A124" i="26"/>
  <c r="K124" i="26" s="1"/>
  <c r="O124" i="26"/>
  <c r="R124" i="26"/>
  <c r="A125" i="26"/>
  <c r="K125" i="26" s="1"/>
  <c r="J125" i="26" s="1"/>
  <c r="L125" i="26" s="1"/>
  <c r="E125" i="26"/>
  <c r="G125" i="26"/>
  <c r="A126" i="26"/>
  <c r="K126" i="26" s="1"/>
  <c r="J126" i="26" s="1"/>
  <c r="L126" i="26" s="1"/>
  <c r="E126" i="26"/>
  <c r="G126" i="26"/>
  <c r="A127" i="26"/>
  <c r="K127" i="26" s="1"/>
  <c r="J127" i="26" s="1"/>
  <c r="L127" i="26" s="1"/>
  <c r="E127" i="26"/>
  <c r="G127" i="26"/>
  <c r="A128" i="26"/>
  <c r="K128" i="26" s="1"/>
  <c r="E128" i="26"/>
  <c r="G128" i="26"/>
  <c r="A129" i="26"/>
  <c r="K129" i="26" s="1"/>
  <c r="J129" i="26" s="1"/>
  <c r="L129" i="26" s="1"/>
  <c r="E129" i="26"/>
  <c r="G129" i="26"/>
  <c r="A130" i="26"/>
  <c r="K130" i="26" s="1"/>
  <c r="J130" i="26" s="1"/>
  <c r="R130" i="26" s="1"/>
  <c r="E130" i="26"/>
  <c r="G130" i="26"/>
  <c r="O130" i="26"/>
  <c r="A131" i="26"/>
  <c r="K131" i="26" s="1"/>
  <c r="J131" i="26" s="1"/>
  <c r="L131" i="26" s="1"/>
  <c r="E131" i="26"/>
  <c r="G131" i="26"/>
  <c r="A132" i="26"/>
  <c r="K132" i="26" s="1"/>
  <c r="J132" i="26" s="1"/>
  <c r="L132" i="26" s="1"/>
  <c r="E132" i="26"/>
  <c r="G132" i="26"/>
  <c r="A133" i="26"/>
  <c r="K133" i="26" s="1"/>
  <c r="J133" i="26" s="1"/>
  <c r="L133" i="26" s="1"/>
  <c r="E133" i="26"/>
  <c r="G133" i="26"/>
  <c r="A134" i="26"/>
  <c r="K134" i="26" s="1"/>
  <c r="J134" i="26" s="1"/>
  <c r="L134" i="26" s="1"/>
  <c r="E134" i="26"/>
  <c r="G134" i="26"/>
  <c r="A135" i="26"/>
  <c r="K135" i="26" s="1"/>
  <c r="J135" i="26" s="1"/>
  <c r="L135" i="26" s="1"/>
  <c r="E135" i="26"/>
  <c r="G135" i="26"/>
  <c r="A136" i="26"/>
  <c r="K136" i="26" s="1"/>
  <c r="J136" i="26" s="1"/>
  <c r="L136" i="26" s="1"/>
  <c r="E136" i="26"/>
  <c r="G136" i="26"/>
  <c r="A137" i="26"/>
  <c r="K137" i="26" s="1"/>
  <c r="O137" i="26" s="1"/>
  <c r="E137" i="26"/>
  <c r="G137" i="26"/>
  <c r="A138" i="26"/>
  <c r="O138" i="26"/>
  <c r="R138" i="26"/>
  <c r="A139" i="26"/>
  <c r="K139" i="26" s="1"/>
  <c r="J139" i="26" s="1"/>
  <c r="R139" i="26" s="1"/>
  <c r="O139" i="26"/>
  <c r="A140" i="26"/>
  <c r="K140" i="26" s="1"/>
  <c r="O140" i="26"/>
  <c r="R140" i="26"/>
  <c r="A141" i="26"/>
  <c r="K141" i="26" s="1"/>
  <c r="O141" i="26"/>
  <c r="R141" i="26"/>
  <c r="A142" i="26"/>
  <c r="A143" i="26"/>
  <c r="O143" i="26"/>
  <c r="R143" i="26"/>
  <c r="A144" i="26"/>
  <c r="O144" i="26"/>
  <c r="R144" i="26"/>
  <c r="A145" i="26"/>
  <c r="A146" i="26"/>
  <c r="O146" i="26"/>
  <c r="R146" i="26"/>
  <c r="A147" i="26"/>
  <c r="R147" i="26"/>
  <c r="A148" i="26"/>
  <c r="K148" i="26" s="1"/>
  <c r="J148" i="26" s="1"/>
  <c r="L148" i="26" s="1"/>
  <c r="L147" i="26" s="1"/>
  <c r="E148" i="26"/>
  <c r="G148" i="26"/>
  <c r="O148" i="26"/>
  <c r="A149" i="26"/>
  <c r="A150" i="26"/>
  <c r="A151" i="26"/>
  <c r="K151" i="26" s="1"/>
  <c r="J151" i="26" s="1"/>
  <c r="L151" i="26" s="1"/>
  <c r="L150" i="26" s="1"/>
  <c r="E151" i="26"/>
  <c r="G151" i="26"/>
  <c r="A152" i="26"/>
  <c r="O152" i="26"/>
  <c r="R152" i="26"/>
  <c r="A153" i="26"/>
  <c r="K153" i="26" s="1"/>
  <c r="J153" i="26" s="1"/>
  <c r="R153" i="26" s="1"/>
  <c r="O153" i="26"/>
  <c r="A154" i="26"/>
  <c r="K154" i="26" s="1"/>
  <c r="O154" i="26"/>
  <c r="R154" i="26"/>
  <c r="A155" i="26"/>
  <c r="K155" i="26" s="1"/>
  <c r="O155" i="26"/>
  <c r="R155" i="26"/>
  <c r="A156" i="26"/>
  <c r="K156" i="26" s="1"/>
  <c r="E156" i="26"/>
  <c r="G156" i="26"/>
  <c r="I156" i="26"/>
  <c r="A157" i="26"/>
  <c r="K157" i="26" s="1"/>
  <c r="E157" i="26"/>
  <c r="G157" i="26"/>
  <c r="I157" i="26"/>
  <c r="A158" i="26"/>
  <c r="K158" i="26" s="1"/>
  <c r="E158" i="26"/>
  <c r="G158" i="26"/>
  <c r="I158" i="26"/>
  <c r="A159" i="26"/>
  <c r="K159" i="26" s="1"/>
  <c r="E159" i="26"/>
  <c r="G159" i="26"/>
  <c r="I159" i="26"/>
  <c r="A160" i="26"/>
  <c r="K160" i="26" s="1"/>
  <c r="J160" i="26" s="1"/>
  <c r="R160" i="26" s="1"/>
  <c r="E160" i="26"/>
  <c r="G160" i="26"/>
  <c r="I160" i="26"/>
  <c r="A161" i="26"/>
  <c r="K161" i="26" s="1"/>
  <c r="E161" i="26"/>
  <c r="G161" i="26"/>
  <c r="I161" i="26"/>
  <c r="A162" i="26"/>
  <c r="K162" i="26" s="1"/>
  <c r="O162" i="26"/>
  <c r="R162" i="26"/>
  <c r="A163" i="26"/>
  <c r="K163" i="26" s="1"/>
  <c r="O163" i="26"/>
  <c r="R163" i="26"/>
  <c r="A164" i="26"/>
  <c r="K164" i="26" s="1"/>
  <c r="J164" i="26" s="1"/>
  <c r="E164" i="26"/>
  <c r="G164" i="26"/>
  <c r="I164" i="26"/>
  <c r="A165" i="26"/>
  <c r="K165" i="26" s="1"/>
  <c r="J165" i="26" s="1"/>
  <c r="L165" i="26" s="1"/>
  <c r="E165" i="26"/>
  <c r="G165" i="26"/>
  <c r="O165" i="26"/>
  <c r="A166" i="26"/>
  <c r="K166" i="26" s="1"/>
  <c r="O166" i="26"/>
  <c r="R166" i="26"/>
  <c r="A167" i="26"/>
  <c r="K167" i="26" s="1"/>
  <c r="O167" i="26"/>
  <c r="R167" i="26"/>
  <c r="A168" i="26"/>
  <c r="E168" i="26"/>
  <c r="G168" i="26"/>
  <c r="I168" i="26"/>
  <c r="K168" i="26"/>
  <c r="J168" i="26" s="1"/>
  <c r="R168" i="26" s="1"/>
  <c r="A169" i="26"/>
  <c r="K169" i="26" s="1"/>
  <c r="O169" i="26"/>
  <c r="R169" i="26"/>
  <c r="A170" i="26"/>
  <c r="I170" i="26"/>
  <c r="K170" i="26"/>
  <c r="J170" i="26" s="1"/>
  <c r="R170" i="26" s="1"/>
  <c r="A171" i="26"/>
  <c r="K171" i="26" s="1"/>
  <c r="R171" i="26"/>
  <c r="A172" i="26"/>
  <c r="I172" i="26"/>
  <c r="O172" i="26" s="1"/>
  <c r="J172" i="26"/>
  <c r="R172" i="26" s="1"/>
  <c r="A173" i="26"/>
  <c r="K173" i="26" s="1"/>
  <c r="O173" i="26"/>
  <c r="R173" i="26"/>
  <c r="A174" i="26"/>
  <c r="K174" i="26" s="1"/>
  <c r="O174" i="26"/>
  <c r="R174" i="26"/>
  <c r="A175" i="26"/>
  <c r="I175" i="26"/>
  <c r="K175" i="26"/>
  <c r="J175" i="26" s="1"/>
  <c r="A176" i="26"/>
  <c r="I176" i="26"/>
  <c r="K176" i="26"/>
  <c r="A177" i="26"/>
  <c r="O177" i="26"/>
  <c r="R177" i="26"/>
  <c r="A178" i="26"/>
  <c r="O178" i="26"/>
  <c r="R178" i="26"/>
  <c r="A179" i="26"/>
  <c r="K179" i="26" s="1"/>
  <c r="J179" i="26" s="1"/>
  <c r="R179" i="26" s="1"/>
  <c r="O179" i="26"/>
  <c r="A180" i="26"/>
  <c r="K180" i="26" s="1"/>
  <c r="J180" i="26" s="1"/>
  <c r="R180" i="26" s="1"/>
  <c r="O180" i="26"/>
  <c r="A181" i="26"/>
  <c r="K181" i="26" s="1"/>
  <c r="J181" i="26" s="1"/>
  <c r="R181" i="26" s="1"/>
  <c r="O181" i="26"/>
  <c r="A182" i="26"/>
  <c r="L182" i="26"/>
  <c r="L181" i="26" s="1"/>
  <c r="O182" i="26"/>
  <c r="R182" i="26"/>
  <c r="A183" i="26"/>
  <c r="O183" i="26"/>
  <c r="R183" i="26"/>
  <c r="A184" i="26"/>
  <c r="K184" i="26" s="1"/>
  <c r="J184" i="26" s="1"/>
  <c r="R184" i="26" s="1"/>
  <c r="O184" i="26"/>
  <c r="A185" i="26"/>
  <c r="K185" i="26" s="1"/>
  <c r="O185" i="26"/>
  <c r="R185" i="26"/>
  <c r="A186" i="26"/>
  <c r="K186" i="26" s="1"/>
  <c r="O186" i="26"/>
  <c r="R186" i="26"/>
  <c r="A187" i="26"/>
  <c r="K187" i="26" s="1"/>
  <c r="J187" i="26" s="1"/>
  <c r="L187" i="26" s="1"/>
  <c r="E187" i="26"/>
  <c r="G187" i="26"/>
  <c r="A188" i="26"/>
  <c r="K188" i="26" s="1"/>
  <c r="J188" i="26" s="1"/>
  <c r="L188" i="26" s="1"/>
  <c r="E188" i="26"/>
  <c r="G188" i="26"/>
  <c r="A189" i="26"/>
  <c r="K189" i="26" s="1"/>
  <c r="J189" i="26" s="1"/>
  <c r="L189" i="26" s="1"/>
  <c r="E189" i="26"/>
  <c r="G189" i="26"/>
  <c r="A190" i="26"/>
  <c r="K190" i="26" s="1"/>
  <c r="J190" i="26" s="1"/>
  <c r="E190" i="26"/>
  <c r="G190" i="26"/>
  <c r="I190" i="26"/>
  <c r="A191" i="26"/>
  <c r="K191" i="26" s="1"/>
  <c r="J191" i="26" s="1"/>
  <c r="L191" i="26" s="1"/>
  <c r="E191" i="26"/>
  <c r="G191" i="26"/>
  <c r="A192" i="26"/>
  <c r="K192" i="26" s="1"/>
  <c r="E192" i="26"/>
  <c r="G192" i="26"/>
  <c r="I192" i="26"/>
  <c r="I195" i="26" s="1"/>
  <c r="A193" i="26"/>
  <c r="K193" i="26" s="1"/>
  <c r="J193" i="26" s="1"/>
  <c r="L193" i="26" s="1"/>
  <c r="E193" i="26"/>
  <c r="G193" i="26"/>
  <c r="O193" i="26"/>
  <c r="A194" i="26"/>
  <c r="K194" i="26" s="1"/>
  <c r="J194" i="26" s="1"/>
  <c r="E194" i="26"/>
  <c r="G194" i="26"/>
  <c r="O194" i="26"/>
  <c r="A195" i="26"/>
  <c r="K195" i="26" s="1"/>
  <c r="E195" i="26"/>
  <c r="G195" i="26"/>
  <c r="A196" i="26"/>
  <c r="K196" i="26" s="1"/>
  <c r="E196" i="26"/>
  <c r="G196" i="26"/>
  <c r="A197" i="26"/>
  <c r="K197" i="26" s="1"/>
  <c r="J197" i="26" s="1"/>
  <c r="R197" i="26" s="1"/>
  <c r="E197" i="26"/>
  <c r="G197" i="26"/>
  <c r="O197" i="26"/>
  <c r="A198" i="26"/>
  <c r="K198" i="26" s="1"/>
  <c r="J198" i="26" s="1"/>
  <c r="R198" i="26" s="1"/>
  <c r="E198" i="26"/>
  <c r="G198" i="26"/>
  <c r="O198" i="26"/>
  <c r="A199" i="26"/>
  <c r="K199" i="26" s="1"/>
  <c r="J199" i="26" s="1"/>
  <c r="L199" i="26" s="1"/>
  <c r="E199" i="26"/>
  <c r="G199" i="26"/>
  <c r="A200" i="26"/>
  <c r="K200" i="26" s="1"/>
  <c r="J200" i="26" s="1"/>
  <c r="R200" i="26" s="1"/>
  <c r="E200" i="26"/>
  <c r="G200" i="26"/>
  <c r="O200" i="26"/>
  <c r="A201" i="26"/>
  <c r="K201" i="26" s="1"/>
  <c r="J201" i="26" s="1"/>
  <c r="R201" i="26" s="1"/>
  <c r="O201" i="26"/>
  <c r="A202" i="26"/>
  <c r="K202" i="26" s="1"/>
  <c r="J202" i="26" s="1"/>
  <c r="L202" i="26" s="1"/>
  <c r="L201" i="26" s="1"/>
  <c r="E202" i="26"/>
  <c r="G202" i="26"/>
  <c r="O202" i="26"/>
  <c r="A203" i="26"/>
  <c r="K203" i="26" s="1"/>
  <c r="J203" i="26" s="1"/>
  <c r="R203" i="26" s="1"/>
  <c r="O203" i="26"/>
  <c r="A204" i="26"/>
  <c r="K204" i="26" s="1"/>
  <c r="J204" i="26" s="1"/>
  <c r="R204" i="26" s="1"/>
  <c r="E204" i="26"/>
  <c r="G204" i="26"/>
  <c r="O204" i="26"/>
  <c r="A205" i="26"/>
  <c r="K205" i="26" s="1"/>
  <c r="J205" i="26" s="1"/>
  <c r="E205" i="26"/>
  <c r="G205" i="26"/>
  <c r="I205" i="26"/>
  <c r="O205" i="26" s="1"/>
  <c r="A206" i="26"/>
  <c r="K206" i="26" s="1"/>
  <c r="J206" i="26" s="1"/>
  <c r="R206" i="26" s="1"/>
  <c r="E206" i="26"/>
  <c r="G206" i="26"/>
  <c r="I206" i="26"/>
  <c r="O206" i="26" s="1"/>
  <c r="A207" i="26"/>
  <c r="K207" i="26" s="1"/>
  <c r="J207" i="26" s="1"/>
  <c r="E207" i="26"/>
  <c r="G207" i="26"/>
  <c r="I207" i="26"/>
  <c r="O207" i="26" s="1"/>
  <c r="A208" i="26"/>
  <c r="K208" i="26" s="1"/>
  <c r="J208" i="26" s="1"/>
  <c r="R208" i="26" s="1"/>
  <c r="E208" i="26"/>
  <c r="G208" i="26"/>
  <c r="A209" i="26"/>
  <c r="K209" i="26" s="1"/>
  <c r="J209" i="26" s="1"/>
  <c r="E209" i="26"/>
  <c r="G209" i="26"/>
  <c r="I209" i="26"/>
  <c r="O209" i="26" s="1"/>
  <c r="A210" i="26"/>
  <c r="K210" i="26" s="1"/>
  <c r="J210" i="26" s="1"/>
  <c r="R210" i="26" s="1"/>
  <c r="E210" i="26"/>
  <c r="G210" i="26"/>
  <c r="I210" i="26"/>
  <c r="O210" i="26" s="1"/>
  <c r="A211" i="26"/>
  <c r="K211" i="26" s="1"/>
  <c r="J211" i="26" s="1"/>
  <c r="R211" i="26" s="1"/>
  <c r="E211" i="26"/>
  <c r="G211" i="26"/>
  <c r="O211" i="26"/>
  <c r="A212" i="26"/>
  <c r="K212" i="26" s="1"/>
  <c r="J212" i="26" s="1"/>
  <c r="R212" i="26" s="1"/>
  <c r="O212" i="26"/>
  <c r="A213" i="26"/>
  <c r="K213" i="26" s="1"/>
  <c r="J213" i="26" s="1"/>
  <c r="E213" i="26"/>
  <c r="G213" i="26"/>
  <c r="I213" i="26"/>
  <c r="O213" i="26" s="1"/>
  <c r="A214" i="26"/>
  <c r="O214" i="26"/>
  <c r="R214" i="26"/>
  <c r="A215" i="26"/>
  <c r="K215" i="26" s="1"/>
  <c r="O215" i="26"/>
  <c r="R215" i="26"/>
  <c r="A216" i="26"/>
  <c r="K216" i="26" s="1"/>
  <c r="O216" i="26"/>
  <c r="R216" i="26"/>
  <c r="A217" i="26"/>
  <c r="K217" i="26" s="1"/>
  <c r="O217" i="26"/>
  <c r="R217" i="26"/>
  <c r="A218" i="26"/>
  <c r="K218" i="26" s="1"/>
  <c r="J218" i="26" s="1"/>
  <c r="E218" i="26"/>
  <c r="G218" i="26"/>
  <c r="I218" i="26"/>
  <c r="A219" i="26"/>
  <c r="K219" i="26" s="1"/>
  <c r="J219" i="26" s="1"/>
  <c r="L219" i="26" s="1"/>
  <c r="E219" i="26"/>
  <c r="G219" i="26"/>
  <c r="O219" i="26"/>
  <c r="A220" i="26"/>
  <c r="K220" i="26" s="1"/>
  <c r="J220" i="26" s="1"/>
  <c r="L220" i="26" s="1"/>
  <c r="E220" i="26"/>
  <c r="G220" i="26"/>
  <c r="O220" i="26"/>
  <c r="A221" i="26"/>
  <c r="K221" i="26" s="1"/>
  <c r="J221" i="26" s="1"/>
  <c r="R221" i="26" s="1"/>
  <c r="E221" i="26"/>
  <c r="G221" i="26"/>
  <c r="A222" i="26"/>
  <c r="K222" i="26" s="1"/>
  <c r="J222" i="26" s="1"/>
  <c r="L222" i="26" s="1"/>
  <c r="E222" i="26"/>
  <c r="G222" i="26"/>
  <c r="O222" i="26"/>
  <c r="A223" i="26"/>
  <c r="K223" i="26" s="1"/>
  <c r="J223" i="26" s="1"/>
  <c r="R223" i="26" s="1"/>
  <c r="E223" i="26"/>
  <c r="G223" i="26"/>
  <c r="I223" i="26"/>
  <c r="A224" i="26"/>
  <c r="K224" i="26" s="1"/>
  <c r="O224" i="26"/>
  <c r="R224" i="26"/>
  <c r="A225" i="26"/>
  <c r="K225" i="26" s="1"/>
  <c r="E225" i="26"/>
  <c r="G225" i="26"/>
  <c r="I225" i="26"/>
  <c r="I228" i="26" s="1"/>
  <c r="A226" i="26"/>
  <c r="K226" i="26" s="1"/>
  <c r="J226" i="26" s="1"/>
  <c r="R226" i="26" s="1"/>
  <c r="E226" i="26"/>
  <c r="G226" i="26"/>
  <c r="O226" i="26"/>
  <c r="A227" i="26"/>
  <c r="K227" i="26" s="1"/>
  <c r="J227" i="26" s="1"/>
  <c r="R227" i="26" s="1"/>
  <c r="E227" i="26"/>
  <c r="G227" i="26"/>
  <c r="O227" i="26"/>
  <c r="A228" i="26"/>
  <c r="K228" i="26" s="1"/>
  <c r="J228" i="26" s="1"/>
  <c r="E228" i="26"/>
  <c r="G228" i="26"/>
  <c r="A229" i="26"/>
  <c r="K229" i="26" s="1"/>
  <c r="J229" i="26" s="1"/>
  <c r="R229" i="26" s="1"/>
  <c r="E229" i="26"/>
  <c r="G229" i="26"/>
  <c r="O229" i="26"/>
  <c r="A230" i="26"/>
  <c r="E230" i="26"/>
  <c r="G230" i="26"/>
  <c r="I230" i="26"/>
  <c r="K230" i="26"/>
  <c r="J230" i="26" s="1"/>
  <c r="A231" i="26"/>
  <c r="K231" i="26" s="1"/>
  <c r="O231" i="26"/>
  <c r="R231" i="26"/>
  <c r="A232" i="26"/>
  <c r="E232" i="26"/>
  <c r="G232" i="26"/>
  <c r="I232" i="26"/>
  <c r="K232" i="26"/>
  <c r="J232" i="26" s="1"/>
  <c r="A233" i="26"/>
  <c r="K233" i="26" s="1"/>
  <c r="J233" i="26" s="1"/>
  <c r="E233" i="26"/>
  <c r="G233" i="26"/>
  <c r="I233" i="26"/>
  <c r="A234" i="26"/>
  <c r="K234" i="26" s="1"/>
  <c r="J234" i="26" s="1"/>
  <c r="E234" i="26"/>
  <c r="G234" i="26"/>
  <c r="A235" i="26"/>
  <c r="K235" i="26" s="1"/>
  <c r="J235" i="26" s="1"/>
  <c r="R235" i="26" s="1"/>
  <c r="E235" i="26"/>
  <c r="G235" i="26"/>
  <c r="I235" i="26"/>
  <c r="A236" i="26"/>
  <c r="K236" i="26" s="1"/>
  <c r="J236" i="26" s="1"/>
  <c r="L236" i="26" s="1"/>
  <c r="E236" i="26"/>
  <c r="G236" i="26"/>
  <c r="A237" i="26"/>
  <c r="E237" i="26"/>
  <c r="G237" i="26"/>
  <c r="I237" i="26"/>
  <c r="K237" i="26"/>
  <c r="J237" i="26" s="1"/>
  <c r="A238" i="26"/>
  <c r="K238" i="26" s="1"/>
  <c r="J238" i="26" s="1"/>
  <c r="E238" i="26"/>
  <c r="G238" i="26"/>
  <c r="O238" i="26"/>
  <c r="A239" i="26"/>
  <c r="K239" i="26" s="1"/>
  <c r="O239" i="26"/>
  <c r="R239" i="26"/>
  <c r="A240" i="26"/>
  <c r="K240" i="26" s="1"/>
  <c r="J240" i="26" s="1"/>
  <c r="E240" i="26"/>
  <c r="G240" i="26"/>
  <c r="I240" i="26"/>
  <c r="A241" i="26"/>
  <c r="K241" i="26" s="1"/>
  <c r="J241" i="26" s="1"/>
  <c r="E241" i="26"/>
  <c r="G241" i="26"/>
  <c r="I241" i="26"/>
  <c r="A242" i="26"/>
  <c r="K242" i="26" s="1"/>
  <c r="J242" i="26" s="1"/>
  <c r="E242" i="26"/>
  <c r="G242" i="26"/>
  <c r="I242" i="26"/>
  <c r="A243" i="26"/>
  <c r="K243" i="26" s="1"/>
  <c r="J243" i="26" s="1"/>
  <c r="E243" i="26"/>
  <c r="G243" i="26"/>
  <c r="O243" i="26"/>
  <c r="A244" i="26"/>
  <c r="K244" i="26" s="1"/>
  <c r="J244" i="26" s="1"/>
  <c r="L244" i="26" s="1"/>
  <c r="E244" i="26"/>
  <c r="G244" i="26"/>
  <c r="O244" i="26"/>
  <c r="A245" i="26"/>
  <c r="K245" i="26" s="1"/>
  <c r="J245" i="26" s="1"/>
  <c r="R245" i="26" s="1"/>
  <c r="E245" i="26"/>
  <c r="G245" i="26"/>
  <c r="O245" i="26"/>
  <c r="A246" i="26"/>
  <c r="K246" i="26" s="1"/>
  <c r="J246" i="26" s="1"/>
  <c r="R246" i="26" s="1"/>
  <c r="E246" i="26"/>
  <c r="G246" i="26"/>
  <c r="O246" i="26"/>
  <c r="A247" i="26"/>
  <c r="K247" i="26" s="1"/>
  <c r="J247" i="26" s="1"/>
  <c r="E247" i="26"/>
  <c r="G247" i="26"/>
  <c r="I247" i="26"/>
  <c r="O247" i="26" s="1"/>
  <c r="A248" i="26"/>
  <c r="K248" i="26" s="1"/>
  <c r="J248" i="26" s="1"/>
  <c r="R248" i="26" s="1"/>
  <c r="E248" i="26"/>
  <c r="G248" i="26"/>
  <c r="O248" i="26"/>
  <c r="A249" i="26"/>
  <c r="K249" i="26" s="1"/>
  <c r="O249" i="26"/>
  <c r="R249" i="26"/>
  <c r="A250" i="26"/>
  <c r="K250" i="26" s="1"/>
  <c r="J250" i="26" s="1"/>
  <c r="R250" i="26" s="1"/>
  <c r="E250" i="26"/>
  <c r="G250" i="26"/>
  <c r="O250" i="26"/>
  <c r="A251" i="26"/>
  <c r="K251" i="26" s="1"/>
  <c r="J251" i="26" s="1"/>
  <c r="E251" i="26"/>
  <c r="G251" i="26"/>
  <c r="O251" i="26"/>
  <c r="A252" i="26"/>
  <c r="K252" i="26" s="1"/>
  <c r="J252" i="26" s="1"/>
  <c r="L252" i="26" s="1"/>
  <c r="E252" i="26"/>
  <c r="G252" i="26"/>
  <c r="O252" i="26"/>
  <c r="A253" i="26"/>
  <c r="K253" i="26" s="1"/>
  <c r="J253" i="26" s="1"/>
  <c r="R253" i="26" s="1"/>
  <c r="E253" i="26"/>
  <c r="G253" i="26"/>
  <c r="O253" i="26"/>
  <c r="A254" i="26"/>
  <c r="K254" i="26" s="1"/>
  <c r="J254" i="26" s="1"/>
  <c r="R254" i="26" s="1"/>
  <c r="E254" i="26"/>
  <c r="G254" i="26"/>
  <c r="I254" i="26"/>
  <c r="O254" i="26" s="1"/>
  <c r="A255" i="26"/>
  <c r="K255" i="26" s="1"/>
  <c r="J255" i="26" s="1"/>
  <c r="R255" i="26" s="1"/>
  <c r="E255" i="26"/>
  <c r="G255" i="26"/>
  <c r="O255" i="26"/>
  <c r="A256" i="26"/>
  <c r="O256" i="26"/>
  <c r="R256" i="26"/>
  <c r="A257" i="26"/>
  <c r="K257" i="26" s="1"/>
  <c r="J257" i="26" s="1"/>
  <c r="R257" i="26" s="1"/>
  <c r="O257" i="26"/>
  <c r="A258" i="26"/>
  <c r="K258" i="26" s="1"/>
  <c r="O258" i="26"/>
  <c r="R258" i="26"/>
  <c r="A259" i="26"/>
  <c r="K259" i="26" s="1"/>
  <c r="H259" i="26"/>
  <c r="I260" i="26" s="1"/>
  <c r="I262" i="26" s="1"/>
  <c r="O259" i="26"/>
  <c r="R259" i="26"/>
  <c r="A260" i="26"/>
  <c r="K260" i="26" s="1"/>
  <c r="J260" i="26" s="1"/>
  <c r="E260" i="26"/>
  <c r="G260" i="26"/>
  <c r="A261" i="26"/>
  <c r="K261" i="26" s="1"/>
  <c r="J261" i="26" s="1"/>
  <c r="L261" i="26" s="1"/>
  <c r="E261" i="26"/>
  <c r="G261" i="26"/>
  <c r="A262" i="26"/>
  <c r="K262" i="26" s="1"/>
  <c r="J262" i="26" s="1"/>
  <c r="R262" i="26" s="1"/>
  <c r="E262" i="26"/>
  <c r="G262" i="26"/>
  <c r="A263" i="26"/>
  <c r="K263" i="26" s="1"/>
  <c r="J263" i="26" s="1"/>
  <c r="L263" i="26" s="1"/>
  <c r="E263" i="26"/>
  <c r="G263" i="26"/>
  <c r="A264" i="26"/>
  <c r="K264" i="26" s="1"/>
  <c r="J264" i="26" s="1"/>
  <c r="R264" i="26" s="1"/>
  <c r="E264" i="26"/>
  <c r="G264" i="26"/>
  <c r="O264" i="26"/>
  <c r="A265" i="26"/>
  <c r="K265" i="26" s="1"/>
  <c r="O265" i="26"/>
  <c r="R265" i="26"/>
  <c r="A266" i="26"/>
  <c r="K266" i="26" s="1"/>
  <c r="J266" i="26" s="1"/>
  <c r="E266" i="26"/>
  <c r="G266" i="26"/>
  <c r="I266" i="26"/>
  <c r="O266" i="26" s="1"/>
  <c r="A267" i="26"/>
  <c r="K267" i="26" s="1"/>
  <c r="J267" i="26" s="1"/>
  <c r="L267" i="26" s="1"/>
  <c r="E267" i="26"/>
  <c r="G267" i="26"/>
  <c r="A268" i="26"/>
  <c r="O268" i="26"/>
  <c r="R268" i="26"/>
  <c r="A269" i="26"/>
  <c r="K269" i="26" s="1"/>
  <c r="J269" i="26" s="1"/>
  <c r="R269" i="26" s="1"/>
  <c r="O269" i="26"/>
  <c r="A270" i="26"/>
  <c r="K270" i="26" s="1"/>
  <c r="O270" i="26"/>
  <c r="R270" i="26"/>
  <c r="A271" i="26"/>
  <c r="K271" i="26" s="1"/>
  <c r="O271" i="26"/>
  <c r="R271" i="26"/>
  <c r="A272" i="26"/>
  <c r="K272" i="26" s="1"/>
  <c r="E272" i="26"/>
  <c r="G272" i="26"/>
  <c r="A273" i="26"/>
  <c r="K273" i="26" s="1"/>
  <c r="J273" i="26" s="1"/>
  <c r="L273" i="26" s="1"/>
  <c r="E273" i="26"/>
  <c r="G273" i="26"/>
  <c r="A274" i="26"/>
  <c r="K274" i="26" s="1"/>
  <c r="J274" i="26" s="1"/>
  <c r="L274" i="26" s="1"/>
  <c r="E274" i="26"/>
  <c r="G274" i="26"/>
  <c r="A275" i="26"/>
  <c r="A276" i="26"/>
  <c r="E276" i="26"/>
  <c r="G276" i="26"/>
  <c r="J276" i="26"/>
  <c r="L276" i="26" s="1"/>
  <c r="A277" i="26"/>
  <c r="O277" i="26"/>
  <c r="R277" i="26"/>
  <c r="A278" i="26"/>
  <c r="O278" i="26"/>
  <c r="R278" i="26"/>
  <c r="A279" i="26"/>
  <c r="E279" i="26"/>
  <c r="G279" i="26"/>
  <c r="A280" i="26"/>
  <c r="K280" i="26" s="1"/>
  <c r="J280" i="26" s="1"/>
  <c r="L280" i="26" s="1"/>
  <c r="E280" i="26"/>
  <c r="G280" i="26"/>
  <c r="A281" i="26"/>
  <c r="K281" i="26" s="1"/>
  <c r="J281" i="26" s="1"/>
  <c r="L281" i="26" s="1"/>
  <c r="E281" i="26"/>
  <c r="G281" i="26"/>
  <c r="A282" i="26"/>
  <c r="K282" i="26" s="1"/>
  <c r="J282" i="26" s="1"/>
  <c r="L282" i="26" s="1"/>
  <c r="E282" i="26"/>
  <c r="G282" i="26"/>
  <c r="A283" i="26"/>
  <c r="K283" i="26" s="1"/>
  <c r="J283" i="26" s="1"/>
  <c r="L283" i="26" s="1"/>
  <c r="E283" i="26"/>
  <c r="G283" i="26"/>
  <c r="O283" i="26"/>
  <c r="A284" i="26"/>
  <c r="O284" i="26"/>
  <c r="R284" i="26"/>
  <c r="A285" i="26"/>
  <c r="O285" i="26"/>
  <c r="R285" i="26"/>
  <c r="A286" i="26"/>
  <c r="K286" i="26" s="1"/>
  <c r="J286" i="26" s="1"/>
  <c r="L286" i="26" s="1"/>
  <c r="E286" i="26"/>
  <c r="G286" i="26"/>
  <c r="O286" i="26"/>
  <c r="A287" i="26"/>
  <c r="K287" i="26" s="1"/>
  <c r="J287" i="26" s="1"/>
  <c r="L287" i="26" s="1"/>
  <c r="E287" i="26"/>
  <c r="G287" i="26"/>
  <c r="A288" i="26"/>
  <c r="K288" i="26" s="1"/>
  <c r="J288" i="26" s="1"/>
  <c r="R288" i="26" s="1"/>
  <c r="E288" i="26"/>
  <c r="G288" i="26"/>
  <c r="O288" i="26"/>
  <c r="A289" i="26"/>
  <c r="O289" i="26"/>
  <c r="R289" i="26"/>
  <c r="A290" i="26"/>
  <c r="O290" i="26"/>
  <c r="R290" i="26"/>
  <c r="A291" i="26"/>
  <c r="J291" i="26"/>
  <c r="L291" i="26" s="1"/>
  <c r="O291" i="26"/>
  <c r="A292" i="26"/>
  <c r="J292" i="26"/>
  <c r="L292" i="26" s="1"/>
  <c r="O292" i="26"/>
  <c r="A293" i="26"/>
  <c r="O293" i="26"/>
  <c r="R293" i="26"/>
  <c r="A294" i="26"/>
  <c r="K294" i="26" s="1"/>
  <c r="J294" i="26" s="1"/>
  <c r="R294" i="26" s="1"/>
  <c r="O294" i="26"/>
  <c r="A295" i="26"/>
  <c r="K295" i="26" s="1"/>
  <c r="O295" i="26"/>
  <c r="R295" i="26"/>
  <c r="A296" i="26"/>
  <c r="K296" i="26" s="1"/>
  <c r="H296" i="26"/>
  <c r="I301" i="26" s="1"/>
  <c r="O296" i="26"/>
  <c r="R296" i="26"/>
  <c r="A297" i="26"/>
  <c r="K297" i="26" s="1"/>
  <c r="J297" i="26" s="1"/>
  <c r="E297" i="26"/>
  <c r="G297" i="26"/>
  <c r="A298" i="26"/>
  <c r="K298" i="26" s="1"/>
  <c r="E298" i="26"/>
  <c r="G298" i="26"/>
  <c r="A299" i="26"/>
  <c r="K299" i="26" s="1"/>
  <c r="J299" i="26" s="1"/>
  <c r="E299" i="26"/>
  <c r="G299" i="26"/>
  <c r="A300" i="26"/>
  <c r="K300" i="26" s="1"/>
  <c r="J300" i="26" s="1"/>
  <c r="E300" i="26"/>
  <c r="G300" i="26"/>
  <c r="A301" i="26"/>
  <c r="K301" i="26" s="1"/>
  <c r="J301" i="26" s="1"/>
  <c r="E301" i="26"/>
  <c r="G301" i="26"/>
  <c r="A302" i="26"/>
  <c r="K302" i="26" s="1"/>
  <c r="O302" i="26"/>
  <c r="R302" i="26"/>
  <c r="A303" i="26"/>
  <c r="E303" i="26"/>
  <c r="G303" i="26"/>
  <c r="I303" i="26"/>
  <c r="K303" i="26"/>
  <c r="J303" i="26" s="1"/>
  <c r="A304" i="26"/>
  <c r="E304" i="26"/>
  <c r="G304" i="26"/>
  <c r="I304" i="26"/>
  <c r="K304" i="26"/>
  <c r="J304" i="26" s="1"/>
  <c r="A305" i="26"/>
  <c r="K305" i="26" s="1"/>
  <c r="J305" i="26" s="1"/>
  <c r="E305" i="26"/>
  <c r="G305" i="26"/>
  <c r="I305" i="26"/>
  <c r="A306" i="26"/>
  <c r="A307" i="26"/>
  <c r="E307" i="26"/>
  <c r="G307" i="26"/>
  <c r="I307" i="26"/>
  <c r="K307" i="26"/>
  <c r="J307" i="26" s="1"/>
  <c r="A308" i="26"/>
  <c r="A309" i="26"/>
  <c r="K309" i="26" s="1"/>
  <c r="J309" i="26" s="1"/>
  <c r="E309" i="26"/>
  <c r="G309" i="26"/>
  <c r="I309" i="26"/>
  <c r="A310" i="26"/>
  <c r="K310" i="26" s="1"/>
  <c r="J310" i="26" s="1"/>
  <c r="E310" i="26"/>
  <c r="G310" i="26"/>
  <c r="I310" i="26"/>
  <c r="A311" i="26"/>
  <c r="K311" i="26" s="1"/>
  <c r="J311" i="26" s="1"/>
  <c r="E311" i="26"/>
  <c r="G311" i="26"/>
  <c r="I311" i="26"/>
  <c r="A312" i="26"/>
  <c r="K312" i="26" s="1"/>
  <c r="J312" i="26" s="1"/>
  <c r="E312" i="26"/>
  <c r="G312" i="26"/>
  <c r="I312" i="26"/>
  <c r="A313" i="26"/>
  <c r="A314" i="26"/>
  <c r="E314" i="26"/>
  <c r="G314" i="26"/>
  <c r="I314" i="26"/>
  <c r="K314" i="26"/>
  <c r="J314" i="26" s="1"/>
  <c r="A315" i="26"/>
  <c r="E315" i="26"/>
  <c r="G315" i="26"/>
  <c r="I315" i="26"/>
  <c r="K315" i="26"/>
  <c r="J315" i="26" s="1"/>
  <c r="A316" i="26"/>
  <c r="E316" i="26"/>
  <c r="G316" i="26"/>
  <c r="I316" i="26"/>
  <c r="K316" i="26"/>
  <c r="J316" i="26" s="1"/>
  <c r="A317" i="26"/>
  <c r="E317" i="26"/>
  <c r="G317" i="26"/>
  <c r="I317" i="26"/>
  <c r="K317" i="26"/>
  <c r="J317" i="26" s="1"/>
  <c r="A318" i="26"/>
  <c r="E318" i="26"/>
  <c r="G318" i="26"/>
  <c r="I318" i="26"/>
  <c r="K318" i="26"/>
  <c r="J318" i="26" s="1"/>
  <c r="A319" i="26"/>
  <c r="A320" i="26"/>
  <c r="K320" i="26" s="1"/>
  <c r="J320" i="26" s="1"/>
  <c r="E320" i="26"/>
  <c r="G320" i="26"/>
  <c r="I320" i="26"/>
  <c r="A321" i="26"/>
  <c r="A322" i="26"/>
  <c r="K322" i="26" s="1"/>
  <c r="J322" i="26" s="1"/>
  <c r="E322" i="26"/>
  <c r="G322" i="26"/>
  <c r="I322" i="26"/>
  <c r="A323" i="26"/>
  <c r="A324" i="26"/>
  <c r="K324" i="26" s="1"/>
  <c r="J324" i="26" s="1"/>
  <c r="E324" i="26"/>
  <c r="G324" i="26"/>
  <c r="I324" i="26"/>
  <c r="A325" i="26"/>
  <c r="H325" i="26"/>
  <c r="I326" i="26" s="1"/>
  <c r="A326" i="26"/>
  <c r="K326" i="26" s="1"/>
  <c r="J326" i="26" s="1"/>
  <c r="E326" i="26"/>
  <c r="G326" i="26"/>
  <c r="A327" i="26"/>
  <c r="K327" i="26" s="1"/>
  <c r="J327" i="26" s="1"/>
  <c r="E327" i="26"/>
  <c r="G327" i="26"/>
  <c r="I327" i="26"/>
  <c r="A328" i="26"/>
  <c r="K328" i="26" s="1"/>
  <c r="J328" i="26" s="1"/>
  <c r="E328" i="26"/>
  <c r="G328" i="26"/>
  <c r="A329" i="26"/>
  <c r="O329" i="26"/>
  <c r="R329" i="26"/>
  <c r="A330" i="26"/>
  <c r="K330" i="26" s="1"/>
  <c r="J330" i="26" s="1"/>
  <c r="R330" i="26" s="1"/>
  <c r="O330" i="26"/>
  <c r="A331" i="26"/>
  <c r="K331" i="26" s="1"/>
  <c r="O331" i="26"/>
  <c r="R331" i="26"/>
  <c r="A332" i="26"/>
  <c r="H332" i="26"/>
  <c r="I336" i="26" s="1"/>
  <c r="O332" i="26"/>
  <c r="R332" i="26"/>
  <c r="A333" i="26"/>
  <c r="K333" i="26" s="1"/>
  <c r="J333" i="26" s="1"/>
  <c r="E333" i="26"/>
  <c r="G333" i="26"/>
  <c r="O333" i="26"/>
  <c r="A334" i="26"/>
  <c r="K334" i="26" s="1"/>
  <c r="J334" i="26" s="1"/>
  <c r="R334" i="26" s="1"/>
  <c r="E334" i="26"/>
  <c r="G334" i="26"/>
  <c r="A335" i="26"/>
  <c r="K335" i="26" s="1"/>
  <c r="J335" i="26" s="1"/>
  <c r="E335" i="26"/>
  <c r="G335" i="26"/>
  <c r="A336" i="26"/>
  <c r="K336" i="26" s="1"/>
  <c r="J336" i="26" s="1"/>
  <c r="E336" i="26"/>
  <c r="G336" i="26"/>
  <c r="A337" i="26"/>
  <c r="K337" i="26" s="1"/>
  <c r="O337" i="26"/>
  <c r="R337" i="26"/>
  <c r="A338" i="26"/>
  <c r="K338" i="26" s="1"/>
  <c r="J338" i="26" s="1"/>
  <c r="L338" i="26" s="1"/>
  <c r="E338" i="26"/>
  <c r="G338" i="26"/>
  <c r="O338" i="26"/>
  <c r="A339" i="26"/>
  <c r="K339" i="26" s="1"/>
  <c r="J339" i="26" s="1"/>
  <c r="E339" i="26"/>
  <c r="G339" i="26"/>
  <c r="I339" i="26"/>
  <c r="A340" i="26"/>
  <c r="K340" i="26" s="1"/>
  <c r="O340" i="26"/>
  <c r="R340" i="26"/>
  <c r="A341" i="26"/>
  <c r="K341" i="26" s="1"/>
  <c r="J341" i="26" s="1"/>
  <c r="L341" i="26" s="1"/>
  <c r="E341" i="26"/>
  <c r="G341" i="26"/>
  <c r="O341" i="26"/>
  <c r="A342" i="26"/>
  <c r="K342" i="26" s="1"/>
  <c r="J342" i="26" s="1"/>
  <c r="L342" i="26" s="1"/>
  <c r="E342" i="26"/>
  <c r="G342" i="26"/>
  <c r="A343" i="26"/>
  <c r="A344" i="26"/>
  <c r="E344" i="26"/>
  <c r="G344" i="26"/>
  <c r="I344" i="26"/>
  <c r="K344" i="26"/>
  <c r="J344" i="26" s="1"/>
  <c r="A345" i="26"/>
  <c r="E345" i="26"/>
  <c r="G345" i="26"/>
  <c r="I345" i="26"/>
  <c r="K345" i="26"/>
  <c r="J345" i="26" s="1"/>
  <c r="A346" i="26"/>
  <c r="A347" i="26"/>
  <c r="K347" i="26" s="1"/>
  <c r="J347" i="26" s="1"/>
  <c r="E347" i="26"/>
  <c r="G347" i="26"/>
  <c r="I347" i="26"/>
  <c r="A348" i="26"/>
  <c r="K348" i="26" s="1"/>
  <c r="J348" i="26" s="1"/>
  <c r="R348" i="26" s="1"/>
  <c r="E348" i="26"/>
  <c r="G348" i="26"/>
  <c r="I348" i="26"/>
  <c r="O348" i="26" s="1"/>
  <c r="A349" i="26"/>
  <c r="A350" i="26"/>
  <c r="E350" i="26"/>
  <c r="G350" i="26"/>
  <c r="I350" i="26"/>
  <c r="K350" i="26"/>
  <c r="J350" i="26" s="1"/>
  <c r="A351" i="26"/>
  <c r="E351" i="26"/>
  <c r="G351" i="26"/>
  <c r="I351" i="26"/>
  <c r="K351" i="26"/>
  <c r="J351" i="26" s="1"/>
  <c r="A352" i="26"/>
  <c r="E352" i="26"/>
  <c r="G352" i="26"/>
  <c r="I352" i="26"/>
  <c r="K352" i="26"/>
  <c r="J352" i="26" s="1"/>
  <c r="A353" i="26"/>
  <c r="A354" i="26"/>
  <c r="K354" i="26" s="1"/>
  <c r="J354" i="26" s="1"/>
  <c r="E354" i="26"/>
  <c r="G354" i="26"/>
  <c r="I354" i="26"/>
  <c r="A355" i="26"/>
  <c r="K355" i="26" s="1"/>
  <c r="J355" i="26" s="1"/>
  <c r="L355" i="26" s="1"/>
  <c r="E355" i="26"/>
  <c r="G355" i="26"/>
  <c r="A356" i="26"/>
  <c r="O356" i="26"/>
  <c r="R356" i="26"/>
  <c r="A357" i="26"/>
  <c r="K357" i="26" s="1"/>
  <c r="J357" i="26" s="1"/>
  <c r="R357" i="26" s="1"/>
  <c r="O357" i="26"/>
  <c r="A358" i="26"/>
  <c r="K358" i="26" s="1"/>
  <c r="O358" i="26"/>
  <c r="R358" i="26"/>
  <c r="A359" i="26"/>
  <c r="K359" i="26" s="1"/>
  <c r="O359" i="26"/>
  <c r="R359" i="26"/>
  <c r="A360" i="26"/>
  <c r="K360" i="26" s="1"/>
  <c r="J360" i="26" s="1"/>
  <c r="E360" i="26"/>
  <c r="G360" i="26"/>
  <c r="I360" i="26"/>
  <c r="A361" i="26"/>
  <c r="K361" i="26" s="1"/>
  <c r="J361" i="26" s="1"/>
  <c r="E361" i="26"/>
  <c r="G361" i="26"/>
  <c r="I361" i="26"/>
  <c r="A362" i="26"/>
  <c r="K362" i="26" s="1"/>
  <c r="J362" i="26" s="1"/>
  <c r="L362" i="26" s="1"/>
  <c r="E362" i="26"/>
  <c r="G362" i="26"/>
  <c r="A363" i="26"/>
  <c r="E363" i="26"/>
  <c r="G363" i="26"/>
  <c r="I363" i="26"/>
  <c r="K363" i="26"/>
  <c r="A364" i="26"/>
  <c r="E364" i="26"/>
  <c r="G364" i="26"/>
  <c r="I364" i="26"/>
  <c r="K364" i="26"/>
  <c r="J364" i="26" s="1"/>
  <c r="A365" i="26"/>
  <c r="K365" i="26" s="1"/>
  <c r="O365" i="26"/>
  <c r="R365" i="26"/>
  <c r="A366" i="26"/>
  <c r="K366" i="26" s="1"/>
  <c r="J366" i="26" s="1"/>
  <c r="R366" i="26" s="1"/>
  <c r="E366" i="26"/>
  <c r="G366" i="26"/>
  <c r="O366" i="26"/>
  <c r="A367" i="26"/>
  <c r="K367" i="26" s="1"/>
  <c r="J367" i="26" s="1"/>
  <c r="L367" i="26" s="1"/>
  <c r="E367" i="26"/>
  <c r="G367" i="26"/>
  <c r="A368" i="26"/>
  <c r="K368" i="26" s="1"/>
  <c r="J368" i="26" s="1"/>
  <c r="R368" i="26" s="1"/>
  <c r="O368" i="26"/>
  <c r="A369" i="26"/>
  <c r="K369" i="26" s="1"/>
  <c r="J369" i="26" s="1"/>
  <c r="L369" i="26" s="1"/>
  <c r="L368" i="26" s="1"/>
  <c r="E369" i="26"/>
  <c r="G369" i="26"/>
  <c r="O369" i="26"/>
  <c r="A370" i="26"/>
  <c r="O370" i="26"/>
  <c r="R370" i="26"/>
  <c r="A371" i="26"/>
  <c r="O371" i="26"/>
  <c r="A372" i="26"/>
  <c r="K372" i="26" s="1"/>
  <c r="O372" i="26"/>
  <c r="R372" i="26"/>
  <c r="A373" i="26"/>
  <c r="K373" i="26" s="1"/>
  <c r="O373" i="26"/>
  <c r="R373" i="26"/>
  <c r="A374" i="26"/>
  <c r="K374" i="26" s="1"/>
  <c r="E374" i="26"/>
  <c r="G374" i="26"/>
  <c r="I374" i="26"/>
  <c r="A375" i="26"/>
  <c r="K375" i="26" s="1"/>
  <c r="J375" i="26" s="1"/>
  <c r="E375" i="26"/>
  <c r="G375" i="26"/>
  <c r="I375" i="26"/>
  <c r="A376" i="26"/>
  <c r="K376" i="26" s="1"/>
  <c r="O376" i="26"/>
  <c r="R376" i="26"/>
  <c r="A377" i="26"/>
  <c r="K377" i="26" s="1"/>
  <c r="J377" i="26" s="1"/>
  <c r="R377" i="26" s="1"/>
  <c r="E377" i="26"/>
  <c r="G377" i="26"/>
  <c r="I377" i="26"/>
  <c r="A378" i="26"/>
  <c r="K378" i="26" s="1"/>
  <c r="J378" i="26" s="1"/>
  <c r="E378" i="26"/>
  <c r="G378" i="26"/>
  <c r="I378" i="26"/>
  <c r="A379" i="26"/>
  <c r="K379" i="26" s="1"/>
  <c r="J379" i="26" s="1"/>
  <c r="E379" i="26"/>
  <c r="G379" i="26"/>
  <c r="I379" i="26"/>
  <c r="A380" i="26"/>
  <c r="K380" i="26" s="1"/>
  <c r="J380" i="26" s="1"/>
  <c r="L380" i="26" s="1"/>
  <c r="E380" i="26"/>
  <c r="G380" i="26"/>
  <c r="A381" i="26"/>
  <c r="K381" i="26" s="1"/>
  <c r="J381" i="26" s="1"/>
  <c r="L381" i="26" s="1"/>
  <c r="E381" i="26"/>
  <c r="G381" i="26"/>
  <c r="A382" i="26"/>
  <c r="A383" i="26"/>
  <c r="K383" i="26" s="1"/>
  <c r="J383" i="26" s="1"/>
  <c r="E383" i="26"/>
  <c r="G383" i="26"/>
  <c r="I383" i="26"/>
  <c r="A384" i="26"/>
  <c r="E384" i="26"/>
  <c r="G384" i="26"/>
  <c r="I384" i="26"/>
  <c r="K384" i="26"/>
  <c r="J384" i="26" s="1"/>
  <c r="A385" i="26"/>
  <c r="E385" i="26"/>
  <c r="G385" i="26"/>
  <c r="I385" i="26"/>
  <c r="K385" i="26"/>
  <c r="J385" i="26" s="1"/>
  <c r="A386" i="26"/>
  <c r="K386" i="26" s="1"/>
  <c r="J386" i="26" s="1"/>
  <c r="E386" i="26"/>
  <c r="G386" i="26"/>
  <c r="I386" i="26"/>
  <c r="A387" i="26"/>
  <c r="A388" i="26"/>
  <c r="K388" i="26" s="1"/>
  <c r="J388" i="26" s="1"/>
  <c r="E388" i="26"/>
  <c r="G388" i="26"/>
  <c r="I388" i="26"/>
  <c r="A389" i="26"/>
  <c r="K389" i="26" s="1"/>
  <c r="J389" i="26" s="1"/>
  <c r="E389" i="26"/>
  <c r="G389" i="26"/>
  <c r="I389" i="26"/>
  <c r="A390" i="26"/>
  <c r="K390" i="26" s="1"/>
  <c r="J390" i="26" s="1"/>
  <c r="E390" i="26"/>
  <c r="G390" i="26"/>
  <c r="I390" i="26"/>
  <c r="A391" i="26"/>
  <c r="K391" i="26" s="1"/>
  <c r="J391" i="26" s="1"/>
  <c r="L391" i="26" s="1"/>
  <c r="E391" i="26"/>
  <c r="G391" i="26"/>
  <c r="A392" i="26"/>
  <c r="E392" i="26"/>
  <c r="G392" i="26"/>
  <c r="I392" i="26"/>
  <c r="K392" i="26"/>
  <c r="J392" i="26" s="1"/>
  <c r="A393" i="26"/>
  <c r="A394" i="26"/>
  <c r="K394" i="26" s="1"/>
  <c r="J394" i="26" s="1"/>
  <c r="E394" i="26"/>
  <c r="G394" i="26"/>
  <c r="I394" i="26"/>
  <c r="A395" i="26"/>
  <c r="K395" i="26" s="1"/>
  <c r="J395" i="26" s="1"/>
  <c r="E395" i="26"/>
  <c r="G395" i="26"/>
  <c r="I395" i="26"/>
  <c r="A396" i="26"/>
  <c r="K396" i="26" s="1"/>
  <c r="J396" i="26" s="1"/>
  <c r="E396" i="26"/>
  <c r="G396" i="26"/>
  <c r="I396" i="26"/>
  <c r="A397" i="26"/>
  <c r="K397" i="26" s="1"/>
  <c r="J397" i="26" s="1"/>
  <c r="E397" i="26"/>
  <c r="G397" i="26"/>
  <c r="I397" i="26"/>
  <c r="A398" i="26"/>
  <c r="K398" i="26" s="1"/>
  <c r="J398" i="26" s="1"/>
  <c r="E398" i="26"/>
  <c r="G398" i="26"/>
  <c r="I398" i="26"/>
  <c r="A399" i="26"/>
  <c r="A400" i="26"/>
  <c r="K400" i="26" s="1"/>
  <c r="J400" i="26" s="1"/>
  <c r="E400" i="26"/>
  <c r="G400" i="26"/>
  <c r="I400" i="26"/>
  <c r="A401" i="26"/>
  <c r="E401" i="26"/>
  <c r="G401" i="26"/>
  <c r="I401" i="26"/>
  <c r="K401" i="26"/>
  <c r="J401" i="26" s="1"/>
  <c r="A402" i="26"/>
  <c r="E402" i="26"/>
  <c r="G402" i="26"/>
  <c r="I402" i="26"/>
  <c r="K402" i="26"/>
  <c r="J402" i="26" s="1"/>
  <c r="A403" i="26"/>
  <c r="E403" i="26"/>
  <c r="G403" i="26"/>
  <c r="I403" i="26"/>
  <c r="K403" i="26"/>
  <c r="J403" i="26" s="1"/>
  <c r="A404" i="26"/>
  <c r="E404" i="26"/>
  <c r="G404" i="26"/>
  <c r="I404" i="26"/>
  <c r="K404" i="26"/>
  <c r="J404" i="26" s="1"/>
  <c r="A405" i="26"/>
  <c r="A406" i="26"/>
  <c r="K406" i="26" s="1"/>
  <c r="J406" i="26" s="1"/>
  <c r="E406" i="26"/>
  <c r="G406" i="26"/>
  <c r="I406" i="26"/>
  <c r="A407" i="26"/>
  <c r="K407" i="26" s="1"/>
  <c r="J407" i="26" s="1"/>
  <c r="E407" i="26"/>
  <c r="G407" i="26"/>
  <c r="I407" i="26"/>
  <c r="A408" i="26"/>
  <c r="K408" i="26" s="1"/>
  <c r="J408" i="26" s="1"/>
  <c r="E408" i="26"/>
  <c r="G408" i="26"/>
  <c r="I408" i="26"/>
  <c r="A409" i="26"/>
  <c r="K409" i="26" s="1"/>
  <c r="J409" i="26" s="1"/>
  <c r="E409" i="26"/>
  <c r="G409" i="26"/>
  <c r="I409" i="26"/>
  <c r="A410" i="26"/>
  <c r="K410" i="26" s="1"/>
  <c r="J410" i="26" s="1"/>
  <c r="E410" i="26"/>
  <c r="G410" i="26"/>
  <c r="I410" i="26"/>
  <c r="A411" i="26"/>
  <c r="A412" i="26"/>
  <c r="K412" i="26" s="1"/>
  <c r="J412" i="26" s="1"/>
  <c r="E412" i="26"/>
  <c r="G412" i="26"/>
  <c r="I412" i="26"/>
  <c r="A413" i="26"/>
  <c r="A414" i="26"/>
  <c r="K414" i="26" s="1"/>
  <c r="J414" i="26" s="1"/>
  <c r="E414" i="26"/>
  <c r="G414" i="26"/>
  <c r="I414" i="26"/>
  <c r="A415" i="26"/>
  <c r="K415" i="26" s="1"/>
  <c r="J415" i="26" s="1"/>
  <c r="E415" i="26"/>
  <c r="G415" i="26"/>
  <c r="I415" i="26"/>
  <c r="A416" i="26"/>
  <c r="K416" i="26" s="1"/>
  <c r="J416" i="26" s="1"/>
  <c r="E416" i="26"/>
  <c r="G416" i="26"/>
  <c r="I416" i="26"/>
  <c r="A417" i="26"/>
  <c r="K417" i="26" s="1"/>
  <c r="J417" i="26" s="1"/>
  <c r="E417" i="26"/>
  <c r="G417" i="26"/>
  <c r="I417" i="26"/>
  <c r="A418" i="26"/>
  <c r="K418" i="26" s="1"/>
  <c r="J418" i="26" s="1"/>
  <c r="E418" i="26"/>
  <c r="G418" i="26"/>
  <c r="I418" i="26"/>
  <c r="A419" i="26"/>
  <c r="K419" i="26" s="1"/>
  <c r="J419" i="26" s="1"/>
  <c r="E419" i="26"/>
  <c r="G419" i="26"/>
  <c r="I419" i="26"/>
  <c r="A420" i="26"/>
  <c r="A421" i="26"/>
  <c r="E421" i="26"/>
  <c r="G421" i="26"/>
  <c r="I421" i="26"/>
  <c r="K421" i="26"/>
  <c r="J421" i="26" s="1"/>
  <c r="A422" i="26"/>
  <c r="K422" i="26" s="1"/>
  <c r="J422" i="26" s="1"/>
  <c r="E422" i="26"/>
  <c r="G422" i="26"/>
  <c r="I422" i="26"/>
  <c r="A423" i="26"/>
  <c r="E423" i="26"/>
  <c r="G423" i="26"/>
  <c r="I423" i="26"/>
  <c r="K423" i="26"/>
  <c r="J423" i="26" s="1"/>
  <c r="A424" i="26"/>
  <c r="A425" i="26"/>
  <c r="K425" i="26" s="1"/>
  <c r="J425" i="26" s="1"/>
  <c r="E425" i="26"/>
  <c r="G425" i="26"/>
  <c r="I425" i="26"/>
  <c r="A426" i="26"/>
  <c r="K426" i="26" s="1"/>
  <c r="J426" i="26" s="1"/>
  <c r="E426" i="26"/>
  <c r="G426" i="26"/>
  <c r="I426" i="26"/>
  <c r="A427" i="26"/>
  <c r="A428" i="26"/>
  <c r="K428" i="26" s="1"/>
  <c r="O428" i="26"/>
  <c r="R428" i="26"/>
  <c r="A429" i="26"/>
  <c r="K429" i="26" s="1"/>
  <c r="J429" i="26" s="1"/>
  <c r="R429" i="26" s="1"/>
  <c r="E429" i="26"/>
  <c r="G429" i="26"/>
  <c r="O429" i="26"/>
  <c r="A430" i="26"/>
  <c r="K430" i="26" s="1"/>
  <c r="J430" i="26" s="1"/>
  <c r="L430" i="26" s="1"/>
  <c r="E430" i="26"/>
  <c r="G430" i="26"/>
  <c r="A431" i="26"/>
  <c r="K431" i="26" s="1"/>
  <c r="J431" i="26" s="1"/>
  <c r="L431" i="26" s="1"/>
  <c r="E431" i="26"/>
  <c r="G431" i="26"/>
  <c r="A432" i="26"/>
  <c r="K432" i="26" s="1"/>
  <c r="O432" i="26"/>
  <c r="R432" i="26"/>
  <c r="A433" i="26"/>
  <c r="K433" i="26" s="1"/>
  <c r="E433" i="26"/>
  <c r="G433" i="26"/>
  <c r="I433" i="26"/>
  <c r="A434" i="26"/>
  <c r="K434" i="26" s="1"/>
  <c r="J434" i="26" s="1"/>
  <c r="E434" i="26"/>
  <c r="G434" i="26"/>
  <c r="I434" i="26"/>
  <c r="A435" i="26"/>
  <c r="K435" i="26" s="1"/>
  <c r="O435" i="26"/>
  <c r="R435" i="26"/>
  <c r="A436" i="26"/>
  <c r="K436" i="26" s="1"/>
  <c r="J436" i="26" s="1"/>
  <c r="E436" i="26"/>
  <c r="G436" i="26"/>
  <c r="I436" i="26"/>
  <c r="A437" i="26"/>
  <c r="K437" i="26" s="1"/>
  <c r="J437" i="26" s="1"/>
  <c r="E437" i="26"/>
  <c r="G437" i="26"/>
  <c r="I437" i="26"/>
  <c r="A438" i="26"/>
  <c r="K438" i="26" s="1"/>
  <c r="O438" i="26"/>
  <c r="R438" i="26"/>
  <c r="A439" i="26"/>
  <c r="K439" i="26" s="1"/>
  <c r="J439" i="26" s="1"/>
  <c r="L439" i="26" s="1"/>
  <c r="E439" i="26"/>
  <c r="G439" i="26"/>
  <c r="A440" i="26"/>
  <c r="K440" i="26" s="1"/>
  <c r="J440" i="26" s="1"/>
  <c r="L440" i="26" s="1"/>
  <c r="E440" i="26"/>
  <c r="G440" i="26"/>
  <c r="A441" i="26"/>
  <c r="K441" i="26" s="1"/>
  <c r="J441" i="26" s="1"/>
  <c r="L441" i="26" s="1"/>
  <c r="E441" i="26"/>
  <c r="G441" i="26"/>
  <c r="A442" i="26"/>
  <c r="K442" i="26" s="1"/>
  <c r="J442" i="26" s="1"/>
  <c r="L442" i="26" s="1"/>
  <c r="E442" i="26"/>
  <c r="G442" i="26"/>
  <c r="A443" i="26"/>
  <c r="K443" i="26" s="1"/>
  <c r="J443" i="26" s="1"/>
  <c r="L443" i="26" s="1"/>
  <c r="E443" i="26"/>
  <c r="G443" i="26"/>
  <c r="A444" i="26"/>
  <c r="K444" i="26" s="1"/>
  <c r="J444" i="26" s="1"/>
  <c r="L444" i="26" s="1"/>
  <c r="E444" i="26"/>
  <c r="G444" i="26"/>
  <c r="A445" i="26"/>
  <c r="K445" i="26" s="1"/>
  <c r="O445" i="26"/>
  <c r="R445" i="26"/>
  <c r="A446" i="26"/>
  <c r="K446" i="26" s="1"/>
  <c r="E446" i="26"/>
  <c r="G446" i="26"/>
  <c r="I446" i="26"/>
  <c r="A447" i="26"/>
  <c r="K447" i="26" s="1"/>
  <c r="J447" i="26" s="1"/>
  <c r="E447" i="26"/>
  <c r="G447" i="26"/>
  <c r="I447" i="26"/>
  <c r="A448" i="26"/>
  <c r="K448" i="26" s="1"/>
  <c r="J448" i="26" s="1"/>
  <c r="E448" i="26"/>
  <c r="G448" i="26"/>
  <c r="I448" i="26"/>
  <c r="A449" i="26"/>
  <c r="K449" i="26" s="1"/>
  <c r="J449" i="26" s="1"/>
  <c r="E449" i="26"/>
  <c r="G449" i="26"/>
  <c r="I449" i="26"/>
  <c r="A450" i="26"/>
  <c r="K450" i="26" s="1"/>
  <c r="J450" i="26" s="1"/>
  <c r="E450" i="26"/>
  <c r="G450" i="26"/>
  <c r="I450" i="26"/>
  <c r="A451" i="26"/>
  <c r="K451" i="26" s="1"/>
  <c r="O451" i="26"/>
  <c r="R451" i="26"/>
  <c r="A452" i="26"/>
  <c r="K452" i="26" s="1"/>
  <c r="J452" i="26" s="1"/>
  <c r="R452" i="26" s="1"/>
  <c r="E452" i="26"/>
  <c r="G452" i="26"/>
  <c r="I452" i="26"/>
  <c r="O452" i="26" s="1"/>
  <c r="A453" i="26"/>
  <c r="K453" i="26" s="1"/>
  <c r="J453" i="26" s="1"/>
  <c r="L453" i="26" s="1"/>
  <c r="E453" i="26"/>
  <c r="G453" i="26"/>
  <c r="A454" i="26"/>
  <c r="K454" i="26" s="1"/>
  <c r="J454" i="26" s="1"/>
  <c r="L454" i="26" s="1"/>
  <c r="E454" i="26"/>
  <c r="G454" i="26"/>
  <c r="A455" i="26"/>
  <c r="K455" i="26" s="1"/>
  <c r="J455" i="26" s="1"/>
  <c r="L455" i="26" s="1"/>
  <c r="E455" i="26"/>
  <c r="G455" i="26"/>
  <c r="A456" i="26"/>
  <c r="E456" i="26"/>
  <c r="G456" i="26"/>
  <c r="I456" i="26"/>
  <c r="K456" i="26"/>
  <c r="J456" i="26" s="1"/>
  <c r="A457" i="26"/>
  <c r="E457" i="26"/>
  <c r="G457" i="26"/>
  <c r="I457" i="26"/>
  <c r="K457" i="26"/>
  <c r="J457" i="26" s="1"/>
  <c r="A458" i="26"/>
  <c r="E458" i="26"/>
  <c r="G458" i="26"/>
  <c r="I458" i="26"/>
  <c r="K458" i="26"/>
  <c r="J458" i="26" s="1"/>
  <c r="A459" i="26"/>
  <c r="K459" i="26" s="1"/>
  <c r="O459" i="26"/>
  <c r="R459" i="26"/>
  <c r="A460" i="26"/>
  <c r="K460" i="26" s="1"/>
  <c r="J460" i="26" s="1"/>
  <c r="R460" i="26" s="1"/>
  <c r="E460" i="26"/>
  <c r="G460" i="26"/>
  <c r="I460" i="26"/>
  <c r="O460" i="26" s="1"/>
  <c r="A461" i="26"/>
  <c r="E461" i="26"/>
  <c r="G461" i="26"/>
  <c r="I461" i="26"/>
  <c r="K461" i="26"/>
  <c r="J461" i="26" s="1"/>
  <c r="A462" i="26"/>
  <c r="K462" i="26" s="1"/>
  <c r="J462" i="26" s="1"/>
  <c r="L462" i="26" s="1"/>
  <c r="E462" i="26"/>
  <c r="G462" i="26"/>
  <c r="A463" i="26"/>
  <c r="K463" i="26" s="1"/>
  <c r="J463" i="26" s="1"/>
  <c r="L463" i="26" s="1"/>
  <c r="E463" i="26"/>
  <c r="G463" i="26"/>
  <c r="A464" i="26"/>
  <c r="K464" i="26" s="1"/>
  <c r="O464" i="26"/>
  <c r="R464" i="26"/>
  <c r="A465" i="26"/>
  <c r="K465" i="26" s="1"/>
  <c r="E465" i="26"/>
  <c r="G465" i="26"/>
  <c r="I465" i="26"/>
  <c r="A466" i="26"/>
  <c r="K466" i="26" s="1"/>
  <c r="J466" i="26" s="1"/>
  <c r="E466" i="26"/>
  <c r="G466" i="26"/>
  <c r="I466" i="26"/>
  <c r="A467" i="26"/>
  <c r="E467" i="26"/>
  <c r="G467" i="26"/>
  <c r="I467" i="26"/>
  <c r="K467" i="26"/>
  <c r="J467" i="26" s="1"/>
  <c r="A468" i="26"/>
  <c r="E468" i="26"/>
  <c r="G468" i="26"/>
  <c r="I468" i="26"/>
  <c r="K468" i="26"/>
  <c r="J468" i="26" s="1"/>
  <c r="A469" i="26"/>
  <c r="K469" i="26" s="1"/>
  <c r="J469" i="26" s="1"/>
  <c r="L469" i="26" s="1"/>
  <c r="E469" i="26"/>
  <c r="G469" i="26"/>
  <c r="A470" i="26"/>
  <c r="K470" i="26" s="1"/>
  <c r="J470" i="26" s="1"/>
  <c r="E470" i="26"/>
  <c r="G470" i="26"/>
  <c r="I470" i="26"/>
  <c r="A471" i="26"/>
  <c r="K471" i="26" s="1"/>
  <c r="O471" i="26"/>
  <c r="R471" i="26"/>
  <c r="A472" i="26"/>
  <c r="K472" i="26" s="1"/>
  <c r="E472" i="26"/>
  <c r="G472" i="26"/>
  <c r="I472" i="26"/>
  <c r="A473" i="26"/>
  <c r="K473" i="26" s="1"/>
  <c r="J473" i="26" s="1"/>
  <c r="E473" i="26"/>
  <c r="G473" i="26"/>
  <c r="I473" i="26"/>
  <c r="A474" i="26"/>
  <c r="K474" i="26" s="1"/>
  <c r="J474" i="26" s="1"/>
  <c r="L474" i="26" s="1"/>
  <c r="E474" i="26"/>
  <c r="G474" i="26"/>
  <c r="A475" i="26"/>
  <c r="K475" i="26" s="1"/>
  <c r="J475" i="26" s="1"/>
  <c r="E475" i="26"/>
  <c r="G475" i="26"/>
  <c r="I475" i="26"/>
  <c r="A476" i="26"/>
  <c r="K476" i="26" s="1"/>
  <c r="J476" i="26" s="1"/>
  <c r="L476" i="26" s="1"/>
  <c r="E476" i="26"/>
  <c r="G476" i="26"/>
  <c r="A477" i="26"/>
  <c r="K477" i="26" s="1"/>
  <c r="J477" i="26" s="1"/>
  <c r="E477" i="26"/>
  <c r="G477" i="26"/>
  <c r="I477" i="26"/>
  <c r="A478" i="26"/>
  <c r="K478" i="26" s="1"/>
  <c r="O478" i="26"/>
  <c r="R478" i="26"/>
  <c r="A479" i="26"/>
  <c r="K479" i="26" s="1"/>
  <c r="J479" i="26" s="1"/>
  <c r="R479" i="26" s="1"/>
  <c r="E479" i="26"/>
  <c r="G479" i="26"/>
  <c r="I479" i="26"/>
  <c r="A480" i="26"/>
  <c r="K480" i="26" s="1"/>
  <c r="J480" i="26" s="1"/>
  <c r="E480" i="26"/>
  <c r="G480" i="26"/>
  <c r="I480" i="26"/>
  <c r="A481" i="26"/>
  <c r="K481" i="26" s="1"/>
  <c r="J481" i="26" s="1"/>
  <c r="R481" i="26" s="1"/>
  <c r="E481" i="26"/>
  <c r="G481" i="26"/>
  <c r="I481" i="26"/>
  <c r="A482" i="26"/>
  <c r="K482" i="26" s="1"/>
  <c r="O482" i="26"/>
  <c r="R482" i="26"/>
  <c r="A483" i="26"/>
  <c r="K483" i="26" s="1"/>
  <c r="J483" i="26" s="1"/>
  <c r="E483" i="26"/>
  <c r="G483" i="26"/>
  <c r="I483" i="26"/>
  <c r="A484" i="26"/>
  <c r="K484" i="26" s="1"/>
  <c r="J484" i="26" s="1"/>
  <c r="E484" i="26"/>
  <c r="G484" i="26"/>
  <c r="I484" i="26"/>
  <c r="A485" i="26"/>
  <c r="K485" i="26" s="1"/>
  <c r="E485" i="26"/>
  <c r="G485" i="26"/>
  <c r="I485" i="26"/>
  <c r="A486" i="26"/>
  <c r="K486" i="26" s="1"/>
  <c r="O486" i="26"/>
  <c r="R486" i="26"/>
  <c r="A487" i="26"/>
  <c r="K487" i="26" s="1"/>
  <c r="J487" i="26" s="1"/>
  <c r="E487" i="26"/>
  <c r="G487" i="26"/>
  <c r="I487" i="26"/>
  <c r="A488" i="26"/>
  <c r="K488" i="26" s="1"/>
  <c r="J488" i="26" s="1"/>
  <c r="E488" i="26"/>
  <c r="G488" i="26"/>
  <c r="I488" i="26"/>
  <c r="A489" i="26"/>
  <c r="K489" i="26" s="1"/>
  <c r="J489" i="26" s="1"/>
  <c r="E489" i="26"/>
  <c r="G489" i="26"/>
  <c r="I489" i="26"/>
  <c r="A490" i="26"/>
  <c r="K490" i="26" s="1"/>
  <c r="E490" i="26"/>
  <c r="G490" i="26"/>
  <c r="I490" i="26"/>
  <c r="A491" i="26"/>
  <c r="K491" i="26" s="1"/>
  <c r="J491" i="26" s="1"/>
  <c r="R491" i="26" s="1"/>
  <c r="E491" i="26"/>
  <c r="G491" i="26"/>
  <c r="I491" i="26"/>
  <c r="A492" i="26"/>
  <c r="K492" i="26" s="1"/>
  <c r="O492" i="26"/>
  <c r="R492" i="26"/>
  <c r="A493" i="26"/>
  <c r="K493" i="26" s="1"/>
  <c r="J493" i="26" s="1"/>
  <c r="E493" i="26"/>
  <c r="G493" i="26"/>
  <c r="I493" i="26"/>
  <c r="A494" i="26"/>
  <c r="K494" i="26" s="1"/>
  <c r="J494" i="26" s="1"/>
  <c r="E494" i="26"/>
  <c r="G494" i="26"/>
  <c r="I494" i="26"/>
  <c r="A495" i="26"/>
  <c r="K495" i="26" s="1"/>
  <c r="J495" i="26" s="1"/>
  <c r="E495" i="26"/>
  <c r="G495" i="26"/>
  <c r="I495" i="26"/>
  <c r="A496" i="26"/>
  <c r="K496" i="26" s="1"/>
  <c r="O496" i="26" s="1"/>
  <c r="E496" i="26"/>
  <c r="G496" i="26"/>
  <c r="A497" i="26"/>
  <c r="E497" i="26"/>
  <c r="G497" i="26"/>
  <c r="I497" i="26"/>
  <c r="K497" i="26"/>
  <c r="A498" i="26"/>
  <c r="K498" i="26" s="1"/>
  <c r="O498" i="26"/>
  <c r="R498" i="26"/>
  <c r="A499" i="26"/>
  <c r="E499" i="26"/>
  <c r="G499" i="26"/>
  <c r="I499" i="26"/>
  <c r="K499" i="26"/>
  <c r="J499" i="26" s="1"/>
  <c r="A500" i="26"/>
  <c r="E500" i="26"/>
  <c r="G500" i="26"/>
  <c r="I500" i="26"/>
  <c r="K500" i="26"/>
  <c r="J500" i="26" s="1"/>
  <c r="A501" i="26"/>
  <c r="K501" i="26" s="1"/>
  <c r="J501" i="26" s="1"/>
  <c r="E501" i="26"/>
  <c r="G501" i="26"/>
  <c r="I501" i="26"/>
  <c r="A502" i="26"/>
  <c r="E502" i="26"/>
  <c r="G502" i="26"/>
  <c r="I502" i="26"/>
  <c r="K502" i="26"/>
  <c r="A503" i="26"/>
  <c r="K503" i="26" s="1"/>
  <c r="J503" i="26" s="1"/>
  <c r="L503" i="26" s="1"/>
  <c r="E503" i="26"/>
  <c r="G503" i="26"/>
  <c r="A504" i="26"/>
  <c r="K504" i="26" s="1"/>
  <c r="O504" i="26"/>
  <c r="R504" i="26"/>
  <c r="A505" i="26"/>
  <c r="K505" i="26" s="1"/>
  <c r="E505" i="26"/>
  <c r="G505" i="26"/>
  <c r="I505" i="26"/>
  <c r="A506" i="26"/>
  <c r="K506" i="26" s="1"/>
  <c r="J506" i="26" s="1"/>
  <c r="L506" i="26" s="1"/>
  <c r="E506" i="26"/>
  <c r="G506" i="26"/>
  <c r="A507" i="26"/>
  <c r="K507" i="26" s="1"/>
  <c r="O507" i="26"/>
  <c r="R507" i="26"/>
  <c r="A508" i="26"/>
  <c r="E508" i="26"/>
  <c r="G508" i="26"/>
  <c r="I508" i="26"/>
  <c r="K508" i="26"/>
  <c r="J508" i="26" s="1"/>
  <c r="R508" i="26" s="1"/>
  <c r="A509" i="26"/>
  <c r="K509" i="26" s="1"/>
  <c r="J509" i="26" s="1"/>
  <c r="E509" i="26"/>
  <c r="G509" i="26"/>
  <c r="I509" i="26"/>
  <c r="A510" i="26"/>
  <c r="E510" i="26"/>
  <c r="G510" i="26"/>
  <c r="I510" i="26"/>
  <c r="K510" i="26"/>
  <c r="J510" i="26" s="1"/>
  <c r="R510" i="26" s="1"/>
  <c r="A511" i="26"/>
  <c r="E511" i="26"/>
  <c r="G511" i="26"/>
  <c r="I511" i="26"/>
  <c r="K511" i="26"/>
  <c r="J511" i="26" s="1"/>
  <c r="R511" i="26" s="1"/>
  <c r="A512" i="26"/>
  <c r="E512" i="26"/>
  <c r="G512" i="26"/>
  <c r="I512" i="26"/>
  <c r="K512" i="26"/>
  <c r="A513" i="26"/>
  <c r="K513" i="26" s="1"/>
  <c r="O513" i="26"/>
  <c r="R513" i="26"/>
  <c r="A514" i="26"/>
  <c r="K514" i="26" s="1"/>
  <c r="E514" i="26"/>
  <c r="G514" i="26"/>
  <c r="I514" i="26"/>
  <c r="A515" i="26"/>
  <c r="K515" i="26" s="1"/>
  <c r="O515" i="26"/>
  <c r="R515" i="26"/>
  <c r="A516" i="26"/>
  <c r="E516" i="26"/>
  <c r="G516" i="26"/>
  <c r="I516" i="26"/>
  <c r="K516" i="26"/>
  <c r="J516" i="26" s="1"/>
  <c r="A517" i="26"/>
  <c r="K517" i="26" s="1"/>
  <c r="J517" i="26" s="1"/>
  <c r="E517" i="26"/>
  <c r="G517" i="26"/>
  <c r="I517" i="26"/>
  <c r="A518" i="26"/>
  <c r="E518" i="26"/>
  <c r="G518" i="26"/>
  <c r="I518" i="26"/>
  <c r="K518" i="26"/>
  <c r="A519" i="26"/>
  <c r="K519" i="26" s="1"/>
  <c r="J519" i="26" s="1"/>
  <c r="E519" i="26"/>
  <c r="G519" i="26"/>
  <c r="I519" i="26"/>
  <c r="A520" i="26"/>
  <c r="K520" i="26" s="1"/>
  <c r="J520" i="26" s="1"/>
  <c r="E520" i="26"/>
  <c r="G520" i="26"/>
  <c r="I520" i="26"/>
  <c r="A521" i="26"/>
  <c r="K521" i="26" s="1"/>
  <c r="J521" i="26" s="1"/>
  <c r="R521" i="26" s="1"/>
  <c r="E521" i="26"/>
  <c r="G521" i="26"/>
  <c r="I521" i="26"/>
  <c r="A522" i="26"/>
  <c r="K522" i="26" s="1"/>
  <c r="J522" i="26" s="1"/>
  <c r="L522" i="26" s="1"/>
  <c r="E522" i="26"/>
  <c r="G522" i="26"/>
  <c r="A523" i="26"/>
  <c r="A524" i="26"/>
  <c r="E524" i="26"/>
  <c r="G524" i="26"/>
  <c r="I524" i="26"/>
  <c r="K524" i="26"/>
  <c r="J524" i="26" s="1"/>
  <c r="A525" i="26"/>
  <c r="K525" i="26" s="1"/>
  <c r="J525" i="26" s="1"/>
  <c r="E525" i="26"/>
  <c r="G525" i="26"/>
  <c r="I525" i="26"/>
  <c r="A526" i="26"/>
  <c r="A527" i="26"/>
  <c r="K527" i="26" s="1"/>
  <c r="J527" i="26" s="1"/>
  <c r="E527" i="26"/>
  <c r="G527" i="26"/>
  <c r="I527" i="26"/>
  <c r="A528" i="26"/>
  <c r="K528" i="26" s="1"/>
  <c r="J528" i="26" s="1"/>
  <c r="E528" i="26"/>
  <c r="G528" i="26"/>
  <c r="I528" i="26"/>
  <c r="A529" i="26"/>
  <c r="O529" i="26"/>
  <c r="R529" i="26"/>
  <c r="A530" i="26"/>
  <c r="K530" i="26" s="1"/>
  <c r="J530" i="26" s="1"/>
  <c r="R530" i="26" s="1"/>
  <c r="O530" i="26"/>
  <c r="A531" i="26"/>
  <c r="K531" i="26" s="1"/>
  <c r="O531" i="26"/>
  <c r="R531" i="26"/>
  <c r="A532" i="26"/>
  <c r="K532" i="26" s="1"/>
  <c r="O532" i="26"/>
  <c r="R532" i="26"/>
  <c r="A533" i="26"/>
  <c r="K533" i="26" s="1"/>
  <c r="J533" i="26" s="1"/>
  <c r="L533" i="26" s="1"/>
  <c r="E533" i="26"/>
  <c r="G533" i="26"/>
  <c r="A534" i="26"/>
  <c r="K534" i="26" s="1"/>
  <c r="J534" i="26" s="1"/>
  <c r="L534" i="26" s="1"/>
  <c r="E534" i="26"/>
  <c r="G534" i="26"/>
  <c r="A535" i="26"/>
  <c r="K535" i="26" s="1"/>
  <c r="J535" i="26" s="1"/>
  <c r="L535" i="26" s="1"/>
  <c r="E535" i="26"/>
  <c r="G535" i="26"/>
  <c r="A536" i="26"/>
  <c r="K536" i="26" s="1"/>
  <c r="J536" i="26" s="1"/>
  <c r="L536" i="26" s="1"/>
  <c r="E536" i="26"/>
  <c r="G536" i="26"/>
  <c r="A537" i="26"/>
  <c r="K537" i="26" s="1"/>
  <c r="J537" i="26" s="1"/>
  <c r="L537" i="26" s="1"/>
  <c r="E537" i="26"/>
  <c r="G537" i="26"/>
  <c r="A538" i="26"/>
  <c r="K538" i="26" s="1"/>
  <c r="J538" i="26" s="1"/>
  <c r="L538" i="26" s="1"/>
  <c r="E538" i="26"/>
  <c r="G538" i="26"/>
  <c r="A539" i="26"/>
  <c r="K539" i="26" s="1"/>
  <c r="J539" i="26" s="1"/>
  <c r="L539" i="26" s="1"/>
  <c r="E539" i="26"/>
  <c r="G539" i="26"/>
  <c r="A540" i="26"/>
  <c r="K540" i="26" s="1"/>
  <c r="J540" i="26" s="1"/>
  <c r="L540" i="26" s="1"/>
  <c r="E540" i="26"/>
  <c r="G540" i="26"/>
  <c r="A541" i="26"/>
  <c r="K541" i="26" s="1"/>
  <c r="J541" i="26" s="1"/>
  <c r="L541" i="26" s="1"/>
  <c r="E541" i="26"/>
  <c r="G541" i="26"/>
  <c r="A542" i="26"/>
  <c r="K542" i="26" s="1"/>
  <c r="O542" i="26" s="1"/>
  <c r="E542" i="26"/>
  <c r="G542" i="26"/>
  <c r="A543" i="26"/>
  <c r="A544" i="26"/>
  <c r="K544" i="26" s="1"/>
  <c r="J544" i="26" s="1"/>
  <c r="L544" i="26" s="1"/>
  <c r="L543" i="26" s="1"/>
  <c r="E544" i="26"/>
  <c r="G544" i="26"/>
  <c r="A545" i="26"/>
  <c r="K545" i="26" s="1"/>
  <c r="O545" i="26"/>
  <c r="R545" i="26"/>
  <c r="A546" i="26"/>
  <c r="K546" i="26" s="1"/>
  <c r="J546" i="26" s="1"/>
  <c r="E546" i="26"/>
  <c r="G546" i="26"/>
  <c r="O546" i="26"/>
  <c r="A547" i="26"/>
  <c r="K547" i="26" s="1"/>
  <c r="J547" i="26" s="1"/>
  <c r="L547" i="26" s="1"/>
  <c r="E547" i="26"/>
  <c r="G547" i="26"/>
  <c r="A548" i="26"/>
  <c r="K548" i="26" s="1"/>
  <c r="J548" i="26" s="1"/>
  <c r="L548" i="26" s="1"/>
  <c r="E548" i="26"/>
  <c r="G548" i="26"/>
  <c r="A549" i="26"/>
  <c r="K549" i="26" s="1"/>
  <c r="O549" i="26"/>
  <c r="R549" i="26"/>
  <c r="A550" i="26"/>
  <c r="K550" i="26" s="1"/>
  <c r="J550" i="26" s="1"/>
  <c r="R550" i="26" s="1"/>
  <c r="E550" i="26"/>
  <c r="G550" i="26"/>
  <c r="O550" i="26"/>
  <c r="A551" i="26"/>
  <c r="K551" i="26" s="1"/>
  <c r="J551" i="26" s="1"/>
  <c r="L551" i="26" s="1"/>
  <c r="E551" i="26"/>
  <c r="G551" i="26"/>
  <c r="A552" i="26"/>
  <c r="K552" i="26" s="1"/>
  <c r="J552" i="26" s="1"/>
  <c r="L552" i="26" s="1"/>
  <c r="E552" i="26"/>
  <c r="G552" i="26"/>
  <c r="A553" i="26"/>
  <c r="A554" i="26"/>
  <c r="K554" i="26" s="1"/>
  <c r="J554" i="26" s="1"/>
  <c r="L554" i="26" s="1"/>
  <c r="L553" i="26" s="1"/>
  <c r="E554" i="26"/>
  <c r="G554" i="26"/>
  <c r="A555" i="26"/>
  <c r="A556" i="26"/>
  <c r="K556" i="26" s="1"/>
  <c r="J556" i="26" s="1"/>
  <c r="L556" i="26" s="1"/>
  <c r="E556" i="26"/>
  <c r="G556" i="26"/>
  <c r="A557" i="26"/>
  <c r="K557" i="26" s="1"/>
  <c r="J557" i="26" s="1"/>
  <c r="L557" i="26" s="1"/>
  <c r="E557" i="26"/>
  <c r="G557" i="26"/>
  <c r="A558" i="26"/>
  <c r="K558" i="26" s="1"/>
  <c r="J558" i="26" s="1"/>
  <c r="L558" i="26" s="1"/>
  <c r="E558" i="26"/>
  <c r="G558" i="26"/>
  <c r="A559" i="26"/>
  <c r="A560" i="26"/>
  <c r="K560" i="26" s="1"/>
  <c r="J560" i="26" s="1"/>
  <c r="L560" i="26" s="1"/>
  <c r="E560" i="26"/>
  <c r="G560" i="26"/>
  <c r="A561" i="26"/>
  <c r="K561" i="26" s="1"/>
  <c r="J561" i="26" s="1"/>
  <c r="L561" i="26" s="1"/>
  <c r="E561" i="26"/>
  <c r="G561" i="26"/>
  <c r="A562" i="26"/>
  <c r="K562" i="26" s="1"/>
  <c r="J562" i="26" s="1"/>
  <c r="L562" i="26" s="1"/>
  <c r="E562" i="26"/>
  <c r="G562" i="26"/>
  <c r="A563" i="26"/>
  <c r="K563" i="26" s="1"/>
  <c r="J563" i="26" s="1"/>
  <c r="L563" i="26" s="1"/>
  <c r="E563" i="26"/>
  <c r="G563" i="26"/>
  <c r="A564" i="26"/>
  <c r="K564" i="26" s="1"/>
  <c r="J564" i="26" s="1"/>
  <c r="L564" i="26" s="1"/>
  <c r="E564" i="26"/>
  <c r="G564" i="26"/>
  <c r="A565" i="26"/>
  <c r="K565" i="26" s="1"/>
  <c r="J565" i="26" s="1"/>
  <c r="L565" i="26" s="1"/>
  <c r="E565" i="26"/>
  <c r="G565" i="26"/>
  <c r="A566" i="26"/>
  <c r="A567" i="26"/>
  <c r="K567" i="26" s="1"/>
  <c r="J567" i="26" s="1"/>
  <c r="L567" i="26" s="1"/>
  <c r="E567" i="26"/>
  <c r="G567" i="26"/>
  <c r="A568" i="26"/>
  <c r="K568" i="26" s="1"/>
  <c r="J568" i="26" s="1"/>
  <c r="L568" i="26" s="1"/>
  <c r="E568" i="26"/>
  <c r="G568" i="26"/>
  <c r="A569" i="26"/>
  <c r="K569" i="26" s="1"/>
  <c r="J569" i="26" s="1"/>
  <c r="L569" i="26" s="1"/>
  <c r="E569" i="26"/>
  <c r="G569" i="26"/>
  <c r="A570" i="26"/>
  <c r="K570" i="26" s="1"/>
  <c r="J570" i="26" s="1"/>
  <c r="L570" i="26" s="1"/>
  <c r="E570" i="26"/>
  <c r="G570" i="26"/>
  <c r="A571" i="26"/>
  <c r="K571" i="26" s="1"/>
  <c r="J571" i="26" s="1"/>
  <c r="L571" i="26" s="1"/>
  <c r="E571" i="26"/>
  <c r="G571" i="26"/>
  <c r="A572" i="26"/>
  <c r="K572" i="26" s="1"/>
  <c r="J572" i="26" s="1"/>
  <c r="L572" i="26" s="1"/>
  <c r="E572" i="26"/>
  <c r="G572" i="26"/>
  <c r="A573" i="26"/>
  <c r="A574" i="26"/>
  <c r="K574" i="26" s="1"/>
  <c r="J574" i="26" s="1"/>
  <c r="L574" i="26" s="1"/>
  <c r="E574" i="26"/>
  <c r="G574" i="26"/>
  <c r="A575" i="26"/>
  <c r="K575" i="26" s="1"/>
  <c r="J575" i="26" s="1"/>
  <c r="L575" i="26" s="1"/>
  <c r="E575" i="26"/>
  <c r="G575" i="26"/>
  <c r="A576" i="26"/>
  <c r="K576" i="26" s="1"/>
  <c r="J576" i="26" s="1"/>
  <c r="L576" i="26" s="1"/>
  <c r="E576" i="26"/>
  <c r="G576" i="26"/>
  <c r="A577" i="26"/>
  <c r="K577" i="26" s="1"/>
  <c r="J577" i="26" s="1"/>
  <c r="L577" i="26" s="1"/>
  <c r="E577" i="26"/>
  <c r="G577" i="26"/>
  <c r="A578" i="26"/>
  <c r="K578" i="26" s="1"/>
  <c r="J578" i="26" s="1"/>
  <c r="L578" i="26" s="1"/>
  <c r="E578" i="26"/>
  <c r="G578" i="26"/>
  <c r="A579" i="26"/>
  <c r="K579" i="26" s="1"/>
  <c r="J579" i="26" s="1"/>
  <c r="L579" i="26" s="1"/>
  <c r="E579" i="26"/>
  <c r="G579" i="26"/>
  <c r="A580" i="26"/>
  <c r="A581" i="26"/>
  <c r="K581" i="26" s="1"/>
  <c r="J581" i="26" s="1"/>
  <c r="L581" i="26" s="1"/>
  <c r="E581" i="26"/>
  <c r="G581" i="26"/>
  <c r="A582" i="26"/>
  <c r="K582" i="26" s="1"/>
  <c r="J582" i="26" s="1"/>
  <c r="L582" i="26" s="1"/>
  <c r="E582" i="26"/>
  <c r="G582" i="26"/>
  <c r="A583" i="26"/>
  <c r="K583" i="26" s="1"/>
  <c r="J583" i="26" s="1"/>
  <c r="L583" i="26" s="1"/>
  <c r="E583" i="26"/>
  <c r="G583" i="26"/>
  <c r="A584" i="26"/>
  <c r="K584" i="26" s="1"/>
  <c r="J584" i="26" s="1"/>
  <c r="L584" i="26" s="1"/>
  <c r="E584" i="26"/>
  <c r="G584" i="26"/>
  <c r="A585" i="26"/>
  <c r="K585" i="26" s="1"/>
  <c r="J585" i="26" s="1"/>
  <c r="L585" i="26" s="1"/>
  <c r="E585" i="26"/>
  <c r="G585" i="26"/>
  <c r="A586" i="26"/>
  <c r="K586" i="26" s="1"/>
  <c r="J586" i="26" s="1"/>
  <c r="L586" i="26" s="1"/>
  <c r="E586" i="26"/>
  <c r="G586" i="26"/>
  <c r="A587" i="26"/>
  <c r="A588" i="26"/>
  <c r="K588" i="26" s="1"/>
  <c r="J588" i="26" s="1"/>
  <c r="L588" i="26" s="1"/>
  <c r="E588" i="26"/>
  <c r="G588" i="26"/>
  <c r="A589" i="26"/>
  <c r="K589" i="26" s="1"/>
  <c r="J589" i="26" s="1"/>
  <c r="L589" i="26" s="1"/>
  <c r="E589" i="26"/>
  <c r="G589" i="26"/>
  <c r="A590" i="26"/>
  <c r="K590" i="26" s="1"/>
  <c r="J590" i="26" s="1"/>
  <c r="L590" i="26" s="1"/>
  <c r="E590" i="26"/>
  <c r="G590" i="26"/>
  <c r="A591" i="26"/>
  <c r="K591" i="26" s="1"/>
  <c r="J591" i="26" s="1"/>
  <c r="L591" i="26" s="1"/>
  <c r="E591" i="26"/>
  <c r="G591" i="26"/>
  <c r="A592" i="26"/>
  <c r="K592" i="26" s="1"/>
  <c r="J592" i="26" s="1"/>
  <c r="L592" i="26" s="1"/>
  <c r="E592" i="26"/>
  <c r="G592" i="26"/>
  <c r="A593" i="26"/>
  <c r="K593" i="26" s="1"/>
  <c r="J593" i="26" s="1"/>
  <c r="L593" i="26" s="1"/>
  <c r="E593" i="26"/>
  <c r="G593" i="26"/>
  <c r="A594" i="26"/>
  <c r="A595" i="26"/>
  <c r="K595" i="26" s="1"/>
  <c r="J595" i="26" s="1"/>
  <c r="L595" i="26" s="1"/>
  <c r="E595" i="26"/>
  <c r="G595" i="26"/>
  <c r="A596" i="26"/>
  <c r="K596" i="26" s="1"/>
  <c r="J596" i="26" s="1"/>
  <c r="L596" i="26" s="1"/>
  <c r="E596" i="26"/>
  <c r="G596" i="26"/>
  <c r="A597" i="26"/>
  <c r="K597" i="26" s="1"/>
  <c r="J597" i="26" s="1"/>
  <c r="L597" i="26" s="1"/>
  <c r="E597" i="26"/>
  <c r="G597" i="26"/>
  <c r="A598" i="26"/>
  <c r="K598" i="26" s="1"/>
  <c r="J598" i="26" s="1"/>
  <c r="L598" i="26" s="1"/>
  <c r="E598" i="26"/>
  <c r="G598" i="26"/>
  <c r="A599" i="26"/>
  <c r="K599" i="26" s="1"/>
  <c r="J599" i="26" s="1"/>
  <c r="L599" i="26" s="1"/>
  <c r="E599" i="26"/>
  <c r="G599" i="26"/>
  <c r="A600" i="26"/>
  <c r="K600" i="26" s="1"/>
  <c r="J600" i="26" s="1"/>
  <c r="L600" i="26" s="1"/>
  <c r="E600" i="26"/>
  <c r="G600" i="26"/>
  <c r="A601" i="26"/>
  <c r="A602" i="26"/>
  <c r="K602" i="26" s="1"/>
  <c r="J602" i="26" s="1"/>
  <c r="L602" i="26" s="1"/>
  <c r="E602" i="26"/>
  <c r="G602" i="26"/>
  <c r="A603" i="26"/>
  <c r="K603" i="26" s="1"/>
  <c r="J603" i="26" s="1"/>
  <c r="L603" i="26" s="1"/>
  <c r="E603" i="26"/>
  <c r="G603" i="26"/>
  <c r="A604" i="26"/>
  <c r="K604" i="26" s="1"/>
  <c r="J604" i="26" s="1"/>
  <c r="L604" i="26" s="1"/>
  <c r="E604" i="26"/>
  <c r="G604" i="26"/>
  <c r="A605" i="26"/>
  <c r="A606" i="26"/>
  <c r="K606" i="26" s="1"/>
  <c r="J606" i="26" s="1"/>
  <c r="L606" i="26" s="1"/>
  <c r="E606" i="26"/>
  <c r="G606" i="26"/>
  <c r="A607" i="26"/>
  <c r="K607" i="26" s="1"/>
  <c r="J607" i="26" s="1"/>
  <c r="L607" i="26" s="1"/>
  <c r="E607" i="26"/>
  <c r="G607" i="26"/>
  <c r="A608" i="26"/>
  <c r="K608" i="26" s="1"/>
  <c r="J608" i="26" s="1"/>
  <c r="L608" i="26" s="1"/>
  <c r="E608" i="26"/>
  <c r="G608" i="26"/>
  <c r="A609" i="26"/>
  <c r="K609" i="26" s="1"/>
  <c r="J609" i="26" s="1"/>
  <c r="L609" i="26" s="1"/>
  <c r="E609" i="26"/>
  <c r="G609" i="26"/>
  <c r="A610" i="26"/>
  <c r="K610" i="26" s="1"/>
  <c r="J610" i="26" s="1"/>
  <c r="L610" i="26" s="1"/>
  <c r="E610" i="26"/>
  <c r="G610" i="26"/>
  <c r="A611" i="26"/>
  <c r="A612" i="26"/>
  <c r="K612" i="26" s="1"/>
  <c r="J612" i="26" s="1"/>
  <c r="L612" i="26" s="1"/>
  <c r="E612" i="26"/>
  <c r="G612" i="26"/>
  <c r="A613" i="26"/>
  <c r="K613" i="26" s="1"/>
  <c r="J613" i="26" s="1"/>
  <c r="L613" i="26" s="1"/>
  <c r="E613" i="26"/>
  <c r="G613" i="26"/>
  <c r="A614" i="26"/>
  <c r="K614" i="26" s="1"/>
  <c r="J614" i="26" s="1"/>
  <c r="L614" i="26" s="1"/>
  <c r="E614" i="26"/>
  <c r="G614" i="26"/>
  <c r="A615" i="26"/>
  <c r="K615" i="26" s="1"/>
  <c r="J615" i="26" s="1"/>
  <c r="L615" i="26" s="1"/>
  <c r="E615" i="26"/>
  <c r="G615" i="26"/>
  <c r="A616" i="26"/>
  <c r="K616" i="26" s="1"/>
  <c r="J616" i="26" s="1"/>
  <c r="L616" i="26" s="1"/>
  <c r="E616" i="26"/>
  <c r="G616" i="26"/>
  <c r="A617" i="26"/>
  <c r="A618" i="26"/>
  <c r="K618" i="26" s="1"/>
  <c r="J618" i="26" s="1"/>
  <c r="L618" i="26" s="1"/>
  <c r="E618" i="26"/>
  <c r="G618" i="26"/>
  <c r="A619" i="26"/>
  <c r="K619" i="26" s="1"/>
  <c r="J619" i="26" s="1"/>
  <c r="L619" i="26" s="1"/>
  <c r="E619" i="26"/>
  <c r="G619" i="26"/>
  <c r="A620" i="26"/>
  <c r="O620" i="26"/>
  <c r="R620" i="26"/>
  <c r="A621" i="26"/>
  <c r="K621" i="26" s="1"/>
  <c r="J621" i="26" s="1"/>
  <c r="R621" i="26" s="1"/>
  <c r="O621" i="26"/>
  <c r="A622" i="26"/>
  <c r="K622" i="26" s="1"/>
  <c r="O622" i="26"/>
  <c r="R622" i="26"/>
  <c r="A623" i="26"/>
  <c r="K623" i="26" s="1"/>
  <c r="O623" i="26"/>
  <c r="R623" i="26"/>
  <c r="A624" i="26"/>
  <c r="K624" i="26" s="1"/>
  <c r="O624" i="26" s="1"/>
  <c r="E624" i="26"/>
  <c r="G624" i="26"/>
  <c r="A625" i="26"/>
  <c r="K625" i="26" s="1"/>
  <c r="J625" i="26" s="1"/>
  <c r="L625" i="26" s="1"/>
  <c r="E625" i="26"/>
  <c r="G625" i="26"/>
  <c r="A626" i="26"/>
  <c r="K626" i="26" s="1"/>
  <c r="J626" i="26" s="1"/>
  <c r="L626" i="26" s="1"/>
  <c r="E626" i="26"/>
  <c r="G626" i="26"/>
  <c r="A627" i="26"/>
  <c r="K627" i="26" s="1"/>
  <c r="J627" i="26" s="1"/>
  <c r="L627" i="26" s="1"/>
  <c r="E627" i="26"/>
  <c r="G627" i="26"/>
  <c r="A628" i="26"/>
  <c r="K628" i="26" s="1"/>
  <c r="J628" i="26" s="1"/>
  <c r="L628" i="26" s="1"/>
  <c r="E628" i="26"/>
  <c r="G628" i="26"/>
  <c r="A629" i="26"/>
  <c r="K629" i="26" s="1"/>
  <c r="J629" i="26" s="1"/>
  <c r="L629" i="26" s="1"/>
  <c r="E629" i="26"/>
  <c r="G629" i="26"/>
  <c r="A630" i="26"/>
  <c r="K630" i="26" s="1"/>
  <c r="J630" i="26" s="1"/>
  <c r="L630" i="26" s="1"/>
  <c r="E630" i="26"/>
  <c r="G630" i="26"/>
  <c r="A631" i="26"/>
  <c r="K631" i="26" s="1"/>
  <c r="J631" i="26" s="1"/>
  <c r="L631" i="26" s="1"/>
  <c r="E631" i="26"/>
  <c r="G631" i="26"/>
  <c r="A632" i="26"/>
  <c r="K632" i="26" s="1"/>
  <c r="J632" i="26" s="1"/>
  <c r="L632" i="26" s="1"/>
  <c r="E632" i="26"/>
  <c r="G632" i="26"/>
  <c r="A633" i="26"/>
  <c r="K633" i="26" s="1"/>
  <c r="J633" i="26" s="1"/>
  <c r="L633" i="26" s="1"/>
  <c r="E633" i="26"/>
  <c r="G633" i="26"/>
  <c r="A634" i="26"/>
  <c r="K634" i="26" s="1"/>
  <c r="J634" i="26" s="1"/>
  <c r="L634" i="26" s="1"/>
  <c r="E634" i="26"/>
  <c r="G634" i="26"/>
  <c r="A635" i="26"/>
  <c r="A636" i="26"/>
  <c r="K636" i="26" s="1"/>
  <c r="J636" i="26" s="1"/>
  <c r="L636" i="26" s="1"/>
  <c r="E636" i="26"/>
  <c r="G636" i="26"/>
  <c r="A637" i="26"/>
  <c r="K637" i="26" s="1"/>
  <c r="J637" i="26" s="1"/>
  <c r="L637" i="26" s="1"/>
  <c r="E637" i="26"/>
  <c r="G637" i="26"/>
  <c r="A638" i="26"/>
  <c r="K638" i="26" s="1"/>
  <c r="O638" i="26"/>
  <c r="R638" i="26"/>
  <c r="A639" i="26"/>
  <c r="K639" i="26" s="1"/>
  <c r="J639" i="26" s="1"/>
  <c r="E639" i="26"/>
  <c r="G639" i="26"/>
  <c r="O639" i="26"/>
  <c r="A640" i="26"/>
  <c r="K640" i="26" s="1"/>
  <c r="J640" i="26" s="1"/>
  <c r="L640" i="26" s="1"/>
  <c r="E640" i="26"/>
  <c r="G640" i="26"/>
  <c r="O640" i="26"/>
  <c r="A641" i="26"/>
  <c r="K641" i="26" s="1"/>
  <c r="J641" i="26" s="1"/>
  <c r="L641" i="26" s="1"/>
  <c r="E641" i="26"/>
  <c r="G641" i="26"/>
  <c r="O641" i="26"/>
  <c r="A642" i="26"/>
  <c r="K642" i="26" s="1"/>
  <c r="J642" i="26" s="1"/>
  <c r="L642" i="26" s="1"/>
  <c r="E642" i="26"/>
  <c r="G642" i="26"/>
  <c r="O642" i="26"/>
  <c r="A643" i="26"/>
  <c r="A644" i="26"/>
  <c r="K644" i="26" s="1"/>
  <c r="J644" i="26" s="1"/>
  <c r="L644" i="26" s="1"/>
  <c r="L643" i="26" s="1"/>
  <c r="E644" i="26"/>
  <c r="G644" i="26"/>
  <c r="A645" i="26"/>
  <c r="K645" i="26" s="1"/>
  <c r="O645" i="26"/>
  <c r="R645" i="26"/>
  <c r="A646" i="26"/>
  <c r="K646" i="26" s="1"/>
  <c r="J646" i="26" s="1"/>
  <c r="L646" i="26" s="1"/>
  <c r="E646" i="26"/>
  <c r="G646" i="26"/>
  <c r="A647" i="26"/>
  <c r="K647" i="26" s="1"/>
  <c r="J647" i="26" s="1"/>
  <c r="L647" i="26" s="1"/>
  <c r="E647" i="26"/>
  <c r="G647" i="26"/>
  <c r="O647" i="26"/>
  <c r="A648" i="26"/>
  <c r="K648" i="26" s="1"/>
  <c r="O648" i="26"/>
  <c r="R648" i="26"/>
  <c r="A649" i="26"/>
  <c r="K649" i="26" s="1"/>
  <c r="J649" i="26" s="1"/>
  <c r="R649" i="26" s="1"/>
  <c r="E649" i="26"/>
  <c r="G649" i="26"/>
  <c r="O649" i="26"/>
  <c r="A650" i="26"/>
  <c r="A651" i="26"/>
  <c r="K651" i="26" s="1"/>
  <c r="J651" i="26" s="1"/>
  <c r="L651" i="26" s="1"/>
  <c r="E651" i="26"/>
  <c r="G651" i="26"/>
  <c r="A652" i="26"/>
  <c r="K652" i="26" s="1"/>
  <c r="J652" i="26" s="1"/>
  <c r="L652" i="26" s="1"/>
  <c r="E652" i="26"/>
  <c r="G652" i="26"/>
  <c r="A653" i="26"/>
  <c r="K653" i="26" s="1"/>
  <c r="J653" i="26" s="1"/>
  <c r="L653" i="26" s="1"/>
  <c r="E653" i="26"/>
  <c r="G653" i="26"/>
  <c r="A654" i="26"/>
  <c r="K654" i="26" s="1"/>
  <c r="J654" i="26" s="1"/>
  <c r="L654" i="26" s="1"/>
  <c r="E654" i="26"/>
  <c r="G654" i="26"/>
  <c r="A655" i="26"/>
  <c r="K655" i="26" s="1"/>
  <c r="O655" i="26"/>
  <c r="R655" i="26"/>
  <c r="A656" i="26"/>
  <c r="K656" i="26" s="1"/>
  <c r="J656" i="26" s="1"/>
  <c r="E656" i="26"/>
  <c r="G656" i="26"/>
  <c r="O656" i="26"/>
  <c r="A657" i="26"/>
  <c r="K657" i="26" s="1"/>
  <c r="J657" i="26" s="1"/>
  <c r="L657" i="26" s="1"/>
  <c r="E657" i="26"/>
  <c r="G657" i="26"/>
  <c r="A658" i="26"/>
  <c r="K658" i="26" s="1"/>
  <c r="J658" i="26" s="1"/>
  <c r="L658" i="26" s="1"/>
  <c r="E658" i="26"/>
  <c r="G658" i="26"/>
  <c r="A659" i="26"/>
  <c r="K659" i="26" s="1"/>
  <c r="J659" i="26" s="1"/>
  <c r="L659" i="26" s="1"/>
  <c r="E659" i="26"/>
  <c r="G659" i="26"/>
  <c r="A660" i="26"/>
  <c r="K660" i="26" s="1"/>
  <c r="O660" i="26"/>
  <c r="R660" i="26"/>
  <c r="A661" i="26"/>
  <c r="K661" i="26" s="1"/>
  <c r="J661" i="26" s="1"/>
  <c r="L661" i="26" s="1"/>
  <c r="E661" i="26"/>
  <c r="G661" i="26"/>
  <c r="A662" i="26"/>
  <c r="K662" i="26" s="1"/>
  <c r="J662" i="26" s="1"/>
  <c r="E662" i="26"/>
  <c r="G662" i="26"/>
  <c r="O662" i="26"/>
  <c r="A663" i="26"/>
  <c r="O663" i="26"/>
  <c r="R663" i="26"/>
  <c r="A664" i="26"/>
  <c r="K664" i="26" s="1"/>
  <c r="O664" i="26"/>
  <c r="R664" i="26"/>
  <c r="A665" i="26"/>
  <c r="K665" i="26" s="1"/>
  <c r="O665" i="26"/>
  <c r="R665" i="26"/>
  <c r="A666" i="26"/>
  <c r="K666" i="26" s="1"/>
  <c r="J666" i="26" s="1"/>
  <c r="L666" i="26" s="1"/>
  <c r="L665" i="26" s="1"/>
  <c r="E666" i="26"/>
  <c r="G666" i="26"/>
  <c r="O666" i="26"/>
  <c r="A667" i="26"/>
  <c r="O667" i="26"/>
  <c r="R667" i="26"/>
  <c r="A668" i="26"/>
  <c r="K668" i="26" s="1"/>
  <c r="O668" i="26"/>
  <c r="R668" i="26"/>
  <c r="A669" i="26"/>
  <c r="O669" i="26"/>
  <c r="R669" i="26"/>
  <c r="A670" i="26"/>
  <c r="K670" i="26" s="1"/>
  <c r="J670" i="26" s="1"/>
  <c r="R670" i="26" s="1"/>
  <c r="E670" i="26"/>
  <c r="G670" i="26"/>
  <c r="O670" i="26"/>
  <c r="A671" i="26"/>
  <c r="O671" i="26"/>
  <c r="R671" i="26"/>
  <c r="A672" i="26"/>
  <c r="K672" i="26" s="1"/>
  <c r="J672" i="26" s="1"/>
  <c r="R672" i="26" s="1"/>
  <c r="O672" i="26"/>
  <c r="A673" i="26"/>
  <c r="K673" i="26" s="1"/>
  <c r="O673" i="26"/>
  <c r="R673" i="26"/>
  <c r="A674" i="26"/>
  <c r="K674" i="26" s="1"/>
  <c r="H674" i="26"/>
  <c r="I675" i="26" s="1"/>
  <c r="O674" i="26"/>
  <c r="R674" i="26"/>
  <c r="A675" i="26"/>
  <c r="K675" i="26" s="1"/>
  <c r="J675" i="26" s="1"/>
  <c r="E675" i="26"/>
  <c r="G675" i="26"/>
  <c r="A676" i="26"/>
  <c r="K676" i="26" s="1"/>
  <c r="J676" i="26" s="1"/>
  <c r="E676" i="26"/>
  <c r="G676" i="26"/>
  <c r="A677" i="26"/>
  <c r="K677" i="26" s="1"/>
  <c r="J677" i="26" s="1"/>
  <c r="L677" i="26" s="1"/>
  <c r="E677" i="26"/>
  <c r="G677" i="26"/>
  <c r="A678" i="26"/>
  <c r="K678" i="26" s="1"/>
  <c r="O678" i="26"/>
  <c r="R678" i="26"/>
  <c r="A679" i="26"/>
  <c r="K679" i="26" s="1"/>
  <c r="J679" i="26" s="1"/>
  <c r="E679" i="26"/>
  <c r="G679" i="26"/>
  <c r="I679" i="26"/>
  <c r="A680" i="26"/>
  <c r="K680" i="26" s="1"/>
  <c r="J680" i="26" s="1"/>
  <c r="E680" i="26"/>
  <c r="G680" i="26"/>
  <c r="I680" i="26"/>
  <c r="A681" i="26"/>
  <c r="K681" i="26" s="1"/>
  <c r="J681" i="26" s="1"/>
  <c r="L681" i="26" s="1"/>
  <c r="E681" i="26"/>
  <c r="G681" i="26"/>
  <c r="A682" i="26"/>
  <c r="K682" i="26" s="1"/>
  <c r="J682" i="26" s="1"/>
  <c r="L682" i="26" s="1"/>
  <c r="E682" i="26"/>
  <c r="G682" i="26"/>
  <c r="A683" i="26"/>
  <c r="K683" i="26" s="1"/>
  <c r="H683" i="26"/>
  <c r="O683" i="26"/>
  <c r="R683" i="26"/>
  <c r="A684" i="26"/>
  <c r="K684" i="26" s="1"/>
  <c r="J684" i="26" s="1"/>
  <c r="E684" i="26"/>
  <c r="G684" i="26"/>
  <c r="A685" i="26"/>
  <c r="K685" i="26" s="1"/>
  <c r="J685" i="26" s="1"/>
  <c r="E685" i="26"/>
  <c r="G685" i="26"/>
  <c r="A686" i="26"/>
  <c r="K686" i="26" s="1"/>
  <c r="J686" i="26" s="1"/>
  <c r="L686" i="26" s="1"/>
  <c r="E686" i="26"/>
  <c r="G686" i="26"/>
  <c r="A687" i="26"/>
  <c r="A688" i="26"/>
  <c r="K688" i="26" s="1"/>
  <c r="J688" i="26" s="1"/>
  <c r="L688" i="26" s="1"/>
  <c r="E688" i="26"/>
  <c r="G688" i="26"/>
  <c r="A689" i="26"/>
  <c r="K689" i="26" s="1"/>
  <c r="J689" i="26" s="1"/>
  <c r="E689" i="26"/>
  <c r="G689" i="26"/>
  <c r="I689" i="26"/>
  <c r="A690" i="26"/>
  <c r="K690" i="26" s="1"/>
  <c r="J690" i="26" s="1"/>
  <c r="E690" i="26"/>
  <c r="G690" i="26"/>
  <c r="I690" i="26"/>
  <c r="A691" i="26"/>
  <c r="K691" i="26" s="1"/>
  <c r="J691" i="26" s="1"/>
  <c r="L691" i="26" s="1"/>
  <c r="E691" i="26"/>
  <c r="G691" i="26"/>
  <c r="A692" i="26"/>
  <c r="A693" i="26"/>
  <c r="K693" i="26" s="1"/>
  <c r="J693" i="26" s="1"/>
  <c r="E693" i="26"/>
  <c r="G693" i="26"/>
  <c r="I693" i="26"/>
  <c r="A694" i="26"/>
  <c r="K694" i="26" s="1"/>
  <c r="J694" i="26" s="1"/>
  <c r="E694" i="26"/>
  <c r="G694" i="26"/>
  <c r="I694" i="26"/>
  <c r="A695" i="26"/>
  <c r="K695" i="26" s="1"/>
  <c r="J695" i="26" s="1"/>
  <c r="E695" i="26"/>
  <c r="G695" i="26"/>
  <c r="I695" i="26"/>
  <c r="A696" i="26"/>
  <c r="A697" i="26"/>
  <c r="E697" i="26"/>
  <c r="G697" i="26"/>
  <c r="I697" i="26"/>
  <c r="K697" i="26"/>
  <c r="J697" i="26" s="1"/>
  <c r="A698" i="26"/>
  <c r="K698" i="26" s="1"/>
  <c r="J698" i="26" s="1"/>
  <c r="E698" i="26"/>
  <c r="G698" i="26"/>
  <c r="I698" i="26"/>
  <c r="A699" i="26"/>
  <c r="K699" i="26" s="1"/>
  <c r="J699" i="26" s="1"/>
  <c r="L699" i="26" s="1"/>
  <c r="E699" i="26"/>
  <c r="G699" i="26"/>
  <c r="A700" i="26"/>
  <c r="K700" i="26" s="1"/>
  <c r="J700" i="26" s="1"/>
  <c r="L700" i="26" s="1"/>
  <c r="E700" i="26"/>
  <c r="G700" i="26"/>
  <c r="A701" i="26"/>
  <c r="O701" i="26"/>
  <c r="R701" i="26"/>
  <c r="A702" i="26"/>
  <c r="K702" i="26" s="1"/>
  <c r="O702" i="26"/>
  <c r="R702" i="26"/>
  <c r="A703" i="26"/>
  <c r="K703" i="26" s="1"/>
  <c r="O703" i="26"/>
  <c r="R703" i="26"/>
  <c r="A704" i="26"/>
  <c r="K704" i="26" s="1"/>
  <c r="O704" i="26" s="1"/>
  <c r="E704" i="26"/>
  <c r="G704" i="26"/>
  <c r="A705" i="26"/>
  <c r="K705" i="26" s="1"/>
  <c r="O705" i="26" s="1"/>
  <c r="E705" i="26"/>
  <c r="G705" i="26"/>
  <c r="A706" i="26"/>
  <c r="K706" i="26" s="1"/>
  <c r="O706" i="26" s="1"/>
  <c r="E706" i="26"/>
  <c r="G706" i="26"/>
  <c r="A707" i="26"/>
  <c r="K707" i="26" s="1"/>
  <c r="J707" i="26" s="1"/>
  <c r="E707" i="26"/>
  <c r="G707" i="26"/>
  <c r="A708" i="26"/>
  <c r="K708" i="26" s="1"/>
  <c r="O708" i="26" s="1"/>
  <c r="E708" i="26"/>
  <c r="G708" i="26"/>
  <c r="A709" i="26"/>
  <c r="K709" i="26" s="1"/>
  <c r="O709" i="26" s="1"/>
  <c r="E709" i="26"/>
  <c r="G709" i="26"/>
  <c r="A710" i="26"/>
  <c r="K710" i="26" s="1"/>
  <c r="E710" i="26"/>
  <c r="G710" i="26"/>
  <c r="A711" i="26"/>
  <c r="K711" i="26" s="1"/>
  <c r="O711" i="26" s="1"/>
  <c r="E711" i="26"/>
  <c r="G711" i="26"/>
  <c r="A712" i="26"/>
  <c r="K712" i="26" s="1"/>
  <c r="E712" i="26"/>
  <c r="G712" i="26"/>
  <c r="A713" i="26"/>
  <c r="K713" i="26" s="1"/>
  <c r="J713" i="26" s="1"/>
  <c r="L713" i="26" s="1"/>
  <c r="E713" i="26"/>
  <c r="G713" i="26"/>
  <c r="A714" i="26"/>
  <c r="K714" i="26" s="1"/>
  <c r="J714" i="26" s="1"/>
  <c r="L714" i="26" s="1"/>
  <c r="E714" i="26"/>
  <c r="G714" i="26"/>
  <c r="A715" i="26"/>
  <c r="K715" i="26" s="1"/>
  <c r="E715" i="26"/>
  <c r="G715" i="26"/>
  <c r="A716" i="26"/>
  <c r="K716" i="26" s="1"/>
  <c r="E716" i="26"/>
  <c r="G716" i="26"/>
  <c r="A717" i="26"/>
  <c r="K717" i="26" s="1"/>
  <c r="O717" i="26" s="1"/>
  <c r="E717" i="26"/>
  <c r="G717" i="26"/>
  <c r="A718" i="26"/>
  <c r="K718" i="26" s="1"/>
  <c r="E718" i="26"/>
  <c r="G718" i="26"/>
  <c r="A719" i="26"/>
  <c r="K719" i="26" s="1"/>
  <c r="E719" i="26"/>
  <c r="G719" i="26"/>
  <c r="A720" i="26"/>
  <c r="K720" i="26" s="1"/>
  <c r="E720" i="26"/>
  <c r="G720" i="26"/>
  <c r="A721" i="26"/>
  <c r="A722" i="26"/>
  <c r="K722" i="26" s="1"/>
  <c r="J722" i="26" s="1"/>
  <c r="L722" i="26" s="1"/>
  <c r="E722" i="26"/>
  <c r="G722" i="26"/>
  <c r="A723" i="26"/>
  <c r="K723" i="26" s="1"/>
  <c r="J723" i="26" s="1"/>
  <c r="L723" i="26" s="1"/>
  <c r="E723" i="26"/>
  <c r="G723" i="26"/>
  <c r="A724" i="26"/>
  <c r="K724" i="26" s="1"/>
  <c r="J724" i="26" s="1"/>
  <c r="L724" i="26" s="1"/>
  <c r="E724" i="26"/>
  <c r="G724" i="26"/>
  <c r="A725" i="26"/>
  <c r="K725" i="26" s="1"/>
  <c r="J725" i="26" s="1"/>
  <c r="L725" i="26" s="1"/>
  <c r="E725" i="26"/>
  <c r="G725" i="26"/>
  <c r="A726" i="26"/>
  <c r="K726" i="26" s="1"/>
  <c r="J726" i="26" s="1"/>
  <c r="L726" i="26" s="1"/>
  <c r="E726" i="26"/>
  <c r="G726" i="26"/>
  <c r="A727" i="26"/>
  <c r="K727" i="26" s="1"/>
  <c r="J727" i="26" s="1"/>
  <c r="L727" i="26" s="1"/>
  <c r="E727" i="26"/>
  <c r="G727" i="26"/>
  <c r="A728" i="26"/>
  <c r="A729" i="26"/>
  <c r="K729" i="26" s="1"/>
  <c r="J729" i="26" s="1"/>
  <c r="L729" i="26" s="1"/>
  <c r="E729" i="26"/>
  <c r="G729" i="26"/>
  <c r="A730" i="26"/>
  <c r="K730" i="26" s="1"/>
  <c r="J730" i="26" s="1"/>
  <c r="L730" i="26" s="1"/>
  <c r="E730" i="26"/>
  <c r="G730" i="26"/>
  <c r="A731" i="26"/>
  <c r="K731" i="26" s="1"/>
  <c r="J731" i="26" s="1"/>
  <c r="L731" i="26" s="1"/>
  <c r="E731" i="26"/>
  <c r="G731" i="26"/>
  <c r="A732" i="26"/>
  <c r="K732" i="26" s="1"/>
  <c r="J732" i="26" s="1"/>
  <c r="L732" i="26" s="1"/>
  <c r="E732" i="26"/>
  <c r="G732" i="26"/>
  <c r="A733" i="26"/>
  <c r="K733" i="26" s="1"/>
  <c r="J733" i="26" s="1"/>
  <c r="L733" i="26" s="1"/>
  <c r="E733" i="26"/>
  <c r="G733" i="26"/>
  <c r="A734" i="26"/>
  <c r="K734" i="26" s="1"/>
  <c r="J734" i="26" s="1"/>
  <c r="L734" i="26" s="1"/>
  <c r="E734" i="26"/>
  <c r="G734" i="26"/>
  <c r="A735" i="26"/>
  <c r="A736" i="26"/>
  <c r="K736" i="26" s="1"/>
  <c r="J736" i="26" s="1"/>
  <c r="L736" i="26" s="1"/>
  <c r="E736" i="26"/>
  <c r="G736" i="26"/>
  <c r="A737" i="26"/>
  <c r="K737" i="26" s="1"/>
  <c r="J737" i="26" s="1"/>
  <c r="L737" i="26" s="1"/>
  <c r="E737" i="26"/>
  <c r="G737" i="26"/>
  <c r="A738" i="26"/>
  <c r="K738" i="26" s="1"/>
  <c r="J738" i="26" s="1"/>
  <c r="L738" i="26" s="1"/>
  <c r="E738" i="26"/>
  <c r="G738" i="26"/>
  <c r="A739" i="26"/>
  <c r="K739" i="26" s="1"/>
  <c r="J739" i="26" s="1"/>
  <c r="L739" i="26" s="1"/>
  <c r="E739" i="26"/>
  <c r="G739" i="26"/>
  <c r="A740" i="26"/>
  <c r="K740" i="26" s="1"/>
  <c r="J740" i="26" s="1"/>
  <c r="L740" i="26" s="1"/>
  <c r="E740" i="26"/>
  <c r="G740" i="26"/>
  <c r="A741" i="26"/>
  <c r="K741" i="26" s="1"/>
  <c r="J741" i="26" s="1"/>
  <c r="L741" i="26" s="1"/>
  <c r="E741" i="26"/>
  <c r="G741" i="26"/>
  <c r="A742" i="26"/>
  <c r="K742" i="26" s="1"/>
  <c r="J742" i="26" s="1"/>
  <c r="L742" i="26" s="1"/>
  <c r="E742" i="26"/>
  <c r="G742" i="26"/>
  <c r="A743" i="26"/>
  <c r="K743" i="26" s="1"/>
  <c r="J743" i="26" s="1"/>
  <c r="L743" i="26" s="1"/>
  <c r="E743" i="26"/>
  <c r="G743" i="26"/>
  <c r="A744" i="26"/>
  <c r="K744" i="26" s="1"/>
  <c r="J744" i="26" s="1"/>
  <c r="L744" i="26" s="1"/>
  <c r="E744" i="26"/>
  <c r="G744" i="26"/>
  <c r="A745" i="26"/>
  <c r="K745" i="26" s="1"/>
  <c r="J745" i="26" s="1"/>
  <c r="L745" i="26" s="1"/>
  <c r="E745" i="26"/>
  <c r="G745" i="26"/>
  <c r="A746" i="26"/>
  <c r="K746" i="26" s="1"/>
  <c r="J746" i="26" s="1"/>
  <c r="L746" i="26" s="1"/>
  <c r="E746" i="26"/>
  <c r="G746" i="26"/>
  <c r="A747" i="26"/>
  <c r="K747" i="26" s="1"/>
  <c r="J747" i="26" s="1"/>
  <c r="L747" i="26" s="1"/>
  <c r="E747" i="26"/>
  <c r="G747" i="26"/>
  <c r="A748" i="26"/>
  <c r="K748" i="26" s="1"/>
  <c r="J748" i="26" s="1"/>
  <c r="L748" i="26" s="1"/>
  <c r="E748" i="26"/>
  <c r="G748" i="26"/>
  <c r="A749" i="26"/>
  <c r="A750" i="26"/>
  <c r="K750" i="26" s="1"/>
  <c r="J750" i="26" s="1"/>
  <c r="L750" i="26" s="1"/>
  <c r="E750" i="26"/>
  <c r="G750" i="26"/>
  <c r="A751" i="26"/>
  <c r="K751" i="26" s="1"/>
  <c r="J751" i="26" s="1"/>
  <c r="L751" i="26" s="1"/>
  <c r="E751" i="26"/>
  <c r="G751" i="26"/>
  <c r="A752" i="26"/>
  <c r="K752" i="26" s="1"/>
  <c r="J752" i="26" s="1"/>
  <c r="L752" i="26" s="1"/>
  <c r="E752" i="26"/>
  <c r="G752" i="26"/>
  <c r="A753" i="26"/>
  <c r="K753" i="26" s="1"/>
  <c r="J753" i="26" s="1"/>
  <c r="L753" i="26" s="1"/>
  <c r="E753" i="26"/>
  <c r="G753" i="26"/>
  <c r="A754" i="26"/>
  <c r="K754" i="26" s="1"/>
  <c r="J754" i="26" s="1"/>
  <c r="L754" i="26" s="1"/>
  <c r="E754" i="26"/>
  <c r="G754" i="26"/>
  <c r="A755" i="26"/>
  <c r="A756" i="26"/>
  <c r="K756" i="26" s="1"/>
  <c r="J756" i="26" s="1"/>
  <c r="L756" i="26" s="1"/>
  <c r="E756" i="26"/>
  <c r="G756" i="26"/>
  <c r="A757" i="26"/>
  <c r="K757" i="26" s="1"/>
  <c r="J757" i="26" s="1"/>
  <c r="L757" i="26" s="1"/>
  <c r="E757" i="26"/>
  <c r="G757" i="26"/>
  <c r="A758" i="26"/>
  <c r="K758" i="26" s="1"/>
  <c r="J758" i="26" s="1"/>
  <c r="L758" i="26" s="1"/>
  <c r="E758" i="26"/>
  <c r="G758" i="26"/>
  <c r="A759" i="26"/>
  <c r="K759" i="26" s="1"/>
  <c r="J759" i="26" s="1"/>
  <c r="L759" i="26" s="1"/>
  <c r="E759" i="26"/>
  <c r="G759" i="26"/>
  <c r="A760" i="26"/>
  <c r="K760" i="26" s="1"/>
  <c r="J760" i="26" s="1"/>
  <c r="L760" i="26" s="1"/>
  <c r="E760" i="26"/>
  <c r="G760" i="26"/>
  <c r="A761" i="26"/>
  <c r="K761" i="26" s="1"/>
  <c r="J761" i="26" s="1"/>
  <c r="L761" i="26" s="1"/>
  <c r="E761" i="26"/>
  <c r="G761" i="26"/>
  <c r="A762" i="26"/>
  <c r="K762" i="26" s="1"/>
  <c r="J762" i="26" s="1"/>
  <c r="L762" i="26" s="1"/>
  <c r="E762" i="26"/>
  <c r="G762" i="26"/>
  <c r="A763" i="26"/>
  <c r="K763" i="26" s="1"/>
  <c r="J763" i="26" s="1"/>
  <c r="L763" i="26" s="1"/>
  <c r="E763" i="26"/>
  <c r="G763" i="26"/>
  <c r="A764" i="26"/>
  <c r="K764" i="26" s="1"/>
  <c r="J764" i="26" s="1"/>
  <c r="L764" i="26" s="1"/>
  <c r="E764" i="26"/>
  <c r="G764" i="26"/>
  <c r="A765" i="26"/>
  <c r="K765" i="26" s="1"/>
  <c r="J765" i="26" s="1"/>
  <c r="L765" i="26" s="1"/>
  <c r="E765" i="26"/>
  <c r="G765" i="26"/>
  <c r="A766" i="26"/>
  <c r="K766" i="26" s="1"/>
  <c r="J766" i="26" s="1"/>
  <c r="L766" i="26" s="1"/>
  <c r="E766" i="26"/>
  <c r="G766" i="26"/>
  <c r="A767" i="26"/>
  <c r="K767" i="26" s="1"/>
  <c r="J767" i="26" s="1"/>
  <c r="L767" i="26" s="1"/>
  <c r="E767" i="26"/>
  <c r="G767" i="26"/>
  <c r="A768" i="26"/>
  <c r="K768" i="26" s="1"/>
  <c r="J768" i="26" s="1"/>
  <c r="L768" i="26" s="1"/>
  <c r="E768" i="26"/>
  <c r="G768" i="26"/>
  <c r="A769" i="26"/>
  <c r="A770" i="26"/>
  <c r="K770" i="26" s="1"/>
  <c r="J770" i="26" s="1"/>
  <c r="L770" i="26" s="1"/>
  <c r="E770" i="26"/>
  <c r="G770" i="26"/>
  <c r="A771" i="26"/>
  <c r="K771" i="26" s="1"/>
  <c r="J771" i="26" s="1"/>
  <c r="L771" i="26" s="1"/>
  <c r="E771" i="26"/>
  <c r="G771" i="26"/>
  <c r="A772" i="26"/>
  <c r="K772" i="26" s="1"/>
  <c r="J772" i="26" s="1"/>
  <c r="L772" i="26" s="1"/>
  <c r="E772" i="26"/>
  <c r="G772" i="26"/>
  <c r="A773" i="26"/>
  <c r="K773" i="26" s="1"/>
  <c r="J773" i="26" s="1"/>
  <c r="L773" i="26" s="1"/>
  <c r="E773" i="26"/>
  <c r="G773" i="26"/>
  <c r="A774" i="26"/>
  <c r="K774" i="26" s="1"/>
  <c r="J774" i="26" s="1"/>
  <c r="L774" i="26" s="1"/>
  <c r="E774" i="26"/>
  <c r="G774" i="26"/>
  <c r="A775" i="26"/>
  <c r="K775" i="26" s="1"/>
  <c r="J775" i="26" s="1"/>
  <c r="L775" i="26" s="1"/>
  <c r="E775" i="26"/>
  <c r="G775" i="26"/>
  <c r="A776" i="26"/>
  <c r="K776" i="26" s="1"/>
  <c r="J776" i="26" s="1"/>
  <c r="L776" i="26" s="1"/>
  <c r="E776" i="26"/>
  <c r="G776" i="26"/>
  <c r="A777" i="26"/>
  <c r="K777" i="26" s="1"/>
  <c r="J777" i="26" s="1"/>
  <c r="L777" i="26" s="1"/>
  <c r="E777" i="26"/>
  <c r="G777" i="26"/>
  <c r="A778" i="26"/>
  <c r="K778" i="26" s="1"/>
  <c r="J778" i="26" s="1"/>
  <c r="L778" i="26" s="1"/>
  <c r="E778" i="26"/>
  <c r="G778" i="26"/>
  <c r="A779" i="26"/>
  <c r="K779" i="26" s="1"/>
  <c r="J779" i="26" s="1"/>
  <c r="L779" i="26" s="1"/>
  <c r="E779" i="26"/>
  <c r="G779" i="26"/>
  <c r="A780" i="26"/>
  <c r="K780" i="26" s="1"/>
  <c r="J780" i="26" s="1"/>
  <c r="L780" i="26" s="1"/>
  <c r="E780" i="26"/>
  <c r="G780" i="26"/>
  <c r="A781" i="26"/>
  <c r="K781" i="26" s="1"/>
  <c r="J781" i="26" s="1"/>
  <c r="L781" i="26" s="1"/>
  <c r="E781" i="26"/>
  <c r="G781" i="26"/>
  <c r="A782" i="26"/>
  <c r="K782" i="26" s="1"/>
  <c r="J782" i="26" s="1"/>
  <c r="L782" i="26" s="1"/>
  <c r="E782" i="26"/>
  <c r="G782" i="26"/>
  <c r="A783" i="26"/>
  <c r="A784" i="26"/>
  <c r="K784" i="26" s="1"/>
  <c r="J784" i="26" s="1"/>
  <c r="L784" i="26" s="1"/>
  <c r="L783" i="26" s="1"/>
  <c r="E784" i="26"/>
  <c r="G784" i="26"/>
  <c r="A785" i="26"/>
  <c r="K785" i="26" s="1"/>
  <c r="J785" i="26" s="1"/>
  <c r="R785" i="26" s="1"/>
  <c r="O785" i="26"/>
  <c r="A786" i="26"/>
  <c r="K786" i="26" s="1"/>
  <c r="J786" i="26" s="1"/>
  <c r="E786" i="26"/>
  <c r="G786" i="26"/>
  <c r="O786" i="26"/>
  <c r="A787" i="26"/>
  <c r="K787" i="26" s="1"/>
  <c r="J787" i="26" s="1"/>
  <c r="L787" i="26" s="1"/>
  <c r="E787" i="26"/>
  <c r="G787" i="26"/>
  <c r="A788" i="26"/>
  <c r="O788" i="26"/>
  <c r="R788" i="26"/>
  <c r="A789" i="26"/>
  <c r="K789" i="26" s="1"/>
  <c r="O789" i="26"/>
  <c r="R789" i="26"/>
  <c r="A790" i="26"/>
  <c r="K790" i="26" s="1"/>
  <c r="O790" i="26"/>
  <c r="R790" i="26"/>
  <c r="A791" i="26"/>
  <c r="K791" i="26" s="1"/>
  <c r="J791" i="26" s="1"/>
  <c r="L791" i="26" s="1"/>
  <c r="E791" i="26"/>
  <c r="G791" i="26"/>
  <c r="A792" i="26"/>
  <c r="O792" i="26"/>
  <c r="R792" i="26"/>
  <c r="A793" i="26"/>
  <c r="K793" i="26" s="1"/>
  <c r="O793" i="26"/>
  <c r="R793" i="26"/>
  <c r="A794" i="26"/>
  <c r="K794" i="26" s="1"/>
  <c r="O794" i="26"/>
  <c r="R794" i="26"/>
  <c r="A795" i="26"/>
  <c r="K795" i="26" s="1"/>
  <c r="E795" i="26"/>
  <c r="G795" i="26"/>
  <c r="I795" i="26"/>
  <c r="A796" i="26"/>
  <c r="O796" i="26"/>
  <c r="R796" i="26"/>
  <c r="A797" i="26"/>
  <c r="K797" i="26" s="1"/>
  <c r="O797" i="26"/>
  <c r="R797" i="26"/>
  <c r="A798" i="26"/>
  <c r="K798" i="26" s="1"/>
  <c r="O798" i="26"/>
  <c r="R798" i="26"/>
  <c r="A799" i="26"/>
  <c r="J799" i="26"/>
  <c r="L799" i="26" s="1"/>
  <c r="O799" i="26"/>
  <c r="A800" i="26"/>
  <c r="J800" i="26"/>
  <c r="R800" i="26" s="1"/>
  <c r="O800" i="26"/>
  <c r="A801" i="26"/>
  <c r="J801" i="26"/>
  <c r="R801" i="26" s="1"/>
  <c r="O801" i="26"/>
  <c r="A802" i="26"/>
  <c r="K802" i="26" s="1"/>
  <c r="O802" i="26"/>
  <c r="R802" i="26"/>
  <c r="A803" i="26"/>
  <c r="J803" i="26"/>
  <c r="R803" i="26" s="1"/>
  <c r="O803" i="26"/>
  <c r="A804" i="26"/>
  <c r="L804" i="26"/>
  <c r="O804" i="26"/>
  <c r="R804" i="26"/>
  <c r="A805" i="26"/>
  <c r="O805" i="26"/>
  <c r="R805" i="26"/>
  <c r="A806" i="26"/>
  <c r="K806" i="26" s="1"/>
  <c r="O806" i="26"/>
  <c r="R806" i="26"/>
  <c r="A807" i="26"/>
  <c r="K807" i="26" s="1"/>
  <c r="O807" i="26"/>
  <c r="R807" i="26"/>
  <c r="E808" i="26"/>
  <c r="G808" i="26"/>
  <c r="K808" i="26"/>
  <c r="J808" i="26" s="1"/>
  <c r="L808" i="26" s="1"/>
  <c r="E809" i="26"/>
  <c r="G809" i="26"/>
  <c r="K809" i="26"/>
  <c r="J809" i="26" s="1"/>
  <c r="L809" i="26" s="1"/>
  <c r="E810" i="26"/>
  <c r="G810" i="26"/>
  <c r="K810" i="26"/>
  <c r="J810" i="26" s="1"/>
  <c r="L810" i="26" s="1"/>
  <c r="A811" i="26"/>
  <c r="K811" i="26" s="1"/>
  <c r="J811" i="26" s="1"/>
  <c r="E811" i="26"/>
  <c r="G811" i="26"/>
  <c r="N811" i="26"/>
  <c r="O811" i="26"/>
  <c r="A812" i="26"/>
  <c r="O812" i="26"/>
  <c r="R812" i="26"/>
  <c r="A813" i="26"/>
  <c r="K813" i="26" s="1"/>
  <c r="O813" i="26"/>
  <c r="R813" i="26"/>
  <c r="A814" i="26"/>
  <c r="K814" i="26" s="1"/>
  <c r="O814" i="26"/>
  <c r="R814" i="26"/>
  <c r="A815" i="26"/>
  <c r="J815" i="26"/>
  <c r="L815" i="26" s="1"/>
  <c r="L814" i="26" s="1"/>
  <c r="O815" i="26"/>
  <c r="A816" i="26"/>
  <c r="O816" i="26"/>
  <c r="R816" i="26"/>
  <c r="A817" i="26"/>
  <c r="K817" i="26" s="1"/>
  <c r="O817" i="26"/>
  <c r="R817" i="26"/>
  <c r="A818" i="26"/>
  <c r="K818" i="26" s="1"/>
  <c r="O818" i="26"/>
  <c r="R818" i="26"/>
  <c r="A819" i="26"/>
  <c r="J819" i="26"/>
  <c r="L819" i="26" s="1"/>
  <c r="L818" i="26" s="1"/>
  <c r="O819" i="26"/>
  <c r="R820" i="26"/>
  <c r="J834" i="26"/>
  <c r="I401" i="27"/>
  <c r="O176" i="27"/>
  <c r="L7" i="13"/>
  <c r="T6" i="13"/>
  <c r="I744" i="27"/>
  <c r="J7" i="13"/>
  <c r="Q6" i="13"/>
  <c r="I481" i="27"/>
  <c r="I480" i="27"/>
  <c r="H754" i="27"/>
  <c r="I755" i="27" s="1"/>
  <c r="L929" i="30"/>
  <c r="L928" i="30" s="1"/>
  <c r="R929" i="30"/>
  <c r="R925" i="30"/>
  <c r="L925" i="30"/>
  <c r="L924" i="30" s="1"/>
  <c r="I753" i="27"/>
  <c r="I298" i="26"/>
  <c r="I749" i="27"/>
  <c r="I385" i="27"/>
  <c r="I384" i="27"/>
  <c r="I318" i="27"/>
  <c r="I317" i="27"/>
  <c r="I184" i="30"/>
  <c r="L297" i="30"/>
  <c r="L296" i="30" s="1"/>
  <c r="L295" i="30" s="1"/>
  <c r="I210" i="30"/>
  <c r="O210" i="30" s="1"/>
  <c r="F57" i="13"/>
  <c r="P57" i="13" s="1"/>
  <c r="M6" i="13"/>
  <c r="I225" i="30"/>
  <c r="O170" i="30"/>
  <c r="K277" i="30"/>
  <c r="J277" i="30" s="1"/>
  <c r="L277" i="30" s="1"/>
  <c r="K419" i="27"/>
  <c r="J419" i="27" s="1"/>
  <c r="K623" i="30"/>
  <c r="J623" i="30" s="1"/>
  <c r="L623" i="30" s="1"/>
  <c r="K131" i="30"/>
  <c r="J131" i="30" s="1"/>
  <c r="L131" i="30" s="1"/>
  <c r="K38" i="30"/>
  <c r="J38" i="30" s="1"/>
  <c r="L38" i="30" s="1"/>
  <c r="L37" i="30" s="1"/>
  <c r="L172" i="26"/>
  <c r="L171" i="26" s="1"/>
  <c r="I508" i="27"/>
  <c r="I509" i="27"/>
  <c r="I300" i="27"/>
  <c r="I299" i="27"/>
  <c r="I302" i="27"/>
  <c r="I768" i="30"/>
  <c r="I767" i="30"/>
  <c r="I309" i="30"/>
  <c r="H319" i="30"/>
  <c r="I321" i="30" s="1"/>
  <c r="I310" i="30"/>
  <c r="B7" i="25"/>
  <c r="D7" i="25" s="1"/>
  <c r="L172" i="27"/>
  <c r="L171" i="27" s="1"/>
  <c r="R172" i="27"/>
  <c r="I369" i="30"/>
  <c r="I366" i="30"/>
  <c r="K13" i="30"/>
  <c r="K230" i="30"/>
  <c r="J230" i="30" s="1"/>
  <c r="L230" i="30" s="1"/>
  <c r="K237" i="30"/>
  <c r="K207" i="27"/>
  <c r="J207" i="27" s="1"/>
  <c r="K220" i="30"/>
  <c r="O220" i="30" s="1"/>
  <c r="K194" i="30"/>
  <c r="J194" i="30" s="1"/>
  <c r="R194" i="30" s="1"/>
  <c r="K245" i="30"/>
  <c r="J245" i="30" s="1"/>
  <c r="I591" i="27"/>
  <c r="I510" i="27"/>
  <c r="I336" i="27"/>
  <c r="I337" i="27" s="1"/>
  <c r="I338" i="27"/>
  <c r="I260" i="27"/>
  <c r="I262" i="27" s="1"/>
  <c r="K197" i="30"/>
  <c r="J197" i="30" s="1"/>
  <c r="R197" i="30" s="1"/>
  <c r="L31" i="30"/>
  <c r="R31" i="30"/>
  <c r="K306" i="27"/>
  <c r="O306" i="27" s="1"/>
  <c r="K423" i="30"/>
  <c r="J423" i="30" s="1"/>
  <c r="L423" i="30" s="1"/>
  <c r="C58" i="13"/>
  <c r="D58" i="13" s="1"/>
  <c r="K243" i="27"/>
  <c r="J243" i="27" s="1"/>
  <c r="L243" i="27" s="1"/>
  <c r="K892" i="30"/>
  <c r="J892" i="30" s="1"/>
  <c r="L892" i="30" s="1"/>
  <c r="K227" i="30"/>
  <c r="J227" i="30" s="1"/>
  <c r="K206" i="30"/>
  <c r="J206" i="30" s="1"/>
  <c r="L115" i="30"/>
  <c r="L114" i="30" s="1"/>
  <c r="R115" i="30"/>
  <c r="K95" i="27"/>
  <c r="J95" i="27" s="1"/>
  <c r="L95" i="27" s="1"/>
  <c r="L12" i="27"/>
  <c r="K721" i="30"/>
  <c r="J721" i="30" s="1"/>
  <c r="L721" i="30" s="1"/>
  <c r="K248" i="30"/>
  <c r="J248" i="30" s="1"/>
  <c r="R248" i="30" s="1"/>
  <c r="K234" i="30"/>
  <c r="J234" i="30" s="1"/>
  <c r="L234" i="30" s="1"/>
  <c r="K223" i="30"/>
  <c r="J223" i="30" s="1"/>
  <c r="L223" i="30" s="1"/>
  <c r="L12" i="13"/>
  <c r="K12" i="13"/>
  <c r="T12" i="13"/>
  <c r="O12" i="13"/>
  <c r="K209" i="30"/>
  <c r="J209" i="30" s="1"/>
  <c r="G73" i="13"/>
  <c r="O176" i="30"/>
  <c r="P6" i="13"/>
  <c r="L170" i="30"/>
  <c r="L169" i="30" s="1"/>
  <c r="R170" i="30"/>
  <c r="L275" i="26"/>
  <c r="R175" i="26"/>
  <c r="K371" i="26"/>
  <c r="J371" i="26" s="1"/>
  <c r="R371" i="26" s="1"/>
  <c r="K332" i="26"/>
  <c r="K83" i="26"/>
  <c r="I196" i="26"/>
  <c r="K30" i="26"/>
  <c r="R882" i="27"/>
  <c r="K866" i="27"/>
  <c r="K872" i="27"/>
  <c r="K763" i="27"/>
  <c r="I750" i="27"/>
  <c r="O569" i="27"/>
  <c r="O561" i="27"/>
  <c r="K684" i="27"/>
  <c r="J684" i="27" s="1"/>
  <c r="R684" i="27" s="1"/>
  <c r="K739" i="27"/>
  <c r="I463" i="27"/>
  <c r="I462" i="27"/>
  <c r="L293" i="27"/>
  <c r="R293" i="27"/>
  <c r="K271" i="27"/>
  <c r="K163" i="27"/>
  <c r="K141" i="27"/>
  <c r="I473" i="27"/>
  <c r="I461" i="27"/>
  <c r="I460" i="27"/>
  <c r="I303" i="27"/>
  <c r="I301" i="27"/>
  <c r="K215" i="27"/>
  <c r="J175" i="27"/>
  <c r="R175" i="27" s="1"/>
  <c r="K155" i="27"/>
  <c r="K361" i="27"/>
  <c r="K174" i="27"/>
  <c r="K124" i="27"/>
  <c r="K30" i="27"/>
  <c r="K13" i="27"/>
  <c r="K908" i="30"/>
  <c r="R905" i="30"/>
  <c r="K895" i="30"/>
  <c r="K77" i="27"/>
  <c r="K53" i="27"/>
  <c r="L31" i="27"/>
  <c r="K928" i="30"/>
  <c r="K923" i="30"/>
  <c r="K900" i="30"/>
  <c r="K896" i="30"/>
  <c r="K888" i="30"/>
  <c r="K114" i="27"/>
  <c r="K924" i="30"/>
  <c r="K16" i="27"/>
  <c r="K787" i="30"/>
  <c r="K762" i="30"/>
  <c r="K743" i="30"/>
  <c r="K889" i="30"/>
  <c r="K690" i="30"/>
  <c r="O491" i="30"/>
  <c r="O490" i="30"/>
  <c r="K259" i="30"/>
  <c r="J259" i="30" s="1"/>
  <c r="R259" i="30" s="1"/>
  <c r="O211" i="30"/>
  <c r="O207" i="30"/>
  <c r="I367" i="30"/>
  <c r="I370" i="30"/>
  <c r="O212" i="30"/>
  <c r="O208" i="30"/>
  <c r="K338" i="30"/>
  <c r="K302" i="30"/>
  <c r="R298" i="30"/>
  <c r="O175" i="30"/>
  <c r="J175" i="30"/>
  <c r="L175" i="30" s="1"/>
  <c r="K163" i="30"/>
  <c r="K155" i="30"/>
  <c r="K141" i="30"/>
  <c r="K174" i="30"/>
  <c r="K261" i="30"/>
  <c r="K219" i="30"/>
  <c r="K181" i="30"/>
  <c r="D60" i="13"/>
  <c r="F59" i="13"/>
  <c r="V59" i="13" s="1"/>
  <c r="W59" i="13" s="1"/>
  <c r="E43" i="13"/>
  <c r="F43" i="13" s="1"/>
  <c r="G43" i="13" s="1"/>
  <c r="L43" i="13" s="1"/>
  <c r="M43" i="13" s="1"/>
  <c r="N43" i="13" s="1"/>
  <c r="O43" i="13" s="1"/>
  <c r="J176" i="30"/>
  <c r="R176" i="30" s="1"/>
  <c r="K53" i="30"/>
  <c r="K30" i="30"/>
  <c r="E53" i="13"/>
  <c r="F53" i="13" s="1"/>
  <c r="P53" i="13" s="1"/>
  <c r="F47" i="13"/>
  <c r="V47" i="13" s="1"/>
  <c r="W47" i="13" s="1"/>
  <c r="E46" i="13"/>
  <c r="F46" i="13" s="1"/>
  <c r="V46" i="13" s="1"/>
  <c r="W46" i="13" s="1"/>
  <c r="X46" i="13" s="1"/>
  <c r="Y46" i="13" s="1"/>
  <c r="D10" i="13" s="1"/>
  <c r="F45" i="13"/>
  <c r="F44" i="13"/>
  <c r="V44" i="13" s="1"/>
  <c r="W44" i="13" s="1"/>
  <c r="K124" i="30"/>
  <c r="K114" i="30"/>
  <c r="K77" i="30"/>
  <c r="K51" i="30"/>
  <c r="E55" i="13"/>
  <c r="F55" i="13" s="1"/>
  <c r="F54" i="13"/>
  <c r="G54" i="13" s="1"/>
  <c r="L54" i="13" s="1"/>
  <c r="E39" i="13"/>
  <c r="F39" i="13" s="1"/>
  <c r="M12" i="13"/>
  <c r="Q12" i="13"/>
  <c r="J12" i="13"/>
  <c r="N12" i="13"/>
  <c r="R12" i="13"/>
  <c r="J6" i="13"/>
  <c r="N6" i="13"/>
  <c r="R6" i="13"/>
  <c r="K6" i="13"/>
  <c r="O6" i="13"/>
  <c r="S6" i="13"/>
  <c r="B12" i="25"/>
  <c r="S7" i="13"/>
  <c r="O7" i="13"/>
  <c r="I223" i="27"/>
  <c r="I221" i="27"/>
  <c r="I482" i="27"/>
  <c r="I478" i="27"/>
  <c r="I479" i="27"/>
  <c r="K215" i="30"/>
  <c r="J215" i="30" s="1"/>
  <c r="R215" i="30" s="1"/>
  <c r="K204" i="30"/>
  <c r="J204" i="30" s="1"/>
  <c r="I75" i="27"/>
  <c r="K369" i="30"/>
  <c r="K202" i="30"/>
  <c r="J202" i="30" s="1"/>
  <c r="R202" i="30" s="1"/>
  <c r="R172" i="30"/>
  <c r="F40" i="13"/>
  <c r="I75" i="30"/>
  <c r="I74" i="30"/>
  <c r="F42" i="13"/>
  <c r="V42" i="13" s="1"/>
  <c r="S12" i="13"/>
  <c r="R7" i="13"/>
  <c r="D56" i="13"/>
  <c r="E56" i="13" s="1"/>
  <c r="F56" i="13" s="1"/>
  <c r="P56" i="13" s="1"/>
  <c r="N7" i="13"/>
  <c r="T7" i="13"/>
  <c r="K145" i="30"/>
  <c r="O145" i="30" s="1"/>
  <c r="K145" i="27"/>
  <c r="J145" i="27" s="1"/>
  <c r="K145" i="26"/>
  <c r="O145" i="26" s="1"/>
  <c r="I334" i="26"/>
  <c r="I335" i="26" s="1"/>
  <c r="I403" i="27"/>
  <c r="I402" i="27"/>
  <c r="I383" i="27"/>
  <c r="K321" i="30"/>
  <c r="J321" i="30" s="1"/>
  <c r="J145" i="26"/>
  <c r="L145" i="26" s="1"/>
  <c r="L144" i="26" s="1"/>
  <c r="L143" i="26" s="1"/>
  <c r="J196" i="41" l="1"/>
  <c r="R196" i="41" s="1"/>
  <c r="O196" i="41"/>
  <c r="L126" i="41"/>
  <c r="L125" i="41" s="1"/>
  <c r="I474" i="27"/>
  <c r="L419" i="27"/>
  <c r="I228" i="27"/>
  <c r="J170" i="27"/>
  <c r="L170" i="27" s="1"/>
  <c r="L169" i="27" s="1"/>
  <c r="L927" i="30"/>
  <c r="L926" i="30" s="1"/>
  <c r="R31" i="26"/>
  <c r="J75" i="41"/>
  <c r="O75" i="41"/>
  <c r="L923" i="30"/>
  <c r="L922" i="30" s="1"/>
  <c r="K870" i="27"/>
  <c r="J870" i="27" s="1"/>
  <c r="L870" i="27" s="1"/>
  <c r="P42" i="13"/>
  <c r="G42" i="13"/>
  <c r="L42" i="13" s="1"/>
  <c r="M42" i="13" s="1"/>
  <c r="N42" i="13" s="1"/>
  <c r="O42" i="13" s="1"/>
  <c r="L698" i="27"/>
  <c r="L180" i="27"/>
  <c r="L178" i="27" s="1"/>
  <c r="O175" i="27"/>
  <c r="K100" i="35"/>
  <c r="J100" i="35" s="1"/>
  <c r="L100" i="35" s="1"/>
  <c r="K134" i="35"/>
  <c r="J134" i="35" s="1"/>
  <c r="L134" i="35" s="1"/>
  <c r="K230" i="35"/>
  <c r="J230" i="35" s="1"/>
  <c r="L230" i="35" s="1"/>
  <c r="K111" i="35"/>
  <c r="J111" i="35" s="1"/>
  <c r="L111" i="35" s="1"/>
  <c r="K135" i="35"/>
  <c r="J135" i="35" s="1"/>
  <c r="L135" i="35" s="1"/>
  <c r="K231" i="35"/>
  <c r="J231" i="35" s="1"/>
  <c r="L231" i="35" s="1"/>
  <c r="K57" i="35"/>
  <c r="J57" i="35" s="1"/>
  <c r="L57" i="35" s="1"/>
  <c r="K94" i="35"/>
  <c r="J94" i="35" s="1"/>
  <c r="L94" i="35" s="1"/>
  <c r="O175" i="26"/>
  <c r="K142" i="35"/>
  <c r="J142" i="35" s="1"/>
  <c r="L142" i="35" s="1"/>
  <c r="K33" i="35"/>
  <c r="J33" i="35" s="1"/>
  <c r="L33" i="35" s="1"/>
  <c r="L31" i="35" s="1"/>
  <c r="K229" i="35"/>
  <c r="J229" i="35" s="1"/>
  <c r="L229" i="35" s="1"/>
  <c r="I323" i="30"/>
  <c r="L323" i="30" s="1"/>
  <c r="L355" i="35"/>
  <c r="L900" i="27"/>
  <c r="L899" i="27" s="1"/>
  <c r="L898" i="27" s="1"/>
  <c r="L897" i="27" s="1"/>
  <c r="L775" i="30"/>
  <c r="R294" i="27"/>
  <c r="L292" i="27"/>
  <c r="L291" i="27" s="1"/>
  <c r="K318" i="27"/>
  <c r="J318" i="27" s="1"/>
  <c r="L318" i="27" s="1"/>
  <c r="K133" i="27"/>
  <c r="J133" i="27" s="1"/>
  <c r="L133" i="27" s="1"/>
  <c r="K773" i="30"/>
  <c r="J773" i="30" s="1"/>
  <c r="L773" i="30" s="1"/>
  <c r="K720" i="30"/>
  <c r="J720" i="30" s="1"/>
  <c r="L720" i="30" s="1"/>
  <c r="K611" i="30"/>
  <c r="J611" i="30" s="1"/>
  <c r="L611" i="30" s="1"/>
  <c r="L610" i="30" s="1"/>
  <c r="K600" i="30"/>
  <c r="J600" i="30" s="1"/>
  <c r="L600" i="30" s="1"/>
  <c r="K133" i="30"/>
  <c r="J133" i="30" s="1"/>
  <c r="L133" i="30" s="1"/>
  <c r="O207" i="27"/>
  <c r="I475" i="27"/>
  <c r="I476" i="27"/>
  <c r="L12" i="26"/>
  <c r="L509" i="26"/>
  <c r="L571" i="27"/>
  <c r="O156" i="27"/>
  <c r="L544" i="30"/>
  <c r="L540" i="30"/>
  <c r="L530" i="30"/>
  <c r="L520" i="30"/>
  <c r="L514" i="30"/>
  <c r="K494" i="30"/>
  <c r="J494" i="30" s="1"/>
  <c r="L494" i="30" s="1"/>
  <c r="K322" i="30"/>
  <c r="J322" i="30" s="1"/>
  <c r="K215" i="35"/>
  <c r="J215" i="35" s="1"/>
  <c r="L215" i="35" s="1"/>
  <c r="K236" i="35"/>
  <c r="K225" i="35"/>
  <c r="J225" i="35" s="1"/>
  <c r="L225" i="35" s="1"/>
  <c r="K249" i="35"/>
  <c r="J249" i="35" s="1"/>
  <c r="K893" i="30"/>
  <c r="J893" i="30" s="1"/>
  <c r="L893" i="30" s="1"/>
  <c r="L889" i="30" s="1"/>
  <c r="L888" i="30" s="1"/>
  <c r="L887" i="30" s="1"/>
  <c r="I328" i="26"/>
  <c r="L328" i="26" s="1"/>
  <c r="R292" i="26"/>
  <c r="L414" i="26"/>
  <c r="L407" i="30"/>
  <c r="L881" i="27"/>
  <c r="L776" i="30"/>
  <c r="L587" i="30"/>
  <c r="L565" i="30"/>
  <c r="I208" i="26"/>
  <c r="O208" i="26" s="1"/>
  <c r="L242" i="26"/>
  <c r="L394" i="26"/>
  <c r="L209" i="27"/>
  <c r="L447" i="30"/>
  <c r="L446" i="30" s="1"/>
  <c r="L442" i="30"/>
  <c r="L438" i="30"/>
  <c r="L432" i="30"/>
  <c r="L424" i="30"/>
  <c r="V53" i="13"/>
  <c r="W53" i="13" s="1"/>
  <c r="L408" i="26"/>
  <c r="R799" i="26"/>
  <c r="G59" i="13"/>
  <c r="L59" i="13" s="1"/>
  <c r="M59" i="13" s="1"/>
  <c r="K279" i="26"/>
  <c r="J279" i="26" s="1"/>
  <c r="L279" i="26" s="1"/>
  <c r="L278" i="26" s="1"/>
  <c r="L277" i="26" s="1"/>
  <c r="R291" i="26"/>
  <c r="L473" i="26"/>
  <c r="L449" i="27"/>
  <c r="K182" i="30"/>
  <c r="O182" i="30" s="1"/>
  <c r="C13" i="34"/>
  <c r="L170" i="26"/>
  <c r="L169" i="26" s="1"/>
  <c r="O170" i="26"/>
  <c r="M54" i="13"/>
  <c r="N54" i="13" s="1"/>
  <c r="O54" i="13" s="1"/>
  <c r="C13" i="13" s="1"/>
  <c r="F13" i="13" s="1"/>
  <c r="I13" i="13" s="1"/>
  <c r="E61" i="13"/>
  <c r="F61" i="13" s="1"/>
  <c r="L352" i="27"/>
  <c r="L210" i="27"/>
  <c r="L304" i="30"/>
  <c r="I19" i="33"/>
  <c r="V54" i="13"/>
  <c r="W54" i="13" s="1"/>
  <c r="X54" i="13" s="1"/>
  <c r="Y54" i="13" s="1"/>
  <c r="D13" i="13" s="1"/>
  <c r="G13" i="13" s="1"/>
  <c r="P54" i="13"/>
  <c r="O490" i="26"/>
  <c r="L447" i="26"/>
  <c r="L417" i="26"/>
  <c r="L416" i="26"/>
  <c r="L415" i="26"/>
  <c r="L354" i="26"/>
  <c r="L353" i="26" s="1"/>
  <c r="L311" i="26"/>
  <c r="L551" i="27"/>
  <c r="L535" i="27"/>
  <c r="L408" i="27"/>
  <c r="L284" i="27"/>
  <c r="O225" i="27"/>
  <c r="R175" i="30"/>
  <c r="G53" i="13"/>
  <c r="L53" i="13" s="1"/>
  <c r="L698" i="26"/>
  <c r="L495" i="26"/>
  <c r="L320" i="26"/>
  <c r="L319" i="26" s="1"/>
  <c r="L233" i="26"/>
  <c r="O225" i="26"/>
  <c r="L190" i="26"/>
  <c r="O159" i="26"/>
  <c r="O158" i="26"/>
  <c r="O157" i="26"/>
  <c r="L558" i="27"/>
  <c r="L517" i="26"/>
  <c r="L484" i="26"/>
  <c r="L477" i="26"/>
  <c r="L436" i="26"/>
  <c r="L409" i="26"/>
  <c r="L396" i="26"/>
  <c r="L351" i="26"/>
  <c r="L874" i="27"/>
  <c r="L873" i="27" s="1"/>
  <c r="L872" i="27" s="1"/>
  <c r="L871" i="27" s="1"/>
  <c r="L527" i="27"/>
  <c r="L526" i="27"/>
  <c r="L450" i="27"/>
  <c r="L416" i="27"/>
  <c r="L410" i="27"/>
  <c r="L409" i="27"/>
  <c r="O398" i="27"/>
  <c r="L364" i="27"/>
  <c r="L363" i="27"/>
  <c r="L349" i="27"/>
  <c r="L326" i="27"/>
  <c r="L325" i="27" s="1"/>
  <c r="L241" i="27"/>
  <c r="O218" i="27"/>
  <c r="L330" i="30"/>
  <c r="L329" i="30" s="1"/>
  <c r="L318" i="30"/>
  <c r="L317" i="30"/>
  <c r="L316" i="30"/>
  <c r="L198" i="30"/>
  <c r="O156" i="26"/>
  <c r="L582" i="27"/>
  <c r="L324" i="27"/>
  <c r="L323" i="27" s="1"/>
  <c r="L772" i="30"/>
  <c r="L358" i="30"/>
  <c r="I322" i="30"/>
  <c r="L664" i="26"/>
  <c r="L663" i="26" s="1"/>
  <c r="L524" i="26"/>
  <c r="L466" i="26"/>
  <c r="O145" i="27"/>
  <c r="J145" i="30"/>
  <c r="L145" i="30" s="1"/>
  <c r="L144" i="30" s="1"/>
  <c r="L143" i="30" s="1"/>
  <c r="P46" i="13"/>
  <c r="L449" i="26"/>
  <c r="L448" i="26"/>
  <c r="L327" i="26"/>
  <c r="L317" i="26"/>
  <c r="L312" i="26"/>
  <c r="L745" i="27"/>
  <c r="L740" i="27"/>
  <c r="L567" i="27"/>
  <c r="L513" i="30"/>
  <c r="L458" i="30"/>
  <c r="K695" i="27"/>
  <c r="J695" i="27" s="1"/>
  <c r="L695" i="27" s="1"/>
  <c r="G55" i="13"/>
  <c r="L55" i="13" s="1"/>
  <c r="M55" i="13" s="1"/>
  <c r="N55" i="13" s="1"/>
  <c r="O55" i="13" s="1"/>
  <c r="P55" i="13"/>
  <c r="P59" i="13"/>
  <c r="I297" i="26"/>
  <c r="L297" i="26" s="1"/>
  <c r="L697" i="26"/>
  <c r="L470" i="26"/>
  <c r="L437" i="26"/>
  <c r="L401" i="26"/>
  <c r="L389" i="26"/>
  <c r="L388" i="26"/>
  <c r="L384" i="26"/>
  <c r="G46" i="13"/>
  <c r="L46" i="13" s="1"/>
  <c r="M46" i="13" s="1"/>
  <c r="I756" i="27"/>
  <c r="L800" i="26"/>
  <c r="L817" i="26"/>
  <c r="L816" i="26" s="1"/>
  <c r="O472" i="26"/>
  <c r="L379" i="26"/>
  <c r="L364" i="26"/>
  <c r="L361" i="26"/>
  <c r="L290" i="26"/>
  <c r="L289" i="26" s="1"/>
  <c r="L568" i="27"/>
  <c r="L549" i="27"/>
  <c r="L547" i="27"/>
  <c r="L537" i="27"/>
  <c r="L488" i="27"/>
  <c r="L487" i="27"/>
  <c r="L443" i="27"/>
  <c r="L442" i="27" s="1"/>
  <c r="L428" i="27"/>
  <c r="L421" i="27"/>
  <c r="L420" i="27"/>
  <c r="O392" i="27"/>
  <c r="O388" i="27"/>
  <c r="L354" i="27"/>
  <c r="L305" i="27"/>
  <c r="L242" i="27"/>
  <c r="L579" i="30"/>
  <c r="L504" i="30"/>
  <c r="L368" i="30"/>
  <c r="L486" i="30"/>
  <c r="L460" i="30"/>
  <c r="L449" i="30"/>
  <c r="L445" i="30"/>
  <c r="L356" i="30"/>
  <c r="L351" i="30"/>
  <c r="L350" i="30"/>
  <c r="L305" i="30"/>
  <c r="L288" i="30"/>
  <c r="L208" i="30"/>
  <c r="L691" i="27"/>
  <c r="L576" i="27"/>
  <c r="L575" i="27"/>
  <c r="L503" i="27"/>
  <c r="L491" i="27"/>
  <c r="L440" i="27"/>
  <c r="L390" i="27"/>
  <c r="L313" i="27"/>
  <c r="L240" i="27"/>
  <c r="L563" i="30"/>
  <c r="L548" i="30"/>
  <c r="L546" i="30"/>
  <c r="L532" i="30"/>
  <c r="L492" i="30"/>
  <c r="L12" i="30"/>
  <c r="R145" i="27"/>
  <c r="L145" i="27"/>
  <c r="L144" i="27" s="1"/>
  <c r="L143" i="27" s="1"/>
  <c r="L801" i="26"/>
  <c r="P47" i="13"/>
  <c r="G47" i="13"/>
  <c r="L47" i="13" s="1"/>
  <c r="M47" i="13" s="1"/>
  <c r="R815" i="26"/>
  <c r="L690" i="26"/>
  <c r="L689" i="26"/>
  <c r="I684" i="26"/>
  <c r="L684" i="26" s="1"/>
  <c r="I685" i="26"/>
  <c r="L803" i="26"/>
  <c r="L802" i="26" s="1"/>
  <c r="E58" i="13"/>
  <c r="F58" i="13" s="1"/>
  <c r="L693" i="26"/>
  <c r="L499" i="26"/>
  <c r="L494" i="26"/>
  <c r="L493" i="26"/>
  <c r="O485" i="26"/>
  <c r="L475" i="26"/>
  <c r="L425" i="26"/>
  <c r="L418" i="26"/>
  <c r="L410" i="26"/>
  <c r="L404" i="26"/>
  <c r="L400" i="26"/>
  <c r="L383" i="26"/>
  <c r="L375" i="26"/>
  <c r="O374" i="26"/>
  <c r="L352" i="26"/>
  <c r="L347" i="26"/>
  <c r="L310" i="26"/>
  <c r="L309" i="26"/>
  <c r="L305" i="26"/>
  <c r="O192" i="26"/>
  <c r="L583" i="27"/>
  <c r="L752" i="27"/>
  <c r="O341" i="27"/>
  <c r="L525" i="26"/>
  <c r="O518" i="26"/>
  <c r="L461" i="26"/>
  <c r="L456" i="26"/>
  <c r="L434" i="26"/>
  <c r="L423" i="26"/>
  <c r="L422" i="26"/>
  <c r="L407" i="26"/>
  <c r="L336" i="26"/>
  <c r="L180" i="26"/>
  <c r="L178" i="26" s="1"/>
  <c r="L146" i="26"/>
  <c r="L579" i="27"/>
  <c r="L562" i="27"/>
  <c r="L559" i="27"/>
  <c r="L554" i="27"/>
  <c r="L540" i="27"/>
  <c r="L531" i="27"/>
  <c r="L528" i="27"/>
  <c r="L472" i="27"/>
  <c r="L467" i="27"/>
  <c r="L454" i="27"/>
  <c r="L448" i="27"/>
  <c r="L437" i="27"/>
  <c r="L432" i="27"/>
  <c r="L431" i="27"/>
  <c r="L405" i="27"/>
  <c r="O365" i="27"/>
  <c r="L353" i="27"/>
  <c r="O161" i="27"/>
  <c r="L580" i="30"/>
  <c r="L566" i="30"/>
  <c r="L551" i="30"/>
  <c r="L516" i="30"/>
  <c r="L515" i="30" s="1"/>
  <c r="L451" i="30"/>
  <c r="L437" i="30"/>
  <c r="L436" i="30"/>
  <c r="L406" i="30"/>
  <c r="L341" i="30"/>
  <c r="O340" i="30"/>
  <c r="I239" i="30"/>
  <c r="O239" i="30" s="1"/>
  <c r="K54" i="30"/>
  <c r="J54" i="30" s="1"/>
  <c r="R54" i="30" s="1"/>
  <c r="L536" i="27"/>
  <c r="L516" i="27"/>
  <c r="O506" i="27"/>
  <c r="L456" i="27"/>
  <c r="L452" i="27"/>
  <c r="L446" i="27"/>
  <c r="L434" i="27"/>
  <c r="L164" i="27"/>
  <c r="O158" i="27"/>
  <c r="L157" i="27"/>
  <c r="L495" i="30"/>
  <c r="L471" i="30"/>
  <c r="L453" i="30"/>
  <c r="L427" i="30"/>
  <c r="L425" i="30"/>
  <c r="L418" i="30"/>
  <c r="L387" i="30"/>
  <c r="L382" i="30"/>
  <c r="L360" i="30"/>
  <c r="L359" i="30" s="1"/>
  <c r="L249" i="30"/>
  <c r="O183" i="30"/>
  <c r="L400" i="27"/>
  <c r="L338" i="27"/>
  <c r="L482" i="27"/>
  <c r="I380" i="27"/>
  <c r="I376" i="27"/>
  <c r="O376" i="27" s="1"/>
  <c r="I377" i="27"/>
  <c r="L377" i="27" s="1"/>
  <c r="I378" i="27"/>
  <c r="O378" i="27" s="1"/>
  <c r="L317" i="27"/>
  <c r="O115" i="27"/>
  <c r="L115" i="27"/>
  <c r="L114" i="27" s="1"/>
  <c r="G40" i="13"/>
  <c r="L40" i="13" s="1"/>
  <c r="P40" i="13"/>
  <c r="L595" i="27"/>
  <c r="V40" i="13"/>
  <c r="U12" i="13"/>
  <c r="I676" i="26"/>
  <c r="L676" i="26" s="1"/>
  <c r="V56" i="13"/>
  <c r="W56" i="13" s="1"/>
  <c r="X56" i="13" s="1"/>
  <c r="Y56" i="13" s="1"/>
  <c r="W42" i="13"/>
  <c r="X42" i="13" s="1"/>
  <c r="Y42" i="13" s="1"/>
  <c r="U6" i="13"/>
  <c r="I75" i="26"/>
  <c r="L75" i="26" s="1"/>
  <c r="J176" i="26"/>
  <c r="O176" i="26"/>
  <c r="D14" i="25"/>
  <c r="D21" i="25" s="1"/>
  <c r="D12" i="25"/>
  <c r="D15" i="25" s="1"/>
  <c r="D19" i="25" s="1"/>
  <c r="P45" i="13"/>
  <c r="G45" i="13"/>
  <c r="L45" i="13" s="1"/>
  <c r="O115" i="26"/>
  <c r="L115" i="26"/>
  <c r="L114" i="26" s="1"/>
  <c r="L321" i="30"/>
  <c r="L904" i="27"/>
  <c r="L903" i="27" s="1"/>
  <c r="L902" i="27" s="1"/>
  <c r="L901" i="27" s="1"/>
  <c r="L798" i="26"/>
  <c r="L797" i="26" s="1"/>
  <c r="R145" i="26"/>
  <c r="G56" i="13"/>
  <c r="L56" i="13" s="1"/>
  <c r="M56" i="13" s="1"/>
  <c r="N56" i="13" s="1"/>
  <c r="O56" i="13" s="1"/>
  <c r="X44" i="13"/>
  <c r="Y44" i="13" s="1"/>
  <c r="O369" i="30"/>
  <c r="X47" i="13"/>
  <c r="Y47" i="13" s="1"/>
  <c r="D14" i="13" s="1"/>
  <c r="P44" i="13"/>
  <c r="G44" i="13"/>
  <c r="L44" i="13" s="1"/>
  <c r="E60" i="13"/>
  <c r="F60" i="13" s="1"/>
  <c r="L175" i="27"/>
  <c r="L174" i="27" s="1"/>
  <c r="L173" i="27" s="1"/>
  <c r="I379" i="27"/>
  <c r="L379" i="27" s="1"/>
  <c r="I320" i="30"/>
  <c r="I324" i="30"/>
  <c r="L324" i="30" s="1"/>
  <c r="G57" i="13"/>
  <c r="L57" i="13" s="1"/>
  <c r="V57" i="13"/>
  <c r="W57" i="13" s="1"/>
  <c r="L680" i="26"/>
  <c r="L500" i="26"/>
  <c r="L467" i="26"/>
  <c r="L395" i="26"/>
  <c r="L335" i="26"/>
  <c r="L591" i="27"/>
  <c r="L590" i="27"/>
  <c r="L74" i="26"/>
  <c r="L753" i="27"/>
  <c r="L509" i="27"/>
  <c r="L479" i="27"/>
  <c r="L476" i="27"/>
  <c r="O462" i="27"/>
  <c r="L461" i="27"/>
  <c r="L438" i="27"/>
  <c r="L406" i="27"/>
  <c r="L396" i="27"/>
  <c r="L675" i="26"/>
  <c r="L528" i="26"/>
  <c r="L527" i="26"/>
  <c r="L520" i="26"/>
  <c r="L516" i="26"/>
  <c r="L489" i="26"/>
  <c r="L421" i="26"/>
  <c r="L403" i="26"/>
  <c r="L398" i="26"/>
  <c r="L397" i="26"/>
  <c r="L386" i="26"/>
  <c r="L378" i="26"/>
  <c r="O363" i="26"/>
  <c r="L324" i="26"/>
  <c r="L323" i="26" s="1"/>
  <c r="L315" i="26"/>
  <c r="L266" i="26"/>
  <c r="L265" i="26" s="1"/>
  <c r="L241" i="26"/>
  <c r="L240" i="26"/>
  <c r="L232" i="26"/>
  <c r="L230" i="26"/>
  <c r="O196" i="26"/>
  <c r="L149" i="26"/>
  <c r="L750" i="27"/>
  <c r="L749" i="27"/>
  <c r="L510" i="27"/>
  <c r="O480" i="27"/>
  <c r="L384" i="27"/>
  <c r="L303" i="27"/>
  <c r="L302" i="27"/>
  <c r="L301" i="27"/>
  <c r="L300" i="27"/>
  <c r="L299" i="27"/>
  <c r="L260" i="27"/>
  <c r="L75" i="27"/>
  <c r="X59" i="13"/>
  <c r="Y59" i="13" s="1"/>
  <c r="D19" i="13" s="1"/>
  <c r="R170" i="27"/>
  <c r="L813" i="26"/>
  <c r="L812" i="26" s="1"/>
  <c r="L695" i="26"/>
  <c r="L694" i="26"/>
  <c r="O514" i="26"/>
  <c r="O512" i="26"/>
  <c r="O502" i="26"/>
  <c r="L501" i="26"/>
  <c r="L468" i="26"/>
  <c r="L458" i="26"/>
  <c r="L419" i="26"/>
  <c r="L412" i="26"/>
  <c r="L411" i="26" s="1"/>
  <c r="L406" i="26"/>
  <c r="L402" i="26"/>
  <c r="L392" i="26"/>
  <c r="L344" i="26"/>
  <c r="L326" i="26"/>
  <c r="L322" i="26"/>
  <c r="L321" i="26" s="1"/>
  <c r="L318" i="26"/>
  <c r="L314" i="26"/>
  <c r="L307" i="26"/>
  <c r="L306" i="26" s="1"/>
  <c r="L303" i="26"/>
  <c r="L175" i="26"/>
  <c r="L77" i="26"/>
  <c r="L76" i="26" s="1"/>
  <c r="L69" i="26"/>
  <c r="L741" i="27"/>
  <c r="L697" i="27"/>
  <c r="L587" i="27"/>
  <c r="L580" i="27"/>
  <c r="L417" i="27"/>
  <c r="L544" i="27"/>
  <c r="L541" i="27"/>
  <c r="L515" i="27"/>
  <c r="O504" i="27"/>
  <c r="O494" i="27"/>
  <c r="L490" i="27"/>
  <c r="L433" i="27"/>
  <c r="L427" i="27"/>
  <c r="L426" i="27"/>
  <c r="L425" i="27"/>
  <c r="L337" i="27"/>
  <c r="L328" i="27"/>
  <c r="L309" i="27"/>
  <c r="L308" i="27" s="1"/>
  <c r="O159" i="27"/>
  <c r="L74" i="27"/>
  <c r="O69" i="27"/>
  <c r="L583" i="30"/>
  <c r="L149" i="27"/>
  <c r="L497" i="27"/>
  <c r="O492" i="27"/>
  <c r="L485" i="27"/>
  <c r="L473" i="27"/>
  <c r="L457" i="27"/>
  <c r="L445" i="27"/>
  <c r="L441" i="27"/>
  <c r="L435" i="27"/>
  <c r="L429" i="27"/>
  <c r="L401" i="27"/>
  <c r="L389" i="27"/>
  <c r="L383" i="27"/>
  <c r="L366" i="27"/>
  <c r="L362" i="27"/>
  <c r="L356" i="27"/>
  <c r="L355" i="27" s="1"/>
  <c r="L347" i="27"/>
  <c r="L346" i="27"/>
  <c r="L322" i="27"/>
  <c r="L321" i="27" s="1"/>
  <c r="L312" i="27"/>
  <c r="L311" i="27"/>
  <c r="L205" i="27"/>
  <c r="L778" i="30"/>
  <c r="L763" i="30"/>
  <c r="L529" i="30"/>
  <c r="L509" i="30"/>
  <c r="L498" i="30"/>
  <c r="L433" i="30"/>
  <c r="L399" i="30"/>
  <c r="L367" i="30"/>
  <c r="L728" i="30"/>
  <c r="L702" i="30"/>
  <c r="L701" i="30"/>
  <c r="L591" i="30"/>
  <c r="L584" i="30"/>
  <c r="L575" i="30"/>
  <c r="L562" i="30"/>
  <c r="L550" i="30"/>
  <c r="L539" i="30"/>
  <c r="L533" i="30"/>
  <c r="L507" i="30"/>
  <c r="L503" i="30"/>
  <c r="L443" i="30"/>
  <c r="L439" i="30"/>
  <c r="L430" i="30"/>
  <c r="L429" i="30"/>
  <c r="L419" i="30"/>
  <c r="L400" i="30"/>
  <c r="L366" i="30"/>
  <c r="L105" i="30"/>
  <c r="L84" i="30"/>
  <c r="L77" i="30"/>
  <c r="L76" i="30" s="1"/>
  <c r="K7" i="13"/>
  <c r="P7" i="13"/>
  <c r="Q7" i="13"/>
  <c r="O767" i="30"/>
  <c r="L545" i="30"/>
  <c r="L541" i="30"/>
  <c r="L531" i="30"/>
  <c r="L497" i="30"/>
  <c r="L496" i="30"/>
  <c r="L477" i="30"/>
  <c r="O473" i="30"/>
  <c r="L465" i="30"/>
  <c r="L454" i="30"/>
  <c r="L450" i="30"/>
  <c r="L386" i="30"/>
  <c r="L381" i="30"/>
  <c r="L370" i="30"/>
  <c r="L326" i="30"/>
  <c r="L325" i="30" s="1"/>
  <c r="L310" i="30"/>
  <c r="L307" i="30"/>
  <c r="L306" i="30"/>
  <c r="O225" i="30"/>
  <c r="L172" i="30"/>
  <c r="L171" i="30" s="1"/>
  <c r="L149" i="30"/>
  <c r="K95" i="30"/>
  <c r="J95" i="30" s="1"/>
  <c r="L95" i="30" s="1"/>
  <c r="L779" i="30"/>
  <c r="L768" i="30"/>
  <c r="L764" i="30"/>
  <c r="O744" i="30"/>
  <c r="L699" i="30"/>
  <c r="L586" i="30"/>
  <c r="L578" i="30"/>
  <c r="L572" i="30"/>
  <c r="L571" i="30"/>
  <c r="L558" i="30"/>
  <c r="L555" i="30"/>
  <c r="L553" i="30"/>
  <c r="L501" i="30"/>
  <c r="L489" i="30"/>
  <c r="O472" i="30"/>
  <c r="L468" i="30"/>
  <c r="L420" i="30"/>
  <c r="L410" i="30"/>
  <c r="L357" i="30"/>
  <c r="K311" i="30"/>
  <c r="J311" i="30" s="1"/>
  <c r="L311" i="30" s="1"/>
  <c r="M7" i="13"/>
  <c r="L470" i="30"/>
  <c r="L461" i="30"/>
  <c r="L456" i="30"/>
  <c r="L452" i="30"/>
  <c r="L444" i="30"/>
  <c r="L431" i="30"/>
  <c r="L421" i="30"/>
  <c r="L413" i="30"/>
  <c r="L405" i="30"/>
  <c r="L404" i="30"/>
  <c r="L393" i="30"/>
  <c r="L384" i="30"/>
  <c r="O345" i="30"/>
  <c r="L342" i="30"/>
  <c r="L334" i="30"/>
  <c r="L328" i="30"/>
  <c r="L327" i="30" s="1"/>
  <c r="L315" i="30"/>
  <c r="L244" i="30"/>
  <c r="O159" i="30"/>
  <c r="L353" i="30"/>
  <c r="L332" i="30"/>
  <c r="L313" i="30"/>
  <c r="L312" i="30" s="1"/>
  <c r="L309" i="30"/>
  <c r="L303" i="30"/>
  <c r="L243" i="30"/>
  <c r="L242" i="30"/>
  <c r="O158" i="30"/>
  <c r="L127" i="30"/>
  <c r="L75" i="30"/>
  <c r="I10" i="33"/>
  <c r="C16" i="34"/>
  <c r="C14" i="34"/>
  <c r="L320" i="30"/>
  <c r="M26" i="29"/>
  <c r="J32" i="29"/>
  <c r="N33" i="29"/>
  <c r="J33" i="29"/>
  <c r="M25" i="29"/>
  <c r="L33" i="29"/>
  <c r="O470" i="30"/>
  <c r="L375" i="30"/>
  <c r="L374" i="30" s="1"/>
  <c r="L268" i="30"/>
  <c r="L267" i="30" s="1"/>
  <c r="L347" i="30"/>
  <c r="L346" i="30" s="1"/>
  <c r="O388" i="30"/>
  <c r="L14" i="30"/>
  <c r="R827" i="30"/>
  <c r="R165" i="30"/>
  <c r="R716" i="30"/>
  <c r="L344" i="30"/>
  <c r="J345" i="30"/>
  <c r="R345" i="30" s="1"/>
  <c r="L160" i="30"/>
  <c r="R788" i="30"/>
  <c r="R112" i="30"/>
  <c r="L849" i="30"/>
  <c r="J225" i="30"/>
  <c r="R225" i="30" s="1"/>
  <c r="R807" i="30"/>
  <c r="L195" i="30"/>
  <c r="L210" i="30"/>
  <c r="L480" i="30"/>
  <c r="O24" i="30"/>
  <c r="L561" i="30"/>
  <c r="L388" i="30"/>
  <c r="L395" i="30"/>
  <c r="R128" i="30"/>
  <c r="L161" i="30"/>
  <c r="L488" i="30"/>
  <c r="R575" i="30"/>
  <c r="J159" i="30"/>
  <c r="L159" i="30" s="1"/>
  <c r="L231" i="30"/>
  <c r="L392" i="30"/>
  <c r="R914" i="30"/>
  <c r="L910" i="30"/>
  <c r="R470" i="30"/>
  <c r="R817" i="30"/>
  <c r="R902" i="30"/>
  <c r="R503" i="30"/>
  <c r="L574" i="30"/>
  <c r="L402" i="27"/>
  <c r="R550" i="30"/>
  <c r="R835" i="30"/>
  <c r="R828" i="30"/>
  <c r="R509" i="30"/>
  <c r="R529" i="30"/>
  <c r="L799" i="30"/>
  <c r="J901" i="30"/>
  <c r="R901" i="30" s="1"/>
  <c r="L371" i="27"/>
  <c r="L370" i="27" s="1"/>
  <c r="J799" i="27"/>
  <c r="R799" i="27" s="1"/>
  <c r="O817" i="27"/>
  <c r="L863" i="30"/>
  <c r="L484" i="30"/>
  <c r="L506" i="30"/>
  <c r="R836" i="30"/>
  <c r="O396" i="27"/>
  <c r="L14" i="27"/>
  <c r="J687" i="27"/>
  <c r="L687" i="27" s="1"/>
  <c r="L256" i="30"/>
  <c r="L229" i="30"/>
  <c r="L401" i="30"/>
  <c r="R55" i="30"/>
  <c r="O384" i="27"/>
  <c r="L594" i="30"/>
  <c r="L593" i="30" s="1"/>
  <c r="L592" i="30" s="1"/>
  <c r="L116" i="27"/>
  <c r="L521" i="30"/>
  <c r="R896" i="27"/>
  <c r="L23" i="30"/>
  <c r="R384" i="27"/>
  <c r="L212" i="30"/>
  <c r="R862" i="27"/>
  <c r="J769" i="27"/>
  <c r="L769" i="27" s="1"/>
  <c r="L484" i="27"/>
  <c r="R816" i="30"/>
  <c r="J392" i="27"/>
  <c r="L392" i="27" s="1"/>
  <c r="R800" i="30"/>
  <c r="R498" i="30"/>
  <c r="R240" i="30"/>
  <c r="J751" i="30"/>
  <c r="R751" i="30" s="1"/>
  <c r="R228" i="30"/>
  <c r="O24" i="27"/>
  <c r="R196" i="30"/>
  <c r="L510" i="30"/>
  <c r="O160" i="30"/>
  <c r="R829" i="30"/>
  <c r="L130" i="27"/>
  <c r="O482" i="27"/>
  <c r="Q25" i="29"/>
  <c r="N25" i="29"/>
  <c r="H26" i="29"/>
  <c r="G25" i="29"/>
  <c r="I25" i="29"/>
  <c r="R20" i="26"/>
  <c r="O811" i="27"/>
  <c r="O262" i="26"/>
  <c r="L262" i="26"/>
  <c r="O35" i="29"/>
  <c r="K33" i="29"/>
  <c r="L25" i="29"/>
  <c r="P25" i="29"/>
  <c r="R234" i="27"/>
  <c r="O890" i="30"/>
  <c r="R486" i="30"/>
  <c r="L17" i="30"/>
  <c r="L833" i="30"/>
  <c r="L476" i="30"/>
  <c r="O748" i="30"/>
  <c r="J265" i="30"/>
  <c r="R265" i="30" s="1"/>
  <c r="R18" i="30"/>
  <c r="J378" i="27"/>
  <c r="R378" i="27" s="1"/>
  <c r="O168" i="27"/>
  <c r="J161" i="27"/>
  <c r="L161" i="27" s="1"/>
  <c r="O164" i="27"/>
  <c r="L244" i="27"/>
  <c r="J225" i="27"/>
  <c r="R225" i="27" s="1"/>
  <c r="R211" i="27"/>
  <c r="R252" i="27"/>
  <c r="R22" i="30"/>
  <c r="L561" i="27"/>
  <c r="O768" i="27"/>
  <c r="L251" i="27"/>
  <c r="L814" i="27"/>
  <c r="O812" i="27"/>
  <c r="O815" i="27"/>
  <c r="L30" i="26"/>
  <c r="L573" i="30"/>
  <c r="O472" i="27"/>
  <c r="L402" i="30"/>
  <c r="J472" i="26"/>
  <c r="R472" i="26" s="1"/>
  <c r="O463" i="27"/>
  <c r="R806" i="27"/>
  <c r="R20" i="27"/>
  <c r="O264" i="30"/>
  <c r="L246" i="26"/>
  <c r="L731" i="27"/>
  <c r="L730" i="27" s="1"/>
  <c r="L729" i="27" s="1"/>
  <c r="L728" i="27" s="1"/>
  <c r="L215" i="30"/>
  <c r="L214" i="30" s="1"/>
  <c r="R816" i="27"/>
  <c r="R223" i="30"/>
  <c r="R226" i="27"/>
  <c r="R19" i="27"/>
  <c r="O808" i="27"/>
  <c r="L811" i="27"/>
  <c r="O795" i="27"/>
  <c r="R496" i="30"/>
  <c r="P26" i="29"/>
  <c r="L42" i="29"/>
  <c r="M38" i="29"/>
  <c r="Q42" i="29"/>
  <c r="H22" i="29"/>
  <c r="S32" i="29"/>
  <c r="L32" i="29"/>
  <c r="J26" i="29"/>
  <c r="S33" i="29"/>
  <c r="O33" i="29"/>
  <c r="K26" i="29"/>
  <c r="N26" i="29"/>
  <c r="G33" i="29"/>
  <c r="S42" i="29"/>
  <c r="G35" i="29"/>
  <c r="O38" i="29"/>
  <c r="L264" i="26"/>
  <c r="R236" i="26"/>
  <c r="L197" i="26"/>
  <c r="O887" i="27"/>
  <c r="R164" i="27"/>
  <c r="R193" i="26"/>
  <c r="L248" i="27"/>
  <c r="L812" i="27"/>
  <c r="R202" i="27"/>
  <c r="R165" i="26"/>
  <c r="L198" i="26"/>
  <c r="O233" i="26"/>
  <c r="L535" i="30"/>
  <c r="R802" i="27"/>
  <c r="R17" i="26"/>
  <c r="O304" i="26"/>
  <c r="J785" i="27"/>
  <c r="L785" i="27" s="1"/>
  <c r="L377" i="26"/>
  <c r="O749" i="30"/>
  <c r="O786" i="27"/>
  <c r="L257" i="30"/>
  <c r="L211" i="26"/>
  <c r="J803" i="27"/>
  <c r="R803" i="27" s="1"/>
  <c r="L500" i="27"/>
  <c r="R839" i="30"/>
  <c r="J787" i="27"/>
  <c r="L787" i="27" s="1"/>
  <c r="L795" i="27"/>
  <c r="L466" i="27"/>
  <c r="L490" i="30"/>
  <c r="O156" i="30"/>
  <c r="L409" i="30"/>
  <c r="L840" i="27"/>
  <c r="R531" i="27"/>
  <c r="O874" i="27"/>
  <c r="J69" i="27"/>
  <c r="R69" i="27" s="1"/>
  <c r="L519" i="30"/>
  <c r="R784" i="27"/>
  <c r="L885" i="30"/>
  <c r="L884" i="30" s="1"/>
  <c r="L335" i="27"/>
  <c r="O890" i="27"/>
  <c r="L508" i="30"/>
  <c r="L463" i="27"/>
  <c r="J159" i="27"/>
  <c r="R159" i="27" s="1"/>
  <c r="L250" i="30"/>
  <c r="O767" i="27"/>
  <c r="O802" i="27"/>
  <c r="O805" i="27"/>
  <c r="O790" i="27"/>
  <c r="R497" i="30"/>
  <c r="O921" i="30"/>
  <c r="R488" i="27"/>
  <c r="R617" i="30"/>
  <c r="L479" i="30"/>
  <c r="J183" i="30"/>
  <c r="R183" i="30" s="1"/>
  <c r="L838" i="30"/>
  <c r="M32" i="29"/>
  <c r="P42" i="29"/>
  <c r="S38" i="29"/>
  <c r="J42" i="29"/>
  <c r="Q40" i="29"/>
  <c r="G40" i="29"/>
  <c r="K32" i="29"/>
  <c r="Q38" i="29"/>
  <c r="L452" i="26"/>
  <c r="J624" i="26"/>
  <c r="R624" i="26" s="1"/>
  <c r="L749" i="30"/>
  <c r="R233" i="27"/>
  <c r="L224" i="30"/>
  <c r="O490" i="27"/>
  <c r="R246" i="27"/>
  <c r="L703" i="27"/>
  <c r="L702" i="27" s="1"/>
  <c r="J782" i="27"/>
  <c r="R782" i="27" s="1"/>
  <c r="R400" i="30"/>
  <c r="L238" i="27"/>
  <c r="O300" i="27"/>
  <c r="J867" i="27"/>
  <c r="R867" i="27" s="1"/>
  <c r="O223" i="27"/>
  <c r="O816" i="27"/>
  <c r="R815" i="27"/>
  <c r="O797" i="27"/>
  <c r="J903" i="30"/>
  <c r="R903" i="30" s="1"/>
  <c r="R825" i="30"/>
  <c r="R380" i="27"/>
  <c r="L380" i="27"/>
  <c r="L255" i="26"/>
  <c r="O334" i="26"/>
  <c r="O586" i="27"/>
  <c r="R219" i="26"/>
  <c r="R396" i="27"/>
  <c r="R341" i="26"/>
  <c r="L468" i="27"/>
  <c r="R605" i="27"/>
  <c r="L254" i="26"/>
  <c r="J288" i="27"/>
  <c r="R288" i="27" s="1"/>
  <c r="L664" i="27"/>
  <c r="L678" i="30"/>
  <c r="R243" i="27"/>
  <c r="J711" i="26"/>
  <c r="L711" i="26" s="1"/>
  <c r="R515" i="27"/>
  <c r="L198" i="27"/>
  <c r="R222" i="26"/>
  <c r="O590" i="27"/>
  <c r="L130" i="26"/>
  <c r="L555" i="27"/>
  <c r="L569" i="27"/>
  <c r="L725" i="27"/>
  <c r="J446" i="26"/>
  <c r="R446" i="26" s="1"/>
  <c r="O446" i="26"/>
  <c r="O707" i="26"/>
  <c r="O305" i="26"/>
  <c r="L227" i="26"/>
  <c r="J810" i="27"/>
  <c r="O810" i="27"/>
  <c r="R559" i="30"/>
  <c r="L559" i="30"/>
  <c r="L262" i="30"/>
  <c r="R262" i="30"/>
  <c r="L254" i="30"/>
  <c r="R254" i="30"/>
  <c r="O710" i="26"/>
  <c r="J710" i="26"/>
  <c r="L710" i="26" s="1"/>
  <c r="R238" i="26"/>
  <c r="L238" i="26"/>
  <c r="O236" i="26"/>
  <c r="L645" i="26"/>
  <c r="J137" i="27"/>
  <c r="O137" i="27"/>
  <c r="R840" i="30"/>
  <c r="L840" i="30"/>
  <c r="R812" i="30"/>
  <c r="L812" i="30"/>
  <c r="L396" i="30"/>
  <c r="R396" i="30"/>
  <c r="R235" i="30"/>
  <c r="L235" i="30"/>
  <c r="O228" i="27"/>
  <c r="L508" i="27"/>
  <c r="R727" i="27"/>
  <c r="O260" i="26"/>
  <c r="O292" i="30"/>
  <c r="L54" i="27"/>
  <c r="R386" i="30"/>
  <c r="L918" i="30"/>
  <c r="L917" i="30" s="1"/>
  <c r="L460" i="26"/>
  <c r="O235" i="26"/>
  <c r="R797" i="27"/>
  <c r="L264" i="27"/>
  <c r="J706" i="26"/>
  <c r="R706" i="26" s="1"/>
  <c r="J804" i="27"/>
  <c r="L804" i="27" s="1"/>
  <c r="J490" i="26"/>
  <c r="L490" i="26" s="1"/>
  <c r="J878" i="27"/>
  <c r="L878" i="27" s="1"/>
  <c r="L877" i="27" s="1"/>
  <c r="J192" i="26"/>
  <c r="L192" i="26" s="1"/>
  <c r="O783" i="27"/>
  <c r="O788" i="27"/>
  <c r="J791" i="27"/>
  <c r="R791" i="27" s="1"/>
  <c r="J891" i="27"/>
  <c r="R891" i="27" s="1"/>
  <c r="R468" i="30"/>
  <c r="O168" i="30"/>
  <c r="O483" i="26"/>
  <c r="L525" i="27"/>
  <c r="L711" i="27"/>
  <c r="L709" i="27" s="1"/>
  <c r="J472" i="30"/>
  <c r="L472" i="30" s="1"/>
  <c r="J480" i="27"/>
  <c r="R480" i="27" s="1"/>
  <c r="R823" i="30"/>
  <c r="R193" i="27"/>
  <c r="O813" i="27"/>
  <c r="R559" i="27"/>
  <c r="R813" i="27"/>
  <c r="J462" i="27"/>
  <c r="L462" i="27" s="1"/>
  <c r="O806" i="27"/>
  <c r="J809" i="27"/>
  <c r="R809" i="27" s="1"/>
  <c r="L798" i="27"/>
  <c r="O744" i="27"/>
  <c r="J716" i="26"/>
  <c r="O716" i="26"/>
  <c r="R483" i="26"/>
  <c r="L483" i="26"/>
  <c r="L243" i="26"/>
  <c r="R243" i="26"/>
  <c r="L226" i="26"/>
  <c r="J465" i="26"/>
  <c r="O465" i="26"/>
  <c r="J796" i="27"/>
  <c r="O796" i="27"/>
  <c r="J391" i="27"/>
  <c r="O391" i="27"/>
  <c r="L229" i="27"/>
  <c r="R229" i="27"/>
  <c r="R813" i="30"/>
  <c r="L813" i="30"/>
  <c r="O294" i="30"/>
  <c r="J294" i="30"/>
  <c r="L294" i="30" s="1"/>
  <c r="L291" i="30" s="1"/>
  <c r="L290" i="30" s="1"/>
  <c r="R253" i="30"/>
  <c r="L253" i="30"/>
  <c r="J157" i="30"/>
  <c r="O157" i="30"/>
  <c r="O230" i="27"/>
  <c r="L756" i="27"/>
  <c r="R230" i="30"/>
  <c r="L508" i="26"/>
  <c r="L755" i="27"/>
  <c r="R244" i="26"/>
  <c r="O508" i="27"/>
  <c r="L824" i="30"/>
  <c r="R54" i="26"/>
  <c r="R209" i="27"/>
  <c r="J137" i="26"/>
  <c r="R137" i="26" s="1"/>
  <c r="O54" i="26"/>
  <c r="L831" i="30"/>
  <c r="R487" i="27"/>
  <c r="L200" i="27"/>
  <c r="J767" i="30"/>
  <c r="R767" i="30" s="1"/>
  <c r="O784" i="27"/>
  <c r="O792" i="27"/>
  <c r="L713" i="27"/>
  <c r="L712" i="27" s="1"/>
  <c r="J55" i="26"/>
  <c r="L55" i="26" s="1"/>
  <c r="L53" i="26" s="1"/>
  <c r="L52" i="26" s="1"/>
  <c r="R249" i="30"/>
  <c r="R804" i="30"/>
  <c r="R38" i="26"/>
  <c r="O468" i="30"/>
  <c r="L486" i="27"/>
  <c r="L491" i="30"/>
  <c r="L569" i="30"/>
  <c r="O814" i="27"/>
  <c r="L808" i="27"/>
  <c r="L485" i="30"/>
  <c r="O798" i="27"/>
  <c r="L148" i="27"/>
  <c r="L147" i="27" s="1"/>
  <c r="L146" i="27" s="1"/>
  <c r="O262" i="30"/>
  <c r="J497" i="26"/>
  <c r="O497" i="26"/>
  <c r="O495" i="26"/>
  <c r="L260" i="26"/>
  <c r="R260" i="26"/>
  <c r="J195" i="26"/>
  <c r="L195" i="26" s="1"/>
  <c r="O195" i="26"/>
  <c r="O794" i="27"/>
  <c r="J794" i="27"/>
  <c r="R794" i="27" s="1"/>
  <c r="O789" i="27"/>
  <c r="J789" i="27"/>
  <c r="L789" i="27" s="1"/>
  <c r="R786" i="27"/>
  <c r="L786" i="27"/>
  <c r="L622" i="27"/>
  <c r="R38" i="27"/>
  <c r="L38" i="27"/>
  <c r="L37" i="27" s="1"/>
  <c r="L30" i="27"/>
  <c r="L680" i="27"/>
  <c r="L704" i="30"/>
  <c r="L371" i="30"/>
  <c r="L116" i="30"/>
  <c r="L113" i="30" s="1"/>
  <c r="O160" i="27"/>
  <c r="R565" i="30"/>
  <c r="R405" i="27"/>
  <c r="J485" i="26"/>
  <c r="R485" i="26" s="1"/>
  <c r="L491" i="26"/>
  <c r="O382" i="30"/>
  <c r="O69" i="30"/>
  <c r="R916" i="30"/>
  <c r="R567" i="27"/>
  <c r="J473" i="30"/>
  <c r="R473" i="30" s="1"/>
  <c r="J374" i="26"/>
  <c r="L374" i="26" s="1"/>
  <c r="O499" i="26"/>
  <c r="O390" i="27"/>
  <c r="R516" i="30"/>
  <c r="L512" i="30"/>
  <c r="J494" i="27"/>
  <c r="L494" i="27" s="1"/>
  <c r="L55" i="27"/>
  <c r="R245" i="27"/>
  <c r="L502" i="30"/>
  <c r="R238" i="30"/>
  <c r="R197" i="27"/>
  <c r="L354" i="30"/>
  <c r="R708" i="30"/>
  <c r="L805" i="30"/>
  <c r="R580" i="30"/>
  <c r="L636" i="27"/>
  <c r="L478" i="27"/>
  <c r="R369" i="26"/>
  <c r="L586" i="27"/>
  <c r="R504" i="30"/>
  <c r="R222" i="30"/>
  <c r="L842" i="30"/>
  <c r="L289" i="30"/>
  <c r="L563" i="27"/>
  <c r="L255" i="30"/>
  <c r="L564" i="27"/>
  <c r="R576" i="27"/>
  <c r="O310" i="30"/>
  <c r="L590" i="30"/>
  <c r="O260" i="27"/>
  <c r="J137" i="30"/>
  <c r="L137" i="30" s="1"/>
  <c r="J156" i="26"/>
  <c r="R156" i="26" s="1"/>
  <c r="L412" i="30"/>
  <c r="J496" i="26"/>
  <c r="L496" i="26" s="1"/>
  <c r="O478" i="27"/>
  <c r="J158" i="30"/>
  <c r="L158" i="30" s="1"/>
  <c r="O390" i="30"/>
  <c r="L815" i="30"/>
  <c r="R246" i="30"/>
  <c r="R492" i="30"/>
  <c r="O590" i="30"/>
  <c r="R826" i="30"/>
  <c r="L221" i="30"/>
  <c r="O460" i="27"/>
  <c r="L618" i="27"/>
  <c r="L517" i="27"/>
  <c r="L856" i="30"/>
  <c r="L707" i="30"/>
  <c r="L228" i="27"/>
  <c r="L227" i="27"/>
  <c r="R880" i="27"/>
  <c r="J819" i="27"/>
  <c r="L819" i="27" s="1"/>
  <c r="L253" i="27"/>
  <c r="L718" i="30"/>
  <c r="L717" i="30" s="1"/>
  <c r="O491" i="26"/>
  <c r="R236" i="30"/>
  <c r="R832" i="30"/>
  <c r="J504" i="27"/>
  <c r="R504" i="27" s="1"/>
  <c r="L22" i="26"/>
  <c r="L21" i="26" s="1"/>
  <c r="J398" i="27"/>
  <c r="R398" i="27" s="1"/>
  <c r="R130" i="30"/>
  <c r="L288" i="26"/>
  <c r="L285" i="26" s="1"/>
  <c r="L284" i="26" s="1"/>
  <c r="O464" i="30"/>
  <c r="L464" i="30"/>
  <c r="R806" i="30"/>
  <c r="L861" i="27"/>
  <c r="L674" i="27"/>
  <c r="L672" i="30"/>
  <c r="J512" i="26"/>
  <c r="L512" i="26" s="1"/>
  <c r="L512" i="27"/>
  <c r="L511" i="27" s="1"/>
  <c r="J514" i="26"/>
  <c r="R514" i="26" s="1"/>
  <c r="R79" i="30"/>
  <c r="R571" i="27"/>
  <c r="O168" i="26"/>
  <c r="L223" i="26"/>
  <c r="O896" i="27"/>
  <c r="J502" i="26"/>
  <c r="R502" i="26" s="1"/>
  <c r="L550" i="26"/>
  <c r="L549" i="26" s="1"/>
  <c r="L160" i="26"/>
  <c r="R79" i="26"/>
  <c r="J888" i="27"/>
  <c r="R888" i="27" s="1"/>
  <c r="L539" i="27"/>
  <c r="L247" i="30"/>
  <c r="R609" i="27"/>
  <c r="L833" i="27"/>
  <c r="L629" i="27"/>
  <c r="L608" i="27"/>
  <c r="L633" i="30"/>
  <c r="L626" i="30"/>
  <c r="O467" i="30"/>
  <c r="R647" i="26"/>
  <c r="O498" i="27"/>
  <c r="O263" i="27"/>
  <c r="O879" i="27"/>
  <c r="L502" i="27"/>
  <c r="L248" i="26"/>
  <c r="R252" i="26"/>
  <c r="L204" i="27"/>
  <c r="R157" i="27"/>
  <c r="O339" i="26"/>
  <c r="O771" i="27"/>
  <c r="J776" i="27"/>
  <c r="L776" i="27" s="1"/>
  <c r="O502" i="27"/>
  <c r="L654" i="30"/>
  <c r="L30" i="30"/>
  <c r="O519" i="26"/>
  <c r="J704" i="26"/>
  <c r="R704" i="26" s="1"/>
  <c r="L247" i="27"/>
  <c r="J365" i="27"/>
  <c r="L365" i="27" s="1"/>
  <c r="L897" i="30"/>
  <c r="L896" i="30" s="1"/>
  <c r="L895" i="30" s="1"/>
  <c r="L894" i="30" s="1"/>
  <c r="J159" i="26"/>
  <c r="R159" i="26" s="1"/>
  <c r="R809" i="30"/>
  <c r="O69" i="26"/>
  <c r="O512" i="27"/>
  <c r="L200" i="26"/>
  <c r="R208" i="30"/>
  <c r="L714" i="30"/>
  <c r="O160" i="26"/>
  <c r="O770" i="27"/>
  <c r="L247" i="26"/>
  <c r="R247" i="26"/>
  <c r="R234" i="26"/>
  <c r="L234" i="26"/>
  <c r="L83" i="26"/>
  <c r="R40" i="26"/>
  <c r="L40" i="26"/>
  <c r="L39" i="26" s="1"/>
  <c r="L19" i="26"/>
  <c r="R19" i="26"/>
  <c r="J895" i="27"/>
  <c r="R895" i="27" s="1"/>
  <c r="O895" i="27"/>
  <c r="L557" i="27"/>
  <c r="R557" i="27"/>
  <c r="O496" i="27"/>
  <c r="J911" i="30"/>
  <c r="R911" i="30" s="1"/>
  <c r="O911" i="30"/>
  <c r="L837" i="30"/>
  <c r="R837" i="30"/>
  <c r="L661" i="30"/>
  <c r="R398" i="30"/>
  <c r="L398" i="30"/>
  <c r="L213" i="30"/>
  <c r="R213" i="30"/>
  <c r="L826" i="27"/>
  <c r="O778" i="27"/>
  <c r="J778" i="27"/>
  <c r="R778" i="27" s="1"/>
  <c r="R389" i="30"/>
  <c r="L389" i="30"/>
  <c r="R232" i="30"/>
  <c r="L232" i="30"/>
  <c r="R205" i="27"/>
  <c r="R198" i="30"/>
  <c r="R734" i="30"/>
  <c r="L250" i="26"/>
  <c r="J766" i="27"/>
  <c r="R766" i="27" s="1"/>
  <c r="O880" i="27"/>
  <c r="L251" i="26"/>
  <c r="R251" i="26"/>
  <c r="O822" i="27"/>
  <c r="J822" i="27"/>
  <c r="L822" i="27" s="1"/>
  <c r="L720" i="27"/>
  <c r="L699" i="27"/>
  <c r="O505" i="27"/>
  <c r="J505" i="27"/>
  <c r="R505" i="27" s="1"/>
  <c r="O481" i="27"/>
  <c r="J481" i="27"/>
  <c r="L481" i="27" s="1"/>
  <c r="O475" i="27"/>
  <c r="J475" i="27"/>
  <c r="R475" i="27" s="1"/>
  <c r="R285" i="27"/>
  <c r="L285" i="27"/>
  <c r="R802" i="30"/>
  <c r="L802" i="30"/>
  <c r="L640" i="30"/>
  <c r="L252" i="30"/>
  <c r="R252" i="30"/>
  <c r="L160" i="27"/>
  <c r="O820" i="27"/>
  <c r="J158" i="26"/>
  <c r="R158" i="26" s="1"/>
  <c r="R721" i="27"/>
  <c r="J340" i="30"/>
  <c r="R340" i="30" s="1"/>
  <c r="O263" i="26"/>
  <c r="L199" i="30"/>
  <c r="L22" i="27"/>
  <c r="L21" i="27" s="1"/>
  <c r="O476" i="27"/>
  <c r="L790" i="30"/>
  <c r="R408" i="27"/>
  <c r="R200" i="30"/>
  <c r="J492" i="27"/>
  <c r="L492" i="27" s="1"/>
  <c r="L577" i="30"/>
  <c r="L791" i="30"/>
  <c r="R210" i="27"/>
  <c r="R255" i="27"/>
  <c r="R372" i="30"/>
  <c r="J156" i="27"/>
  <c r="J157" i="26"/>
  <c r="R157" i="26" s="1"/>
  <c r="L568" i="30"/>
  <c r="J506" i="27"/>
  <c r="L506" i="27" s="1"/>
  <c r="O40" i="26"/>
  <c r="R339" i="30"/>
  <c r="L207" i="30"/>
  <c r="J158" i="27"/>
  <c r="L158" i="27" s="1"/>
  <c r="R20" i="30"/>
  <c r="O800" i="27"/>
  <c r="J800" i="27"/>
  <c r="L800" i="27" s="1"/>
  <c r="J780" i="27"/>
  <c r="L780" i="27" s="1"/>
  <c r="O780" i="27"/>
  <c r="L735" i="27"/>
  <c r="L734" i="27" s="1"/>
  <c r="L733" i="27" s="1"/>
  <c r="L732" i="27" s="1"/>
  <c r="R735" i="27"/>
  <c r="J474" i="27"/>
  <c r="O474" i="27"/>
  <c r="R194" i="27"/>
  <c r="L194" i="27"/>
  <c r="R830" i="30"/>
  <c r="L830" i="30"/>
  <c r="R820" i="30"/>
  <c r="L820" i="30"/>
  <c r="R810" i="30"/>
  <c r="L810" i="30"/>
  <c r="L668" i="30"/>
  <c r="R613" i="30"/>
  <c r="L613" i="30"/>
  <c r="L612" i="30" s="1"/>
  <c r="L250" i="27"/>
  <c r="R478" i="30"/>
  <c r="R819" i="30"/>
  <c r="O765" i="27"/>
  <c r="L235" i="27"/>
  <c r="R286" i="26"/>
  <c r="J746" i="30"/>
  <c r="R746" i="30" s="1"/>
  <c r="J744" i="30"/>
  <c r="L744" i="30" s="1"/>
  <c r="L743" i="30" s="1"/>
  <c r="R338" i="26"/>
  <c r="L758" i="30"/>
  <c r="L757" i="30" s="1"/>
  <c r="L756" i="30" s="1"/>
  <c r="L755" i="30" s="1"/>
  <c r="R571" i="30"/>
  <c r="O157" i="27"/>
  <c r="J376" i="27"/>
  <c r="L616" i="30"/>
  <c r="L236" i="27"/>
  <c r="R789" i="30"/>
  <c r="O389" i="30"/>
  <c r="L570" i="27"/>
  <c r="J40" i="30"/>
  <c r="R40" i="30" s="1"/>
  <c r="R563" i="30"/>
  <c r="J388" i="27"/>
  <c r="R388" i="27" s="1"/>
  <c r="L184" i="30"/>
  <c r="L617" i="26"/>
  <c r="L403" i="27"/>
  <c r="J705" i="26"/>
  <c r="R705" i="26" s="1"/>
  <c r="J709" i="26"/>
  <c r="L709" i="26" s="1"/>
  <c r="L611" i="26"/>
  <c r="L573" i="27"/>
  <c r="R573" i="27"/>
  <c r="L112" i="27"/>
  <c r="L111" i="27" s="1"/>
  <c r="R112" i="27"/>
  <c r="O40" i="27"/>
  <c r="J40" i="27"/>
  <c r="L40" i="27" s="1"/>
  <c r="L39" i="27" s="1"/>
  <c r="R920" i="30"/>
  <c r="L920" i="30"/>
  <c r="L919" i="30" s="1"/>
  <c r="L808" i="30"/>
  <c r="R808" i="30"/>
  <c r="L609" i="30"/>
  <c r="R609" i="30"/>
  <c r="L500" i="30"/>
  <c r="R500" i="30"/>
  <c r="L266" i="30"/>
  <c r="R266" i="30"/>
  <c r="J272" i="26"/>
  <c r="O272" i="26"/>
  <c r="O818" i="27"/>
  <c r="J818" i="27"/>
  <c r="R818" i="27" s="1"/>
  <c r="L714" i="27"/>
  <c r="L668" i="27"/>
  <c r="R470" i="27"/>
  <c r="L470" i="27"/>
  <c r="O290" i="27"/>
  <c r="J290" i="27"/>
  <c r="R290" i="27" s="1"/>
  <c r="R208" i="27"/>
  <c r="L208" i="27"/>
  <c r="R194" i="26"/>
  <c r="L194" i="26"/>
  <c r="L116" i="26"/>
  <c r="L113" i="26" s="1"/>
  <c r="R890" i="27"/>
  <c r="L890" i="27"/>
  <c r="J793" i="27"/>
  <c r="O793" i="27"/>
  <c r="L757" i="27"/>
  <c r="L650" i="27"/>
  <c r="J499" i="27"/>
  <c r="R499" i="27" s="1"/>
  <c r="O499" i="27"/>
  <c r="J272" i="27"/>
  <c r="O272" i="27"/>
  <c r="R165" i="27"/>
  <c r="L165" i="27"/>
  <c r="L207" i="26"/>
  <c r="R207" i="26"/>
  <c r="L248" i="30"/>
  <c r="L348" i="26"/>
  <c r="J306" i="27"/>
  <c r="R306" i="27" s="1"/>
  <c r="R148" i="26"/>
  <c r="O234" i="26"/>
  <c r="R69" i="26"/>
  <c r="L245" i="26"/>
  <c r="R202" i="26"/>
  <c r="O377" i="26"/>
  <c r="R17" i="27"/>
  <c r="L818" i="30"/>
  <c r="R846" i="30"/>
  <c r="J691" i="30"/>
  <c r="R691" i="30" s="1"/>
  <c r="O897" i="30"/>
  <c r="J717" i="26"/>
  <c r="L717" i="26" s="1"/>
  <c r="O237" i="30"/>
  <c r="J237" i="30"/>
  <c r="R237" i="30" s="1"/>
  <c r="L728" i="26"/>
  <c r="L18" i="26"/>
  <c r="R18" i="26"/>
  <c r="L57" i="27"/>
  <c r="L56" i="27" s="1"/>
  <c r="R801" i="30"/>
  <c r="L801" i="30"/>
  <c r="L733" i="30"/>
  <c r="L557" i="30"/>
  <c r="R557" i="30"/>
  <c r="L735" i="26"/>
  <c r="L262" i="27"/>
  <c r="L464" i="27"/>
  <c r="J369" i="30"/>
  <c r="L369" i="30" s="1"/>
  <c r="J397" i="27"/>
  <c r="O397" i="27"/>
  <c r="J385" i="27"/>
  <c r="O385" i="27"/>
  <c r="R368" i="27"/>
  <c r="L368" i="27"/>
  <c r="L367" i="27" s="1"/>
  <c r="J307" i="27"/>
  <c r="L307" i="27" s="1"/>
  <c r="O307" i="27"/>
  <c r="R237" i="27"/>
  <c r="L237" i="27"/>
  <c r="R206" i="27"/>
  <c r="L206" i="27"/>
  <c r="R196" i="27"/>
  <c r="L196" i="27"/>
  <c r="R19" i="30"/>
  <c r="L19" i="30"/>
  <c r="L460" i="27"/>
  <c r="L481" i="26"/>
  <c r="J542" i="26"/>
  <c r="L542" i="26" s="1"/>
  <c r="L532" i="26" s="1"/>
  <c r="R228" i="26"/>
  <c r="L228" i="26"/>
  <c r="O24" i="26"/>
  <c r="L768" i="27"/>
  <c r="L767" i="27"/>
  <c r="R590" i="27"/>
  <c r="L511" i="26"/>
  <c r="R436" i="26"/>
  <c r="L821" i="30"/>
  <c r="L429" i="26"/>
  <c r="L428" i="26" s="1"/>
  <c r="J821" i="27"/>
  <c r="L821" i="27" s="1"/>
  <c r="O920" i="30"/>
  <c r="R822" i="30"/>
  <c r="J779" i="27"/>
  <c r="L779" i="27" s="1"/>
  <c r="O779" i="27"/>
  <c r="J777" i="27"/>
  <c r="R777" i="27" s="1"/>
  <c r="O777" i="27"/>
  <c r="R394" i="30"/>
  <c r="L394" i="30"/>
  <c r="L156" i="30"/>
  <c r="R156" i="30"/>
  <c r="L780" i="30"/>
  <c r="L223" i="27"/>
  <c r="L657" i="27"/>
  <c r="L643" i="27"/>
  <c r="L304" i="26"/>
  <c r="R304" i="26"/>
  <c r="R227" i="30"/>
  <c r="L227" i="30"/>
  <c r="J433" i="26"/>
  <c r="O433" i="26"/>
  <c r="L209" i="26"/>
  <c r="R209" i="26"/>
  <c r="O161" i="26"/>
  <c r="J161" i="26"/>
  <c r="R161" i="26" s="1"/>
  <c r="J128" i="26"/>
  <c r="L128" i="26" s="1"/>
  <c r="O128" i="26"/>
  <c r="L112" i="26"/>
  <c r="L111" i="26" s="1"/>
  <c r="R112" i="26"/>
  <c r="L24" i="26"/>
  <c r="L23" i="26" s="1"/>
  <c r="R24" i="26"/>
  <c r="J893" i="27"/>
  <c r="O893" i="27"/>
  <c r="L823" i="27"/>
  <c r="R823" i="27"/>
  <c r="O781" i="27"/>
  <c r="J781" i="27"/>
  <c r="L781" i="27" s="1"/>
  <c r="R482" i="30"/>
  <c r="L482" i="30"/>
  <c r="J466" i="30"/>
  <c r="O466" i="30"/>
  <c r="J720" i="26"/>
  <c r="L720" i="26" s="1"/>
  <c r="O720" i="26"/>
  <c r="L573" i="26"/>
  <c r="R24" i="30"/>
  <c r="L263" i="27"/>
  <c r="R487" i="26"/>
  <c r="L487" i="26"/>
  <c r="J298" i="26"/>
  <c r="L298" i="26" s="1"/>
  <c r="O298" i="26"/>
  <c r="J336" i="27"/>
  <c r="O336" i="27"/>
  <c r="L834" i="30"/>
  <c r="R834" i="30"/>
  <c r="L740" i="30"/>
  <c r="L738" i="30" s="1"/>
  <c r="R740" i="30"/>
  <c r="L567" i="30"/>
  <c r="R567" i="30"/>
  <c r="R543" i="30"/>
  <c r="L543" i="30"/>
  <c r="L57" i="30"/>
  <c r="L56" i="30" s="1"/>
  <c r="O489" i="26"/>
  <c r="O481" i="26"/>
  <c r="J715" i="26"/>
  <c r="O715" i="26"/>
  <c r="R343" i="27"/>
  <c r="L343" i="27"/>
  <c r="L342" i="27" s="1"/>
  <c r="O237" i="26"/>
  <c r="J363" i="26"/>
  <c r="R363" i="26" s="1"/>
  <c r="L340" i="26"/>
  <c r="O510" i="26"/>
  <c r="O223" i="30"/>
  <c r="L266" i="27"/>
  <c r="L265" i="27" s="1"/>
  <c r="J518" i="26"/>
  <c r="L79" i="27"/>
  <c r="L77" i="27" s="1"/>
  <c r="L76" i="27" s="1"/>
  <c r="O521" i="26"/>
  <c r="L24" i="27"/>
  <c r="L23" i="27" s="1"/>
  <c r="O902" i="30"/>
  <c r="L83" i="27"/>
  <c r="R679" i="26"/>
  <c r="L679" i="26"/>
  <c r="O221" i="27"/>
  <c r="J221" i="27"/>
  <c r="R221" i="27" s="1"/>
  <c r="L559" i="26"/>
  <c r="R490" i="27"/>
  <c r="L765" i="27"/>
  <c r="R304" i="30"/>
  <c r="R666" i="26"/>
  <c r="O511" i="26"/>
  <c r="L210" i="26"/>
  <c r="R266" i="26"/>
  <c r="L521" i="26"/>
  <c r="O230" i="26"/>
  <c r="L565" i="27"/>
  <c r="J341" i="27"/>
  <c r="R341" i="27" s="1"/>
  <c r="L219" i="27"/>
  <c r="R222" i="27"/>
  <c r="O772" i="27"/>
  <c r="J772" i="27"/>
  <c r="L772" i="27" s="1"/>
  <c r="J274" i="30"/>
  <c r="O274" i="30"/>
  <c r="L622" i="30"/>
  <c r="R209" i="30"/>
  <c r="L209" i="30"/>
  <c r="R237" i="26"/>
  <c r="L237" i="26"/>
  <c r="L790" i="26"/>
  <c r="L789" i="26" s="1"/>
  <c r="L788" i="26" s="1"/>
  <c r="R218" i="26"/>
  <c r="L218" i="26"/>
  <c r="L164" i="26"/>
  <c r="L163" i="26" s="1"/>
  <c r="L162" i="26" s="1"/>
  <c r="R164" i="26"/>
  <c r="L57" i="26"/>
  <c r="L56" i="26" s="1"/>
  <c r="L168" i="27"/>
  <c r="L167" i="27" s="1"/>
  <c r="L166" i="27" s="1"/>
  <c r="L202" i="30"/>
  <c r="L333" i="26"/>
  <c r="R333" i="26"/>
  <c r="R553" i="27"/>
  <c r="L553" i="27"/>
  <c r="R220" i="27"/>
  <c r="L220" i="27"/>
  <c r="R213" i="27"/>
  <c r="L213" i="27"/>
  <c r="L212" i="27" s="1"/>
  <c r="L195" i="27"/>
  <c r="R195" i="27"/>
  <c r="R128" i="27"/>
  <c r="L128" i="27"/>
  <c r="R310" i="30"/>
  <c r="R546" i="26"/>
  <c r="L546" i="26"/>
  <c r="L545" i="26" s="1"/>
  <c r="L213" i="26"/>
  <c r="L212" i="26" s="1"/>
  <c r="R213" i="26"/>
  <c r="L334" i="26"/>
  <c r="L194" i="30"/>
  <c r="R260" i="27"/>
  <c r="O791" i="26"/>
  <c r="L790" i="27"/>
  <c r="L649" i="26"/>
  <c r="L648" i="26" s="1"/>
  <c r="L744" i="27"/>
  <c r="R890" i="30"/>
  <c r="R384" i="30"/>
  <c r="R921" i="30"/>
  <c r="L366" i="26"/>
  <c r="L365" i="26" s="1"/>
  <c r="R283" i="26"/>
  <c r="R382" i="30"/>
  <c r="R879" i="27"/>
  <c r="J218" i="27"/>
  <c r="L229" i="26"/>
  <c r="L206" i="26"/>
  <c r="R220" i="26"/>
  <c r="L253" i="26"/>
  <c r="L204" i="26"/>
  <c r="J225" i="26"/>
  <c r="L479" i="26"/>
  <c r="J196" i="26"/>
  <c r="J505" i="26"/>
  <c r="O505" i="26"/>
  <c r="O807" i="27"/>
  <c r="J807" i="27"/>
  <c r="J801" i="27"/>
  <c r="O801" i="27"/>
  <c r="R613" i="27"/>
  <c r="L613" i="27"/>
  <c r="L612" i="27" s="1"/>
  <c r="J394" i="27"/>
  <c r="O394" i="27"/>
  <c r="R340" i="27"/>
  <c r="L340" i="27"/>
  <c r="L380" i="30"/>
  <c r="R292" i="30"/>
  <c r="R493" i="26"/>
  <c r="R499" i="26"/>
  <c r="O487" i="26"/>
  <c r="O479" i="26"/>
  <c r="O493" i="26"/>
  <c r="L18" i="27"/>
  <c r="L16" i="27" s="1"/>
  <c r="R18" i="27"/>
  <c r="R811" i="30"/>
  <c r="L811" i="30"/>
  <c r="L803" i="30"/>
  <c r="R803" i="30"/>
  <c r="L684" i="30"/>
  <c r="J773" i="27"/>
  <c r="O773" i="27"/>
  <c r="R546" i="27"/>
  <c r="L546" i="27"/>
  <c r="R469" i="27"/>
  <c r="L469" i="27"/>
  <c r="L453" i="27"/>
  <c r="L647" i="30"/>
  <c r="L350" i="27"/>
  <c r="L769" i="26"/>
  <c r="L755" i="26"/>
  <c r="L749" i="26"/>
  <c r="O679" i="26"/>
  <c r="L707" i="26"/>
  <c r="R707" i="26"/>
  <c r="L594" i="26"/>
  <c r="R339" i="26"/>
  <c r="L339" i="26"/>
  <c r="L337" i="26" s="1"/>
  <c r="R489" i="26"/>
  <c r="R791" i="26"/>
  <c r="R300" i="27"/>
  <c r="R516" i="26"/>
  <c r="R792" i="27"/>
  <c r="R230" i="26"/>
  <c r="R205" i="26"/>
  <c r="L205" i="26"/>
  <c r="L14" i="26"/>
  <c r="R14" i="26"/>
  <c r="L239" i="30"/>
  <c r="R239" i="30"/>
  <c r="R211" i="30"/>
  <c r="L211" i="30"/>
  <c r="J164" i="30"/>
  <c r="O164" i="30"/>
  <c r="L148" i="30"/>
  <c r="L147" i="30" s="1"/>
  <c r="L146" i="30" s="1"/>
  <c r="R148" i="30"/>
  <c r="J708" i="26"/>
  <c r="L708" i="26" s="1"/>
  <c r="L197" i="30"/>
  <c r="R482" i="27"/>
  <c r="L264" i="30"/>
  <c r="L235" i="26"/>
  <c r="L510" i="26"/>
  <c r="L496" i="27"/>
  <c r="L670" i="26"/>
  <c r="L669" i="26" s="1"/>
  <c r="L668" i="26" s="1"/>
  <c r="L667" i="26" s="1"/>
  <c r="J383" i="30"/>
  <c r="O383" i="30"/>
  <c r="J474" i="30"/>
  <c r="O474" i="30"/>
  <c r="L69" i="30"/>
  <c r="L913" i="30"/>
  <c r="L912" i="30" s="1"/>
  <c r="R913" i="30"/>
  <c r="R841" i="30"/>
  <c r="L841" i="30"/>
  <c r="R814" i="30"/>
  <c r="L814" i="30"/>
  <c r="L796" i="30"/>
  <c r="R796" i="30"/>
  <c r="L74" i="30"/>
  <c r="O262" i="27"/>
  <c r="L685" i="26"/>
  <c r="O386" i="30"/>
  <c r="O304" i="30"/>
  <c r="O218" i="26"/>
  <c r="O164" i="26"/>
  <c r="L447" i="27"/>
  <c r="R245" i="30"/>
  <c r="L245" i="30"/>
  <c r="R519" i="26"/>
  <c r="L519" i="26"/>
  <c r="R206" i="30"/>
  <c r="L206" i="30"/>
  <c r="L805" i="27"/>
  <c r="L493" i="27"/>
  <c r="L748" i="30"/>
  <c r="R263" i="26"/>
  <c r="R390" i="27"/>
  <c r="L168" i="30"/>
  <c r="L167" i="30" s="1"/>
  <c r="L166" i="30" s="1"/>
  <c r="L817" i="27"/>
  <c r="L390" i="30"/>
  <c r="L721" i="26"/>
  <c r="L168" i="26"/>
  <c r="L167" i="26" s="1"/>
  <c r="L166" i="26" s="1"/>
  <c r="L887" i="27"/>
  <c r="R476" i="27"/>
  <c r="L467" i="30"/>
  <c r="R467" i="30"/>
  <c r="L601" i="26"/>
  <c r="O161" i="30"/>
  <c r="L438" i="26"/>
  <c r="O380" i="30"/>
  <c r="O516" i="26"/>
  <c r="O508" i="26"/>
  <c r="O436" i="26"/>
  <c r="O500" i="27"/>
  <c r="O380" i="27"/>
  <c r="L483" i="30"/>
  <c r="O384" i="30"/>
  <c r="S35" i="29"/>
  <c r="N35" i="29"/>
  <c r="G26" i="29"/>
  <c r="L26" i="29"/>
  <c r="S26" i="29"/>
  <c r="I26" i="29"/>
  <c r="Q26" i="29"/>
  <c r="G22" i="29"/>
  <c r="I22" i="29"/>
  <c r="S25" i="29"/>
  <c r="O25" i="29"/>
  <c r="H25" i="29"/>
  <c r="K25" i="29"/>
  <c r="L796" i="26"/>
  <c r="M53" i="13"/>
  <c r="N53" i="13" s="1"/>
  <c r="K13" i="13"/>
  <c r="M13" i="13"/>
  <c r="Q13" i="13"/>
  <c r="P13" i="13"/>
  <c r="L13" i="13"/>
  <c r="S13" i="13"/>
  <c r="R13" i="13"/>
  <c r="N13" i="13"/>
  <c r="T13" i="13"/>
  <c r="J13" i="13"/>
  <c r="O13" i="13"/>
  <c r="M44" i="13"/>
  <c r="N44" i="13" s="1"/>
  <c r="O44" i="13" s="1"/>
  <c r="R498" i="27"/>
  <c r="L498" i="27"/>
  <c r="R204" i="30"/>
  <c r="L204" i="30"/>
  <c r="L203" i="30" s="1"/>
  <c r="P41" i="13"/>
  <c r="G41" i="13"/>
  <c r="L41" i="13" s="1"/>
  <c r="O718" i="26"/>
  <c r="J718" i="26"/>
  <c r="J712" i="26"/>
  <c r="O712" i="26"/>
  <c r="L650" i="26"/>
  <c r="L580" i="26"/>
  <c r="L566" i="26"/>
  <c r="M57" i="13"/>
  <c r="N57" i="13" s="1"/>
  <c r="O57" i="13" s="1"/>
  <c r="C17" i="13" s="1"/>
  <c r="J719" i="26"/>
  <c r="L719" i="26" s="1"/>
  <c r="O719" i="26"/>
  <c r="R656" i="26"/>
  <c r="L656" i="26"/>
  <c r="L587" i="26"/>
  <c r="L230" i="27"/>
  <c r="G39" i="13"/>
  <c r="L39" i="13" s="1"/>
  <c r="P39" i="13"/>
  <c r="V39" i="13"/>
  <c r="J795" i="26"/>
  <c r="O795" i="26"/>
  <c r="R662" i="26"/>
  <c r="L662" i="26"/>
  <c r="V43" i="13"/>
  <c r="P43" i="13"/>
  <c r="R192" i="27"/>
  <c r="L192" i="27"/>
  <c r="L207" i="27"/>
  <c r="R207" i="27"/>
  <c r="L811" i="26"/>
  <c r="R811" i="26"/>
  <c r="L786" i="26"/>
  <c r="R786" i="26"/>
  <c r="R639" i="26"/>
  <c r="L639" i="26"/>
  <c r="L635" i="26"/>
  <c r="L605" i="26"/>
  <c r="N47" i="13"/>
  <c r="O47" i="13" s="1"/>
  <c r="C14" i="13" s="1"/>
  <c r="V55" i="13"/>
  <c r="X57" i="13"/>
  <c r="Y57" i="13" s="1"/>
  <c r="D17" i="13" s="1"/>
  <c r="R819" i="26"/>
  <c r="L480" i="26"/>
  <c r="L457" i="26"/>
  <c r="L390" i="26"/>
  <c r="R495" i="26"/>
  <c r="R233" i="26"/>
  <c r="V45" i="13"/>
  <c r="L176" i="30"/>
  <c r="L174" i="30" s="1"/>
  <c r="L173" i="30" s="1"/>
  <c r="J220" i="30"/>
  <c r="L350" i="26"/>
  <c r="O228" i="26"/>
  <c r="R472" i="27"/>
  <c r="R874" i="27"/>
  <c r="R783" i="27"/>
  <c r="L788" i="27"/>
  <c r="L488" i="26"/>
  <c r="L450" i="26"/>
  <c r="L426" i="26"/>
  <c r="L385" i="26"/>
  <c r="L360" i="26"/>
  <c r="L345" i="26"/>
  <c r="L316" i="26"/>
  <c r="L555" i="26"/>
  <c r="L301" i="26"/>
  <c r="O223" i="26"/>
  <c r="I299" i="26"/>
  <c r="L299" i="26" s="1"/>
  <c r="I300" i="26"/>
  <c r="L300" i="26" s="1"/>
  <c r="I221" i="26"/>
  <c r="O464" i="27"/>
  <c r="L574" i="27"/>
  <c r="L542" i="27"/>
  <c r="L529" i="27"/>
  <c r="I382" i="27"/>
  <c r="I386" i="27"/>
  <c r="O493" i="27"/>
  <c r="L439" i="27"/>
  <c r="L423" i="27"/>
  <c r="L415" i="27"/>
  <c r="L254" i="27"/>
  <c r="L330" i="27"/>
  <c r="I320" i="27"/>
  <c r="L320" i="27" s="1"/>
  <c r="I319" i="27"/>
  <c r="L319" i="27" s="1"/>
  <c r="I316" i="27"/>
  <c r="L316" i="27" s="1"/>
  <c r="L414" i="27"/>
  <c r="L395" i="27"/>
  <c r="L314" i="27"/>
  <c r="L441" i="30"/>
  <c r="L414" i="30"/>
  <c r="L457" i="30"/>
  <c r="L435" i="30"/>
  <c r="J34" i="13"/>
  <c r="L196" i="41" l="1"/>
  <c r="L190" i="41" s="1"/>
  <c r="L189" i="41" s="1"/>
  <c r="T194" i="41" s="1"/>
  <c r="U22" i="29"/>
  <c r="V22" i="29" s="1"/>
  <c r="U42" i="29"/>
  <c r="V42" i="29" s="1"/>
  <c r="U38" i="29"/>
  <c r="V38" i="29" s="1"/>
  <c r="U32" i="29"/>
  <c r="V32" i="29" s="1"/>
  <c r="U35" i="29"/>
  <c r="V35" i="29" s="1"/>
  <c r="U40" i="29"/>
  <c r="V40" i="29" s="1"/>
  <c r="U33" i="29"/>
  <c r="V33" i="29" s="1"/>
  <c r="U25" i="29"/>
  <c r="V25" i="29" s="1"/>
  <c r="U26" i="29"/>
  <c r="V26" i="29" s="1"/>
  <c r="I8" i="33"/>
  <c r="N9" i="33" s="1"/>
  <c r="O379" i="27"/>
  <c r="R75" i="41"/>
  <c r="L75" i="41"/>
  <c r="L74" i="41" s="1"/>
  <c r="L73" i="41" s="1"/>
  <c r="L72" i="41" s="1"/>
  <c r="N59" i="13"/>
  <c r="O59" i="13" s="1"/>
  <c r="C19" i="13" s="1"/>
  <c r="R135" i="35"/>
  <c r="J630" i="35"/>
  <c r="R231" i="35"/>
  <c r="L88" i="35"/>
  <c r="L87" i="35" s="1"/>
  <c r="R229" i="35"/>
  <c r="L129" i="35"/>
  <c r="L128" i="35" s="1"/>
  <c r="R57" i="35"/>
  <c r="R145" i="30"/>
  <c r="X53" i="13"/>
  <c r="Y53" i="13" s="1"/>
  <c r="D9" i="13" s="1"/>
  <c r="L518" i="30"/>
  <c r="R494" i="30"/>
  <c r="L599" i="30"/>
  <c r="L598" i="30" s="1"/>
  <c r="L596" i="30" s="1"/>
  <c r="L322" i="30"/>
  <c r="L319" i="30" s="1"/>
  <c r="L774" i="30"/>
  <c r="L876" i="27"/>
  <c r="L875" i="27" s="1"/>
  <c r="L30" i="35"/>
  <c r="R249" i="35"/>
  <c r="L249" i="35"/>
  <c r="O236" i="35"/>
  <c r="O7" i="35" s="1"/>
  <c r="P7" i="35" s="1"/>
  <c r="J236" i="35"/>
  <c r="L228" i="35"/>
  <c r="L376" i="27"/>
  <c r="L208" i="26"/>
  <c r="L203" i="26" s="1"/>
  <c r="L719" i="30"/>
  <c r="L216" i="35"/>
  <c r="L212" i="35"/>
  <c r="L56" i="35"/>
  <c r="L585" i="30"/>
  <c r="J182" i="30"/>
  <c r="R182" i="30" s="1"/>
  <c r="P61" i="13"/>
  <c r="V61" i="13"/>
  <c r="G61" i="13"/>
  <c r="L61" i="13" s="1"/>
  <c r="M61" i="13" s="1"/>
  <c r="N46" i="13"/>
  <c r="O46" i="13" s="1"/>
  <c r="C10" i="13" s="1"/>
  <c r="L348" i="27"/>
  <c r="L743" i="27"/>
  <c r="L278" i="27"/>
  <c r="L277" i="27" s="1"/>
  <c r="L771" i="30"/>
  <c r="L739" i="27"/>
  <c r="L407" i="27"/>
  <c r="L696" i="26"/>
  <c r="L113" i="27"/>
  <c r="L523" i="26"/>
  <c r="L435" i="26"/>
  <c r="L511" i="30"/>
  <c r="L314" i="30"/>
  <c r="L581" i="27"/>
  <c r="P58" i="13"/>
  <c r="V58" i="13"/>
  <c r="W58" i="13" s="1"/>
  <c r="X58" i="13" s="1"/>
  <c r="Y58" i="13" s="1"/>
  <c r="G58" i="13"/>
  <c r="L58" i="13" s="1"/>
  <c r="M58" i="13" s="1"/>
  <c r="N58" i="13" s="1"/>
  <c r="L582" i="30"/>
  <c r="L281" i="30"/>
  <c r="L280" i="30" s="1"/>
  <c r="L355" i="30"/>
  <c r="L351" i="27"/>
  <c r="L585" i="27"/>
  <c r="L584" i="27" s="1"/>
  <c r="O311" i="30"/>
  <c r="L349" i="30"/>
  <c r="L686" i="27"/>
  <c r="L685" i="27" s="1"/>
  <c r="L683" i="27" s="1"/>
  <c r="L459" i="30"/>
  <c r="L545" i="27"/>
  <c r="L418" i="27"/>
  <c r="L346" i="26"/>
  <c r="L451" i="27"/>
  <c r="L373" i="26"/>
  <c r="L514" i="27"/>
  <c r="L578" i="27"/>
  <c r="L408" i="30"/>
  <c r="L687" i="26"/>
  <c r="L530" i="27"/>
  <c r="L405" i="26"/>
  <c r="L54" i="30"/>
  <c r="L53" i="30" s="1"/>
  <c r="L52" i="30" s="1"/>
  <c r="L683" i="26"/>
  <c r="L420" i="26"/>
  <c r="L762" i="30"/>
  <c r="L308" i="26"/>
  <c r="L393" i="26"/>
  <c r="L422" i="30"/>
  <c r="L589" i="27"/>
  <c r="L588" i="27" s="1"/>
  <c r="L413" i="26"/>
  <c r="L549" i="30"/>
  <c r="L325" i="26"/>
  <c r="L459" i="26"/>
  <c r="L327" i="27"/>
  <c r="L444" i="27"/>
  <c r="L403" i="30"/>
  <c r="L302" i="30"/>
  <c r="L428" i="30"/>
  <c r="L526" i="26"/>
  <c r="L751" i="27"/>
  <c r="L589" i="30"/>
  <c r="L588" i="30" s="1"/>
  <c r="L542" i="30"/>
  <c r="L576" i="30"/>
  <c r="L556" i="27"/>
  <c r="L352" i="30"/>
  <c r="L163" i="27"/>
  <c r="L162" i="27" s="1"/>
  <c r="L124" i="30"/>
  <c r="L123" i="30" s="1"/>
  <c r="L455" i="27"/>
  <c r="L404" i="27"/>
  <c r="L68" i="26"/>
  <c r="L67" i="26" s="1"/>
  <c r="L50" i="26" s="1"/>
  <c r="L436" i="27"/>
  <c r="L331" i="30"/>
  <c r="L83" i="30"/>
  <c r="L82" i="30" s="1"/>
  <c r="L440" i="30"/>
  <c r="L310" i="27"/>
  <c r="L376" i="26"/>
  <c r="L399" i="26"/>
  <c r="L748" i="27"/>
  <c r="L674" i="26"/>
  <c r="L417" i="30"/>
  <c r="L528" i="30"/>
  <c r="L430" i="27"/>
  <c r="L455" i="30"/>
  <c r="L302" i="26"/>
  <c r="L777" i="30"/>
  <c r="L308" i="30"/>
  <c r="L448" i="30"/>
  <c r="L493" i="30"/>
  <c r="L345" i="27"/>
  <c r="L424" i="27"/>
  <c r="L692" i="26"/>
  <c r="L298" i="27"/>
  <c r="L678" i="26"/>
  <c r="L365" i="30"/>
  <c r="L364" i="30" s="1"/>
  <c r="L362" i="30" s="1"/>
  <c r="L361" i="27"/>
  <c r="L360" i="27" s="1"/>
  <c r="L358" i="27" s="1"/>
  <c r="L507" i="27"/>
  <c r="L434" i="30"/>
  <c r="L399" i="27"/>
  <c r="L560" i="30"/>
  <c r="L534" i="30"/>
  <c r="G60" i="13"/>
  <c r="L60" i="13" s="1"/>
  <c r="V60" i="13"/>
  <c r="P60" i="13"/>
  <c r="U7" i="13"/>
  <c r="M45" i="13"/>
  <c r="N45" i="13" s="1"/>
  <c r="O45" i="13" s="1"/>
  <c r="W40" i="13"/>
  <c r="X40" i="13" s="1"/>
  <c r="Y40" i="13" s="1"/>
  <c r="R176" i="26"/>
  <c r="L176" i="26"/>
  <c r="L174" i="26" s="1"/>
  <c r="L173" i="26" s="1"/>
  <c r="M40" i="13"/>
  <c r="N40" i="13" s="1"/>
  <c r="O40" i="13" s="1"/>
  <c r="U13" i="13"/>
  <c r="R496" i="26"/>
  <c r="L183" i="30"/>
  <c r="R161" i="27"/>
  <c r="R744" i="30"/>
  <c r="L288" i="27"/>
  <c r="L504" i="27"/>
  <c r="L69" i="27"/>
  <c r="L68" i="27" s="1"/>
  <c r="L67" i="27" s="1"/>
  <c r="L249" i="27"/>
  <c r="R192" i="26"/>
  <c r="R785" i="27"/>
  <c r="L799" i="27"/>
  <c r="R195" i="26"/>
  <c r="R159" i="30"/>
  <c r="L791" i="27"/>
  <c r="L867" i="27"/>
  <c r="L866" i="27" s="1"/>
  <c r="L865" i="27" s="1"/>
  <c r="L864" i="27" s="1"/>
  <c r="R55" i="26"/>
  <c r="R472" i="30"/>
  <c r="L552" i="27"/>
  <c r="L159" i="27"/>
  <c r="R687" i="27"/>
  <c r="L345" i="30"/>
  <c r="L343" i="30" s="1"/>
  <c r="L237" i="30"/>
  <c r="L233" i="30" s="1"/>
  <c r="L570" i="30"/>
  <c r="L225" i="30"/>
  <c r="L391" i="30"/>
  <c r="L137" i="26"/>
  <c r="L124" i="26" s="1"/>
  <c r="L901" i="30"/>
  <c r="L499" i="27"/>
  <c r="L495" i="27" s="1"/>
  <c r="L704" i="26"/>
  <c r="L483" i="27"/>
  <c r="L505" i="30"/>
  <c r="L524" i="27"/>
  <c r="R392" i="27"/>
  <c r="R158" i="30"/>
  <c r="L782" i="27"/>
  <c r="R776" i="27"/>
  <c r="L751" i="30"/>
  <c r="L750" i="30" s="1"/>
  <c r="L306" i="27"/>
  <c r="L304" i="27" s="1"/>
  <c r="L475" i="30"/>
  <c r="L53" i="27"/>
  <c r="L52" i="27" s="1"/>
  <c r="R789" i="27"/>
  <c r="R804" i="27"/>
  <c r="L82" i="26"/>
  <c r="L566" i="27"/>
  <c r="L778" i="27"/>
  <c r="L446" i="26"/>
  <c r="L445" i="26" s="1"/>
  <c r="L891" i="27"/>
  <c r="L889" i="27" s="1"/>
  <c r="R294" i="30"/>
  <c r="L290" i="27"/>
  <c r="L705" i="26"/>
  <c r="L388" i="27"/>
  <c r="R137" i="30"/>
  <c r="L259" i="26"/>
  <c r="L258" i="26" s="1"/>
  <c r="L256" i="26" s="1"/>
  <c r="L538" i="27"/>
  <c r="L16" i="30"/>
  <c r="L15" i="30" s="1"/>
  <c r="L10" i="30" s="1"/>
  <c r="L472" i="26"/>
  <c r="L471" i="26" s="1"/>
  <c r="L203" i="27"/>
  <c r="L225" i="27"/>
  <c r="L224" i="27" s="1"/>
  <c r="L397" i="30"/>
  <c r="L239" i="27"/>
  <c r="R787" i="27"/>
  <c r="L378" i="27"/>
  <c r="R780" i="27"/>
  <c r="L888" i="27"/>
  <c r="L886" i="27" s="1"/>
  <c r="R462" i="27"/>
  <c r="L502" i="26"/>
  <c r="L498" i="26" s="1"/>
  <c r="L265" i="30"/>
  <c r="L261" i="30" s="1"/>
  <c r="L260" i="30" s="1"/>
  <c r="L258" i="30" s="1"/>
  <c r="L411" i="30"/>
  <c r="L505" i="27"/>
  <c r="L159" i="26"/>
  <c r="R490" i="26"/>
  <c r="L564" i="30"/>
  <c r="L624" i="26"/>
  <c r="L623" i="26" s="1"/>
  <c r="L514" i="26"/>
  <c r="L513" i="26" s="1"/>
  <c r="R376" i="27"/>
  <c r="R40" i="27"/>
  <c r="L818" i="27"/>
  <c r="L473" i="30"/>
  <c r="L487" i="30"/>
  <c r="L161" i="26"/>
  <c r="R158" i="27"/>
  <c r="R494" i="27"/>
  <c r="R369" i="30"/>
  <c r="L706" i="26"/>
  <c r="R781" i="27"/>
  <c r="L809" i="27"/>
  <c r="L16" i="26"/>
  <c r="L15" i="26" s="1"/>
  <c r="L10" i="26" s="1"/>
  <c r="L459" i="27"/>
  <c r="L398" i="27"/>
  <c r="R128" i="26"/>
  <c r="L489" i="27"/>
  <c r="L507" i="26"/>
  <c r="R779" i="27"/>
  <c r="L895" i="27"/>
  <c r="L894" i="27" s="1"/>
  <c r="R481" i="27"/>
  <c r="L385" i="30"/>
  <c r="R512" i="26"/>
  <c r="R365" i="27"/>
  <c r="L156" i="26"/>
  <c r="L499" i="30"/>
  <c r="L29" i="27"/>
  <c r="L27" i="27" s="1"/>
  <c r="L754" i="27"/>
  <c r="L239" i="26"/>
  <c r="L259" i="27"/>
  <c r="L258" i="27" s="1"/>
  <c r="L256" i="27" s="1"/>
  <c r="L231" i="27"/>
  <c r="L226" i="30"/>
  <c r="R374" i="26"/>
  <c r="R800" i="27"/>
  <c r="L556" i="30"/>
  <c r="L157" i="26"/>
  <c r="L251" i="30"/>
  <c r="L241" i="30"/>
  <c r="L794" i="27"/>
  <c r="R542" i="26"/>
  <c r="L465" i="27"/>
  <c r="L15" i="27"/>
  <c r="L10" i="27" s="1"/>
  <c r="L803" i="27"/>
  <c r="L560" i="27"/>
  <c r="L746" i="30"/>
  <c r="L745" i="30" s="1"/>
  <c r="R819" i="27"/>
  <c r="R878" i="27"/>
  <c r="L29" i="26"/>
  <c r="L27" i="26" s="1"/>
  <c r="L480" i="27"/>
  <c r="L477" i="27" s="1"/>
  <c r="L572" i="27"/>
  <c r="L747" i="30"/>
  <c r="L221" i="27"/>
  <c r="L766" i="27"/>
  <c r="L903" i="30"/>
  <c r="L911" i="30"/>
  <c r="L909" i="30" s="1"/>
  <c r="L908" i="30" s="1"/>
  <c r="L907" i="30" s="1"/>
  <c r="L767" i="30"/>
  <c r="L766" i="30" s="1"/>
  <c r="L777" i="27"/>
  <c r="L485" i="26"/>
  <c r="L482" i="26" s="1"/>
  <c r="L363" i="26"/>
  <c r="L359" i="26" s="1"/>
  <c r="L40" i="30"/>
  <c r="L39" i="30" s="1"/>
  <c r="L29" i="30" s="1"/>
  <c r="L27" i="30" s="1"/>
  <c r="L188" i="30"/>
  <c r="R506" i="27"/>
  <c r="R492" i="27"/>
  <c r="L332" i="26"/>
  <c r="L691" i="30"/>
  <c r="L690" i="30" s="1"/>
  <c r="L205" i="30"/>
  <c r="L82" i="27"/>
  <c r="L340" i="30"/>
  <c r="L338" i="30" s="1"/>
  <c r="L594" i="27"/>
  <c r="L592" i="27" s="1"/>
  <c r="R717" i="26"/>
  <c r="L341" i="27"/>
  <c r="L339" i="27" s="1"/>
  <c r="L497" i="26"/>
  <c r="L492" i="26" s="1"/>
  <c r="R497" i="26"/>
  <c r="L716" i="26"/>
  <c r="R716" i="26"/>
  <c r="L391" i="27"/>
  <c r="R391" i="27"/>
  <c r="R465" i="26"/>
  <c r="L465" i="26"/>
  <c r="L464" i="26" s="1"/>
  <c r="R137" i="27"/>
  <c r="L137" i="27"/>
  <c r="L124" i="27" s="1"/>
  <c r="L123" i="27" s="1"/>
  <c r="R157" i="30"/>
  <c r="L157" i="30"/>
  <c r="L155" i="30" s="1"/>
  <c r="L154" i="30" s="1"/>
  <c r="L796" i="27"/>
  <c r="R796" i="27"/>
  <c r="R810" i="27"/>
  <c r="L810" i="27"/>
  <c r="R298" i="26"/>
  <c r="L475" i="27"/>
  <c r="L158" i="26"/>
  <c r="R474" i="27"/>
  <c r="L474" i="27"/>
  <c r="L315" i="27"/>
  <c r="L156" i="27"/>
  <c r="R156" i="27"/>
  <c r="L249" i="26"/>
  <c r="R793" i="27"/>
  <c r="L793" i="27"/>
  <c r="R272" i="27"/>
  <c r="L272" i="27"/>
  <c r="L271" i="27" s="1"/>
  <c r="L270" i="27" s="1"/>
  <c r="L272" i="26"/>
  <c r="R272" i="26"/>
  <c r="L385" i="27"/>
  <c r="R385" i="27"/>
  <c r="R397" i="27"/>
  <c r="L397" i="27"/>
  <c r="L481" i="30"/>
  <c r="L466" i="30"/>
  <c r="L463" i="30" s="1"/>
  <c r="R466" i="30"/>
  <c r="L893" i="27"/>
  <c r="R893" i="27"/>
  <c r="L433" i="26"/>
  <c r="L432" i="26" s="1"/>
  <c r="R433" i="26"/>
  <c r="L274" i="30"/>
  <c r="L273" i="30" s="1"/>
  <c r="L272" i="30" s="1"/>
  <c r="R274" i="30"/>
  <c r="L186" i="27"/>
  <c r="L231" i="26"/>
  <c r="L715" i="26"/>
  <c r="R715" i="26"/>
  <c r="R336" i="27"/>
  <c r="L336" i="27"/>
  <c r="L334" i="27" s="1"/>
  <c r="L518" i="26"/>
  <c r="L515" i="26" s="1"/>
  <c r="R518" i="26"/>
  <c r="R807" i="27"/>
  <c r="L807" i="27"/>
  <c r="R225" i="26"/>
  <c r="L225" i="26"/>
  <c r="L224" i="26" s="1"/>
  <c r="L196" i="26"/>
  <c r="L186" i="26" s="1"/>
  <c r="R196" i="26"/>
  <c r="L787" i="30"/>
  <c r="L786" i="30" s="1"/>
  <c r="L785" i="30" s="1"/>
  <c r="L218" i="27"/>
  <c r="R218" i="27"/>
  <c r="L413" i="27"/>
  <c r="L773" i="27"/>
  <c r="R773" i="27"/>
  <c r="R394" i="27"/>
  <c r="L394" i="27"/>
  <c r="L801" i="27"/>
  <c r="R801" i="27"/>
  <c r="L505" i="26"/>
  <c r="L504" i="26" s="1"/>
  <c r="R505" i="26"/>
  <c r="R383" i="30"/>
  <c r="L383" i="30"/>
  <c r="L379" i="30" s="1"/>
  <c r="R474" i="30"/>
  <c r="L474" i="30"/>
  <c r="L68" i="30"/>
  <c r="L67" i="30" s="1"/>
  <c r="L164" i="30"/>
  <c r="L163" i="30" s="1"/>
  <c r="L162" i="30" s="1"/>
  <c r="R164" i="30"/>
  <c r="L296" i="26"/>
  <c r="M41" i="13"/>
  <c r="N41" i="13" s="1"/>
  <c r="L424" i="26"/>
  <c r="L785" i="26"/>
  <c r="L712" i="26"/>
  <c r="R712" i="26"/>
  <c r="O53" i="13"/>
  <c r="C9" i="13" s="1"/>
  <c r="E16" i="13"/>
  <c r="E17" i="13"/>
  <c r="F17" i="13" s="1"/>
  <c r="I17" i="13" s="1"/>
  <c r="E10" i="13"/>
  <c r="E9" i="13"/>
  <c r="G9" i="13" s="1"/>
  <c r="E19" i="13"/>
  <c r="G19" i="13" s="1"/>
  <c r="E14" i="13"/>
  <c r="G14" i="13" s="1"/>
  <c r="E18" i="13"/>
  <c r="O382" i="27"/>
  <c r="L382" i="27"/>
  <c r="L221" i="26"/>
  <c r="O221" i="26"/>
  <c r="L313" i="26"/>
  <c r="R220" i="30"/>
  <c r="L220" i="30"/>
  <c r="M39" i="13"/>
  <c r="N39" i="13" s="1"/>
  <c r="O39" i="13" s="1"/>
  <c r="C8" i="13" s="1"/>
  <c r="L343" i="26"/>
  <c r="L451" i="26"/>
  <c r="W55" i="13"/>
  <c r="X55" i="13" s="1"/>
  <c r="Y55" i="13" s="1"/>
  <c r="L531" i="26"/>
  <c r="J823" i="26"/>
  <c r="W61" i="13"/>
  <c r="X61" i="13" s="1"/>
  <c r="Y61" i="13" s="1"/>
  <c r="D15" i="13" s="1"/>
  <c r="G15" i="13" s="1"/>
  <c r="L478" i="26"/>
  <c r="L638" i="26"/>
  <c r="W43" i="13"/>
  <c r="X43" i="13" s="1"/>
  <c r="Y43" i="13" s="1"/>
  <c r="L795" i="26"/>
  <c r="R795" i="26"/>
  <c r="W39" i="13"/>
  <c r="X39" i="13" s="1"/>
  <c r="Y39" i="13" s="1"/>
  <c r="D8" i="13" s="1"/>
  <c r="L655" i="26"/>
  <c r="L718" i="26"/>
  <c r="R718" i="26"/>
  <c r="O386" i="27"/>
  <c r="L386" i="27"/>
  <c r="L382" i="26"/>
  <c r="L486" i="26"/>
  <c r="L349" i="26"/>
  <c r="W45" i="13"/>
  <c r="X45" i="13" s="1"/>
  <c r="Y45" i="13" s="1"/>
  <c r="L387" i="26"/>
  <c r="L660" i="26"/>
  <c r="L807" i="26"/>
  <c r="L124" i="41" l="1"/>
  <c r="D24" i="42" s="1"/>
  <c r="D24" i="29" s="1"/>
  <c r="K24" i="29" s="1"/>
  <c r="R9" i="33"/>
  <c r="R11" i="33"/>
  <c r="D23" i="42"/>
  <c r="O58" i="13"/>
  <c r="N61" i="13"/>
  <c r="O61" i="13" s="1"/>
  <c r="C15" i="13" s="1"/>
  <c r="F15" i="13" s="1"/>
  <c r="I15" i="13" s="1"/>
  <c r="L375" i="27"/>
  <c r="L689" i="30"/>
  <c r="L687" i="30" s="1"/>
  <c r="L28" i="35"/>
  <c r="L211" i="35"/>
  <c r="L240" i="35"/>
  <c r="L85" i="35"/>
  <c r="L55" i="35"/>
  <c r="R236" i="35"/>
  <c r="L236" i="35"/>
  <c r="T133" i="35"/>
  <c r="L182" i="30"/>
  <c r="L181" i="30" s="1"/>
  <c r="L180" i="30" s="1"/>
  <c r="L178" i="30" s="1"/>
  <c r="L270" i="30"/>
  <c r="L50" i="30"/>
  <c r="F14" i="13"/>
  <c r="I14" i="13" s="1"/>
  <c r="L761" i="30"/>
  <c r="L759" i="30" s="1"/>
  <c r="L673" i="26"/>
  <c r="L671" i="26" s="1"/>
  <c r="L80" i="30"/>
  <c r="F19" i="13"/>
  <c r="I19" i="13" s="1"/>
  <c r="L738" i="27"/>
  <c r="L736" i="27" s="1"/>
  <c r="L301" i="30"/>
  <c r="L299" i="30" s="1"/>
  <c r="L219" i="30"/>
  <c r="L218" i="30" s="1"/>
  <c r="L216" i="30" s="1"/>
  <c r="W60" i="13"/>
  <c r="X60" i="13" s="1"/>
  <c r="Y60" i="13" s="1"/>
  <c r="D11" i="13" s="1"/>
  <c r="G11" i="13" s="1"/>
  <c r="G17" i="13"/>
  <c r="M60" i="13"/>
  <c r="L501" i="27"/>
  <c r="L185" i="27"/>
  <c r="L183" i="27" s="1"/>
  <c r="L337" i="30"/>
  <c r="L335" i="30" s="1"/>
  <c r="L287" i="27"/>
  <c r="L286" i="27" s="1"/>
  <c r="L268" i="27" s="1"/>
  <c r="L155" i="27"/>
  <c r="L154" i="27" s="1"/>
  <c r="L152" i="27" s="1"/>
  <c r="L297" i="27"/>
  <c r="L295" i="27" s="1"/>
  <c r="L900" i="30"/>
  <c r="L899" i="30" s="1"/>
  <c r="L898" i="30" s="1"/>
  <c r="L50" i="27"/>
  <c r="L469" i="30"/>
  <c r="L462" i="30" s="1"/>
  <c r="L387" i="27"/>
  <c r="L742" i="30"/>
  <c r="L741" i="30" s="1"/>
  <c r="L185" i="26"/>
  <c r="L183" i="26" s="1"/>
  <c r="L471" i="27"/>
  <c r="L892" i="27"/>
  <c r="L885" i="27" s="1"/>
  <c r="L884" i="27" s="1"/>
  <c r="L155" i="26"/>
  <c r="L154" i="26" s="1"/>
  <c r="L152" i="26" s="1"/>
  <c r="L80" i="27"/>
  <c r="L187" i="30"/>
  <c r="L185" i="30" s="1"/>
  <c r="L378" i="30"/>
  <c r="L217" i="27"/>
  <c r="L216" i="27" s="1"/>
  <c r="L214" i="27" s="1"/>
  <c r="J912" i="27"/>
  <c r="L152" i="30"/>
  <c r="J827" i="26"/>
  <c r="L333" i="27"/>
  <c r="L331" i="27" s="1"/>
  <c r="J910" i="27"/>
  <c r="L393" i="27"/>
  <c r="L271" i="26"/>
  <c r="L270" i="26" s="1"/>
  <c r="L268" i="26" s="1"/>
  <c r="J829" i="26"/>
  <c r="L764" i="27"/>
  <c r="L763" i="27" s="1"/>
  <c r="L762" i="27" s="1"/>
  <c r="L622" i="26"/>
  <c r="L620" i="26" s="1"/>
  <c r="E8" i="13"/>
  <c r="G8" i="13" s="1"/>
  <c r="L529" i="26"/>
  <c r="L358" i="26"/>
  <c r="F18" i="13"/>
  <c r="I18" i="13" s="1"/>
  <c r="G18" i="13"/>
  <c r="O9" i="13"/>
  <c r="R9" i="13"/>
  <c r="P9" i="13"/>
  <c r="K9" i="13"/>
  <c r="T9" i="13"/>
  <c r="Q9" i="13"/>
  <c r="J9" i="13"/>
  <c r="N9" i="13"/>
  <c r="S9" i="13"/>
  <c r="L9" i="13"/>
  <c r="M9" i="13"/>
  <c r="F9" i="13"/>
  <c r="I9" i="13" s="1"/>
  <c r="J828" i="26"/>
  <c r="L703" i="26"/>
  <c r="L123" i="26"/>
  <c r="L806" i="26"/>
  <c r="L427" i="26"/>
  <c r="G823" i="26"/>
  <c r="K823" i="26"/>
  <c r="L823" i="26"/>
  <c r="L331" i="26"/>
  <c r="S17" i="13"/>
  <c r="K17" i="13"/>
  <c r="J17" i="13"/>
  <c r="N17" i="13"/>
  <c r="M17" i="13"/>
  <c r="R17" i="13"/>
  <c r="L17" i="13"/>
  <c r="T17" i="13"/>
  <c r="Q17" i="13"/>
  <c r="O17" i="13"/>
  <c r="P17" i="13"/>
  <c r="L217" i="26"/>
  <c r="P14" i="13"/>
  <c r="T14" i="13"/>
  <c r="M14" i="13"/>
  <c r="K14" i="13"/>
  <c r="R14" i="13"/>
  <c r="S14" i="13"/>
  <c r="N14" i="13"/>
  <c r="J14" i="13"/>
  <c r="Q14" i="13"/>
  <c r="L14" i="13"/>
  <c r="O14" i="13"/>
  <c r="F10" i="13"/>
  <c r="I10" i="13" s="1"/>
  <c r="G10" i="13"/>
  <c r="O41" i="13"/>
  <c r="L295" i="26"/>
  <c r="L372" i="26"/>
  <c r="S15" i="13"/>
  <c r="R15" i="13"/>
  <c r="K15" i="13"/>
  <c r="L15" i="13"/>
  <c r="M15" i="13"/>
  <c r="T15" i="13"/>
  <c r="N15" i="13"/>
  <c r="J15" i="13"/>
  <c r="O15" i="13"/>
  <c r="P15" i="13"/>
  <c r="Q15" i="13"/>
  <c r="F16" i="13"/>
  <c r="I16" i="13" s="1"/>
  <c r="G16" i="13"/>
  <c r="L794" i="26"/>
  <c r="L381" i="27"/>
  <c r="J911" i="27"/>
  <c r="L911" i="27" s="1"/>
  <c r="L19" i="13"/>
  <c r="N19" i="13"/>
  <c r="P19" i="13"/>
  <c r="K19" i="13"/>
  <c r="J19" i="13"/>
  <c r="O19" i="13"/>
  <c r="M19" i="13"/>
  <c r="L24" i="42" l="1"/>
  <c r="E24" i="42"/>
  <c r="O24" i="29"/>
  <c r="J24" i="29"/>
  <c r="L24" i="29"/>
  <c r="Q24" i="29"/>
  <c r="G24" i="29"/>
  <c r="N24" i="29"/>
  <c r="I24" i="29"/>
  <c r="M24" i="29"/>
  <c r="P24" i="29"/>
  <c r="S24" i="29"/>
  <c r="H24" i="29"/>
  <c r="D23" i="29"/>
  <c r="L23" i="42"/>
  <c r="E23" i="42"/>
  <c r="L54" i="35"/>
  <c r="L9" i="35" s="1"/>
  <c r="L205" i="35"/>
  <c r="L235" i="35"/>
  <c r="F8" i="13"/>
  <c r="L458" i="27"/>
  <c r="U19" i="13"/>
  <c r="U17" i="13"/>
  <c r="U9" i="13"/>
  <c r="C12" i="34"/>
  <c r="N60" i="13"/>
  <c r="O60" i="13" s="1"/>
  <c r="C11" i="13" s="1"/>
  <c r="F11" i="13" s="1"/>
  <c r="R11" i="13"/>
  <c r="M11" i="13"/>
  <c r="S11" i="13"/>
  <c r="J11" i="13"/>
  <c r="T11" i="13"/>
  <c r="L11" i="13"/>
  <c r="K11" i="13"/>
  <c r="Q11" i="13"/>
  <c r="O11" i="13"/>
  <c r="N11" i="13"/>
  <c r="P11" i="13"/>
  <c r="U14" i="13"/>
  <c r="L177" i="30"/>
  <c r="L376" i="30"/>
  <c r="L8" i="13"/>
  <c r="K8" i="13"/>
  <c r="AB20" i="13"/>
  <c r="AA20" i="13"/>
  <c r="AE20" i="13"/>
  <c r="AF20" i="13"/>
  <c r="AK20" i="13"/>
  <c r="J8" i="13"/>
  <c r="S8" i="13"/>
  <c r="Q8" i="13"/>
  <c r="AJ20" i="13"/>
  <c r="AM20" i="13"/>
  <c r="AP20" i="13"/>
  <c r="AD20" i="13"/>
  <c r="AL20" i="13"/>
  <c r="O8" i="13"/>
  <c r="R8" i="13"/>
  <c r="P8" i="13"/>
  <c r="AO20" i="13"/>
  <c r="AN20" i="13"/>
  <c r="AH20" i="13"/>
  <c r="AI20" i="13"/>
  <c r="M8" i="13"/>
  <c r="T8" i="13"/>
  <c r="N8" i="13"/>
  <c r="AC20" i="13"/>
  <c r="X20" i="13"/>
  <c r="AG20" i="13"/>
  <c r="Y20" i="13"/>
  <c r="Z20" i="13"/>
  <c r="L793" i="26"/>
  <c r="S16" i="13"/>
  <c r="R16" i="13"/>
  <c r="P16" i="13"/>
  <c r="J16" i="13"/>
  <c r="L16" i="13"/>
  <c r="O16" i="13"/>
  <c r="M16" i="13"/>
  <c r="N16" i="13"/>
  <c r="Q16" i="13"/>
  <c r="K16" i="13"/>
  <c r="T16" i="13"/>
  <c r="L80" i="26"/>
  <c r="T18" i="13"/>
  <c r="J18" i="13"/>
  <c r="R18" i="13"/>
  <c r="L18" i="13"/>
  <c r="Q18" i="13"/>
  <c r="O18" i="13"/>
  <c r="K18" i="13"/>
  <c r="P18" i="13"/>
  <c r="S18" i="13"/>
  <c r="N18" i="13"/>
  <c r="M18" i="13"/>
  <c r="L370" i="26"/>
  <c r="L293" i="26"/>
  <c r="L216" i="26"/>
  <c r="L329" i="26"/>
  <c r="L702" i="26"/>
  <c r="L356" i="26"/>
  <c r="L374" i="27"/>
  <c r="L805" i="26"/>
  <c r="U15" i="13"/>
  <c r="J10" i="13"/>
  <c r="S10" i="13"/>
  <c r="Q10" i="13"/>
  <c r="N10" i="13"/>
  <c r="O10" i="13"/>
  <c r="T10" i="13"/>
  <c r="L10" i="13"/>
  <c r="M10" i="13"/>
  <c r="R10" i="13"/>
  <c r="P10" i="13"/>
  <c r="K10" i="13"/>
  <c r="I8" i="13"/>
  <c r="O23" i="29" l="1"/>
  <c r="K23" i="29"/>
  <c r="L23" i="29"/>
  <c r="I23" i="29"/>
  <c r="U24" i="29"/>
  <c r="V24" i="29" s="1"/>
  <c r="Q23" i="29"/>
  <c r="M23" i="29"/>
  <c r="S23" i="29"/>
  <c r="P23" i="29"/>
  <c r="H23" i="29"/>
  <c r="G23" i="29"/>
  <c r="N23" i="29"/>
  <c r="J23" i="29"/>
  <c r="L234" i="35"/>
  <c r="L646" i="35"/>
  <c r="L647" i="35" s="1"/>
  <c r="R647" i="35"/>
  <c r="I11" i="13"/>
  <c r="U11" i="13" s="1"/>
  <c r="W20" i="13"/>
  <c r="C3" i="34"/>
  <c r="U10" i="13"/>
  <c r="U18" i="13"/>
  <c r="U16" i="13"/>
  <c r="L949" i="30"/>
  <c r="L950" i="30" s="1"/>
  <c r="T20" i="13"/>
  <c r="L792" i="26"/>
  <c r="M20" i="13"/>
  <c r="L701" i="26"/>
  <c r="O20" i="13"/>
  <c r="J20" i="13"/>
  <c r="P20" i="13"/>
  <c r="Q20" i="13"/>
  <c r="K20" i="13"/>
  <c r="U8" i="13"/>
  <c r="L177" i="26"/>
  <c r="L214" i="26"/>
  <c r="L372" i="27"/>
  <c r="L177" i="27"/>
  <c r="N20" i="13"/>
  <c r="R20" i="13"/>
  <c r="S20" i="13"/>
  <c r="L20" i="13"/>
  <c r="U23" i="29" l="1"/>
  <c r="V23" i="29" s="1"/>
  <c r="L233" i="35"/>
  <c r="I20" i="13"/>
  <c r="U20" i="13"/>
  <c r="J21" i="13" s="1"/>
  <c r="K142" i="26" s="1"/>
  <c r="L930" i="27"/>
  <c r="L931" i="27" s="1"/>
  <c r="K142" i="27" l="1"/>
  <c r="K142" i="30"/>
  <c r="O142" i="30" s="1"/>
  <c r="O7" i="30" s="1"/>
  <c r="P7" i="30" s="1"/>
  <c r="L191" i="35"/>
  <c r="J142" i="27"/>
  <c r="O142" i="27"/>
  <c r="O7" i="27" s="1"/>
  <c r="P7" i="27" s="1"/>
  <c r="J142" i="26"/>
  <c r="O142" i="26"/>
  <c r="O7" i="26" s="1"/>
  <c r="P7" i="26" s="1"/>
  <c r="J142" i="30" l="1"/>
  <c r="L649" i="35"/>
  <c r="L650" i="35" s="1"/>
  <c r="L652" i="35" s="1"/>
  <c r="R650" i="35"/>
  <c r="R652" i="35" s="1"/>
  <c r="K191" i="35"/>
  <c r="L7" i="35"/>
  <c r="R142" i="27"/>
  <c r="L142" i="27"/>
  <c r="L142" i="26"/>
  <c r="R142" i="26"/>
  <c r="L142" i="30"/>
  <c r="R142" i="30"/>
  <c r="M353" i="35" l="1"/>
  <c r="M352" i="35"/>
  <c r="M294" i="35"/>
  <c r="M295" i="35"/>
  <c r="L654" i="35"/>
  <c r="M602" i="35"/>
  <c r="M318" i="35"/>
  <c r="M83" i="35"/>
  <c r="M91" i="35"/>
  <c r="M14" i="35"/>
  <c r="M36" i="35"/>
  <c r="M95" i="35"/>
  <c r="M198" i="35"/>
  <c r="M137" i="35"/>
  <c r="M104" i="35"/>
  <c r="M300" i="35"/>
  <c r="M197" i="35"/>
  <c r="M338" i="35"/>
  <c r="M450" i="35"/>
  <c r="M392" i="35"/>
  <c r="M458" i="35"/>
  <c r="M534" i="35"/>
  <c r="M531" i="35"/>
  <c r="M479" i="35"/>
  <c r="M580" i="35"/>
  <c r="M35" i="35"/>
  <c r="M93" i="35"/>
  <c r="M102" i="35"/>
  <c r="M109" i="35"/>
  <c r="M108" i="35"/>
  <c r="M99" i="35"/>
  <c r="M317" i="35"/>
  <c r="M278" i="35"/>
  <c r="M385" i="35"/>
  <c r="M462" i="35"/>
  <c r="M475" i="35"/>
  <c r="M496" i="35"/>
  <c r="M487" i="35"/>
  <c r="M557" i="35"/>
  <c r="M13" i="35"/>
  <c r="M62" i="35"/>
  <c r="M138" i="35"/>
  <c r="M130" i="35"/>
  <c r="M112" i="35"/>
  <c r="M304" i="35"/>
  <c r="M303" i="35"/>
  <c r="M267" i="35"/>
  <c r="M332" i="35"/>
  <c r="M386" i="35"/>
  <c r="M393" i="35"/>
  <c r="M446" i="35"/>
  <c r="M439" i="35"/>
  <c r="M456" i="35"/>
  <c r="M513" i="35"/>
  <c r="M49" i="35"/>
  <c r="M77" i="35"/>
  <c r="M110" i="35"/>
  <c r="M101" i="35"/>
  <c r="M136" i="35"/>
  <c r="M296" i="35"/>
  <c r="M269" i="35"/>
  <c r="M376" i="35"/>
  <c r="M409" i="35"/>
  <c r="M454" i="35"/>
  <c r="M491" i="35"/>
  <c r="M504" i="35"/>
  <c r="M537" i="35"/>
  <c r="M595" i="35"/>
  <c r="M562" i="35"/>
  <c r="M200" i="35"/>
  <c r="M40" i="35"/>
  <c r="M430" i="35"/>
  <c r="M482" i="35"/>
  <c r="M329" i="35"/>
  <c r="M406" i="35"/>
  <c r="M343" i="35"/>
  <c r="M170" i="35"/>
  <c r="M84" i="35"/>
  <c r="M199" i="35"/>
  <c r="M398" i="35"/>
  <c r="M175" i="35"/>
  <c r="M335" i="35"/>
  <c r="M337" i="35"/>
  <c r="M582" i="35"/>
  <c r="M600" i="35"/>
  <c r="L629" i="35"/>
  <c r="M7" i="35"/>
  <c r="M39" i="35"/>
  <c r="M44" i="35"/>
  <c r="M67" i="35"/>
  <c r="M98" i="35"/>
  <c r="M222" i="35"/>
  <c r="M131" i="35"/>
  <c r="M97" i="35"/>
  <c r="M322" i="35"/>
  <c r="M186" i="35"/>
  <c r="M368" i="35"/>
  <c r="M425" i="35"/>
  <c r="M484" i="35"/>
  <c r="M453" i="35"/>
  <c r="M464" i="35"/>
  <c r="M503" i="35"/>
  <c r="M578" i="35"/>
  <c r="M26" i="35"/>
  <c r="M51" i="35"/>
  <c r="M141" i="35"/>
  <c r="M125" i="35"/>
  <c r="M115" i="35"/>
  <c r="M314" i="35"/>
  <c r="M238" i="35"/>
  <c r="M361" i="35"/>
  <c r="M492" i="35"/>
  <c r="M501" i="35"/>
  <c r="M512" i="35"/>
  <c r="M507" i="35"/>
  <c r="M581" i="35"/>
  <c r="M92" i="35"/>
  <c r="M213" i="35"/>
  <c r="M127" i="35"/>
  <c r="M103" i="35"/>
  <c r="M210" i="35"/>
  <c r="M330" i="35"/>
  <c r="M399" i="35"/>
  <c r="M359" i="35"/>
  <c r="M408" i="35"/>
  <c r="M466" i="35"/>
  <c r="M461" i="35"/>
  <c r="M468" i="35"/>
  <c r="M495" i="35"/>
  <c r="M90" i="35"/>
  <c r="M65" i="35"/>
  <c r="M123" i="35"/>
  <c r="M122" i="35"/>
  <c r="M284" i="35"/>
  <c r="M209" i="35"/>
  <c r="M308" i="35"/>
  <c r="M307" i="35"/>
  <c r="M268" i="35"/>
  <c r="M383" i="35"/>
  <c r="M416" i="35"/>
  <c r="M476" i="35"/>
  <c r="M510" i="35"/>
  <c r="M455" i="35"/>
  <c r="M579" i="35"/>
  <c r="M279" i="35"/>
  <c r="M427" i="35"/>
  <c r="M563" i="35"/>
  <c r="M354" i="35"/>
  <c r="M426" i="35"/>
  <c r="M121" i="35"/>
  <c r="M422" i="35"/>
  <c r="M333" i="35"/>
  <c r="M60" i="35"/>
  <c r="M536" i="35"/>
  <c r="M281" i="35"/>
  <c r="M23" i="35"/>
  <c r="M155" i="35"/>
  <c r="M158" i="35"/>
  <c r="M592" i="35"/>
  <c r="M331" i="35"/>
  <c r="M434" i="35"/>
  <c r="M601" i="35"/>
  <c r="M526" i="35"/>
  <c r="M86" i="35"/>
  <c r="M8" i="35"/>
  <c r="M64" i="35"/>
  <c r="M61" i="35"/>
  <c r="M79" i="35"/>
  <c r="M114" i="35"/>
  <c r="M310" i="35"/>
  <c r="M245" i="35"/>
  <c r="M140" i="35"/>
  <c r="M262" i="35"/>
  <c r="M264" i="35"/>
  <c r="M377" i="35"/>
  <c r="M417" i="35"/>
  <c r="M498" i="35"/>
  <c r="M469" i="35"/>
  <c r="M508" i="35"/>
  <c r="M532" i="35"/>
  <c r="M567" i="35"/>
  <c r="M48" i="35"/>
  <c r="M80" i="35"/>
  <c r="M208" i="35"/>
  <c r="M214" i="35"/>
  <c r="M336" i="35"/>
  <c r="M323" i="35"/>
  <c r="M407" i="35"/>
  <c r="M502" i="35"/>
  <c r="M452" i="35"/>
  <c r="M530" i="35"/>
  <c r="M535" i="35"/>
  <c r="M50" i="35"/>
  <c r="M52" i="35"/>
  <c r="M66" i="35"/>
  <c r="M302" i="35"/>
  <c r="M305" i="35"/>
  <c r="M232" i="35"/>
  <c r="M124" i="35"/>
  <c r="M320" i="35"/>
  <c r="M266" i="35"/>
  <c r="M375" i="35"/>
  <c r="M391" i="35"/>
  <c r="M415" i="35"/>
  <c r="M494" i="35"/>
  <c r="M483" i="35"/>
  <c r="M488" i="35"/>
  <c r="M53" i="35"/>
  <c r="M47" i="35"/>
  <c r="M73" i="35"/>
  <c r="M132" i="35"/>
  <c r="M309" i="35"/>
  <c r="M237" i="35"/>
  <c r="M107" i="35"/>
  <c r="M261" i="35"/>
  <c r="M400" i="35"/>
  <c r="M360" i="35"/>
  <c r="M431" i="35"/>
  <c r="M509" i="35"/>
  <c r="M460" i="35"/>
  <c r="M499" i="35"/>
  <c r="M538" i="35"/>
  <c r="M628" i="35"/>
  <c r="M449" i="35"/>
  <c r="M172" i="35"/>
  <c r="M560" i="35"/>
  <c r="M207" i="35"/>
  <c r="M203" i="35"/>
  <c r="M552" i="35"/>
  <c r="M366" i="35"/>
  <c r="M126" i="35"/>
  <c r="M339" i="35"/>
  <c r="M390" i="35"/>
  <c r="M164" i="35"/>
  <c r="M263" i="35"/>
  <c r="M74" i="35"/>
  <c r="M292" i="35"/>
  <c r="M478" i="35"/>
  <c r="M280" i="35"/>
  <c r="M27" i="35"/>
  <c r="M165" i="35"/>
  <c r="M139" i="35"/>
  <c r="M432" i="35"/>
  <c r="M556" i="35"/>
  <c r="M316" i="35"/>
  <c r="M265" i="35"/>
  <c r="M480" i="35"/>
  <c r="M68" i="35"/>
  <c r="M285" i="35"/>
  <c r="M382" i="35"/>
  <c r="M505" i="35"/>
  <c r="M69" i="35"/>
  <c r="M255" i="35"/>
  <c r="M424" i="35"/>
  <c r="M529" i="35"/>
  <c r="M441" i="35"/>
  <c r="M402" i="35"/>
  <c r="M524" i="35"/>
  <c r="M171" i="35"/>
  <c r="M387" i="35"/>
  <c r="M574" i="35"/>
  <c r="M350" i="35"/>
  <c r="M590" i="35"/>
  <c r="M252" i="35"/>
  <c r="M38" i="35"/>
  <c r="M378" i="35"/>
  <c r="M58" i="35"/>
  <c r="M414" i="35"/>
  <c r="M364" i="35"/>
  <c r="M548" i="35"/>
  <c r="M272" i="35"/>
  <c r="M291" i="35"/>
  <c r="M613" i="35"/>
  <c r="M403" i="35"/>
  <c r="M558" i="35"/>
  <c r="M546" i="35"/>
  <c r="M348" i="35"/>
  <c r="M195" i="35"/>
  <c r="M251" i="35"/>
  <c r="M615" i="35"/>
  <c r="M147" i="35"/>
  <c r="M474" i="35"/>
  <c r="M379" i="35"/>
  <c r="M589" i="35"/>
  <c r="M587" i="35"/>
  <c r="M201" i="35"/>
  <c r="M347" i="35"/>
  <c r="M20" i="35"/>
  <c r="M622" i="35"/>
  <c r="M609" i="35"/>
  <c r="M547" i="35"/>
  <c r="M523" i="35"/>
  <c r="M419" i="35"/>
  <c r="M561" i="35"/>
  <c r="M575" i="35"/>
  <c r="M116" i="35"/>
  <c r="M394" i="35"/>
  <c r="M15" i="35"/>
  <c r="M17" i="35"/>
  <c r="M176" i="35"/>
  <c r="M545" i="35"/>
  <c r="M447" i="35"/>
  <c r="M156" i="35"/>
  <c r="M187" i="35"/>
  <c r="M516" i="35"/>
  <c r="M514" i="35"/>
  <c r="M105" i="35"/>
  <c r="M321" i="35"/>
  <c r="M511" i="35"/>
  <c r="M568" i="35"/>
  <c r="M301" i="35"/>
  <c r="M369" i="35"/>
  <c r="M463" i="35"/>
  <c r="M106" i="35"/>
  <c r="M423" i="35"/>
  <c r="M500" i="35"/>
  <c r="M306" i="35"/>
  <c r="M451" i="35"/>
  <c r="M584" i="35"/>
  <c r="M518" i="35"/>
  <c r="M185" i="35"/>
  <c r="M440" i="35"/>
  <c r="M444" i="35"/>
  <c r="M72" i="35"/>
  <c r="M591" i="35"/>
  <c r="M89" i="35"/>
  <c r="M481" i="35"/>
  <c r="M173" i="35"/>
  <c r="M599" i="35"/>
  <c r="M435" i="35"/>
  <c r="M299" i="35"/>
  <c r="M553" i="35"/>
  <c r="M275" i="35"/>
  <c r="M528" i="35"/>
  <c r="M396" i="35"/>
  <c r="M248" i="35"/>
  <c r="M598" i="35"/>
  <c r="M253" i="35"/>
  <c r="M586" i="35"/>
  <c r="M120" i="35"/>
  <c r="M274" i="35"/>
  <c r="M569" i="35"/>
  <c r="M181" i="35"/>
  <c r="M438" i="35"/>
  <c r="M162" i="35"/>
  <c r="M202" i="35"/>
  <c r="M588" i="35"/>
  <c r="M204" i="35"/>
  <c r="M577" i="35"/>
  <c r="M190" i="35"/>
  <c r="M443" i="35"/>
  <c r="M346" i="35"/>
  <c r="M617" i="35"/>
  <c r="M618" i="35"/>
  <c r="M206" i="35"/>
  <c r="M22" i="35"/>
  <c r="M82" i="35"/>
  <c r="M349" i="35"/>
  <c r="M549" i="35"/>
  <c r="M626" i="35"/>
  <c r="M71" i="35"/>
  <c r="M259" i="35"/>
  <c r="M583" i="35"/>
  <c r="M555" i="35"/>
  <c r="M160" i="35"/>
  <c r="M169" i="35"/>
  <c r="M621" i="35"/>
  <c r="M42" i="35"/>
  <c r="M183" i="35"/>
  <c r="M188" i="35"/>
  <c r="M258" i="35"/>
  <c r="M472" i="35"/>
  <c r="M312" i="35"/>
  <c r="M159" i="35"/>
  <c r="M341" i="35"/>
  <c r="M167" i="35"/>
  <c r="M78" i="35"/>
  <c r="M297" i="35"/>
  <c r="M401" i="35"/>
  <c r="M497" i="35"/>
  <c r="M63" i="35"/>
  <c r="M433" i="35"/>
  <c r="M585" i="35"/>
  <c r="M113" i="35"/>
  <c r="M445" i="35"/>
  <c r="M34" i="35"/>
  <c r="M196" i="35"/>
  <c r="M290" i="35"/>
  <c r="M465" i="35"/>
  <c r="M540" i="35"/>
  <c r="M153" i="35"/>
  <c r="M154" i="35"/>
  <c r="M260" i="35"/>
  <c r="M493" i="35"/>
  <c r="M182" i="35"/>
  <c r="M485" i="35"/>
  <c r="M564" i="35"/>
  <c r="M319" i="35"/>
  <c r="M25" i="35"/>
  <c r="M363" i="35"/>
  <c r="M76" i="35"/>
  <c r="M551" i="35"/>
  <c r="M362" i="35"/>
  <c r="M486" i="35"/>
  <c r="M273" i="35"/>
  <c r="M533" i="35"/>
  <c r="M610" i="35"/>
  <c r="M152" i="35"/>
  <c r="M365" i="35"/>
  <c r="M327" i="35"/>
  <c r="M517" i="35"/>
  <c r="M43" i="35"/>
  <c r="M157" i="35"/>
  <c r="M184" i="35"/>
  <c r="M410" i="35"/>
  <c r="M371" i="35"/>
  <c r="M573" i="35"/>
  <c r="M539" i="35"/>
  <c r="M565" i="35"/>
  <c r="M381" i="35"/>
  <c r="M559" i="35"/>
  <c r="M604" i="35"/>
  <c r="M32" i="35"/>
  <c r="M334" i="35"/>
  <c r="M254" i="35"/>
  <c r="M59" i="35"/>
  <c r="M389" i="35"/>
  <c r="M572" i="35"/>
  <c r="M289" i="35"/>
  <c r="M397" i="35"/>
  <c r="M24" i="35"/>
  <c r="M614" i="35"/>
  <c r="M554" i="35"/>
  <c r="M315" i="35"/>
  <c r="M313" i="35"/>
  <c r="M250" i="35"/>
  <c r="M606" i="35"/>
  <c r="M522" i="35"/>
  <c r="M342" i="35"/>
  <c r="M12" i="35"/>
  <c r="M612" i="35"/>
  <c r="M351" i="35"/>
  <c r="M29" i="35"/>
  <c r="M459" i="35"/>
  <c r="M45" i="35"/>
  <c r="M37" i="35"/>
  <c r="M358" i="35"/>
  <c r="M418" i="35"/>
  <c r="M117" i="35"/>
  <c r="M467" i="35"/>
  <c r="M75" i="35"/>
  <c r="M133" i="35"/>
  <c r="M161" i="35"/>
  <c r="M372" i="35"/>
  <c r="M21" i="35"/>
  <c r="M298" i="35"/>
  <c r="M276" i="35"/>
  <c r="M520" i="35"/>
  <c r="M627" i="35"/>
  <c r="M597" i="35"/>
  <c r="M288" i="35"/>
  <c r="M544" i="35"/>
  <c r="M180" i="35"/>
  <c r="M596" i="35"/>
  <c r="M624" i="35"/>
  <c r="M619" i="35"/>
  <c r="M166" i="35"/>
  <c r="M623" i="35"/>
  <c r="M384" i="35"/>
  <c r="M345" i="35"/>
  <c r="M442" i="35"/>
  <c r="M616" i="35"/>
  <c r="M344" i="35"/>
  <c r="M194" i="35"/>
  <c r="M325" i="35"/>
  <c r="M340" i="35"/>
  <c r="M41" i="35"/>
  <c r="M46" i="35"/>
  <c r="M96" i="35"/>
  <c r="M477" i="35"/>
  <c r="M143" i="35"/>
  <c r="M594" i="35"/>
  <c r="M328" i="35"/>
  <c r="M550" i="35"/>
  <c r="M18" i="35"/>
  <c r="M411" i="35"/>
  <c r="M566" i="35"/>
  <c r="M404" i="35"/>
  <c r="M448" i="35"/>
  <c r="M571" i="35"/>
  <c r="M174" i="35"/>
  <c r="M148" i="35"/>
  <c r="M608" i="35"/>
  <c r="M81" i="35"/>
  <c r="M519" i="35"/>
  <c r="M168" i="35"/>
  <c r="M620" i="35"/>
  <c r="M118" i="35"/>
  <c r="M521" i="35"/>
  <c r="M543" i="35"/>
  <c r="M10" i="35"/>
  <c r="M506" i="35"/>
  <c r="M179" i="35"/>
  <c r="M277" i="35"/>
  <c r="M593" i="35"/>
  <c r="M576" i="35"/>
  <c r="M70" i="35"/>
  <c r="M311" i="35"/>
  <c r="M239" i="35"/>
  <c r="M293" i="35"/>
  <c r="M324" i="35"/>
  <c r="M367" i="35"/>
  <c r="M178" i="35"/>
  <c r="M163" i="35"/>
  <c r="M374" i="35"/>
  <c r="M570" i="35"/>
  <c r="M607" i="35"/>
  <c r="M189" i="35"/>
  <c r="M603" i="35"/>
  <c r="M19" i="35"/>
  <c r="M177" i="35"/>
  <c r="M473" i="35"/>
  <c r="M357" i="35"/>
  <c r="M119" i="35"/>
  <c r="M625" i="35"/>
  <c r="M437" i="35"/>
  <c r="M11" i="35"/>
  <c r="M287" i="35"/>
  <c r="M193" i="35"/>
  <c r="M515" i="35"/>
  <c r="M192" i="35"/>
  <c r="M457" i="35"/>
  <c r="M605" i="35"/>
  <c r="M395" i="35"/>
  <c r="M611" i="35"/>
  <c r="M370" i="35"/>
  <c r="M326" i="35"/>
  <c r="M16" i="35"/>
  <c r="M286" i="35"/>
  <c r="M490" i="35"/>
  <c r="M489" i="35"/>
  <c r="M471" i="35"/>
  <c r="M470" i="35"/>
  <c r="M283" i="35"/>
  <c r="M282" i="35"/>
  <c r="M542" i="35"/>
  <c r="M541" i="35"/>
  <c r="M271" i="35"/>
  <c r="M270" i="35"/>
  <c r="M527" i="35"/>
  <c r="M525" i="35"/>
  <c r="M149" i="35"/>
  <c r="M150" i="35"/>
  <c r="M151" i="35"/>
  <c r="M146" i="35"/>
  <c r="M145" i="35"/>
  <c r="M144" i="35"/>
  <c r="M227" i="35"/>
  <c r="M226" i="35"/>
  <c r="M257" i="35"/>
  <c r="M217" i="35"/>
  <c r="M220" i="35"/>
  <c r="M221" i="35"/>
  <c r="M243" i="35"/>
  <c r="M219" i="35"/>
  <c r="M256" i="35"/>
  <c r="M218" i="35"/>
  <c r="M224" i="35"/>
  <c r="M223" i="35"/>
  <c r="M244" i="35"/>
  <c r="M246" i="35"/>
  <c r="M247" i="35"/>
  <c r="M242" i="35"/>
  <c r="M241" i="35"/>
  <c r="M436" i="35"/>
  <c r="M429" i="35"/>
  <c r="M420" i="35"/>
  <c r="M412" i="35"/>
  <c r="M380" i="35"/>
  <c r="M428" i="35"/>
  <c r="M405" i="35"/>
  <c r="M373" i="35"/>
  <c r="M413" i="35"/>
  <c r="M421" i="35"/>
  <c r="M33" i="35"/>
  <c r="M111" i="35"/>
  <c r="M142" i="35"/>
  <c r="M388" i="35"/>
  <c r="M356" i="35"/>
  <c r="M134" i="35"/>
  <c r="M100" i="35"/>
  <c r="M230" i="35"/>
  <c r="M94" i="35"/>
  <c r="M31" i="35"/>
  <c r="M355" i="35"/>
  <c r="M225" i="35"/>
  <c r="M129" i="35"/>
  <c r="M135" i="35"/>
  <c r="M57" i="35"/>
  <c r="M231" i="35"/>
  <c r="M88" i="35"/>
  <c r="M229" i="35"/>
  <c r="M215" i="35"/>
  <c r="N7" i="35"/>
  <c r="M212" i="35"/>
  <c r="M216" i="35"/>
  <c r="M56" i="35"/>
  <c r="M128" i="35"/>
  <c r="M228" i="35"/>
  <c r="M30" i="35"/>
  <c r="M249" i="35"/>
  <c r="M87" i="35"/>
  <c r="M211" i="35"/>
  <c r="M55" i="35"/>
  <c r="M28" i="35"/>
  <c r="M240" i="35"/>
  <c r="M236" i="35"/>
  <c r="M85" i="35"/>
  <c r="M54" i="35"/>
  <c r="M205" i="35"/>
  <c r="M235" i="35"/>
  <c r="M9" i="35"/>
  <c r="M234" i="35"/>
  <c r="M233" i="35"/>
  <c r="M191" i="35"/>
  <c r="L141" i="26"/>
  <c r="J824" i="26"/>
  <c r="J826" i="26"/>
  <c r="L141" i="27"/>
  <c r="J909" i="27"/>
  <c r="L141" i="30"/>
  <c r="M629" i="35" l="1"/>
  <c r="S629" i="35"/>
  <c r="L632" i="35"/>
  <c r="L140" i="27"/>
  <c r="L140" i="26"/>
  <c r="L140" i="30"/>
  <c r="L824" i="26"/>
  <c r="K824" i="26"/>
  <c r="G824" i="26"/>
  <c r="XFD629" i="35" l="1"/>
  <c r="L631" i="35"/>
  <c r="J631" i="35" s="1"/>
  <c r="G631" i="35" s="1"/>
  <c r="L644" i="35"/>
  <c r="M632" i="35"/>
  <c r="L633" i="35"/>
  <c r="G630" i="35"/>
  <c r="L138" i="30"/>
  <c r="L138" i="27"/>
  <c r="L138" i="26"/>
  <c r="L634" i="35" l="1"/>
  <c r="L636" i="35"/>
  <c r="K633" i="35"/>
  <c r="M633" i="35"/>
  <c r="L9" i="26"/>
  <c r="L9" i="30"/>
  <c r="L9" i="27"/>
  <c r="L638" i="35" l="1"/>
  <c r="L641" i="35"/>
  <c r="M641" i="35" s="1"/>
  <c r="S632" i="35"/>
  <c r="L927" i="27"/>
  <c r="L928" i="27" s="1"/>
  <c r="L7" i="27"/>
  <c r="M9" i="27" s="1"/>
  <c r="L946" i="30"/>
  <c r="L947" i="30" s="1"/>
  <c r="L7" i="30"/>
  <c r="L7" i="26"/>
  <c r="M638" i="35" l="1"/>
  <c r="L637" i="35"/>
  <c r="S637" i="35" s="1"/>
  <c r="M177" i="30"/>
  <c r="M855" i="30"/>
  <c r="M611" i="30"/>
  <c r="M807" i="30"/>
  <c r="M566" i="30"/>
  <c r="M237" i="30"/>
  <c r="M90" i="30"/>
  <c r="M275" i="30"/>
  <c r="M518" i="30"/>
  <c r="M894" i="30"/>
  <c r="M698" i="30"/>
  <c r="M856" i="30"/>
  <c r="M782" i="30"/>
  <c r="M415" i="30"/>
  <c r="M328" i="30"/>
  <c r="M408" i="30"/>
  <c r="M665" i="30"/>
  <c r="M214" i="30"/>
  <c r="M910" i="30"/>
  <c r="M524" i="30"/>
  <c r="M847" i="30"/>
  <c r="M203" i="30"/>
  <c r="M468" i="30"/>
  <c r="M106" i="30"/>
  <c r="M536" i="30"/>
  <c r="M820" i="30"/>
  <c r="M296" i="30"/>
  <c r="M620" i="30"/>
  <c r="M853" i="30"/>
  <c r="M131" i="30"/>
  <c r="M409" i="30"/>
  <c r="M837" i="30"/>
  <c r="M284" i="30"/>
  <c r="M722" i="30"/>
  <c r="M715" i="30"/>
  <c r="M159" i="30"/>
  <c r="M56" i="30"/>
  <c r="M346" i="30"/>
  <c r="M37" i="30"/>
  <c r="M573" i="30"/>
  <c r="M637" i="30"/>
  <c r="M826" i="30"/>
  <c r="M252" i="30"/>
  <c r="M758" i="30"/>
  <c r="M775" i="30"/>
  <c r="M504" i="30"/>
  <c r="M11" i="30"/>
  <c r="M778" i="30"/>
  <c r="M817" i="30"/>
  <c r="M361" i="30"/>
  <c r="M388" i="30"/>
  <c r="M905" i="30"/>
  <c r="M838" i="30"/>
  <c r="M25" i="30"/>
  <c r="M764" i="30"/>
  <c r="M743" i="30"/>
  <c r="M506" i="30"/>
  <c r="M895" i="30"/>
  <c r="M877" i="30"/>
  <c r="M621" i="30"/>
  <c r="M676" i="30"/>
  <c r="M276" i="30"/>
  <c r="M544" i="30"/>
  <c r="M717" i="30"/>
  <c r="M520" i="30"/>
  <c r="M746" i="30"/>
  <c r="M259" i="30"/>
  <c r="M298" i="30"/>
  <c r="M148" i="30"/>
  <c r="M170" i="30"/>
  <c r="M95" i="30"/>
  <c r="M834" i="30"/>
  <c r="M579" i="30"/>
  <c r="M710" i="30"/>
  <c r="M874" i="30"/>
  <c r="M463" i="30"/>
  <c r="M30" i="30"/>
  <c r="M156" i="30"/>
  <c r="M788" i="30"/>
  <c r="M427" i="30"/>
  <c r="M49" i="30"/>
  <c r="M238" i="30"/>
  <c r="M863" i="30"/>
  <c r="M382" i="30"/>
  <c r="M850" i="30"/>
  <c r="M169" i="30"/>
  <c r="M430" i="30"/>
  <c r="M251" i="30"/>
  <c r="M222" i="30"/>
  <c r="J932" i="30"/>
  <c r="M526" i="30"/>
  <c r="M883" i="30"/>
  <c r="M564" i="30"/>
  <c r="M44" i="30"/>
  <c r="M493" i="30"/>
  <c r="M860" i="30"/>
  <c r="M192" i="30"/>
  <c r="M581" i="30"/>
  <c r="M627" i="30"/>
  <c r="M683" i="30"/>
  <c r="M703" i="30"/>
  <c r="M23" i="30"/>
  <c r="M51" i="30"/>
  <c r="M485" i="30"/>
  <c r="M897" i="30"/>
  <c r="M844" i="30"/>
  <c r="M167" i="30"/>
  <c r="M38" i="30"/>
  <c r="M914" i="30"/>
  <c r="M35" i="30"/>
  <c r="M889" i="30"/>
  <c r="M885" i="30"/>
  <c r="M186" i="30"/>
  <c r="M669" i="30"/>
  <c r="M801" i="30"/>
  <c r="M308" i="30"/>
  <c r="M694" i="30"/>
  <c r="M277" i="30"/>
  <c r="M389" i="30"/>
  <c r="M614" i="30"/>
  <c r="M207" i="30"/>
  <c r="M7" i="30"/>
  <c r="M79" i="30"/>
  <c r="M353" i="30"/>
  <c r="M525" i="30"/>
  <c r="M271" i="30"/>
  <c r="M13" i="30"/>
  <c r="M495" i="30"/>
  <c r="M755" i="30"/>
  <c r="M423" i="30"/>
  <c r="M812" i="30"/>
  <c r="M204" i="30"/>
  <c r="M223" i="30"/>
  <c r="M635" i="30"/>
  <c r="M160" i="30"/>
  <c r="M326" i="30"/>
  <c r="M272" i="30"/>
  <c r="M210" i="30"/>
  <c r="M473" i="30"/>
  <c r="M318" i="30"/>
  <c r="M859" i="30"/>
  <c r="M891" i="30"/>
  <c r="M545" i="30"/>
  <c r="M869" i="30"/>
  <c r="M449" i="30"/>
  <c r="M786" i="30"/>
  <c r="M849" i="30"/>
  <c r="M542" i="30"/>
  <c r="M811" i="30"/>
  <c r="M464" i="30"/>
  <c r="M709" i="30"/>
  <c r="M706" i="30"/>
  <c r="M585" i="30"/>
  <c r="M702" i="30"/>
  <c r="M893" i="30"/>
  <c r="M46" i="30"/>
  <c r="M76" i="30"/>
  <c r="M616" i="30"/>
  <c r="M735" i="30"/>
  <c r="M554" i="30"/>
  <c r="M731" i="30"/>
  <c r="M168" i="30"/>
  <c r="M639" i="30"/>
  <c r="M693" i="30"/>
  <c r="M21" i="30"/>
  <c r="M425" i="30"/>
  <c r="M767" i="30"/>
  <c r="M351" i="30"/>
  <c r="M357" i="30"/>
  <c r="M230" i="30"/>
  <c r="M379" i="30"/>
  <c r="M761" i="30"/>
  <c r="M299" i="30"/>
  <c r="M190" i="30"/>
  <c r="M243" i="30"/>
  <c r="M606" i="30"/>
  <c r="M126" i="30"/>
  <c r="M310" i="30"/>
  <c r="M369" i="30"/>
  <c r="M428" i="30"/>
  <c r="M508" i="30"/>
  <c r="M814" i="30"/>
  <c r="M630" i="30"/>
  <c r="M684" i="30"/>
  <c r="M466" i="30"/>
  <c r="M559" i="30"/>
  <c r="M358" i="30"/>
  <c r="M32" i="30"/>
  <c r="M182" i="30"/>
  <c r="M668" i="30"/>
  <c r="M836" i="30"/>
  <c r="M390" i="30"/>
  <c r="M785" i="30"/>
  <c r="M194" i="30"/>
  <c r="M241" i="30"/>
  <c r="M355" i="30"/>
  <c r="M459" i="30"/>
  <c r="M364" i="30"/>
  <c r="M362" i="30"/>
  <c r="M457" i="30"/>
  <c r="M832" i="30"/>
  <c r="M171" i="30"/>
  <c r="M681" i="30"/>
  <c r="M59" i="30"/>
  <c r="M334" i="30"/>
  <c r="M124" i="30"/>
  <c r="M144" i="30"/>
  <c r="M674" i="30"/>
  <c r="M460" i="30"/>
  <c r="M262" i="30"/>
  <c r="M174" i="30"/>
  <c r="M879" i="30"/>
  <c r="M348" i="30"/>
  <c r="M297" i="30"/>
  <c r="M870" i="30"/>
  <c r="M273" i="30"/>
  <c r="M723" i="30"/>
  <c r="M846" i="30"/>
  <c r="M867" i="30"/>
  <c r="M209" i="30"/>
  <c r="M50" i="30"/>
  <c r="M226" i="30"/>
  <c r="M188" i="30"/>
  <c r="M314" i="30"/>
  <c r="M337" i="30"/>
  <c r="M185" i="30"/>
  <c r="M231" i="30"/>
  <c r="M603" i="30"/>
  <c r="M861" i="30"/>
  <c r="M772" i="30"/>
  <c r="M290" i="30"/>
  <c r="M483" i="30"/>
  <c r="M456" i="30"/>
  <c r="M563" i="30"/>
  <c r="M915" i="30"/>
  <c r="M800" i="30"/>
  <c r="M63" i="30"/>
  <c r="M887" i="30"/>
  <c r="M664" i="30"/>
  <c r="M719" i="30"/>
  <c r="M516" i="30"/>
  <c r="M472" i="30"/>
  <c r="M827" i="30"/>
  <c r="M149" i="30"/>
  <c r="M651" i="30"/>
  <c r="M900" i="30"/>
  <c r="M235" i="30"/>
  <c r="M640" i="30"/>
  <c r="M479" i="30"/>
  <c r="M828" i="30"/>
  <c r="M375" i="30"/>
  <c r="M562" i="30"/>
  <c r="M254" i="30"/>
  <c r="M487" i="30"/>
  <c r="M795" i="30"/>
  <c r="M816" i="30"/>
  <c r="M467" i="30"/>
  <c r="M873" i="30"/>
  <c r="M576" i="30"/>
  <c r="M426" i="30"/>
  <c r="M307" i="30"/>
  <c r="M447" i="30"/>
  <c r="M394" i="30"/>
  <c r="M491" i="30"/>
  <c r="M61" i="30"/>
  <c r="N925" i="30"/>
  <c r="M705" i="30"/>
  <c r="M175" i="30"/>
  <c r="M71" i="30"/>
  <c r="M560" i="30"/>
  <c r="M548" i="30"/>
  <c r="M924" i="30"/>
  <c r="M239" i="30"/>
  <c r="M227" i="30"/>
  <c r="M716" i="30"/>
  <c r="M692" i="30"/>
  <c r="M73" i="30"/>
  <c r="M407" i="30"/>
  <c r="M748" i="30"/>
  <c r="M263" i="30"/>
  <c r="M416" i="30"/>
  <c r="M806" i="30"/>
  <c r="M912" i="30"/>
  <c r="M570" i="30"/>
  <c r="M294" i="30"/>
  <c r="M264" i="30"/>
  <c r="M445" i="30"/>
  <c r="M857" i="30"/>
  <c r="M443" i="30"/>
  <c r="M647" i="30"/>
  <c r="M634" i="30"/>
  <c r="M34" i="30"/>
  <c r="M878" i="30"/>
  <c r="M74" i="30"/>
  <c r="M474" i="30"/>
  <c r="M274" i="30"/>
  <c r="M102" i="30"/>
  <c r="M685" i="30"/>
  <c r="M450" i="30"/>
  <c r="M220" i="30"/>
  <c r="M899" i="30"/>
  <c r="M179" i="30"/>
  <c r="M57" i="30"/>
  <c r="M552" i="30"/>
  <c r="M75" i="30"/>
  <c r="M780" i="30"/>
  <c r="M451" i="30"/>
  <c r="M864" i="30"/>
  <c r="M250" i="30"/>
  <c r="M446" i="30"/>
  <c r="M492" i="30"/>
  <c r="M417" i="30"/>
  <c r="M921" i="30"/>
  <c r="M352" i="30"/>
  <c r="M489" i="30"/>
  <c r="M572" i="30"/>
  <c r="M316" i="30"/>
  <c r="M200" i="30"/>
  <c r="M840" i="30"/>
  <c r="M880" i="30"/>
  <c r="M527" i="30"/>
  <c r="M101" i="30"/>
  <c r="M866" i="30"/>
  <c r="M122" i="30"/>
  <c r="M602" i="30"/>
  <c r="M636" i="30"/>
  <c r="M158" i="30"/>
  <c r="M287" i="30"/>
  <c r="M643" i="30"/>
  <c r="M612" i="30"/>
  <c r="M199" i="30"/>
  <c r="M202" i="30"/>
  <c r="M330" i="30"/>
  <c r="M360" i="30"/>
  <c r="M91" i="30"/>
  <c r="M419" i="30"/>
  <c r="M342" i="30"/>
  <c r="M670" i="30"/>
  <c r="M29" i="30"/>
  <c r="M329" i="30"/>
  <c r="M734" i="30"/>
  <c r="M432" i="30"/>
  <c r="M591" i="30"/>
  <c r="M534" i="30"/>
  <c r="M145" i="30"/>
  <c r="M725" i="30"/>
  <c r="M768" i="30"/>
  <c r="M517" i="30"/>
  <c r="M644" i="30"/>
  <c r="M588" i="30"/>
  <c r="M435" i="30"/>
  <c r="M424" i="30"/>
  <c r="M257" i="30"/>
  <c r="M555" i="30"/>
  <c r="M97" i="30"/>
  <c r="M574" i="30"/>
  <c r="M663" i="30"/>
  <c r="M215" i="30"/>
  <c r="M436" i="30"/>
  <c r="M484" i="30"/>
  <c r="M302" i="30"/>
  <c r="M349" i="30"/>
  <c r="M143" i="30"/>
  <c r="M305" i="30"/>
  <c r="M596" i="30"/>
  <c r="M787" i="30"/>
  <c r="M321" i="30"/>
  <c r="M771" i="30"/>
  <c r="M839" i="30"/>
  <c r="M586" i="30"/>
  <c r="M300" i="30"/>
  <c r="M699" i="30"/>
  <c r="M541" i="30"/>
  <c r="M842" i="30"/>
  <c r="M726" i="30"/>
  <c r="M765" i="30"/>
  <c r="M413" i="30"/>
  <c r="M265" i="30"/>
  <c r="M480" i="30"/>
  <c r="M455" i="30"/>
  <c r="M462" i="30"/>
  <c r="M116" i="30"/>
  <c r="M256" i="30"/>
  <c r="M319" i="30"/>
  <c r="M270" i="30"/>
  <c r="M695" i="30"/>
  <c r="M657" i="30"/>
  <c r="M164" i="30"/>
  <c r="M567" i="30"/>
  <c r="M720" i="30"/>
  <c r="M823" i="30"/>
  <c r="M528" i="30"/>
  <c r="M65" i="30"/>
  <c r="M656" i="30"/>
  <c r="M196" i="30"/>
  <c r="M547" i="30"/>
  <c r="M865" i="30"/>
  <c r="M40" i="30"/>
  <c r="M584" i="30"/>
  <c r="M213" i="30"/>
  <c r="M593" i="30"/>
  <c r="M522" i="30"/>
  <c r="M154" i="30"/>
  <c r="M530" i="30"/>
  <c r="M521" i="30"/>
  <c r="M638" i="30"/>
  <c r="M738" i="30"/>
  <c r="M871" i="30"/>
  <c r="M672" i="30"/>
  <c r="M718" i="30"/>
  <c r="M441" i="30"/>
  <c r="M266" i="30"/>
  <c r="M146" i="30"/>
  <c r="M392" i="30"/>
  <c r="M762" i="30"/>
  <c r="M488" i="30"/>
  <c r="M136" i="30"/>
  <c r="M165" i="30"/>
  <c r="M48" i="30"/>
  <c r="M247" i="30"/>
  <c r="M86" i="30"/>
  <c r="M399" i="30"/>
  <c r="L943" i="30"/>
  <c r="L944" i="30" s="1"/>
  <c r="M245" i="30"/>
  <c r="M261" i="30"/>
  <c r="M810" i="30"/>
  <c r="M848" i="30"/>
  <c r="M658" i="30"/>
  <c r="M24" i="30"/>
  <c r="M923" i="30"/>
  <c r="M15" i="30"/>
  <c r="M331" i="30"/>
  <c r="M335" i="30"/>
  <c r="M740" i="30"/>
  <c r="M313" i="30"/>
  <c r="M10" i="30"/>
  <c r="M655" i="30"/>
  <c r="M605" i="30"/>
  <c r="M115" i="30"/>
  <c r="M309" i="30"/>
  <c r="M751" i="30"/>
  <c r="M773" i="30"/>
  <c r="M759" i="30"/>
  <c r="M875" i="30"/>
  <c r="M340" i="30"/>
  <c r="M589" i="30"/>
  <c r="M282" i="30"/>
  <c r="M809" i="30"/>
  <c r="M68" i="30"/>
  <c r="M107" i="30"/>
  <c r="M529" i="30"/>
  <c r="M253" i="30"/>
  <c r="M323" i="30"/>
  <c r="M187" i="30"/>
  <c r="M587" i="30"/>
  <c r="M317" i="30"/>
  <c r="M793" i="30"/>
  <c r="M829" i="30"/>
  <c r="M714" i="30"/>
  <c r="M268" i="30"/>
  <c r="M152" i="30"/>
  <c r="M494" i="30"/>
  <c r="M804" i="30"/>
  <c r="M306" i="30"/>
  <c r="M903" i="30"/>
  <c r="M763" i="30"/>
  <c r="M514" i="30"/>
  <c r="M624" i="30"/>
  <c r="M395" i="30"/>
  <c r="M405" i="30"/>
  <c r="M344" i="30"/>
  <c r="M212" i="30"/>
  <c r="M777" i="30"/>
  <c r="M98" i="30"/>
  <c r="M815" i="30"/>
  <c r="M852" i="30"/>
  <c r="M757" i="30"/>
  <c r="M422" i="30"/>
  <c r="M387" i="30"/>
  <c r="M372" i="30"/>
  <c r="M236" i="30"/>
  <c r="M724" i="30"/>
  <c r="M561" i="30"/>
  <c r="M189" i="30"/>
  <c r="M96" i="30"/>
  <c r="M671" i="30"/>
  <c r="M682" i="30"/>
  <c r="M127" i="30"/>
  <c r="M502" i="30"/>
  <c r="M201" i="30"/>
  <c r="M285" i="30"/>
  <c r="M654" i="30"/>
  <c r="M908" i="30"/>
  <c r="M178" i="30"/>
  <c r="M868" i="30"/>
  <c r="M119" i="30"/>
  <c r="M155" i="30"/>
  <c r="M503" i="30"/>
  <c r="M396" i="30"/>
  <c r="M114" i="30"/>
  <c r="M195" i="30"/>
  <c r="M599" i="30"/>
  <c r="M505" i="30"/>
  <c r="M622" i="30"/>
  <c r="M111" i="30"/>
  <c r="M721" i="30"/>
  <c r="M454" i="30"/>
  <c r="M626" i="30"/>
  <c r="M790" i="30"/>
  <c r="M267" i="30"/>
  <c r="M727" i="30"/>
  <c r="M381" i="30"/>
  <c r="M434" i="30"/>
  <c r="M902" i="30"/>
  <c r="M83" i="30"/>
  <c r="M197" i="30"/>
  <c r="M796" i="30"/>
  <c r="M452" i="30"/>
  <c r="M619" i="30"/>
  <c r="M26" i="30"/>
  <c r="M471" i="30"/>
  <c r="M216" i="30"/>
  <c r="M242" i="30"/>
  <c r="M332" i="30"/>
  <c r="M244" i="30"/>
  <c r="M798" i="30"/>
  <c r="M854" i="30"/>
  <c r="M398" i="30"/>
  <c r="M888" i="30"/>
  <c r="M469" i="30"/>
  <c r="M920" i="30"/>
  <c r="M507" i="30"/>
  <c r="M691" i="30"/>
  <c r="M533" i="30"/>
  <c r="M649" i="30"/>
  <c r="M92" i="30"/>
  <c r="M221" i="30"/>
  <c r="M911" i="30"/>
  <c r="M583" i="30"/>
  <c r="M52" i="30"/>
  <c r="M135" i="30"/>
  <c r="M150" i="30"/>
  <c r="M688" i="30"/>
  <c r="M776" i="30"/>
  <c r="M590" i="30"/>
  <c r="M515" i="30"/>
  <c r="M350" i="30"/>
  <c r="M597" i="30"/>
  <c r="M183" i="30"/>
  <c r="M582" i="30"/>
  <c r="M906" i="30"/>
  <c r="M193" i="30"/>
  <c r="M532" i="30"/>
  <c r="M19" i="30"/>
  <c r="M338" i="30"/>
  <c r="M689" i="30"/>
  <c r="M770" i="30"/>
  <c r="M123" i="30"/>
  <c r="M730" i="30"/>
  <c r="M248" i="30"/>
  <c r="M281" i="30"/>
  <c r="M132" i="30"/>
  <c r="M118" i="30"/>
  <c r="M641" i="30"/>
  <c r="M631" i="30"/>
  <c r="M478" i="30"/>
  <c r="M161" i="30"/>
  <c r="M439" i="30"/>
  <c r="M917" i="30"/>
  <c r="M660" i="30"/>
  <c r="M613" i="30"/>
  <c r="M881" i="30"/>
  <c r="M33" i="30"/>
  <c r="M377" i="30"/>
  <c r="M341" i="30"/>
  <c r="M255" i="30"/>
  <c r="M211" i="30"/>
  <c r="M198" i="30"/>
  <c r="M490" i="30"/>
  <c r="M18" i="30"/>
  <c r="M125" i="30"/>
  <c r="M77" i="30"/>
  <c r="M594" i="30"/>
  <c r="M625" i="30"/>
  <c r="M701" i="30"/>
  <c r="M113" i="30"/>
  <c r="M779" i="30"/>
  <c r="M17" i="30"/>
  <c r="M134" i="30"/>
  <c r="M279" i="30"/>
  <c r="M926" i="30"/>
  <c r="M43" i="30"/>
  <c r="M648" i="30"/>
  <c r="M558" i="30"/>
  <c r="M354" i="30"/>
  <c r="M845" i="30"/>
  <c r="M501" i="30"/>
  <c r="M162" i="30"/>
  <c r="M147" i="30"/>
  <c r="M805" i="30"/>
  <c r="M87" i="30"/>
  <c r="M327" i="30"/>
  <c r="M406" i="30"/>
  <c r="M886" i="30"/>
  <c r="M711" i="30"/>
  <c r="M919" i="30"/>
  <c r="M176" i="30"/>
  <c r="M659" i="30"/>
  <c r="M918" i="30"/>
  <c r="M420" i="30"/>
  <c r="M482" i="30"/>
  <c r="M497" i="30"/>
  <c r="M41" i="30"/>
  <c r="M789" i="30"/>
  <c r="M89" i="30"/>
  <c r="M819" i="30"/>
  <c r="M677" i="30"/>
  <c r="M510" i="30"/>
  <c r="M601" i="30"/>
  <c r="M675" i="30"/>
  <c r="M295" i="30"/>
  <c r="M383" i="30"/>
  <c r="M293" i="30"/>
  <c r="M662" i="30"/>
  <c r="M99" i="30"/>
  <c r="M791" i="30"/>
  <c r="M88" i="30"/>
  <c r="M797" i="30"/>
  <c r="M615" i="30"/>
  <c r="M347" i="30"/>
  <c r="M70" i="30"/>
  <c r="M438" i="30"/>
  <c r="M571" i="30"/>
  <c r="M442" i="30"/>
  <c r="M53" i="30"/>
  <c r="M667" i="30"/>
  <c r="M628" i="30"/>
  <c r="M336" i="30"/>
  <c r="M448" i="30"/>
  <c r="M733" i="30"/>
  <c r="M191" i="30"/>
  <c r="M64" i="30"/>
  <c r="M592" i="30"/>
  <c r="M240" i="30"/>
  <c r="M632" i="30"/>
  <c r="M312" i="30"/>
  <c r="M549" i="30"/>
  <c r="M736" i="30"/>
  <c r="M556" i="30"/>
  <c r="M133" i="30"/>
  <c r="M100" i="30"/>
  <c r="M825" i="30"/>
  <c r="M713" i="30"/>
  <c r="M121" i="30"/>
  <c r="M498" i="30"/>
  <c r="M67" i="30"/>
  <c r="M128" i="30"/>
  <c r="M744" i="30"/>
  <c r="M745" i="30"/>
  <c r="M835" i="30"/>
  <c r="M862" i="30"/>
  <c r="M249" i="30"/>
  <c r="M322" i="30"/>
  <c r="M291" i="30"/>
  <c r="M802" i="30"/>
  <c r="M618" i="30"/>
  <c r="M708" i="30"/>
  <c r="M813" i="30"/>
  <c r="M766" i="30"/>
  <c r="M822" i="30"/>
  <c r="M84" i="30"/>
  <c r="M666" i="30"/>
  <c r="M410" i="30"/>
  <c r="M500" i="30"/>
  <c r="M269" i="30"/>
  <c r="M8" i="30"/>
  <c r="M105" i="30"/>
  <c r="M792" i="30"/>
  <c r="M543" i="30"/>
  <c r="M760" i="30"/>
  <c r="M433" i="30"/>
  <c r="M833" i="30"/>
  <c r="M229" i="30"/>
  <c r="M22" i="30"/>
  <c r="M288" i="30"/>
  <c r="M465" i="30"/>
  <c r="M830" i="30"/>
  <c r="M737" i="30"/>
  <c r="M356" i="30"/>
  <c r="M557" i="30"/>
  <c r="M130" i="30"/>
  <c r="M94" i="30"/>
  <c r="M421" i="30"/>
  <c r="M166" i="30"/>
  <c r="M343" i="30"/>
  <c r="M31" i="30"/>
  <c r="M595" i="30"/>
  <c r="M645" i="30"/>
  <c r="M872" i="30"/>
  <c r="M551" i="30"/>
  <c r="M371" i="30"/>
  <c r="M320" i="30"/>
  <c r="M799" i="30"/>
  <c r="M14" i="30"/>
  <c r="M60" i="30"/>
  <c r="M732" i="30"/>
  <c r="M397" i="30"/>
  <c r="M680" i="30"/>
  <c r="M907" i="30"/>
  <c r="M412" i="30"/>
  <c r="M486" i="30"/>
  <c r="M512" i="30"/>
  <c r="M58" i="30"/>
  <c r="M27" i="30"/>
  <c r="M339" i="30"/>
  <c r="M139" i="30"/>
  <c r="M707" i="30"/>
  <c r="M157" i="30"/>
  <c r="M729" i="30"/>
  <c r="M929" i="30"/>
  <c r="M54" i="30"/>
  <c r="M42" i="30"/>
  <c r="M898" i="30"/>
  <c r="M411" i="30"/>
  <c r="M181" i="30"/>
  <c r="M696" i="30"/>
  <c r="M803" i="30"/>
  <c r="M535" i="30"/>
  <c r="M303" i="30"/>
  <c r="M380" i="30"/>
  <c r="M365" i="30"/>
  <c r="M481" i="30"/>
  <c r="M687" i="30"/>
  <c r="M470" i="30"/>
  <c r="M359" i="30"/>
  <c r="M224" i="30"/>
  <c r="M652" i="30"/>
  <c r="M686" i="30"/>
  <c r="M225" i="30"/>
  <c r="M205" i="30"/>
  <c r="M741" i="30"/>
  <c r="M884" i="30"/>
  <c r="M278" i="30"/>
  <c r="M568" i="30"/>
  <c r="M678" i="30"/>
  <c r="M608" i="30"/>
  <c r="M509" i="30"/>
  <c r="M286" i="30"/>
  <c r="M108" i="30"/>
  <c r="M565" i="30"/>
  <c r="M363" i="30"/>
  <c r="M180" i="30"/>
  <c r="M384" i="30"/>
  <c r="M109" i="30"/>
  <c r="M367" i="30"/>
  <c r="M461" i="30"/>
  <c r="M137" i="30"/>
  <c r="M475" i="30"/>
  <c r="M218" i="30"/>
  <c r="M80" i="30"/>
  <c r="M575" i="30"/>
  <c r="M36" i="30"/>
  <c r="M217" i="30"/>
  <c r="M402" i="30"/>
  <c r="M370" i="30"/>
  <c r="M391" i="30"/>
  <c r="M378" i="30"/>
  <c r="M172" i="30"/>
  <c r="M28" i="30"/>
  <c r="M927" i="30"/>
  <c r="M292" i="30"/>
  <c r="M85" i="30"/>
  <c r="M47" i="30"/>
  <c r="M913" i="30"/>
  <c r="M93" i="30"/>
  <c r="M112" i="30"/>
  <c r="M673" i="30"/>
  <c r="M104" i="30"/>
  <c r="M283" i="30"/>
  <c r="M69" i="30"/>
  <c r="M749" i="30"/>
  <c r="M368" i="30"/>
  <c r="M774" i="30"/>
  <c r="M82" i="30"/>
  <c r="M750" i="30"/>
  <c r="M742" i="30"/>
  <c r="M414" i="30"/>
  <c r="M173" i="30"/>
  <c r="M690" i="30"/>
  <c r="M747" i="30"/>
  <c r="M103" i="30"/>
  <c r="M610" i="30"/>
  <c r="M325" i="30"/>
  <c r="M315" i="30"/>
  <c r="M477" i="30"/>
  <c r="M653" i="30"/>
  <c r="M824" i="30"/>
  <c r="M892" i="30"/>
  <c r="M496" i="30"/>
  <c r="M922" i="30"/>
  <c r="M431" i="30"/>
  <c r="M607" i="30"/>
  <c r="M876" i="30"/>
  <c r="M642" i="30"/>
  <c r="M553" i="30"/>
  <c r="M700" i="30"/>
  <c r="M540" i="30"/>
  <c r="M345" i="30"/>
  <c r="M901" i="30"/>
  <c r="M429" i="30"/>
  <c r="M818" i="30"/>
  <c r="M633" i="30"/>
  <c r="M153" i="30"/>
  <c r="M62" i="30"/>
  <c r="N929" i="30"/>
  <c r="M609" i="30"/>
  <c r="M519" i="30"/>
  <c r="M697" i="30"/>
  <c r="M110" i="30"/>
  <c r="M404" i="30"/>
  <c r="M78" i="30"/>
  <c r="M403" i="30"/>
  <c r="M728" i="30"/>
  <c r="M539" i="30"/>
  <c r="M393" i="30"/>
  <c r="M531" i="30"/>
  <c r="M784" i="30"/>
  <c r="M117" i="30"/>
  <c r="M925" i="30"/>
  <c r="M20" i="30"/>
  <c r="M578" i="30"/>
  <c r="M704" i="30"/>
  <c r="M476" i="30"/>
  <c r="M163" i="30"/>
  <c r="M904" i="30"/>
  <c r="M604" i="30"/>
  <c r="M712" i="30"/>
  <c r="M39" i="30"/>
  <c r="M499" i="30"/>
  <c r="M569" i="30"/>
  <c r="M208" i="30"/>
  <c r="M841" i="30"/>
  <c r="M580" i="30"/>
  <c r="M756" i="30"/>
  <c r="M45" i="30"/>
  <c r="M129" i="30"/>
  <c r="M453" i="30"/>
  <c r="M385" i="30"/>
  <c r="M72" i="30"/>
  <c r="M623" i="30"/>
  <c r="M629" i="30"/>
  <c r="M821" i="30"/>
  <c r="M289" i="30"/>
  <c r="M598" i="30"/>
  <c r="M374" i="30"/>
  <c r="M386" i="30"/>
  <c r="M550" i="30"/>
  <c r="M938" i="30"/>
  <c r="M781" i="30"/>
  <c r="M896" i="30"/>
  <c r="M739" i="30"/>
  <c r="M511" i="30"/>
  <c r="M858" i="30"/>
  <c r="M661" i="30"/>
  <c r="M81" i="30"/>
  <c r="M304" i="30"/>
  <c r="M909" i="30"/>
  <c r="M890" i="30"/>
  <c r="M679" i="30"/>
  <c r="M513" i="30"/>
  <c r="M882" i="30"/>
  <c r="M617" i="30"/>
  <c r="M280" i="30"/>
  <c r="M246" i="30"/>
  <c r="M916" i="30"/>
  <c r="M16" i="30"/>
  <c r="M66" i="30"/>
  <c r="M151" i="30"/>
  <c r="M120" i="30"/>
  <c r="M234" i="30"/>
  <c r="M228" i="30"/>
  <c r="M523" i="30"/>
  <c r="M311" i="30"/>
  <c r="M794" i="30"/>
  <c r="M55" i="30"/>
  <c r="M769" i="30"/>
  <c r="M537" i="30"/>
  <c r="M232" i="30"/>
  <c r="M401" i="30"/>
  <c r="M219" i="30"/>
  <c r="M324" i="30"/>
  <c r="M444" i="30"/>
  <c r="M260" i="30"/>
  <c r="M646" i="30"/>
  <c r="M808" i="30"/>
  <c r="M233" i="30"/>
  <c r="M400" i="30"/>
  <c r="M12" i="30"/>
  <c r="M783" i="30"/>
  <c r="M831" i="30"/>
  <c r="M373" i="30"/>
  <c r="M851" i="30"/>
  <c r="M650" i="30"/>
  <c r="M366" i="30"/>
  <c r="M301" i="30"/>
  <c r="M538" i="30"/>
  <c r="M418" i="30"/>
  <c r="M458" i="30"/>
  <c r="M600" i="30"/>
  <c r="M546" i="30"/>
  <c r="M928" i="30"/>
  <c r="M577" i="30"/>
  <c r="M333" i="30"/>
  <c r="M206" i="30"/>
  <c r="M437" i="30"/>
  <c r="M440" i="30"/>
  <c r="M376" i="30"/>
  <c r="M843" i="30"/>
  <c r="M258" i="30"/>
  <c r="N7" i="30"/>
  <c r="M142" i="30"/>
  <c r="M141" i="30"/>
  <c r="M140" i="30"/>
  <c r="M138" i="30"/>
  <c r="M598" i="26"/>
  <c r="M666" i="26"/>
  <c r="M536" i="26"/>
  <c r="M410" i="26"/>
  <c r="M535" i="26"/>
  <c r="M89" i="26"/>
  <c r="M55" i="26"/>
  <c r="M530" i="26"/>
  <c r="M418" i="26"/>
  <c r="M314" i="26"/>
  <c r="M455" i="26"/>
  <c r="M700" i="26"/>
  <c r="M392" i="26"/>
  <c r="M628" i="26"/>
  <c r="M590" i="26"/>
  <c r="M446" i="26"/>
  <c r="M225" i="26"/>
  <c r="M423" i="26"/>
  <c r="M100" i="26"/>
  <c r="M766" i="26"/>
  <c r="M26" i="26"/>
  <c r="M421" i="26"/>
  <c r="M758" i="26"/>
  <c r="M604" i="26"/>
  <c r="M734" i="26"/>
  <c r="M608" i="26"/>
  <c r="M180" i="26"/>
  <c r="M294" i="26"/>
  <c r="M337" i="26"/>
  <c r="M102" i="26"/>
  <c r="M291" i="26"/>
  <c r="M23" i="26"/>
  <c r="M109" i="26"/>
  <c r="M694" i="26"/>
  <c r="M713" i="26"/>
  <c r="M132" i="26"/>
  <c r="M687" i="26"/>
  <c r="M275" i="26"/>
  <c r="M564" i="26"/>
  <c r="M252" i="26"/>
  <c r="M46" i="26"/>
  <c r="M191" i="26"/>
  <c r="M206" i="26"/>
  <c r="M287" i="26"/>
  <c r="M686" i="26"/>
  <c r="M215" i="26"/>
  <c r="M305" i="26"/>
  <c r="M290" i="26"/>
  <c r="M323" i="26"/>
  <c r="M677" i="26"/>
  <c r="M558" i="26"/>
  <c r="M439" i="26"/>
  <c r="M579" i="26"/>
  <c r="M304" i="26"/>
  <c r="M799" i="26"/>
  <c r="M813" i="26"/>
  <c r="M44" i="26"/>
  <c r="M661" i="26"/>
  <c r="M577" i="26"/>
  <c r="M606" i="26"/>
  <c r="M90" i="26"/>
  <c r="M738" i="26"/>
  <c r="M190" i="26"/>
  <c r="M200" i="26"/>
  <c r="M84" i="26"/>
  <c r="M282" i="26"/>
  <c r="M556" i="26"/>
  <c r="M31" i="26"/>
  <c r="M654" i="26"/>
  <c r="M684" i="26"/>
  <c r="M717" i="26"/>
  <c r="M723" i="26"/>
  <c r="M322" i="26"/>
  <c r="M147" i="26"/>
  <c r="M783" i="26"/>
  <c r="M544" i="26"/>
  <c r="M637" i="26"/>
  <c r="M54" i="26"/>
  <c r="M454" i="26"/>
  <c r="M86" i="26"/>
  <c r="M391" i="26"/>
  <c r="M232" i="26"/>
  <c r="M11" i="26"/>
  <c r="M139" i="26"/>
  <c r="M160" i="26"/>
  <c r="M263" i="26"/>
  <c r="M691" i="26"/>
  <c r="M411" i="26"/>
  <c r="M260" i="26"/>
  <c r="M184" i="26"/>
  <c r="M113" i="26"/>
  <c r="M194" i="26"/>
  <c r="M209" i="26"/>
  <c r="M228" i="26"/>
  <c r="M447" i="26"/>
  <c r="M248" i="26"/>
  <c r="M249" i="26"/>
  <c r="M272" i="26"/>
  <c r="M631" i="26"/>
  <c r="M466" i="26"/>
  <c r="M242" i="26"/>
  <c r="M187" i="26"/>
  <c r="M780" i="26"/>
  <c r="M57" i="26"/>
  <c r="M169" i="26"/>
  <c r="M448" i="26"/>
  <c r="M627" i="26"/>
  <c r="M436" i="26"/>
  <c r="M776" i="26"/>
  <c r="M778" i="26"/>
  <c r="M745" i="26"/>
  <c r="M771" i="26"/>
  <c r="M658" i="26"/>
  <c r="M453" i="26"/>
  <c r="M803" i="26"/>
  <c r="M528" i="26"/>
  <c r="M38" i="26"/>
  <c r="M495" i="26"/>
  <c r="M547" i="26"/>
  <c r="M94" i="26"/>
  <c r="M243" i="26"/>
  <c r="M777" i="26"/>
  <c r="M616" i="26"/>
  <c r="M516" i="26"/>
  <c r="M670" i="26"/>
  <c r="M610" i="26"/>
  <c r="M801" i="26"/>
  <c r="M303" i="26"/>
  <c r="M182" i="26"/>
  <c r="M213" i="26"/>
  <c r="M571" i="26"/>
  <c r="M99" i="26"/>
  <c r="M122" i="26"/>
  <c r="M117" i="26"/>
  <c r="M348" i="26"/>
  <c r="M193" i="26"/>
  <c r="M8" i="26"/>
  <c r="M698" i="26"/>
  <c r="M584" i="26"/>
  <c r="M288" i="26"/>
  <c r="M422" i="26"/>
  <c r="M404" i="26"/>
  <c r="M665" i="26"/>
  <c r="M321" i="26"/>
  <c r="M458" i="26"/>
  <c r="M39" i="26"/>
  <c r="M688" i="26"/>
  <c r="M740" i="26"/>
  <c r="M333" i="26"/>
  <c r="M66" i="26"/>
  <c r="M281" i="26"/>
  <c r="M250" i="26"/>
  <c r="M518" i="26"/>
  <c r="M230" i="26"/>
  <c r="M85" i="26"/>
  <c r="M367" i="26"/>
  <c r="M266" i="26"/>
  <c r="M520" i="26"/>
  <c r="M706" i="26"/>
  <c r="M732" i="26"/>
  <c r="M192" i="26"/>
  <c r="M501" i="26"/>
  <c r="M161" i="26"/>
  <c r="M285" i="26"/>
  <c r="M93" i="26"/>
  <c r="M388" i="26"/>
  <c r="M58" i="26"/>
  <c r="M625" i="26"/>
  <c r="M633" i="26"/>
  <c r="M444" i="26"/>
  <c r="M317" i="26"/>
  <c r="M42" i="26"/>
  <c r="M401" i="26"/>
  <c r="M506" i="26"/>
  <c r="M43" i="26"/>
  <c r="M562" i="26"/>
  <c r="M21" i="26"/>
  <c r="M763" i="26"/>
  <c r="M121" i="26"/>
  <c r="M258" i="26"/>
  <c r="M721" i="26"/>
  <c r="M643" i="26"/>
  <c r="M804" i="26"/>
  <c r="M652" i="26"/>
  <c r="M503" i="26"/>
  <c r="M548" i="26"/>
  <c r="M179" i="26"/>
  <c r="M267" i="26"/>
  <c r="M73" i="26"/>
  <c r="M127" i="26"/>
  <c r="M545" i="26"/>
  <c r="M371" i="26"/>
  <c r="M30" i="26"/>
  <c r="M165" i="26"/>
  <c r="M70" i="26"/>
  <c r="M79" i="26"/>
  <c r="M309" i="26"/>
  <c r="M522" i="26"/>
  <c r="M615" i="26"/>
  <c r="M74" i="26"/>
  <c r="M800" i="26"/>
  <c r="M775" i="26"/>
  <c r="M16" i="26"/>
  <c r="M551" i="26"/>
  <c r="M129" i="26"/>
  <c r="M819" i="26"/>
  <c r="M133" i="26"/>
  <c r="M646" i="26"/>
  <c r="M375" i="26"/>
  <c r="M726" i="26"/>
  <c r="M60" i="26"/>
  <c r="M724" i="26"/>
  <c r="M153" i="26"/>
  <c r="M47" i="26"/>
  <c r="M705" i="26"/>
  <c r="M629" i="26"/>
  <c r="M496" i="26"/>
  <c r="M568" i="26"/>
  <c r="M302" i="26"/>
  <c r="M377" i="26"/>
  <c r="M759" i="26"/>
  <c r="M366" i="26"/>
  <c r="M87" i="26"/>
  <c r="M159" i="26"/>
  <c r="M612" i="26"/>
  <c r="M546" i="26"/>
  <c r="M596" i="26"/>
  <c r="M434" i="26"/>
  <c r="M543" i="26"/>
  <c r="M289" i="26"/>
  <c r="M765" i="26"/>
  <c r="M557" i="26"/>
  <c r="M402" i="26"/>
  <c r="M597" i="26"/>
  <c r="M198" i="26"/>
  <c r="M748" i="26"/>
  <c r="M35" i="26"/>
  <c r="M415" i="26"/>
  <c r="M751" i="26"/>
  <c r="M205" i="26"/>
  <c r="M575" i="26"/>
  <c r="M626" i="26"/>
  <c r="M409" i="26"/>
  <c r="M774" i="26"/>
  <c r="M742" i="26"/>
  <c r="M202" i="26"/>
  <c r="M151" i="26"/>
  <c r="M136" i="26"/>
  <c r="M29" i="26"/>
  <c r="M468" i="26"/>
  <c r="M110" i="26"/>
  <c r="M257" i="26"/>
  <c r="M433" i="26"/>
  <c r="M782" i="26"/>
  <c r="M443" i="26"/>
  <c r="M324" i="26"/>
  <c r="M589" i="26"/>
  <c r="M761" i="26"/>
  <c r="M108" i="26"/>
  <c r="M27" i="26"/>
  <c r="M784" i="26"/>
  <c r="M442" i="26"/>
  <c r="M383" i="26"/>
  <c r="M815" i="26"/>
  <c r="M59" i="26"/>
  <c r="M474" i="26"/>
  <c r="M563" i="26"/>
  <c r="M386" i="26"/>
  <c r="M63" i="26"/>
  <c r="M539" i="26"/>
  <c r="M37" i="26"/>
  <c r="M212" i="26"/>
  <c r="M541" i="26"/>
  <c r="M727" i="26"/>
  <c r="M602" i="26"/>
  <c r="M664" i="26"/>
  <c r="M28" i="26"/>
  <c r="M226" i="26"/>
  <c r="M499" i="26"/>
  <c r="M465" i="26"/>
  <c r="M52" i="26"/>
  <c r="M550" i="26"/>
  <c r="M118" i="26"/>
  <c r="M389" i="26"/>
  <c r="M13" i="26"/>
  <c r="M157" i="26"/>
  <c r="M487" i="26"/>
  <c r="M77" i="26"/>
  <c r="M53" i="26"/>
  <c r="M270" i="26"/>
  <c r="M276" i="26"/>
  <c r="M431" i="26"/>
  <c r="M514" i="26"/>
  <c r="M462" i="26"/>
  <c r="M284" i="26"/>
  <c r="M119" i="26"/>
  <c r="M56" i="26"/>
  <c r="M739" i="26"/>
  <c r="M779" i="26"/>
  <c r="M733" i="26"/>
  <c r="M716" i="26"/>
  <c r="M647" i="26"/>
  <c r="M510" i="26"/>
  <c r="M336" i="26"/>
  <c r="M196" i="26"/>
  <c r="M728" i="26"/>
  <c r="M164" i="26"/>
  <c r="M573" i="26"/>
  <c r="M708" i="26"/>
  <c r="M492" i="26"/>
  <c r="M297" i="26"/>
  <c r="M156" i="26"/>
  <c r="M256" i="26"/>
  <c r="M697" i="26"/>
  <c r="M75" i="26"/>
  <c r="M485" i="26"/>
  <c r="M407" i="26"/>
  <c r="M355" i="26"/>
  <c r="M357" i="26"/>
  <c r="M269" i="26"/>
  <c r="M588" i="26"/>
  <c r="M565" i="26"/>
  <c r="M540" i="26"/>
  <c r="M92" i="26"/>
  <c r="M399" i="26"/>
  <c r="M238" i="26"/>
  <c r="M17" i="26"/>
  <c r="M378" i="26"/>
  <c r="M644" i="26"/>
  <c r="M437" i="26"/>
  <c r="M814" i="26"/>
  <c r="M720" i="26"/>
  <c r="M406" i="26"/>
  <c r="M318" i="26"/>
  <c r="M440" i="26"/>
  <c r="M599" i="26"/>
  <c r="M353" i="26"/>
  <c r="M227" i="26"/>
  <c r="M233" i="26"/>
  <c r="M494" i="26"/>
  <c r="M412" i="26"/>
  <c r="M128" i="26"/>
  <c r="M475" i="26"/>
  <c r="M736" i="26"/>
  <c r="M710" i="26"/>
  <c r="M773" i="26"/>
  <c r="M737" i="26"/>
  <c r="M307" i="26"/>
  <c r="M600" i="26"/>
  <c r="M534" i="26"/>
  <c r="M744" i="26"/>
  <c r="M621" i="26"/>
  <c r="M762" i="26"/>
  <c r="M601" i="26"/>
  <c r="M327" i="26"/>
  <c r="M497" i="26"/>
  <c r="M483" i="26"/>
  <c r="M310" i="26"/>
  <c r="M150" i="26"/>
  <c r="M467" i="26"/>
  <c r="M364" i="26"/>
  <c r="M352" i="26"/>
  <c r="N819" i="26"/>
  <c r="M476" i="26"/>
  <c r="M642" i="26"/>
  <c r="M330" i="26"/>
  <c r="M583" i="26"/>
  <c r="M62" i="26"/>
  <c r="M553" i="26"/>
  <c r="M341" i="26"/>
  <c r="M245" i="26"/>
  <c r="M695" i="26"/>
  <c r="M419" i="26"/>
  <c r="M45" i="26"/>
  <c r="M105" i="26"/>
  <c r="M569" i="26"/>
  <c r="M400" i="26"/>
  <c r="M636" i="26"/>
  <c r="M479" i="26"/>
  <c r="M704" i="26"/>
  <c r="M354" i="26"/>
  <c r="M379" i="26"/>
  <c r="M120" i="26"/>
  <c r="M219" i="26"/>
  <c r="M220" i="26"/>
  <c r="M253" i="26"/>
  <c r="M659" i="26"/>
  <c r="M651" i="26"/>
  <c r="M754" i="26"/>
  <c r="M34" i="26"/>
  <c r="M222" i="26"/>
  <c r="M107" i="26"/>
  <c r="M417" i="26"/>
  <c r="K822" i="26"/>
  <c r="M630" i="26"/>
  <c r="M381" i="26"/>
  <c r="M760" i="26"/>
  <c r="M570" i="26"/>
  <c r="M511" i="26"/>
  <c r="M251" i="26"/>
  <c r="M582" i="26"/>
  <c r="M681" i="26"/>
  <c r="M699" i="26"/>
  <c r="M663" i="26"/>
  <c r="M104" i="26"/>
  <c r="M32" i="26"/>
  <c r="M537" i="26"/>
  <c r="M572" i="26"/>
  <c r="M97" i="26"/>
  <c r="M340" i="26"/>
  <c r="M95" i="26"/>
  <c r="M25" i="26"/>
  <c r="M33" i="26"/>
  <c r="M641" i="26"/>
  <c r="M561" i="26"/>
  <c r="M274" i="26"/>
  <c r="M111" i="26"/>
  <c r="M271" i="26"/>
  <c r="M338" i="26"/>
  <c r="M175" i="26"/>
  <c r="M574" i="26"/>
  <c r="M593" i="26"/>
  <c r="M722" i="26"/>
  <c r="M750" i="26"/>
  <c r="M49" i="26"/>
  <c r="M764" i="26"/>
  <c r="M259" i="26"/>
  <c r="M730" i="26"/>
  <c r="M549" i="26"/>
  <c r="M735" i="26"/>
  <c r="M618" i="26"/>
  <c r="M115" i="26"/>
  <c r="M199" i="26"/>
  <c r="M101" i="26"/>
  <c r="M211" i="26"/>
  <c r="M189" i="26"/>
  <c r="M408" i="26"/>
  <c r="M614" i="26"/>
  <c r="M416" i="26"/>
  <c r="M347" i="26"/>
  <c r="M19" i="26"/>
  <c r="M607" i="26"/>
  <c r="M490" i="26"/>
  <c r="M470" i="26"/>
  <c r="M114" i="26"/>
  <c r="M247" i="26"/>
  <c r="M229" i="26"/>
  <c r="M657" i="26"/>
  <c r="M578" i="26"/>
  <c r="M41" i="26"/>
  <c r="M246" i="26"/>
  <c r="M236" i="26"/>
  <c r="M493" i="26"/>
  <c r="M36" i="26"/>
  <c r="M603" i="26"/>
  <c r="M223" i="26"/>
  <c r="M689" i="26"/>
  <c r="M91" i="26"/>
  <c r="M396" i="26"/>
  <c r="M509" i="26"/>
  <c r="M342" i="26"/>
  <c r="M78" i="26"/>
  <c r="M224" i="26"/>
  <c r="M262" i="26"/>
  <c r="M106" i="26"/>
  <c r="M747" i="26"/>
  <c r="M753" i="26"/>
  <c r="M82" i="26"/>
  <c r="M613" i="26"/>
  <c r="M384" i="26"/>
  <c r="M292" i="26"/>
  <c r="M116" i="26"/>
  <c r="M201" i="26"/>
  <c r="M430" i="26"/>
  <c r="M125" i="26"/>
  <c r="M22" i="26"/>
  <c r="M255" i="26"/>
  <c r="M320" i="26"/>
  <c r="M172" i="26"/>
  <c r="M69" i="26"/>
  <c r="M81" i="26"/>
  <c r="M461" i="26"/>
  <c r="M71" i="26"/>
  <c r="M394" i="26"/>
  <c r="M414" i="26"/>
  <c r="M48" i="26"/>
  <c r="M425" i="26"/>
  <c r="M218" i="26"/>
  <c r="M818" i="26"/>
  <c r="M264" i="26"/>
  <c r="M103" i="26"/>
  <c r="M469" i="26"/>
  <c r="M126" i="26"/>
  <c r="M781" i="26"/>
  <c r="M174" i="26"/>
  <c r="M693" i="26"/>
  <c r="M729" i="26"/>
  <c r="M76" i="26"/>
  <c r="M72" i="26"/>
  <c r="M709" i="26"/>
  <c r="M683" i="26"/>
  <c r="M517" i="26"/>
  <c r="M619" i="26"/>
  <c r="M567" i="26"/>
  <c r="M51" i="26"/>
  <c r="M533" i="26"/>
  <c r="M420" i="26"/>
  <c r="M428" i="26"/>
  <c r="M456" i="26"/>
  <c r="M586" i="26"/>
  <c r="M756" i="26"/>
  <c r="M743" i="26"/>
  <c r="M463" i="26"/>
  <c r="M632" i="26"/>
  <c r="M690" i="26"/>
  <c r="M319" i="26"/>
  <c r="M240" i="26"/>
  <c r="M61" i="26"/>
  <c r="M527" i="26"/>
  <c r="M170" i="26"/>
  <c r="M576" i="26"/>
  <c r="M361" i="26"/>
  <c r="M521" i="26"/>
  <c r="M148" i="26"/>
  <c r="M235" i="26"/>
  <c r="M112" i="26"/>
  <c r="M40" i="26"/>
  <c r="M98" i="26"/>
  <c r="M298" i="26"/>
  <c r="M653" i="26"/>
  <c r="M812" i="26"/>
  <c r="M429" i="26"/>
  <c r="M207" i="26"/>
  <c r="M542" i="26"/>
  <c r="M344" i="26"/>
  <c r="M234" i="26"/>
  <c r="M441" i="26"/>
  <c r="M283" i="26"/>
  <c r="M96" i="26"/>
  <c r="M746" i="26"/>
  <c r="M525" i="26"/>
  <c r="M554" i="26"/>
  <c r="M640" i="26"/>
  <c r="M374" i="26"/>
  <c r="M649" i="26"/>
  <c r="M648" i="26"/>
  <c r="M645" i="26"/>
  <c r="M472" i="26"/>
  <c r="M502" i="26"/>
  <c r="M315" i="26"/>
  <c r="M594" i="26"/>
  <c r="M505" i="26"/>
  <c r="M452" i="26"/>
  <c r="M617" i="26"/>
  <c r="M178" i="26"/>
  <c r="M749" i="26"/>
  <c r="M328" i="26"/>
  <c r="M380" i="26"/>
  <c r="M181" i="26"/>
  <c r="M538" i="26"/>
  <c r="M146" i="26"/>
  <c r="N815" i="26"/>
  <c r="M88" i="26"/>
  <c r="M772" i="26"/>
  <c r="M595" i="26"/>
  <c r="M770" i="26"/>
  <c r="M14" i="26"/>
  <c r="M20" i="26"/>
  <c r="M306" i="26"/>
  <c r="M767" i="26"/>
  <c r="M787" i="26"/>
  <c r="M398" i="26"/>
  <c r="M24" i="26"/>
  <c r="M204" i="26"/>
  <c r="M65" i="26"/>
  <c r="M679" i="26"/>
  <c r="M714" i="26"/>
  <c r="M18" i="26"/>
  <c r="M158" i="26"/>
  <c r="M675" i="26"/>
  <c r="M668" i="26"/>
  <c r="M524" i="26"/>
  <c r="M278" i="26"/>
  <c r="M715" i="26"/>
  <c r="M477" i="26"/>
  <c r="M611" i="26"/>
  <c r="M674" i="26"/>
  <c r="M696" i="26"/>
  <c r="M163" i="26"/>
  <c r="M325" i="26"/>
  <c r="M667" i="26"/>
  <c r="M498" i="26"/>
  <c r="M162" i="26"/>
  <c r="M185" i="26"/>
  <c r="M144" i="26"/>
  <c r="M254" i="26"/>
  <c r="M581" i="26"/>
  <c r="M131" i="26"/>
  <c r="M339" i="26"/>
  <c r="M432" i="26"/>
  <c r="M12" i="26"/>
  <c r="M168" i="26"/>
  <c r="M351" i="26"/>
  <c r="M669" i="26"/>
  <c r="M685" i="26"/>
  <c r="M460" i="26"/>
  <c r="M171" i="26"/>
  <c r="M273" i="26"/>
  <c r="M362" i="26"/>
  <c r="M552" i="26"/>
  <c r="M757" i="26"/>
  <c r="M397" i="26"/>
  <c r="M438" i="26"/>
  <c r="M532" i="26"/>
  <c r="M83" i="26"/>
  <c r="M373" i="26"/>
  <c r="M508" i="26"/>
  <c r="M369" i="26"/>
  <c r="M241" i="26"/>
  <c r="M526" i="26"/>
  <c r="M244" i="26"/>
  <c r="M769" i="26"/>
  <c r="M676" i="26"/>
  <c r="M203" i="26"/>
  <c r="M523" i="26"/>
  <c r="M519" i="26"/>
  <c r="M237" i="26"/>
  <c r="M471" i="26"/>
  <c r="M489" i="26"/>
  <c r="M363" i="26"/>
  <c r="M707" i="26"/>
  <c r="M335" i="26"/>
  <c r="M623" i="26"/>
  <c r="M67" i="26"/>
  <c r="M183" i="26"/>
  <c r="M143" i="26"/>
  <c r="M788" i="26"/>
  <c r="M50" i="26"/>
  <c r="M634" i="26"/>
  <c r="M560" i="26"/>
  <c r="M725" i="26"/>
  <c r="M265" i="26"/>
  <c r="M135" i="26"/>
  <c r="M7" i="26"/>
  <c r="M197" i="26"/>
  <c r="M346" i="26"/>
  <c r="M731" i="26"/>
  <c r="M64" i="26"/>
  <c r="M176" i="26"/>
  <c r="M680" i="26"/>
  <c r="M484" i="26"/>
  <c r="M609" i="26"/>
  <c r="M592" i="26"/>
  <c r="M280" i="26"/>
  <c r="M682" i="26"/>
  <c r="M286" i="26"/>
  <c r="M752" i="26"/>
  <c r="M195" i="26"/>
  <c r="M481" i="26"/>
  <c r="M817" i="26"/>
  <c r="M326" i="26"/>
  <c r="M755" i="26"/>
  <c r="M312" i="26"/>
  <c r="M482" i="26"/>
  <c r="M512" i="26"/>
  <c r="M308" i="26"/>
  <c r="M155" i="26"/>
  <c r="M277" i="26"/>
  <c r="M186" i="26"/>
  <c r="M791" i="26"/>
  <c r="M624" i="26"/>
  <c r="M790" i="26"/>
  <c r="M154" i="26"/>
  <c r="M515" i="26"/>
  <c r="M208" i="26"/>
  <c r="M403" i="26"/>
  <c r="M591" i="26"/>
  <c r="M768" i="26"/>
  <c r="M473" i="26"/>
  <c r="M585" i="26"/>
  <c r="M459" i="26"/>
  <c r="M130" i="26"/>
  <c r="M376" i="26"/>
  <c r="M279" i="26"/>
  <c r="M491" i="26"/>
  <c r="M261" i="26"/>
  <c r="M311" i="26"/>
  <c r="M173" i="26"/>
  <c r="M134" i="26"/>
  <c r="M435" i="26"/>
  <c r="M188" i="26"/>
  <c r="M210" i="26"/>
  <c r="M395" i="26"/>
  <c r="M672" i="26"/>
  <c r="M741" i="26"/>
  <c r="M365" i="26"/>
  <c r="M500" i="26"/>
  <c r="M802" i="26"/>
  <c r="M149" i="26"/>
  <c r="M798" i="26"/>
  <c r="M559" i="26"/>
  <c r="M816" i="26"/>
  <c r="M449" i="26"/>
  <c r="M68" i="26"/>
  <c r="M368" i="26"/>
  <c r="M504" i="26"/>
  <c r="M239" i="26"/>
  <c r="M334" i="26"/>
  <c r="M268" i="26"/>
  <c r="M145" i="26"/>
  <c r="M231" i="26"/>
  <c r="M332" i="26"/>
  <c r="M789" i="26"/>
  <c r="M507" i="26"/>
  <c r="M513" i="26"/>
  <c r="M15" i="26"/>
  <c r="M167" i="26"/>
  <c r="M797" i="26"/>
  <c r="M711" i="26"/>
  <c r="M299" i="26"/>
  <c r="M635" i="26"/>
  <c r="M587" i="26"/>
  <c r="M316" i="26"/>
  <c r="M393" i="26"/>
  <c r="M678" i="26"/>
  <c r="M301" i="26"/>
  <c r="M457" i="26"/>
  <c r="M555" i="26"/>
  <c r="M450" i="26"/>
  <c r="M480" i="26"/>
  <c r="M639" i="26"/>
  <c r="M464" i="26"/>
  <c r="M385" i="26"/>
  <c r="M350" i="26"/>
  <c r="M390" i="26"/>
  <c r="M662" i="26"/>
  <c r="M692" i="26"/>
  <c r="M786" i="26"/>
  <c r="M360" i="26"/>
  <c r="M413" i="26"/>
  <c r="M300" i="26"/>
  <c r="M580" i="26"/>
  <c r="M405" i="26"/>
  <c r="M566" i="26"/>
  <c r="M10" i="26"/>
  <c r="M656" i="26"/>
  <c r="M426" i="26"/>
  <c r="M605" i="26"/>
  <c r="M166" i="26"/>
  <c r="M650" i="26"/>
  <c r="M811" i="26"/>
  <c r="M796" i="26"/>
  <c r="M345" i="26"/>
  <c r="M719" i="26"/>
  <c r="M488" i="26"/>
  <c r="M137" i="26"/>
  <c r="M531" i="26"/>
  <c r="M712" i="26"/>
  <c r="M424" i="26"/>
  <c r="M124" i="26"/>
  <c r="M660" i="26"/>
  <c r="M638" i="26"/>
  <c r="M795" i="26"/>
  <c r="M718" i="26"/>
  <c r="M622" i="26"/>
  <c r="M451" i="26"/>
  <c r="M349" i="26"/>
  <c r="M486" i="26"/>
  <c r="M445" i="26"/>
  <c r="M343" i="26"/>
  <c r="M387" i="26"/>
  <c r="M313" i="26"/>
  <c r="M807" i="26"/>
  <c r="M152" i="26"/>
  <c r="M655" i="26"/>
  <c r="M673" i="26"/>
  <c r="M359" i="26"/>
  <c r="M785" i="26"/>
  <c r="M478" i="26"/>
  <c r="M221" i="26"/>
  <c r="M296" i="26"/>
  <c r="M382" i="26"/>
  <c r="M372" i="26"/>
  <c r="M217" i="26"/>
  <c r="M703" i="26"/>
  <c r="M671" i="26"/>
  <c r="M806" i="26"/>
  <c r="M620" i="26"/>
  <c r="M358" i="26"/>
  <c r="M123" i="26"/>
  <c r="M529" i="26"/>
  <c r="M427" i="26"/>
  <c r="M295" i="26"/>
  <c r="M331" i="26"/>
  <c r="M794" i="26"/>
  <c r="M370" i="26"/>
  <c r="M216" i="26"/>
  <c r="M80" i="26"/>
  <c r="M805" i="26"/>
  <c r="M793" i="26"/>
  <c r="M293" i="26"/>
  <c r="M702" i="26"/>
  <c r="M356" i="26"/>
  <c r="M329" i="26"/>
  <c r="M177" i="26"/>
  <c r="M214" i="26"/>
  <c r="M792" i="26"/>
  <c r="M701" i="26"/>
  <c r="N7" i="26"/>
  <c r="M142" i="26"/>
  <c r="M141" i="26"/>
  <c r="M140" i="26"/>
  <c r="M138" i="26"/>
  <c r="M9" i="26"/>
  <c r="M9" i="30"/>
  <c r="M891" i="27"/>
  <c r="M836" i="27"/>
  <c r="M263" i="27"/>
  <c r="M715" i="27"/>
  <c r="M852" i="27"/>
  <c r="M363" i="27"/>
  <c r="M136" i="27"/>
  <c r="M412" i="27"/>
  <c r="J907" i="27"/>
  <c r="M193" i="27"/>
  <c r="M597" i="27"/>
  <c r="M437" i="27"/>
  <c r="M850" i="27"/>
  <c r="M395" i="27"/>
  <c r="M616" i="27"/>
  <c r="M682" i="27"/>
  <c r="M615" i="27"/>
  <c r="M355" i="27"/>
  <c r="M429" i="27"/>
  <c r="M119" i="27"/>
  <c r="M320" i="27"/>
  <c r="M481" i="27"/>
  <c r="M664" i="27"/>
  <c r="M244" i="27"/>
  <c r="M694" i="27"/>
  <c r="M269" i="27"/>
  <c r="M603" i="27"/>
  <c r="M58" i="27"/>
  <c r="M841" i="27"/>
  <c r="M701" i="27"/>
  <c r="M448" i="27"/>
  <c r="M108" i="27"/>
  <c r="M215" i="27"/>
  <c r="M705" i="27"/>
  <c r="M831" i="27"/>
  <c r="M716" i="27"/>
  <c r="M542" i="27"/>
  <c r="M232" i="27"/>
  <c r="M91" i="27"/>
  <c r="M134" i="27"/>
  <c r="M598" i="27"/>
  <c r="M283" i="27"/>
  <c r="M604" i="27"/>
  <c r="M106" i="27"/>
  <c r="M187" i="27"/>
  <c r="M29" i="27"/>
  <c r="M199" i="27"/>
  <c r="M196" i="27"/>
  <c r="M695" i="27"/>
  <c r="M816" i="27"/>
  <c r="M38" i="27"/>
  <c r="M677" i="27"/>
  <c r="M347" i="27"/>
  <c r="M491" i="27"/>
  <c r="M313" i="27"/>
  <c r="M817" i="27"/>
  <c r="M858" i="27"/>
  <c r="M254" i="27"/>
  <c r="M127" i="27"/>
  <c r="N900" i="27"/>
  <c r="M535" i="27"/>
  <c r="M423" i="27"/>
  <c r="M689" i="27"/>
  <c r="M36" i="27"/>
  <c r="M684" i="27"/>
  <c r="M602" i="27"/>
  <c r="M204" i="27"/>
  <c r="M673" i="27"/>
  <c r="M207" i="27"/>
  <c r="M246" i="27"/>
  <c r="M571" i="27"/>
  <c r="M104" i="27"/>
  <c r="M710" i="27"/>
  <c r="M643" i="27"/>
  <c r="M30" i="27"/>
  <c r="M601" i="27"/>
  <c r="M83" i="27"/>
  <c r="M44" i="27"/>
  <c r="M771" i="27"/>
  <c r="M868" i="27"/>
  <c r="M596" i="27"/>
  <c r="M343" i="27"/>
  <c r="M99" i="27"/>
  <c r="M735" i="27"/>
  <c r="M711" i="27"/>
  <c r="M349" i="27"/>
  <c r="M69" i="27"/>
  <c r="M151" i="27"/>
  <c r="M851" i="27"/>
  <c r="M835" i="27"/>
  <c r="M417" i="27"/>
  <c r="M364" i="27"/>
  <c r="M610" i="27"/>
  <c r="M189" i="27"/>
  <c r="M65" i="27"/>
  <c r="M61" i="27"/>
  <c r="M833" i="27"/>
  <c r="M646" i="27"/>
  <c r="M780" i="27"/>
  <c r="M8" i="27"/>
  <c r="M150" i="27"/>
  <c r="M553" i="27"/>
  <c r="M830" i="27"/>
  <c r="M518" i="27"/>
  <c r="M432" i="27"/>
  <c r="M467" i="27"/>
  <c r="M504" i="27"/>
  <c r="M700" i="27"/>
  <c r="M606" i="27"/>
  <c r="M550" i="27"/>
  <c r="M322" i="27"/>
  <c r="M190" i="27"/>
  <c r="M572" i="27"/>
  <c r="M676" i="27"/>
  <c r="M499" i="27"/>
  <c r="M774" i="27"/>
  <c r="M515" i="27"/>
  <c r="M842" i="27"/>
  <c r="M475" i="27"/>
  <c r="M218" i="27"/>
  <c r="M356" i="27"/>
  <c r="M470" i="27"/>
  <c r="M718" i="27"/>
  <c r="M869" i="27"/>
  <c r="M94" i="27"/>
  <c r="M176" i="27"/>
  <c r="M859" i="27"/>
  <c r="M227" i="27"/>
  <c r="M53" i="27"/>
  <c r="M527" i="27"/>
  <c r="M28" i="27"/>
  <c r="M659" i="27"/>
  <c r="M600" i="27"/>
  <c r="M708" i="27"/>
  <c r="M248" i="27"/>
  <c r="M64" i="27"/>
  <c r="M157" i="27"/>
  <c r="M805" i="27"/>
  <c r="M714" i="27"/>
  <c r="M644" i="27"/>
  <c r="M857" i="27"/>
  <c r="M795" i="27"/>
  <c r="M856" i="27"/>
  <c r="M781" i="27"/>
  <c r="M122" i="27"/>
  <c r="M341" i="27"/>
  <c r="M544" i="27"/>
  <c r="M62" i="27"/>
  <c r="M741" i="27"/>
  <c r="M380" i="27"/>
  <c r="M789" i="27"/>
  <c r="M519" i="27"/>
  <c r="M688" i="27"/>
  <c r="M822" i="27"/>
  <c r="M278" i="27"/>
  <c r="M14" i="27"/>
  <c r="M130" i="27"/>
  <c r="M455" i="27"/>
  <c r="M880" i="27"/>
  <c r="M482" i="27"/>
  <c r="M159" i="27"/>
  <c r="M301" i="27"/>
  <c r="M385" i="27"/>
  <c r="M473" i="27"/>
  <c r="M80" i="27"/>
  <c r="M224" i="27"/>
  <c r="M143" i="27"/>
  <c r="M198" i="27"/>
  <c r="M574" i="27"/>
  <c r="M784" i="27"/>
  <c r="M757" i="27"/>
  <c r="M137" i="27"/>
  <c r="M251" i="27"/>
  <c r="M291" i="27"/>
  <c r="M778" i="27"/>
  <c r="M897" i="27"/>
  <c r="M720" i="27"/>
  <c r="M318" i="27"/>
  <c r="M378" i="27"/>
  <c r="M463" i="27"/>
  <c r="M524" i="27"/>
  <c r="M686" i="27"/>
  <c r="M298" i="27"/>
  <c r="M738" i="27"/>
  <c r="M97" i="27"/>
  <c r="M639" i="27"/>
  <c r="M693" i="27"/>
  <c r="M525" i="27"/>
  <c r="M209" i="27"/>
  <c r="M351" i="27"/>
  <c r="M212" i="27"/>
  <c r="M175" i="27"/>
  <c r="M566" i="27"/>
  <c r="M424" i="27"/>
  <c r="M750" i="27"/>
  <c r="M894" i="27"/>
  <c r="M166" i="27"/>
  <c r="M241" i="27"/>
  <c r="M508" i="27"/>
  <c r="M375" i="27"/>
  <c r="M259" i="27"/>
  <c r="M258" i="27"/>
  <c r="M214" i="27"/>
  <c r="M848" i="27"/>
  <c r="M794" i="27"/>
  <c r="M811" i="27"/>
  <c r="M79" i="27"/>
  <c r="M799" i="27"/>
  <c r="M605" i="27"/>
  <c r="M821" i="27"/>
  <c r="M20" i="27"/>
  <c r="M865" i="27"/>
  <c r="M699" i="27"/>
  <c r="M728" i="27"/>
  <c r="M56" i="27"/>
  <c r="M230" i="27"/>
  <c r="M302" i="27"/>
  <c r="M228" i="27"/>
  <c r="M239" i="27"/>
  <c r="M754" i="27"/>
  <c r="M333" i="27"/>
  <c r="M537" i="27"/>
  <c r="M383" i="27"/>
  <c r="M377" i="27"/>
  <c r="M477" i="27"/>
  <c r="M592" i="27"/>
  <c r="M238" i="27"/>
  <c r="M388" i="27"/>
  <c r="M731" i="27"/>
  <c r="M162" i="27"/>
  <c r="M622" i="27"/>
  <c r="M171" i="27"/>
  <c r="M397" i="27"/>
  <c r="M319" i="27"/>
  <c r="M317" i="27"/>
  <c r="M702" i="27"/>
  <c r="M67" i="27"/>
  <c r="M489" i="27"/>
  <c r="M875" i="27"/>
  <c r="M160" i="27"/>
  <c r="M586" i="27"/>
  <c r="M39" i="27"/>
  <c r="M37" i="27"/>
  <c r="M800" i="27"/>
  <c r="M901" i="27"/>
  <c r="M803" i="27"/>
  <c r="M753" i="27"/>
  <c r="M74" i="27"/>
  <c r="M479" i="27"/>
  <c r="M698" i="27"/>
  <c r="M270" i="27"/>
  <c r="M183" i="27"/>
  <c r="M75" i="27"/>
  <c r="M567" i="27"/>
  <c r="M105" i="27"/>
  <c r="M181" i="27"/>
  <c r="M747" i="27"/>
  <c r="M521" i="27"/>
  <c r="M84" i="27"/>
  <c r="M528" i="27"/>
  <c r="M636" i="27"/>
  <c r="M668" i="27"/>
  <c r="M554" i="27"/>
  <c r="M649" i="27"/>
  <c r="M625" i="27"/>
  <c r="M642" i="27"/>
  <c r="M13" i="27"/>
  <c r="M438" i="27"/>
  <c r="M335" i="27"/>
  <c r="M620" i="27"/>
  <c r="M324" i="27"/>
  <c r="M534" i="27"/>
  <c r="M314" i="27"/>
  <c r="M654" i="27"/>
  <c r="M834" i="27"/>
  <c r="M439" i="27"/>
  <c r="M407" i="27"/>
  <c r="M679" i="27"/>
  <c r="M696" i="27"/>
  <c r="M431" i="27"/>
  <c r="M558" i="27"/>
  <c r="M7" i="27"/>
  <c r="M148" i="27"/>
  <c r="M81" i="27"/>
  <c r="M55" i="27"/>
  <c r="M759" i="27"/>
  <c r="M809" i="27"/>
  <c r="M390" i="27"/>
  <c r="M370" i="27"/>
  <c r="M691" i="27"/>
  <c r="M359" i="27"/>
  <c r="M652" i="27"/>
  <c r="M240" i="27"/>
  <c r="M721" i="27"/>
  <c r="M421" i="27"/>
  <c r="M585" i="27"/>
  <c r="M101" i="27"/>
  <c r="M342" i="27"/>
  <c r="M552" i="27"/>
  <c r="M512" i="27"/>
  <c r="M222" i="27"/>
  <c r="M282" i="27"/>
  <c r="M796" i="27"/>
  <c r="M48" i="27"/>
  <c r="M21" i="27"/>
  <c r="M568" i="27"/>
  <c r="M261" i="27"/>
  <c r="M308" i="27"/>
  <c r="M656" i="27"/>
  <c r="M638" i="27"/>
  <c r="M719" i="27"/>
  <c r="M854" i="27"/>
  <c r="M450" i="27"/>
  <c r="M769" i="27"/>
  <c r="M564" i="27"/>
  <c r="M770" i="27"/>
  <c r="M452" i="27"/>
  <c r="M722" i="27"/>
  <c r="M195" i="27"/>
  <c r="M540" i="27"/>
  <c r="M293" i="27"/>
  <c r="M533" i="27"/>
  <c r="M609" i="27"/>
  <c r="M779" i="27"/>
  <c r="M309" i="27"/>
  <c r="M599" i="27"/>
  <c r="M737" i="27"/>
  <c r="M474" i="27"/>
  <c r="M40" i="27"/>
  <c r="M433" i="27"/>
  <c r="M365" i="27"/>
  <c r="M428" i="27"/>
  <c r="M358" i="27"/>
  <c r="M276" i="27"/>
  <c r="M628" i="27"/>
  <c r="M570" i="27"/>
  <c r="M289" i="27"/>
  <c r="M630" i="27"/>
  <c r="M678" i="27"/>
  <c r="M262" i="27"/>
  <c r="M516" i="27"/>
  <c r="M180" i="27"/>
  <c r="M786" i="27"/>
  <c r="M153" i="27"/>
  <c r="M344" i="27"/>
  <c r="M312" i="27"/>
  <c r="M814" i="27"/>
  <c r="M751" i="27"/>
  <c r="M249" i="27"/>
  <c r="M194" i="27"/>
  <c r="M174" i="27"/>
  <c r="M416" i="27"/>
  <c r="M271" i="27"/>
  <c r="M755" i="27"/>
  <c r="M892" i="27"/>
  <c r="M685" i="27"/>
  <c r="M762" i="27"/>
  <c r="M802" i="27"/>
  <c r="M327" i="27"/>
  <c r="M744" i="27"/>
  <c r="M733" i="27"/>
  <c r="M237" i="27"/>
  <c r="M272" i="27"/>
  <c r="M768" i="27"/>
  <c r="M506" i="27"/>
  <c r="M156" i="27"/>
  <c r="M594" i="27"/>
  <c r="M145" i="27"/>
  <c r="M346" i="27"/>
  <c r="M163" i="27"/>
  <c r="M862" i="27"/>
  <c r="M874" i="27"/>
  <c r="M861" i="27"/>
  <c r="M186" i="27"/>
  <c r="M873" i="27"/>
  <c r="M113" i="27"/>
  <c r="M155" i="27"/>
  <c r="M775" i="27"/>
  <c r="M125" i="27"/>
  <c r="M466" i="27"/>
  <c r="M46" i="27"/>
  <c r="M321" i="27"/>
  <c r="M133" i="27"/>
  <c r="M250" i="27"/>
  <c r="M443" i="27"/>
  <c r="M100" i="27"/>
  <c r="M307" i="27"/>
  <c r="M25" i="27"/>
  <c r="M294" i="27"/>
  <c r="M624" i="27"/>
  <c r="M34" i="27"/>
  <c r="M583" i="27"/>
  <c r="M543" i="27"/>
  <c r="M746" i="27"/>
  <c r="M560" i="27"/>
  <c r="M581" i="27"/>
  <c r="M316" i="27"/>
  <c r="M704" i="27"/>
  <c r="M569" i="27"/>
  <c r="M208" i="27"/>
  <c r="M539" i="27"/>
  <c r="M828" i="27"/>
  <c r="M713" i="27"/>
  <c r="M434" i="27"/>
  <c r="M389" i="27"/>
  <c r="M653" i="27"/>
  <c r="M661" i="27"/>
  <c r="N904" i="27"/>
  <c r="M73" i="27"/>
  <c r="M829" i="27"/>
  <c r="M87" i="27"/>
  <c r="M556" i="27"/>
  <c r="M575" i="27"/>
  <c r="M281" i="27"/>
  <c r="M547" i="27"/>
  <c r="M541" i="27"/>
  <c r="M446" i="27"/>
  <c r="M612" i="27"/>
  <c r="M326" i="27"/>
  <c r="M223" i="27"/>
  <c r="M772" i="27"/>
  <c r="M648" i="27"/>
  <c r="M280" i="27"/>
  <c r="M398" i="27"/>
  <c r="M787" i="27"/>
  <c r="M420" i="27"/>
  <c r="M826" i="27"/>
  <c r="M332" i="27"/>
  <c r="M902" i="27"/>
  <c r="M191" i="27"/>
  <c r="M427" i="27"/>
  <c r="M724" i="27"/>
  <c r="M426" i="27"/>
  <c r="M860" i="27"/>
  <c r="M672" i="27"/>
  <c r="M903" i="27"/>
  <c r="M650" i="27"/>
  <c r="M449" i="27"/>
  <c r="M761" i="27"/>
  <c r="M219" i="27"/>
  <c r="M384" i="27"/>
  <c r="M361" i="27"/>
  <c r="M41" i="27"/>
  <c r="M192" i="27"/>
  <c r="M16" i="27"/>
  <c r="M445" i="27"/>
  <c r="M221" i="27"/>
  <c r="M85" i="27"/>
  <c r="M406" i="27"/>
  <c r="M584" i="27"/>
  <c r="M645" i="27"/>
  <c r="M899" i="27"/>
  <c r="M837" i="27"/>
  <c r="M565" i="27"/>
  <c r="M798" i="27"/>
  <c r="M511" i="27"/>
  <c r="M47" i="27"/>
  <c r="M889" i="27"/>
  <c r="M165" i="27"/>
  <c r="M849" i="27"/>
  <c r="M418" i="27"/>
  <c r="M503" i="27"/>
  <c r="M284" i="27"/>
  <c r="L924" i="27"/>
  <c r="L925" i="27" s="1"/>
  <c r="M562" i="27"/>
  <c r="M517" i="27"/>
  <c r="M709" i="27"/>
  <c r="M846" i="27"/>
  <c r="M641" i="27"/>
  <c r="M623" i="27"/>
  <c r="M740" i="27"/>
  <c r="M245" i="27"/>
  <c r="M325" i="27"/>
  <c r="M169" i="27"/>
  <c r="M279" i="27"/>
  <c r="M607" i="27"/>
  <c r="M824" i="27"/>
  <c r="M414" i="27"/>
  <c r="M577" i="27"/>
  <c r="M888" i="27"/>
  <c r="M366" i="27"/>
  <c r="M362" i="27"/>
  <c r="M629" i="27"/>
  <c r="M116" i="27"/>
  <c r="M71" i="27"/>
  <c r="M627" i="27"/>
  <c r="M382" i="27"/>
  <c r="M723" i="27"/>
  <c r="M893" i="27"/>
  <c r="M348" i="27"/>
  <c r="M188" i="27"/>
  <c r="M296" i="27"/>
  <c r="M462" i="27"/>
  <c r="M776" i="27"/>
  <c r="M712" i="27"/>
  <c r="M290" i="27"/>
  <c r="M135" i="27"/>
  <c r="M59" i="27"/>
  <c r="M229" i="27"/>
  <c r="M671" i="27"/>
  <c r="M90" i="27"/>
  <c r="M118" i="27"/>
  <c r="M692" i="27"/>
  <c r="M461" i="27"/>
  <c r="M211" i="27"/>
  <c r="M17" i="27"/>
  <c r="M33" i="27"/>
  <c r="M666" i="27"/>
  <c r="M126" i="27"/>
  <c r="M330" i="27"/>
  <c r="M23" i="27"/>
  <c r="M847" i="27"/>
  <c r="M255" i="27"/>
  <c r="M657" i="27"/>
  <c r="M665" i="27"/>
  <c r="M107" i="27"/>
  <c r="M655" i="27"/>
  <c r="M917" i="27"/>
  <c r="M468" i="27"/>
  <c r="M866" i="27"/>
  <c r="M619" i="27"/>
  <c r="M247" i="27"/>
  <c r="M430" i="27"/>
  <c r="M496" i="27"/>
  <c r="M498" i="27"/>
  <c r="M469" i="27"/>
  <c r="M66" i="27"/>
  <c r="M867" i="27"/>
  <c r="M879" i="27"/>
  <c r="M147" i="27"/>
  <c r="M339" i="27"/>
  <c r="M226" i="27"/>
  <c r="M766" i="27"/>
  <c r="M205" i="27"/>
  <c r="M509" i="27"/>
  <c r="M299" i="27"/>
  <c r="M203" i="27"/>
  <c r="M756" i="27"/>
  <c r="M494" i="27"/>
  <c r="M589" i="27"/>
  <c r="M310" i="27"/>
  <c r="M268" i="27"/>
  <c r="M683" i="27"/>
  <c r="M783" i="27"/>
  <c r="M111" i="27"/>
  <c r="M492" i="27"/>
  <c r="M371" i="27"/>
  <c r="M178" i="27"/>
  <c r="M387" i="27"/>
  <c r="M546" i="27"/>
  <c r="M167" i="27"/>
  <c r="M820" i="27"/>
  <c r="M225" i="27"/>
  <c r="M490" i="27"/>
  <c r="M260" i="27"/>
  <c r="M483" i="27"/>
  <c r="M884" i="27"/>
  <c r="M904" i="27"/>
  <c r="M419" i="27"/>
  <c r="M168" i="27"/>
  <c r="M403" i="27"/>
  <c r="M885" i="27"/>
  <c r="M734" i="27"/>
  <c r="M739" i="27"/>
  <c r="M749" i="27"/>
  <c r="M399" i="27"/>
  <c r="M435" i="27"/>
  <c r="M184" i="27"/>
  <c r="M825" i="27"/>
  <c r="M300" i="27"/>
  <c r="M806" i="27"/>
  <c r="M96" i="27"/>
  <c r="M674" i="27"/>
  <c r="M725" i="27"/>
  <c r="M340" i="27"/>
  <c r="M197" i="27"/>
  <c r="M707" i="27"/>
  <c r="M236" i="27"/>
  <c r="M651" i="27"/>
  <c r="M617" i="27"/>
  <c r="M838" i="27"/>
  <c r="M513" i="27"/>
  <c r="M855" i="27"/>
  <c r="M102" i="27"/>
  <c r="M486" i="27"/>
  <c r="M454" i="27"/>
  <c r="M43" i="27"/>
  <c r="M425" i="27"/>
  <c r="M422" i="27"/>
  <c r="M117" i="27"/>
  <c r="M669" i="27"/>
  <c r="M217" i="27"/>
  <c r="M201" i="27"/>
  <c r="M730" i="27"/>
  <c r="M95" i="27"/>
  <c r="M285" i="27"/>
  <c r="M662" i="27"/>
  <c r="M77" i="27"/>
  <c r="M392" i="27"/>
  <c r="M548" i="27"/>
  <c r="M793" i="27"/>
  <c r="M22" i="27"/>
  <c r="M485" i="27"/>
  <c r="M529" i="27"/>
  <c r="M765" i="27"/>
  <c r="M109" i="27"/>
  <c r="M844" i="27"/>
  <c r="M18" i="27"/>
  <c r="M690" i="27"/>
  <c r="M819" i="27"/>
  <c r="M758" i="27"/>
  <c r="M882" i="27"/>
  <c r="M810" i="27"/>
  <c r="M563" i="27"/>
  <c r="M121" i="27"/>
  <c r="M252" i="27"/>
  <c r="M112" i="27"/>
  <c r="M647" i="27"/>
  <c r="M170" i="27"/>
  <c r="M360" i="27"/>
  <c r="M51" i="27"/>
  <c r="M19" i="27"/>
  <c r="M242" i="27"/>
  <c r="M328" i="27"/>
  <c r="M792" i="27"/>
  <c r="M555" i="27"/>
  <c r="M306" i="27"/>
  <c r="M864" i="27"/>
  <c r="M173" i="27"/>
  <c r="M877" i="27"/>
  <c r="M82" i="27"/>
  <c r="M633" i="27"/>
  <c r="M114" i="27"/>
  <c r="M367" i="27"/>
  <c r="M303" i="27"/>
  <c r="M68" i="27"/>
  <c r="M764" i="27"/>
  <c r="M329" i="27"/>
  <c r="M376" i="27"/>
  <c r="M57" i="27"/>
  <c r="M286" i="27"/>
  <c r="M288" i="27"/>
  <c r="M480" i="27"/>
  <c r="M379" i="27"/>
  <c r="M507" i="27"/>
  <c r="M871" i="27"/>
  <c r="M681" i="27"/>
  <c r="M559" i="27"/>
  <c r="M551" i="27"/>
  <c r="M220" i="27"/>
  <c r="M660" i="27"/>
  <c r="M26" i="27"/>
  <c r="M840" i="27"/>
  <c r="M354" i="27"/>
  <c r="M453" i="27"/>
  <c r="M86" i="27"/>
  <c r="M350" i="27"/>
  <c r="M353" i="27"/>
  <c r="M582" i="27"/>
  <c r="M120" i="27"/>
  <c r="M611" i="27"/>
  <c r="M658" i="27"/>
  <c r="M890" i="27"/>
  <c r="M767" i="27"/>
  <c r="M493" i="27"/>
  <c r="M70" i="27"/>
  <c r="M532" i="27"/>
  <c r="M266" i="27"/>
  <c r="M670" i="27"/>
  <c r="M92" i="27"/>
  <c r="M675" i="27"/>
  <c r="M640" i="27"/>
  <c r="M129" i="27"/>
  <c r="M275" i="27"/>
  <c r="M697" i="27"/>
  <c r="M813" i="27"/>
  <c r="M895" i="27"/>
  <c r="M579" i="27"/>
  <c r="M373" i="27"/>
  <c r="M410" i="27"/>
  <c r="M139" i="27"/>
  <c r="M24" i="27"/>
  <c r="M663" i="27"/>
  <c r="M497" i="27"/>
  <c r="M202" i="27"/>
  <c r="M760" i="27"/>
  <c r="M845" i="27"/>
  <c r="M815" i="27"/>
  <c r="M538" i="27"/>
  <c r="M752" i="27"/>
  <c r="M785" i="27"/>
  <c r="M179" i="27"/>
  <c r="M631" i="27"/>
  <c r="M440" i="27"/>
  <c r="M103" i="27"/>
  <c r="M45" i="27"/>
  <c r="M164" i="27"/>
  <c r="M42" i="27"/>
  <c r="M531" i="27"/>
  <c r="M213" i="27"/>
  <c r="M742" i="27"/>
  <c r="M457" i="27"/>
  <c r="M441" i="27"/>
  <c r="M172" i="27"/>
  <c r="M267" i="27"/>
  <c r="M745" i="27"/>
  <c r="M502" i="27"/>
  <c r="M632" i="27"/>
  <c r="M863" i="27"/>
  <c r="M487" i="27"/>
  <c r="M839" i="27"/>
  <c r="M881" i="27"/>
  <c r="M408" i="27"/>
  <c r="M706" i="27"/>
  <c r="M264" i="27"/>
  <c r="M456" i="27"/>
  <c r="M523" i="27"/>
  <c r="M887" i="27"/>
  <c r="M233" i="27"/>
  <c r="M287" i="27"/>
  <c r="M797" i="27"/>
  <c r="M717" i="27"/>
  <c r="M305" i="27"/>
  <c r="M49" i="27"/>
  <c r="M31" i="27"/>
  <c r="M522" i="27"/>
  <c r="M635" i="27"/>
  <c r="M726" i="27"/>
  <c r="M89" i="27"/>
  <c r="M526" i="27"/>
  <c r="M898" i="27"/>
  <c r="M88" i="27"/>
  <c r="M265" i="27"/>
  <c r="M843" i="27"/>
  <c r="M78" i="27"/>
  <c r="M93" i="27"/>
  <c r="M210" i="27"/>
  <c r="M447" i="27"/>
  <c r="M578" i="27"/>
  <c r="M323" i="27"/>
  <c r="M500" i="27"/>
  <c r="M593" i="27"/>
  <c r="M442" i="27"/>
  <c r="M274" i="27"/>
  <c r="M488" i="27"/>
  <c r="M131" i="27"/>
  <c r="M667" i="27"/>
  <c r="M277" i="27"/>
  <c r="M808" i="27"/>
  <c r="M580" i="27"/>
  <c r="M804" i="27"/>
  <c r="M35" i="27"/>
  <c r="M590" i="27"/>
  <c r="M76" i="27"/>
  <c r="M613" i="27"/>
  <c r="M587" i="27"/>
  <c r="M98" i="27"/>
  <c r="M369" i="27"/>
  <c r="M336" i="27"/>
  <c r="M812" i="27"/>
  <c r="M827" i="27"/>
  <c r="M115" i="27"/>
  <c r="M206" i="27"/>
  <c r="M853" i="27"/>
  <c r="M63" i="27"/>
  <c r="M72" i="27"/>
  <c r="M273" i="27"/>
  <c r="M352" i="27"/>
  <c r="M110" i="27"/>
  <c r="M12" i="27"/>
  <c r="M900" i="27"/>
  <c r="M557" i="27"/>
  <c r="M182" i="27"/>
  <c r="M788" i="27"/>
  <c r="M411" i="27"/>
  <c r="M409" i="27"/>
  <c r="M618" i="27"/>
  <c r="M870" i="27"/>
  <c r="M32" i="27"/>
  <c r="M257" i="27"/>
  <c r="M782" i="27"/>
  <c r="M823" i="27"/>
  <c r="M11" i="27"/>
  <c r="M536" i="27"/>
  <c r="M128" i="27"/>
  <c r="M614" i="27"/>
  <c r="M626" i="27"/>
  <c r="M883" i="27"/>
  <c r="M451" i="27"/>
  <c r="M680" i="27"/>
  <c r="M405" i="27"/>
  <c r="M886" i="27"/>
  <c r="M896" i="27"/>
  <c r="M621" i="27"/>
  <c r="M634" i="27"/>
  <c r="M637" i="27"/>
  <c r="M386" i="27"/>
  <c r="M158" i="27"/>
  <c r="M357" i="27"/>
  <c r="M703" i="27"/>
  <c r="M304" i="27"/>
  <c r="M505" i="27"/>
  <c r="M235" i="27"/>
  <c r="M436" i="27"/>
  <c r="M464" i="27"/>
  <c r="M807" i="27"/>
  <c r="M401" i="27"/>
  <c r="M337" i="27"/>
  <c r="M400" i="27"/>
  <c r="M311" i="27"/>
  <c r="M243" i="27"/>
  <c r="M334" i="27"/>
  <c r="M413" i="27"/>
  <c r="M588" i="27"/>
  <c r="M152" i="27"/>
  <c r="M549" i="27"/>
  <c r="M727" i="27"/>
  <c r="M801" i="27"/>
  <c r="M396" i="27"/>
  <c r="M124" i="27"/>
  <c r="M234" i="27"/>
  <c r="M472" i="27"/>
  <c r="M391" i="27"/>
  <c r="M27" i="27"/>
  <c r="M253" i="27"/>
  <c r="M687" i="27"/>
  <c r="M338" i="27"/>
  <c r="M608" i="27"/>
  <c r="M510" i="27"/>
  <c r="M52" i="27"/>
  <c r="M315" i="27"/>
  <c r="M50" i="27"/>
  <c r="M763" i="27"/>
  <c r="M144" i="27"/>
  <c r="M415" i="27"/>
  <c r="M576" i="27"/>
  <c r="M520" i="27"/>
  <c r="M773" i="27"/>
  <c r="M15" i="27"/>
  <c r="M530" i="27"/>
  <c r="M345" i="27"/>
  <c r="M394" i="27"/>
  <c r="M514" i="27"/>
  <c r="M729" i="27"/>
  <c r="M478" i="27"/>
  <c r="M878" i="27"/>
  <c r="M402" i="27"/>
  <c r="M595" i="27"/>
  <c r="M10" i="27"/>
  <c r="M501" i="27"/>
  <c r="M185" i="27"/>
  <c r="M458" i="27"/>
  <c r="M216" i="27"/>
  <c r="M60" i="27"/>
  <c r="M161" i="27"/>
  <c r="M573" i="27"/>
  <c r="M561" i="27"/>
  <c r="M495" i="27"/>
  <c r="M460" i="27"/>
  <c r="M404" i="27"/>
  <c r="M292" i="27"/>
  <c r="M231" i="27"/>
  <c r="M743" i="27"/>
  <c r="M591" i="27"/>
  <c r="M791" i="27"/>
  <c r="M149" i="27"/>
  <c r="M123" i="27"/>
  <c r="M545" i="27"/>
  <c r="M459" i="27"/>
  <c r="M748" i="27"/>
  <c r="M876" i="27"/>
  <c r="M256" i="27"/>
  <c r="M132" i="27"/>
  <c r="M476" i="27"/>
  <c r="M777" i="27"/>
  <c r="M393" i="27"/>
  <c r="M154" i="27"/>
  <c r="M818" i="27"/>
  <c r="M54" i="27"/>
  <c r="M732" i="27"/>
  <c r="M790" i="27"/>
  <c r="M331" i="27"/>
  <c r="M736" i="27"/>
  <c r="M200" i="27"/>
  <c r="M368" i="27"/>
  <c r="M146" i="27"/>
  <c r="M872" i="27"/>
  <c r="M832" i="27"/>
  <c r="M465" i="27"/>
  <c r="M444" i="27"/>
  <c r="M484" i="27"/>
  <c r="M471" i="27"/>
  <c r="M295" i="27"/>
  <c r="M297" i="27"/>
  <c r="M381" i="27"/>
  <c r="M374" i="27"/>
  <c r="M177" i="27"/>
  <c r="M372" i="27"/>
  <c r="N7" i="27"/>
  <c r="M142" i="27"/>
  <c r="M141" i="27"/>
  <c r="M140" i="27"/>
  <c r="M138" i="27"/>
  <c r="G916" i="27" l="1"/>
  <c r="J917" i="27"/>
  <c r="J915" i="27"/>
  <c r="G915" i="27" s="1"/>
  <c r="L822" i="26"/>
  <c r="G834" i="26"/>
  <c r="J833" i="26"/>
  <c r="G833" i="26" s="1"/>
  <c r="K835" i="26"/>
  <c r="J934" i="30"/>
  <c r="G934" i="30" s="1"/>
  <c r="G935" i="30"/>
  <c r="L932" i="30"/>
  <c r="J937" i="30"/>
  <c r="L937" i="30" s="1"/>
  <c r="L931" i="30" l="1"/>
  <c r="M931" i="30" s="1"/>
  <c r="N937" i="30"/>
  <c r="M937" i="30"/>
  <c r="K836" i="26"/>
  <c r="L836" i="26" s="1"/>
  <c r="M836" i="26" s="1"/>
  <c r="J830" i="26"/>
  <c r="L835" i="26"/>
  <c r="M835" i="26" s="1"/>
  <c r="J918" i="27"/>
  <c r="K910" i="27"/>
  <c r="L910" i="27" s="1"/>
  <c r="K909" i="27"/>
  <c r="L909" i="27" s="1"/>
  <c r="K912" i="27"/>
  <c r="L912" i="27" s="1"/>
  <c r="M822" i="26"/>
  <c r="L821" i="26" l="1"/>
  <c r="M821" i="26" s="1"/>
  <c r="L941" i="30"/>
  <c r="L918" i="27"/>
  <c r="M918" i="27" s="1"/>
  <c r="L906" i="27"/>
  <c r="J838" i="26" l="1"/>
  <c r="L922" i="27"/>
  <c r="M906" i="27"/>
  <c r="L921" i="27"/>
  <c r="C10" i="34" l="1"/>
  <c r="M643" i="35" l="1"/>
  <c r="C18" i="34" l="1"/>
  <c r="M644" i="35" l="1"/>
  <c r="L630" i="41" l="1"/>
  <c r="H676" i="41" l="1"/>
  <c r="L676" i="41" s="1"/>
  <c r="L675" i="41" s="1"/>
  <c r="J630" i="41"/>
  <c r="R630" i="41" l="1"/>
  <c r="I1087" i="41" l="1"/>
  <c r="L1087" i="41" s="1"/>
  <c r="I1085" i="41"/>
  <c r="I1082" i="41"/>
  <c r="I1089" i="41"/>
  <c r="I1084" i="41"/>
  <c r="L1089" i="41" l="1"/>
  <c r="L1086" i="41" s="1"/>
  <c r="J1086" i="41" s="1"/>
  <c r="L1082" i="41"/>
  <c r="L1084" i="41"/>
  <c r="L1085" i="41"/>
  <c r="O1089" i="41"/>
  <c r="O1085" i="41"/>
  <c r="O1087" i="41"/>
  <c r="O1082" i="41"/>
  <c r="O1084" i="41"/>
  <c r="R1086" i="41" l="1"/>
  <c r="L1081" i="41"/>
  <c r="L1080" i="41" s="1"/>
  <c r="L1079" i="41" s="1"/>
  <c r="J1081" i="41" l="1"/>
  <c r="R1081" i="41" l="1"/>
  <c r="D39" i="42"/>
  <c r="I780" i="41"/>
  <c r="L780" i="41" s="1"/>
  <c r="I779" i="41"/>
  <c r="I781" i="41"/>
  <c r="L781" i="41" s="1"/>
  <c r="I776" i="41"/>
  <c r="I778" i="41"/>
  <c r="L778" i="41" s="1"/>
  <c r="L779" i="41" l="1"/>
  <c r="L777" i="41" s="1"/>
  <c r="N777" i="41" s="1"/>
  <c r="D39" i="29"/>
  <c r="M39" i="29" s="1"/>
  <c r="L39" i="42"/>
  <c r="E39" i="42"/>
  <c r="O781" i="41"/>
  <c r="I775" i="41"/>
  <c r="O780" i="41"/>
  <c r="O778" i="41"/>
  <c r="O779" i="41"/>
  <c r="L776" i="41"/>
  <c r="O776" i="41"/>
  <c r="L775" i="41" l="1"/>
  <c r="L773" i="41" s="1"/>
  <c r="S39" i="29"/>
  <c r="G39" i="29"/>
  <c r="P39" i="29"/>
  <c r="O775" i="41"/>
  <c r="J777" i="41"/>
  <c r="R777" i="41" s="1"/>
  <c r="U39" i="29" l="1"/>
  <c r="V39" i="29" s="1"/>
  <c r="J773" i="41"/>
  <c r="R773" i="41" s="1"/>
  <c r="L904" i="41" l="1"/>
  <c r="O843" i="41" l="1"/>
  <c r="L854" i="41"/>
  <c r="I853" i="41"/>
  <c r="L853" i="41" s="1"/>
  <c r="H892" i="41"/>
  <c r="O898" i="41" l="1"/>
  <c r="L898" i="41"/>
  <c r="L897" i="41" s="1"/>
  <c r="L843" i="41"/>
  <c r="O892" i="41"/>
  <c r="I893" i="41"/>
  <c r="I894" i="41" s="1"/>
  <c r="J843" i="41" l="1"/>
  <c r="R843" i="41" s="1"/>
  <c r="O893" i="41"/>
  <c r="L893" i="41"/>
  <c r="R897" i="41" l="1"/>
  <c r="L894" i="41"/>
  <c r="L892" i="41" s="1"/>
  <c r="O894" i="41"/>
  <c r="L842" i="41" l="1"/>
  <c r="J892" i="41"/>
  <c r="R892" i="41" l="1"/>
  <c r="L810" i="41"/>
  <c r="D36" i="42" l="1"/>
  <c r="D36" i="29" l="1"/>
  <c r="P36" i="29" s="1"/>
  <c r="L36" i="42"/>
  <c r="E36" i="42"/>
  <c r="G36" i="29" l="1"/>
  <c r="N36" i="29"/>
  <c r="S36" i="29"/>
  <c r="M36" i="29"/>
  <c r="O36" i="29"/>
  <c r="Q36" i="29"/>
  <c r="U36" i="29" l="1"/>
  <c r="V36" i="29" s="1"/>
  <c r="H1132" i="41"/>
  <c r="L1133" i="41"/>
  <c r="L1132" i="41" s="1"/>
  <c r="J1132" i="41" l="1"/>
  <c r="R1132" i="41" s="1"/>
  <c r="T1132" i="41"/>
  <c r="L460" i="41" l="1"/>
  <c r="H459" i="41"/>
  <c r="I466" i="41" s="1"/>
  <c r="L466" i="41" l="1"/>
  <c r="T466" i="41" s="1"/>
  <c r="I468" i="41"/>
  <c r="I469" i="41" s="1"/>
  <c r="L469" i="41" s="1"/>
  <c r="I320" i="41"/>
  <c r="L320" i="41" s="1"/>
  <c r="L318" i="41" s="1"/>
  <c r="L311" i="41" s="1"/>
  <c r="H470" i="41"/>
  <c r="L470" i="41" s="1"/>
  <c r="L377" i="41"/>
  <c r="L464" i="41"/>
  <c r="L463" i="41"/>
  <c r="L467" i="41" l="1"/>
  <c r="L468" i="41"/>
  <c r="S468" i="41" s="1"/>
  <c r="T468" i="41" s="1"/>
  <c r="T377" i="41"/>
  <c r="I379" i="41"/>
  <c r="L379" i="41" s="1"/>
  <c r="L378" i="41"/>
  <c r="L317" i="41"/>
  <c r="T467" i="41" l="1"/>
  <c r="T469" i="41" s="1"/>
  <c r="U460" i="41" s="1"/>
  <c r="L368" i="41"/>
  <c r="L459" i="41"/>
  <c r="S378" i="41"/>
  <c r="T378" i="41" s="1"/>
  <c r="T379" i="41" s="1"/>
  <c r="U369" i="41" s="1"/>
  <c r="V369" i="41" s="1"/>
  <c r="L298" i="41"/>
  <c r="J459" i="41" l="1"/>
  <c r="L334" i="41"/>
  <c r="J368" i="41"/>
  <c r="D28" i="42"/>
  <c r="E28" i="42" l="1"/>
  <c r="L28" i="42"/>
  <c r="D28" i="29"/>
  <c r="K28" i="29" l="1"/>
  <c r="J28" i="29"/>
  <c r="H28" i="29"/>
  <c r="I28" i="29"/>
  <c r="S28" i="29"/>
  <c r="G28" i="29"/>
  <c r="U28" i="29" l="1"/>
  <c r="V28" i="29" l="1"/>
  <c r="O519" i="41" l="1"/>
  <c r="L519" i="41"/>
  <c r="O503" i="41" l="1"/>
  <c r="I523" i="41"/>
  <c r="L523" i="41" s="1"/>
  <c r="I521" i="41"/>
  <c r="L524" i="41"/>
  <c r="L521" i="41" l="1"/>
  <c r="L518" i="41" s="1"/>
  <c r="L503" i="41"/>
  <c r="L496" i="41" s="1"/>
  <c r="I530" i="41"/>
  <c r="I526" i="41"/>
  <c r="I528" i="41"/>
  <c r="L528" i="41" s="1"/>
  <c r="I529" i="41"/>
  <c r="H533" i="41"/>
  <c r="I531" i="41"/>
  <c r="I527" i="41"/>
  <c r="L19" i="41" l="1"/>
  <c r="L10" i="41" s="1"/>
  <c r="L435" i="41"/>
  <c r="O531" i="41"/>
  <c r="L531" i="41"/>
  <c r="O526" i="41"/>
  <c r="L526" i="41"/>
  <c r="L529" i="41"/>
  <c r="O529" i="41"/>
  <c r="J518" i="41"/>
  <c r="R518" i="41" s="1"/>
  <c r="L527" i="41"/>
  <c r="O527" i="41"/>
  <c r="L533" i="41"/>
  <c r="O533" i="41"/>
  <c r="L530" i="41"/>
  <c r="O530" i="41"/>
  <c r="O7" i="41" l="1"/>
  <c r="P7" i="41" s="1"/>
  <c r="L525" i="41"/>
  <c r="J525" i="41" s="1"/>
  <c r="L9" i="41"/>
  <c r="L1360" i="41" s="1"/>
  <c r="D21" i="42"/>
  <c r="E21" i="42" l="1"/>
  <c r="L21" i="42"/>
  <c r="D20" i="42"/>
  <c r="D21" i="29"/>
  <c r="R1361" i="41"/>
  <c r="L1361" i="41"/>
  <c r="L517" i="41"/>
  <c r="S1361" i="41" l="1"/>
  <c r="S21" i="29"/>
  <c r="D20" i="29"/>
  <c r="H21" i="29"/>
  <c r="G21" i="29"/>
  <c r="L516" i="41"/>
  <c r="I20" i="42"/>
  <c r="E20" i="42"/>
  <c r="D30" i="42" l="1"/>
  <c r="U21" i="29"/>
  <c r="V21" i="29" l="1"/>
  <c r="E30" i="42"/>
  <c r="L30" i="42"/>
  <c r="D30" i="29"/>
  <c r="I30" i="29" l="1"/>
  <c r="J30" i="29"/>
  <c r="G30" i="29"/>
  <c r="P30" i="29"/>
  <c r="O30" i="29"/>
  <c r="N30" i="29"/>
  <c r="K30" i="29"/>
  <c r="Q30" i="29"/>
  <c r="H30" i="29"/>
  <c r="M30" i="29"/>
  <c r="L30" i="29"/>
  <c r="S30" i="29"/>
  <c r="U30" i="29" l="1"/>
  <c r="V30" i="29" l="1"/>
  <c r="L328" i="41" l="1"/>
  <c r="D29" i="42" l="1"/>
  <c r="E29" i="42" l="1"/>
  <c r="D29" i="29"/>
  <c r="L29" i="42"/>
  <c r="H29" i="29" l="1"/>
  <c r="G29" i="29"/>
  <c r="S29" i="29"/>
  <c r="J29" i="29"/>
  <c r="I29" i="29"/>
  <c r="U29" i="29" l="1"/>
  <c r="V29" i="29" l="1"/>
  <c r="L1150" i="41"/>
  <c r="L1146" i="41" l="1"/>
  <c r="J1146" i="41" s="1"/>
  <c r="R1146" i="41" s="1"/>
  <c r="T1146" i="41" l="1"/>
  <c r="L1131" i="41"/>
  <c r="L1130" i="41" l="1"/>
  <c r="D41" i="42" l="1"/>
  <c r="L41" i="42" l="1"/>
  <c r="E41" i="42"/>
  <c r="D41" i="29"/>
  <c r="H41" i="29" l="1"/>
  <c r="H17" i="29" s="1"/>
  <c r="S41" i="29"/>
  <c r="I41" i="29"/>
  <c r="I17" i="29" s="1"/>
  <c r="G41" i="29"/>
  <c r="U41" i="29" l="1"/>
  <c r="V41" i="29" l="1"/>
  <c r="I793" i="41" l="1"/>
  <c r="I795" i="41"/>
  <c r="I794" i="41"/>
  <c r="I792" i="41"/>
  <c r="O795" i="41" l="1"/>
  <c r="L795" i="41"/>
  <c r="L792" i="41"/>
  <c r="O792" i="41"/>
  <c r="O794" i="41"/>
  <c r="L794" i="41"/>
  <c r="O793" i="41"/>
  <c r="L793" i="41"/>
  <c r="L791" i="41" l="1"/>
  <c r="J791" i="41" l="1"/>
  <c r="R791" i="41" s="1"/>
  <c r="L772" i="41"/>
  <c r="L771" i="41" l="1"/>
  <c r="D34" i="42" l="1"/>
  <c r="E34" i="42" l="1"/>
  <c r="D34" i="29"/>
  <c r="L34" i="42"/>
  <c r="S34" i="29" l="1"/>
  <c r="O34" i="29"/>
  <c r="G34" i="29"/>
  <c r="M34" i="29"/>
  <c r="M17" i="29" s="1"/>
  <c r="N34" i="29"/>
  <c r="U34" i="29" l="1"/>
  <c r="V34" i="29" s="1"/>
  <c r="I952" i="41" l="1"/>
  <c r="L952" i="41" s="1"/>
  <c r="L951" i="41" l="1"/>
  <c r="J951" i="41" l="1"/>
  <c r="R951" i="41" s="1"/>
  <c r="I684" i="41" l="1"/>
  <c r="L684" i="41" s="1"/>
  <c r="L683" i="41" l="1"/>
  <c r="J677" i="41" l="1"/>
  <c r="R677" i="41" s="1"/>
  <c r="J683" i="41"/>
  <c r="R683" i="41" s="1"/>
  <c r="L572" i="41"/>
  <c r="L571" i="41" l="1"/>
  <c r="D31" i="42" l="1"/>
  <c r="L31" i="42" l="1"/>
  <c r="D31" i="29"/>
  <c r="E31" i="42"/>
  <c r="K31" i="29" l="1"/>
  <c r="K17" i="29" s="1"/>
  <c r="L31" i="29"/>
  <c r="S31" i="29"/>
  <c r="J31" i="29"/>
  <c r="G31" i="29"/>
  <c r="L1253" i="41" l="1"/>
  <c r="U31" i="29"/>
  <c r="L1246" i="41" l="1"/>
  <c r="V31" i="29"/>
  <c r="L1335" i="41" l="1"/>
  <c r="L1245" i="41" s="1"/>
  <c r="D46" i="42" l="1"/>
  <c r="D46" i="29" l="1"/>
  <c r="E46" i="42"/>
  <c r="L46" i="42"/>
  <c r="L46" i="29" l="1"/>
  <c r="L17" i="29" s="1"/>
  <c r="Q46" i="29"/>
  <c r="P46" i="29"/>
  <c r="J46" i="29"/>
  <c r="J17" i="29" s="1"/>
  <c r="G46" i="29"/>
  <c r="S46" i="29"/>
  <c r="U46" i="29" l="1"/>
  <c r="I957" i="41"/>
  <c r="L957" i="41" s="1"/>
  <c r="I956" i="41"/>
  <c r="L956" i="41" s="1"/>
  <c r="L955" i="41" l="1"/>
  <c r="J955" i="41" l="1"/>
  <c r="R955" i="41" s="1"/>
  <c r="L964" i="41"/>
  <c r="H961" i="41"/>
  <c r="I962" i="41" s="1"/>
  <c r="L962" i="41" s="1"/>
  <c r="J1343" i="41" l="1"/>
  <c r="L961" i="41"/>
  <c r="J961" i="41" l="1"/>
  <c r="R961" i="41" s="1"/>
  <c r="L922" i="41"/>
  <c r="L921" i="41" l="1"/>
  <c r="D37" i="42" l="1"/>
  <c r="L297" i="41"/>
  <c r="R1364" i="41" l="1"/>
  <c r="R1366" i="41" s="1"/>
  <c r="K297" i="41"/>
  <c r="L1363" i="41"/>
  <c r="L1364" i="41" s="1"/>
  <c r="L7" i="41"/>
  <c r="M740" i="41" s="1"/>
  <c r="L37" i="42"/>
  <c r="E37" i="42"/>
  <c r="D27" i="42"/>
  <c r="D37" i="29"/>
  <c r="M741" i="41" l="1"/>
  <c r="M742" i="41"/>
  <c r="M744" i="41"/>
  <c r="M743" i="41"/>
  <c r="M753" i="41"/>
  <c r="M751" i="41"/>
  <c r="M752" i="41"/>
  <c r="M746" i="41"/>
  <c r="M745" i="41"/>
  <c r="M1052" i="41"/>
  <c r="M747" i="41"/>
  <c r="M101" i="41"/>
  <c r="M99" i="41"/>
  <c r="M103" i="41"/>
  <c r="M102" i="41"/>
  <c r="M100" i="41"/>
  <c r="M98" i="41"/>
  <c r="M1336" i="41"/>
  <c r="M1337" i="41"/>
  <c r="M1282" i="41"/>
  <c r="M1289" i="41"/>
  <c r="M1288" i="41"/>
  <c r="M1281" i="41"/>
  <c r="M1280" i="41"/>
  <c r="M1255" i="41"/>
  <c r="M1254" i="41"/>
  <c r="M1339" i="41"/>
  <c r="M1341" i="41"/>
  <c r="M1338" i="41"/>
  <c r="M1340" i="41"/>
  <c r="M1332" i="41"/>
  <c r="M1327" i="41"/>
  <c r="M1328" i="41"/>
  <c r="M1323" i="41"/>
  <c r="M1334" i="41"/>
  <c r="M1321" i="41"/>
  <c r="M1333" i="41"/>
  <c r="M1330" i="41"/>
  <c r="M1320" i="41"/>
  <c r="M1324" i="41"/>
  <c r="M1322" i="41"/>
  <c r="M1331" i="41"/>
  <c r="M1325" i="41"/>
  <c r="M1329" i="41"/>
  <c r="M1326" i="41"/>
  <c r="M1319" i="41"/>
  <c r="M1317" i="41"/>
  <c r="M1316" i="41"/>
  <c r="M1309" i="41"/>
  <c r="M1307" i="41"/>
  <c r="M1311" i="41"/>
  <c r="M1301" i="41"/>
  <c r="M1293" i="41"/>
  <c r="M1303" i="41"/>
  <c r="M1299" i="41"/>
  <c r="M1292" i="41"/>
  <c r="M1308" i="41"/>
  <c r="M1305" i="41"/>
  <c r="M1310" i="41"/>
  <c r="M1295" i="41"/>
  <c r="M1296" i="41"/>
  <c r="M1304" i="41"/>
  <c r="M1297" i="41"/>
  <c r="M1300" i="41"/>
  <c r="M1294" i="41"/>
  <c r="M1302" i="41"/>
  <c r="M1312" i="41"/>
  <c r="M1313" i="41"/>
  <c r="M1291" i="41"/>
  <c r="M1298" i="41"/>
  <c r="M1314" i="41"/>
  <c r="M1306" i="41"/>
  <c r="M1265" i="41"/>
  <c r="M1279" i="41"/>
  <c r="M1266" i="41"/>
  <c r="M1275" i="41"/>
  <c r="M1283" i="41"/>
  <c r="M1276" i="41"/>
  <c r="M1271" i="41"/>
  <c r="M1277" i="41"/>
  <c r="M1268" i="41"/>
  <c r="M1267" i="41"/>
  <c r="M1278" i="41"/>
  <c r="M1262" i="41"/>
  <c r="M1273" i="41"/>
  <c r="M1274" i="41"/>
  <c r="M1272" i="41"/>
  <c r="M1269" i="41"/>
  <c r="M1264" i="41"/>
  <c r="M1263" i="41"/>
  <c r="M1286" i="41"/>
  <c r="M1284" i="41"/>
  <c r="M1270" i="41"/>
  <c r="M1261" i="41"/>
  <c r="M1285" i="41"/>
  <c r="M1259" i="41"/>
  <c r="M1257" i="41"/>
  <c r="M1256" i="41"/>
  <c r="M1258" i="41"/>
  <c r="M1252" i="41"/>
  <c r="M1251" i="41"/>
  <c r="M1249" i="41"/>
  <c r="M1250" i="41"/>
  <c r="M913" i="41"/>
  <c r="M1248" i="41"/>
  <c r="M1247" i="41"/>
  <c r="M911" i="41"/>
  <c r="M915" i="41"/>
  <c r="M914" i="41"/>
  <c r="M1004" i="41"/>
  <c r="M1005" i="41"/>
  <c r="M1006" i="41"/>
  <c r="M249" i="41"/>
  <c r="M608" i="41"/>
  <c r="M1335" i="41"/>
  <c r="M873" i="41"/>
  <c r="M1116" i="41"/>
  <c r="M15" i="41"/>
  <c r="M184" i="41"/>
  <c r="M89" i="41"/>
  <c r="M1070" i="41"/>
  <c r="M837" i="41"/>
  <c r="M143" i="41"/>
  <c r="M1033" i="41"/>
  <c r="M149" i="41"/>
  <c r="M279" i="41"/>
  <c r="M247" i="41"/>
  <c r="M773" i="41"/>
  <c r="M844" i="41"/>
  <c r="M1181" i="41"/>
  <c r="M1253" i="41"/>
  <c r="M750" i="41"/>
  <c r="M1146" i="41"/>
  <c r="M221" i="41"/>
  <c r="M88" i="41"/>
  <c r="M1064" i="41"/>
  <c r="M1180" i="41"/>
  <c r="M1161" i="41"/>
  <c r="M564" i="41"/>
  <c r="M33" i="41"/>
  <c r="M398" i="41"/>
  <c r="M209" i="41"/>
  <c r="M214" i="41"/>
  <c r="M694" i="41"/>
  <c r="M876" i="41"/>
  <c r="M1236" i="41"/>
  <c r="M1164" i="41"/>
  <c r="M69" i="41"/>
  <c r="M941" i="41"/>
  <c r="M128" i="41"/>
  <c r="M1046" i="41"/>
  <c r="M645" i="41"/>
  <c r="M503" i="41"/>
  <c r="M377" i="41"/>
  <c r="M430" i="41"/>
  <c r="M105" i="41"/>
  <c r="M1014" i="41"/>
  <c r="M916" i="41"/>
  <c r="M838" i="41"/>
  <c r="M1133" i="41"/>
  <c r="M1238" i="41"/>
  <c r="M638" i="41"/>
  <c r="M350" i="41"/>
  <c r="M967" i="41"/>
  <c r="M488" i="41"/>
  <c r="M1175" i="41"/>
  <c r="M1022" i="41"/>
  <c r="M1166" i="41"/>
  <c r="M519" i="41"/>
  <c r="M1156" i="41"/>
  <c r="M561" i="41"/>
  <c r="M1245" i="41"/>
  <c r="M480" i="41"/>
  <c r="M800" i="41"/>
  <c r="M577" i="41"/>
  <c r="M908" i="41"/>
  <c r="M528" i="41"/>
  <c r="M178" i="41"/>
  <c r="M980" i="41"/>
  <c r="M383" i="41"/>
  <c r="M1032" i="41"/>
  <c r="M1225" i="41"/>
  <c r="M301" i="41"/>
  <c r="M619" i="41"/>
  <c r="M1204" i="41"/>
  <c r="M150" i="41"/>
  <c r="M614" i="41"/>
  <c r="M355" i="41"/>
  <c r="M514" i="41"/>
  <c r="M1099" i="41"/>
  <c r="M151" i="41"/>
  <c r="M1081" i="41"/>
  <c r="M1127" i="41"/>
  <c r="M281" i="41"/>
  <c r="M983" i="41"/>
  <c r="M183" i="41"/>
  <c r="M339" i="41"/>
  <c r="M199" i="41"/>
  <c r="M1110" i="41"/>
  <c r="M620" i="41"/>
  <c r="M1214" i="41"/>
  <c r="M412" i="41"/>
  <c r="M937" i="41"/>
  <c r="M262" i="41"/>
  <c r="M951" i="41"/>
  <c r="M19" i="41"/>
  <c r="M21" i="41"/>
  <c r="M692" i="41"/>
  <c r="M58" i="41"/>
  <c r="M594" i="41"/>
  <c r="M535" i="41"/>
  <c r="M613" i="41"/>
  <c r="M1134" i="41"/>
  <c r="M965" i="41"/>
  <c r="M917" i="41"/>
  <c r="M1117" i="41"/>
  <c r="M872" i="41"/>
  <c r="M438" i="41"/>
  <c r="M1120" i="41"/>
  <c r="M428" i="41"/>
  <c r="M1069" i="41"/>
  <c r="M933" i="41"/>
  <c r="M867" i="41"/>
  <c r="M679" i="41"/>
  <c r="M793" i="41"/>
  <c r="M623" i="41"/>
  <c r="M384" i="41"/>
  <c r="M585" i="41"/>
  <c r="M590" i="41"/>
  <c r="M1056" i="41"/>
  <c r="M336" i="41"/>
  <c r="M496" i="41"/>
  <c r="M465" i="41"/>
  <c r="M273" i="41"/>
  <c r="M822" i="41"/>
  <c r="M1171" i="41"/>
  <c r="M596" i="41"/>
  <c r="M756" i="41"/>
  <c r="M1184" i="41"/>
  <c r="M722" i="41"/>
  <c r="M509" i="41"/>
  <c r="M62" i="41"/>
  <c r="M162" i="41"/>
  <c r="M685" i="41"/>
  <c r="M1160" i="41"/>
  <c r="M155" i="41"/>
  <c r="M1098" i="41"/>
  <c r="M167" i="41"/>
  <c r="M816" i="41"/>
  <c r="M617" i="41"/>
  <c r="M266" i="41"/>
  <c r="M971" i="41"/>
  <c r="M450" i="41"/>
  <c r="M640" i="41"/>
  <c r="M949" i="41"/>
  <c r="M1086" i="41"/>
  <c r="M1159" i="41"/>
  <c r="M463" i="41"/>
  <c r="M35" i="41"/>
  <c r="M1211" i="41"/>
  <c r="M1144" i="41"/>
  <c r="M482" i="41"/>
  <c r="M516" i="41"/>
  <c r="M975" i="41"/>
  <c r="M230" i="41"/>
  <c r="M666" i="41"/>
  <c r="M287" i="41"/>
  <c r="M823" i="41"/>
  <c r="M291" i="41"/>
  <c r="M1173" i="41"/>
  <c r="M1209" i="41"/>
  <c r="M716" i="41"/>
  <c r="M426" i="41"/>
  <c r="M571" i="41"/>
  <c r="M343" i="41"/>
  <c r="M995" i="41"/>
  <c r="M609" i="41"/>
  <c r="M331" i="41"/>
  <c r="M784" i="41"/>
  <c r="M1227" i="41"/>
  <c r="M133" i="41"/>
  <c r="M476" i="41"/>
  <c r="M20" i="41"/>
  <c r="M161" i="41"/>
  <c r="M7" i="41"/>
  <c r="M891" i="41"/>
  <c r="M1057" i="41"/>
  <c r="M226" i="41"/>
  <c r="M403" i="41"/>
  <c r="M200" i="41"/>
  <c r="M57" i="41"/>
  <c r="M580" i="41"/>
  <c r="M650" i="41"/>
  <c r="M1212" i="41"/>
  <c r="M1112" i="41"/>
  <c r="M392" i="41"/>
  <c r="M559" i="41"/>
  <c r="M310" i="41"/>
  <c r="M654" i="41"/>
  <c r="M591" i="41"/>
  <c r="M271" i="41"/>
  <c r="M232" i="41"/>
  <c r="M770" i="41"/>
  <c r="M290" i="41"/>
  <c r="M906" i="41"/>
  <c r="M762" i="41"/>
  <c r="M858" i="41"/>
  <c r="M806" i="41"/>
  <c r="M376" i="41"/>
  <c r="M1193" i="41"/>
  <c r="M436" i="41"/>
  <c r="M387" i="41"/>
  <c r="M36" i="41"/>
  <c r="M1197" i="41"/>
  <c r="M300" i="41"/>
  <c r="M374" i="41"/>
  <c r="M344" i="41"/>
  <c r="M547" i="41"/>
  <c r="M878" i="41"/>
  <c r="M1143" i="41"/>
  <c r="M646" i="41"/>
  <c r="M288" i="41"/>
  <c r="M882" i="41"/>
  <c r="M1246" i="41"/>
  <c r="M893" i="41"/>
  <c r="M973" i="41"/>
  <c r="M578" i="41"/>
  <c r="M945" i="41"/>
  <c r="M686" i="41"/>
  <c r="M568" i="41"/>
  <c r="M449" i="41"/>
  <c r="M60" i="41"/>
  <c r="M498" i="41"/>
  <c r="M425" i="41"/>
  <c r="M479" i="41"/>
  <c r="M140" i="41"/>
  <c r="M137" i="41"/>
  <c r="M847" i="41"/>
  <c r="M130" i="41"/>
  <c r="M1028" i="41"/>
  <c r="M565" i="41"/>
  <c r="M548" i="41"/>
  <c r="M390" i="41"/>
  <c r="M1318" i="41"/>
  <c r="M1232" i="41"/>
  <c r="M188" i="41"/>
  <c r="M457" i="41"/>
  <c r="M250" i="41"/>
  <c r="M783" i="41"/>
  <c r="M485" i="41"/>
  <c r="M335" i="41"/>
  <c r="M1177" i="41"/>
  <c r="M796" i="41"/>
  <c r="M678" i="41"/>
  <c r="M1066" i="41"/>
  <c r="M337" i="41"/>
  <c r="M815" i="41"/>
  <c r="M643" i="41"/>
  <c r="M853" i="41"/>
  <c r="M510" i="41"/>
  <c r="M602" i="41"/>
  <c r="M1023" i="41"/>
  <c r="M481" i="41"/>
  <c r="M989" i="41"/>
  <c r="M423" i="41"/>
  <c r="M164" i="41"/>
  <c r="M647" i="41"/>
  <c r="M886" i="41"/>
  <c r="M158" i="41"/>
  <c r="M792" i="41"/>
  <c r="M458" i="41"/>
  <c r="M442" i="41"/>
  <c r="M598" i="41"/>
  <c r="M171" i="41"/>
  <c r="M263" i="41"/>
  <c r="M637" i="41"/>
  <c r="M1054" i="41"/>
  <c r="M272" i="41"/>
  <c r="M1206" i="41"/>
  <c r="M146" i="41"/>
  <c r="M75" i="41"/>
  <c r="M772" i="41"/>
  <c r="M1153" i="41"/>
  <c r="M789" i="41"/>
  <c r="M106" i="41"/>
  <c r="M1141" i="41"/>
  <c r="M606" i="41"/>
  <c r="M846" i="41"/>
  <c r="M218" i="41"/>
  <c r="M690" i="41"/>
  <c r="M468" i="41"/>
  <c r="M375" i="41"/>
  <c r="M642" i="41"/>
  <c r="M94" i="41"/>
  <c r="M589" i="41"/>
  <c r="M777" i="41"/>
  <c r="M994" i="41"/>
  <c r="M1190" i="41"/>
  <c r="M706" i="41"/>
  <c r="M831" i="41"/>
  <c r="M630" i="41"/>
  <c r="M1016" i="41"/>
  <c r="M511" i="41"/>
  <c r="M439" i="41"/>
  <c r="M500" i="41"/>
  <c r="M677" i="41"/>
  <c r="M1105" i="41"/>
  <c r="M124" i="41"/>
  <c r="M191" i="41"/>
  <c r="M52" i="41"/>
  <c r="M1118" i="41"/>
  <c r="M621" i="41"/>
  <c r="M1188" i="41"/>
  <c r="M104" i="41"/>
  <c r="M132" i="41"/>
  <c r="M539" i="41"/>
  <c r="M364" i="41"/>
  <c r="M976" i="41"/>
  <c r="M952" i="41"/>
  <c r="M749" i="41"/>
  <c r="M725" i="41"/>
  <c r="M351" i="41"/>
  <c r="M241" i="41"/>
  <c r="M504" i="41"/>
  <c r="M682" i="41"/>
  <c r="M400" i="41"/>
  <c r="M987" i="41"/>
  <c r="M1018" i="41"/>
  <c r="M68" i="41"/>
  <c r="M1008" i="41"/>
  <c r="M163" i="41"/>
  <c r="M809" i="41"/>
  <c r="M1001" i="41"/>
  <c r="M215" i="41"/>
  <c r="M560" i="41"/>
  <c r="M912" i="41"/>
  <c r="M1142" i="41"/>
  <c r="M278" i="41"/>
  <c r="M929" i="41"/>
  <c r="M216" i="41"/>
  <c r="M270" i="41"/>
  <c r="M494" i="41"/>
  <c r="M420" i="41"/>
  <c r="M859" i="41"/>
  <c r="M23" i="41"/>
  <c r="M977" i="41"/>
  <c r="M22" i="41"/>
  <c r="M895" i="41"/>
  <c r="M1084" i="41"/>
  <c r="M220" i="41"/>
  <c r="M441" i="41"/>
  <c r="M1136" i="41"/>
  <c r="M447" i="41"/>
  <c r="M1088" i="41"/>
  <c r="M764" i="41"/>
  <c r="M924" i="41"/>
  <c r="M415" i="41"/>
  <c r="M972" i="41"/>
  <c r="M264" i="41"/>
  <c r="M661" i="41"/>
  <c r="M1031" i="41"/>
  <c r="M719" i="41"/>
  <c r="M117" i="41"/>
  <c r="M185" i="41"/>
  <c r="M555" i="41"/>
  <c r="M1061" i="41"/>
  <c r="M607" i="41"/>
  <c r="M308" i="41"/>
  <c r="M391" i="41"/>
  <c r="M159" i="41"/>
  <c r="M189" i="41"/>
  <c r="M207" i="41"/>
  <c r="M298" i="41"/>
  <c r="M486" i="41"/>
  <c r="M1192" i="41"/>
  <c r="M1216" i="41"/>
  <c r="M49" i="41"/>
  <c r="M923" i="41"/>
  <c r="M413" i="41"/>
  <c r="M165" i="41"/>
  <c r="M421" i="41"/>
  <c r="M182" i="41"/>
  <c r="M379" i="41"/>
  <c r="M1074" i="41"/>
  <c r="M313" i="41"/>
  <c r="M302" i="41"/>
  <c r="M1102" i="41"/>
  <c r="M16" i="41"/>
  <c r="M517" i="41"/>
  <c r="M341" i="41"/>
  <c r="M10" i="41"/>
  <c r="M662" i="41"/>
  <c r="M452" i="41"/>
  <c r="M1035" i="41"/>
  <c r="M615" i="41"/>
  <c r="M754" i="41"/>
  <c r="M71" i="41"/>
  <c r="M874" i="41"/>
  <c r="M179" i="41"/>
  <c r="M448" i="41"/>
  <c r="M905" i="41"/>
  <c r="M248" i="41"/>
  <c r="M1123" i="41"/>
  <c r="M477" i="41"/>
  <c r="M931" i="41"/>
  <c r="M832" i="41"/>
  <c r="M169" i="41"/>
  <c r="M820" i="41"/>
  <c r="M687" i="41"/>
  <c r="M113" i="41"/>
  <c r="M299" i="41"/>
  <c r="M508" i="41"/>
  <c r="M74" i="41"/>
  <c r="M513" i="41"/>
  <c r="M53" i="41"/>
  <c r="M1170" i="41"/>
  <c r="M888" i="41"/>
  <c r="M39" i="41"/>
  <c r="M879" i="41"/>
  <c r="M116" i="41"/>
  <c r="M195" i="41"/>
  <c r="M73" i="41"/>
  <c r="M636" i="41"/>
  <c r="M443" i="41"/>
  <c r="M659" i="41"/>
  <c r="M625" i="41"/>
  <c r="M758" i="41"/>
  <c r="M563" i="41"/>
  <c r="M1242" i="41"/>
  <c r="M293" i="41"/>
  <c r="M1122" i="41"/>
  <c r="M1121" i="41"/>
  <c r="M720" i="41"/>
  <c r="M1083" i="41"/>
  <c r="M655" i="41"/>
  <c r="M251" i="41"/>
  <c r="M593" i="41"/>
  <c r="M782" i="41"/>
  <c r="M774" i="41"/>
  <c r="M554" i="41"/>
  <c r="M1126" i="41"/>
  <c r="M974" i="41"/>
  <c r="M202" i="41"/>
  <c r="M388" i="41"/>
  <c r="M810" i="41"/>
  <c r="M414" i="41"/>
  <c r="M24" i="41"/>
  <c r="M1200" i="41"/>
  <c r="M317" i="41"/>
  <c r="M898" i="41"/>
  <c r="M1007" i="41"/>
  <c r="M557" i="41"/>
  <c r="M829" i="41"/>
  <c r="M29" i="41"/>
  <c r="M605" i="41"/>
  <c r="M525" i="41"/>
  <c r="M259" i="41"/>
  <c r="M1139" i="41"/>
  <c r="M1026" i="41"/>
  <c r="M11" i="41"/>
  <c r="M703" i="41"/>
  <c r="M947" i="41"/>
  <c r="M556" i="41"/>
  <c r="M109" i="41"/>
  <c r="M237" i="41"/>
  <c r="M1060" i="41"/>
  <c r="M660" i="41"/>
  <c r="M999" i="41"/>
  <c r="M139" i="41"/>
  <c r="M1182" i="41"/>
  <c r="M939" i="41"/>
  <c r="M1189" i="41"/>
  <c r="M953" i="41"/>
  <c r="M1152" i="41"/>
  <c r="M834" i="41"/>
  <c r="M1203" i="41"/>
  <c r="M674" i="41"/>
  <c r="M680" i="41"/>
  <c r="M875" i="41"/>
  <c r="M885" i="41"/>
  <c r="M1085" i="41"/>
  <c r="M787" i="41"/>
  <c r="M114" i="41"/>
  <c r="M506" i="41"/>
  <c r="M495" i="41"/>
  <c r="M850" i="41"/>
  <c r="M261" i="41"/>
  <c r="M562" i="41"/>
  <c r="M389" i="41"/>
  <c r="M1223" i="41"/>
  <c r="M168" i="41"/>
  <c r="M406" i="41"/>
  <c r="M501" i="41"/>
  <c r="M433" i="41"/>
  <c r="M1078" i="41"/>
  <c r="M64" i="41"/>
  <c r="M942" i="41"/>
  <c r="M739" i="41"/>
  <c r="M234" i="41"/>
  <c r="M830" i="41"/>
  <c r="M86" i="41"/>
  <c r="M970" i="41"/>
  <c r="M624" i="41"/>
  <c r="M1092" i="41"/>
  <c r="M239" i="41"/>
  <c r="M1009" i="41"/>
  <c r="M115" i="41"/>
  <c r="M194" i="41"/>
  <c r="M1241" i="41"/>
  <c r="M599" i="41"/>
  <c r="M566" i="41"/>
  <c r="M529" i="41"/>
  <c r="M354" i="41"/>
  <c r="M717" i="41"/>
  <c r="M368" i="41"/>
  <c r="M326" i="41"/>
  <c r="M1169" i="41"/>
  <c r="M1210" i="41"/>
  <c r="M31" i="41"/>
  <c r="M369" i="41"/>
  <c r="M549" i="41"/>
  <c r="M154" i="41"/>
  <c r="M1076" i="41"/>
  <c r="M314" i="41"/>
  <c r="M1093" i="41"/>
  <c r="M515" i="41"/>
  <c r="M865" i="41"/>
  <c r="M242" i="41"/>
  <c r="M1186" i="41"/>
  <c r="M540" i="41"/>
  <c r="M595" i="41"/>
  <c r="M1235" i="41"/>
  <c r="M864" i="41"/>
  <c r="M325" i="41"/>
  <c r="M938" i="41"/>
  <c r="M735" i="41"/>
  <c r="M1097" i="41"/>
  <c r="M1080" i="41"/>
  <c r="M212" i="41"/>
  <c r="M397" i="41"/>
  <c r="M545" i="41"/>
  <c r="M532" i="41"/>
  <c r="M1199" i="41"/>
  <c r="M1040" i="41"/>
  <c r="M790" i="41"/>
  <c r="M459" i="41"/>
  <c r="M466" i="41"/>
  <c r="M767" i="41"/>
  <c r="M569" i="41"/>
  <c r="M258" i="41"/>
  <c r="M229" i="41"/>
  <c r="M416" i="41"/>
  <c r="M639" i="41"/>
  <c r="M960" i="41"/>
  <c r="M1106" i="41"/>
  <c r="M180" i="41"/>
  <c r="M367" i="41"/>
  <c r="M170" i="41"/>
  <c r="M997" i="41"/>
  <c r="M581" i="41"/>
  <c r="M1087" i="41"/>
  <c r="M534" i="41"/>
  <c r="M849" i="41"/>
  <c r="M788" i="41"/>
  <c r="M1183" i="41"/>
  <c r="M352" i="41"/>
  <c r="M1233" i="41"/>
  <c r="M546" i="41"/>
  <c r="M181" i="41"/>
  <c r="M1119" i="41"/>
  <c r="M723" i="41"/>
  <c r="M537" i="41"/>
  <c r="M408" i="41"/>
  <c r="M998" i="41"/>
  <c r="M1012" i="41"/>
  <c r="M427" i="41"/>
  <c r="M732" i="41"/>
  <c r="M932" i="41"/>
  <c r="M839" i="41"/>
  <c r="M940" i="41"/>
  <c r="M311" i="41"/>
  <c r="M779" i="41"/>
  <c r="M119" i="41"/>
  <c r="M812" i="41"/>
  <c r="M892" i="41"/>
  <c r="M1226" i="41"/>
  <c r="M107" i="41"/>
  <c r="M835" i="41"/>
  <c r="M544" i="41"/>
  <c r="M210" i="41"/>
  <c r="M658" i="41"/>
  <c r="M324" i="41"/>
  <c r="M1150" i="41"/>
  <c r="M222" i="41"/>
  <c r="M148" i="41"/>
  <c r="M736" i="41"/>
  <c r="M127" i="41"/>
  <c r="M1089" i="41"/>
  <c r="M1219" i="41"/>
  <c r="M446" i="41"/>
  <c r="M131" i="41"/>
  <c r="M668" i="41"/>
  <c r="M268" i="41"/>
  <c r="M96" i="41"/>
  <c r="M1024" i="41"/>
  <c r="M702" i="41"/>
  <c r="M1165" i="41"/>
  <c r="M38" i="41"/>
  <c r="M323" i="41"/>
  <c r="M1218" i="41"/>
  <c r="M1239" i="41"/>
  <c r="M1201" i="41"/>
  <c r="M768" i="41"/>
  <c r="M935" i="41"/>
  <c r="M260" i="41"/>
  <c r="M956" i="41"/>
  <c r="M176" i="41"/>
  <c r="M51" i="41"/>
  <c r="M205" i="41"/>
  <c r="M543" i="41"/>
  <c r="M381" i="41"/>
  <c r="M512" i="41"/>
  <c r="M1091" i="41"/>
  <c r="M1058" i="41"/>
  <c r="M328" i="41"/>
  <c r="M219" i="41"/>
  <c r="M1003" i="41"/>
  <c r="M156" i="41"/>
  <c r="M18" i="41"/>
  <c r="M67" i="41"/>
  <c r="M840" i="41"/>
  <c r="M1082" i="41"/>
  <c r="M79" i="41"/>
  <c r="M761" i="41"/>
  <c r="M491" i="41"/>
  <c r="M1037" i="41"/>
  <c r="M1155" i="41"/>
  <c r="M418" i="41"/>
  <c r="M47" i="41"/>
  <c r="M44" i="41"/>
  <c r="M1138" i="41"/>
  <c r="M228" i="41"/>
  <c r="M871" i="41"/>
  <c r="M34" i="41"/>
  <c r="M778" i="41"/>
  <c r="M1025" i="41"/>
  <c r="M715" i="41"/>
  <c r="M160" i="41"/>
  <c r="M121" i="41"/>
  <c r="M125" i="41"/>
  <c r="M868" i="41"/>
  <c r="M657" i="41"/>
  <c r="N7" i="41"/>
  <c r="M236" i="41"/>
  <c r="M54" i="41"/>
  <c r="M730" i="41"/>
  <c r="M1217" i="41"/>
  <c r="M445" i="41"/>
  <c r="M77" i="41"/>
  <c r="M1002" i="41"/>
  <c r="M943" i="41"/>
  <c r="M990" i="41"/>
  <c r="M193" i="41"/>
  <c r="M254" i="41"/>
  <c r="M13" i="41"/>
  <c r="M174" i="41"/>
  <c r="M904" i="41"/>
  <c r="M641" i="41"/>
  <c r="M27" i="41"/>
  <c r="M699" i="41"/>
  <c r="M166" i="41"/>
  <c r="M145" i="41"/>
  <c r="M622" i="41"/>
  <c r="M26" i="41"/>
  <c r="M587" i="41"/>
  <c r="M417" i="41"/>
  <c r="M1125" i="41"/>
  <c r="M1315" i="41"/>
  <c r="M469" i="41"/>
  <c r="M693" i="41"/>
  <c r="M316" i="41"/>
  <c r="M1104" i="41"/>
  <c r="M984" i="41"/>
  <c r="M1041" i="41"/>
  <c r="M1149" i="41"/>
  <c r="M122" i="41"/>
  <c r="M507" i="41"/>
  <c r="M841" i="41"/>
  <c r="M17" i="41"/>
  <c r="M346" i="41"/>
  <c r="M385" i="41"/>
  <c r="M550" i="41"/>
  <c r="M435" i="41"/>
  <c r="M890" i="41"/>
  <c r="M213" i="41"/>
  <c r="M72" i="41"/>
  <c r="M729" i="41"/>
  <c r="M8" i="41"/>
  <c r="M95" i="41"/>
  <c r="M1213" i="41"/>
  <c r="M705" i="41"/>
  <c r="M372" i="41"/>
  <c r="M455" i="41"/>
  <c r="M880" i="41"/>
  <c r="M634" i="41"/>
  <c r="M707" i="41"/>
  <c r="M934" i="41"/>
  <c r="M366" i="41"/>
  <c r="M521" i="41"/>
  <c r="M1045" i="41"/>
  <c r="M572" i="41"/>
  <c r="M453" i="41"/>
  <c r="M856" i="41"/>
  <c r="M1048" i="41"/>
  <c r="M276" i="41"/>
  <c r="M432" i="41"/>
  <c r="M828" i="41"/>
  <c r="M711" i="41"/>
  <c r="M380" i="41"/>
  <c r="M63" i="41"/>
  <c r="M28" i="41"/>
  <c r="M649" i="41"/>
  <c r="M135" i="41"/>
  <c r="M56" i="41"/>
  <c r="M280" i="41"/>
  <c r="M948" i="41"/>
  <c r="M1167" i="41"/>
  <c r="M697" i="41"/>
  <c r="M981" i="41"/>
  <c r="M1071" i="41"/>
  <c r="M157" i="41"/>
  <c r="M673" i="41"/>
  <c r="M814" i="41"/>
  <c r="M1185" i="41"/>
  <c r="M902" i="41"/>
  <c r="M884" i="41"/>
  <c r="M253" i="41"/>
  <c r="M612" i="41"/>
  <c r="M296" i="41"/>
  <c r="M437" i="41"/>
  <c r="M456" i="41"/>
  <c r="M318" i="41"/>
  <c r="M243" i="41"/>
  <c r="M836" i="41"/>
  <c r="M522" i="41"/>
  <c r="M231" i="41"/>
  <c r="M1107" i="41"/>
  <c r="M462" i="41"/>
  <c r="M526" i="41"/>
  <c r="M444" i="41"/>
  <c r="M531" i="41"/>
  <c r="M306" i="41"/>
  <c r="M870" i="41"/>
  <c r="M759" i="41"/>
  <c r="M399" i="41"/>
  <c r="M1036" i="41"/>
  <c r="M992" i="41"/>
  <c r="M407" i="41"/>
  <c r="M490" i="41"/>
  <c r="M1194" i="41"/>
  <c r="M225" i="41"/>
  <c r="M1205" i="41"/>
  <c r="M285" i="41"/>
  <c r="M186" i="41"/>
  <c r="M663" i="41"/>
  <c r="M533" i="41"/>
  <c r="M80" i="41"/>
  <c r="M780" i="41"/>
  <c r="M332" i="41"/>
  <c r="M855" i="41"/>
  <c r="M356" i="41"/>
  <c r="M330" i="41"/>
  <c r="M358" i="41"/>
  <c r="M224" i="41"/>
  <c r="M738" i="41"/>
  <c r="M475" i="41"/>
  <c r="M108" i="41"/>
  <c r="M244" i="41"/>
  <c r="M1011" i="41"/>
  <c r="M802" i="41"/>
  <c r="M474" i="41"/>
  <c r="M894" i="41"/>
  <c r="M45" i="41"/>
  <c r="M277" i="41"/>
  <c r="M644" i="41"/>
  <c r="M518" i="41"/>
  <c r="M1021" i="41"/>
  <c r="M309" i="41"/>
  <c r="M1208" i="41"/>
  <c r="M669" i="41"/>
  <c r="M910" i="41"/>
  <c r="M551" i="41"/>
  <c r="M405" i="41"/>
  <c r="M59" i="41"/>
  <c r="M473" i="41"/>
  <c r="M419" i="41"/>
  <c r="M944" i="41"/>
  <c r="M570" i="41"/>
  <c r="M731" i="41"/>
  <c r="M201" i="41"/>
  <c r="M1130" i="41"/>
  <c r="M223" i="41"/>
  <c r="M1207" i="41"/>
  <c r="M795" i="41"/>
  <c r="M55" i="41"/>
  <c r="M946" i="41"/>
  <c r="M1243" i="41"/>
  <c r="M760" i="41"/>
  <c r="M61" i="41"/>
  <c r="M819" i="41"/>
  <c r="M440" i="41"/>
  <c r="M957" i="41"/>
  <c r="M597" i="41"/>
  <c r="M791" i="41"/>
  <c r="M371" i="41"/>
  <c r="M295" i="41"/>
  <c r="M1244" i="41"/>
  <c r="M854" i="41"/>
  <c r="M919" i="41"/>
  <c r="M240" i="41"/>
  <c r="M1162" i="41"/>
  <c r="M136" i="41"/>
  <c r="M1187" i="41"/>
  <c r="M982" i="41"/>
  <c r="M652" i="41"/>
  <c r="M1017" i="41"/>
  <c r="M536" i="41"/>
  <c r="M1221" i="41"/>
  <c r="M1111" i="41"/>
  <c r="M305" i="41"/>
  <c r="M794" i="41"/>
  <c r="M235" i="41"/>
  <c r="M553" i="41"/>
  <c r="M1015" i="41"/>
  <c r="M269" i="41"/>
  <c r="M936" i="41"/>
  <c r="M1049" i="41"/>
  <c r="M76" i="41"/>
  <c r="M713" i="41"/>
  <c r="M32" i="41"/>
  <c r="M986" i="41"/>
  <c r="M573" i="41"/>
  <c r="M118" i="41"/>
  <c r="M70" i="41"/>
  <c r="M120" i="41"/>
  <c r="M863" i="41"/>
  <c r="M1047" i="41"/>
  <c r="M1135" i="41"/>
  <c r="M267" i="41"/>
  <c r="M985" i="41"/>
  <c r="M988" i="41"/>
  <c r="M601" i="41"/>
  <c r="M1131" i="41"/>
  <c r="M472" i="41"/>
  <c r="M48" i="41"/>
  <c r="M312" i="41"/>
  <c r="M303" i="41"/>
  <c r="M499" i="41"/>
  <c r="M460" i="41"/>
  <c r="M46" i="41"/>
  <c r="M493" i="41"/>
  <c r="M1179" i="41"/>
  <c r="M41" i="41"/>
  <c r="M1096" i="41"/>
  <c r="M401" i="41"/>
  <c r="M284" i="41"/>
  <c r="M628" i="41"/>
  <c r="M345" i="41"/>
  <c r="M196" i="41"/>
  <c r="M340" i="41"/>
  <c r="M704" i="41"/>
  <c r="M1094" i="41"/>
  <c r="M404" i="41"/>
  <c r="M42" i="41"/>
  <c r="M492" i="41"/>
  <c r="M233" i="41"/>
  <c r="M825" i="41"/>
  <c r="M709" i="41"/>
  <c r="M1010" i="41"/>
  <c r="M1034" i="41"/>
  <c r="M252" i="41"/>
  <c r="M1124" i="41"/>
  <c r="M1230" i="41"/>
  <c r="M889" i="41"/>
  <c r="M1147" i="41"/>
  <c r="M92" i="41"/>
  <c r="M294" i="41"/>
  <c r="M901" i="41"/>
  <c r="M968" i="41"/>
  <c r="M129" i="41"/>
  <c r="M173" i="41"/>
  <c r="M712" i="41"/>
  <c r="M361" i="41"/>
  <c r="M1154" i="41"/>
  <c r="M434" i="41"/>
  <c r="M698" i="41"/>
  <c r="M527" i="41"/>
  <c r="M861" i="41"/>
  <c r="M629" i="41"/>
  <c r="M123" i="41"/>
  <c r="M766" i="41"/>
  <c r="M1176" i="41"/>
  <c r="M286" i="41"/>
  <c r="M91" i="41"/>
  <c r="M675" i="41"/>
  <c r="M708" i="41"/>
  <c r="M688" i="41"/>
  <c r="M470" i="41"/>
  <c r="M307" i="41"/>
  <c r="M1231" i="41"/>
  <c r="M718" i="41"/>
  <c r="M487" i="41"/>
  <c r="M818" i="41"/>
  <c r="M530" i="41"/>
  <c r="M289" i="41"/>
  <c r="M520" i="41"/>
  <c r="M805" i="41"/>
  <c r="M771" i="41"/>
  <c r="M1290" i="41"/>
  <c r="M1013" i="41"/>
  <c r="M833" i="41"/>
  <c r="M969" i="41"/>
  <c r="M395" i="41"/>
  <c r="M671" i="41"/>
  <c r="M246" i="41"/>
  <c r="M1196" i="41"/>
  <c r="M409" i="41"/>
  <c r="M1114" i="41"/>
  <c r="M1038" i="41"/>
  <c r="M672" i="41"/>
  <c r="M461" i="41"/>
  <c r="M208" i="41"/>
  <c r="M811" i="41"/>
  <c r="M799" i="41"/>
  <c r="M903" i="41"/>
  <c r="M963" i="41"/>
  <c r="M322" i="41"/>
  <c r="M411" i="41"/>
  <c r="M883" i="41"/>
  <c r="M177" i="41"/>
  <c r="M37" i="41"/>
  <c r="M724" i="41"/>
  <c r="M748" i="41"/>
  <c r="M803" i="41"/>
  <c r="M603" i="41"/>
  <c r="M283" i="41"/>
  <c r="M1029" i="41"/>
  <c r="M217" i="41"/>
  <c r="M824" i="41"/>
  <c r="M1132" i="41"/>
  <c r="M192" i="41"/>
  <c r="M592" i="41"/>
  <c r="M349" i="41"/>
  <c r="M187" i="41"/>
  <c r="M1145" i="41"/>
  <c r="M197" i="41"/>
  <c r="M813" i="41"/>
  <c r="M206" i="41"/>
  <c r="M958" i="41"/>
  <c r="M1260" i="41"/>
  <c r="M190" i="41"/>
  <c r="M43" i="41"/>
  <c r="M1065" i="41"/>
  <c r="M342" i="41"/>
  <c r="M141" i="41"/>
  <c r="M471" i="41"/>
  <c r="M927" i="41"/>
  <c r="M1172" i="41"/>
  <c r="M653" i="41"/>
  <c r="M321" i="41"/>
  <c r="M204" i="41"/>
  <c r="M93" i="41"/>
  <c r="M1158" i="41"/>
  <c r="M1240" i="41"/>
  <c r="M402" i="41"/>
  <c r="M483" i="41"/>
  <c r="M203" i="41"/>
  <c r="M394" i="41"/>
  <c r="M827" i="41"/>
  <c r="M781" i="41"/>
  <c r="M733" i="41"/>
  <c r="M429" i="41"/>
  <c r="M275" i="41"/>
  <c r="M1103" i="41"/>
  <c r="M842" i="41"/>
  <c r="M227" i="41"/>
  <c r="M909" i="41"/>
  <c r="M817" i="41"/>
  <c r="M365" i="41"/>
  <c r="M804" i="41"/>
  <c r="M696" i="41"/>
  <c r="M1039" i="41"/>
  <c r="M138" i="41"/>
  <c r="M930" i="41"/>
  <c r="M362" i="41"/>
  <c r="M1101" i="41"/>
  <c r="M1108" i="41"/>
  <c r="M900" i="41"/>
  <c r="M360" i="41"/>
  <c r="M50" i="41"/>
  <c r="M701" i="41"/>
  <c r="M1168" i="41"/>
  <c r="M489" i="41"/>
  <c r="M370" i="41"/>
  <c r="M245" i="41"/>
  <c r="M1027" i="41"/>
  <c r="M1030" i="41"/>
  <c r="M1229" i="41"/>
  <c r="M567" i="41"/>
  <c r="M1215" i="41"/>
  <c r="M1109" i="41"/>
  <c r="M292" i="41"/>
  <c r="M979" i="41"/>
  <c r="M422" i="41"/>
  <c r="M845" i="41"/>
  <c r="M454" i="41"/>
  <c r="M1077" i="41"/>
  <c r="M1220" i="41"/>
  <c r="M256" i="41"/>
  <c r="L1342" i="41"/>
  <c r="M584" i="41"/>
  <c r="M786" i="41"/>
  <c r="M378" i="41"/>
  <c r="M734" i="41"/>
  <c r="M695" i="41"/>
  <c r="M763" i="41"/>
  <c r="M1222" i="41"/>
  <c r="M373" i="41"/>
  <c r="M950" i="41"/>
  <c r="M1072" i="41"/>
  <c r="M363" i="41"/>
  <c r="M765" i="41"/>
  <c r="M797" i="41"/>
  <c r="M1073" i="41"/>
  <c r="M618" i="41"/>
  <c r="M959" i="41"/>
  <c r="M542" i="41"/>
  <c r="M320" i="41"/>
  <c r="M82" i="41"/>
  <c r="M1113" i="41"/>
  <c r="M83" i="41"/>
  <c r="M319" i="41"/>
  <c r="M862" i="41"/>
  <c r="M175" i="41"/>
  <c r="M920" i="41"/>
  <c r="M925" i="41"/>
  <c r="M726" i="41"/>
  <c r="M357" i="41"/>
  <c r="M1191" i="41"/>
  <c r="M359" i="41"/>
  <c r="M386" i="41"/>
  <c r="M1051" i="41"/>
  <c r="M775" i="41"/>
  <c r="M1095" i="41"/>
  <c r="M631" i="41"/>
  <c r="M710" i="41"/>
  <c r="M431" i="41"/>
  <c r="M424" i="41"/>
  <c r="M954" i="41"/>
  <c r="M1163" i="41"/>
  <c r="M993" i="41"/>
  <c r="M315" i="41"/>
  <c r="M153" i="41"/>
  <c r="M353" i="41"/>
  <c r="M665" i="41"/>
  <c r="M714" i="41"/>
  <c r="M769" i="41"/>
  <c r="M681" i="41"/>
  <c r="M497" i="41"/>
  <c r="M1067" i="41"/>
  <c r="M198" i="41"/>
  <c r="M347" i="41"/>
  <c r="M147" i="41"/>
  <c r="M996" i="41"/>
  <c r="M727" i="41"/>
  <c r="M683" i="41"/>
  <c r="M1234" i="41"/>
  <c r="M721" i="41"/>
  <c r="M821" i="41"/>
  <c r="M857" i="41"/>
  <c r="M826" i="41"/>
  <c r="M1000" i="41"/>
  <c r="M274" i="41"/>
  <c r="M172" i="41"/>
  <c r="M1050" i="41"/>
  <c r="M798" i="41"/>
  <c r="M524" i="41"/>
  <c r="M25" i="41"/>
  <c r="M757" i="41"/>
  <c r="M1287" i="41"/>
  <c r="M1019" i="41"/>
  <c r="M484" i="41"/>
  <c r="M648" i="41"/>
  <c r="M700" i="41"/>
  <c r="M656" i="41"/>
  <c r="M676" i="41"/>
  <c r="M1059" i="41"/>
  <c r="M1053" i="41"/>
  <c r="M327" i="41"/>
  <c r="M541" i="41"/>
  <c r="M1115" i="41"/>
  <c r="M626" i="41"/>
  <c r="M1079" i="41"/>
  <c r="M304" i="41"/>
  <c r="M1228" i="41"/>
  <c r="M651" i="41"/>
  <c r="M144" i="41"/>
  <c r="M505" i="41"/>
  <c r="M991" i="41"/>
  <c r="M65" i="41"/>
  <c r="M955" i="41"/>
  <c r="M1075" i="41"/>
  <c r="M869" i="41"/>
  <c r="M667" i="41"/>
  <c r="M85" i="41"/>
  <c r="M881" i="41"/>
  <c r="M134" i="41"/>
  <c r="M334" i="41"/>
  <c r="M755" i="41"/>
  <c r="V460" i="41"/>
  <c r="M257" i="41"/>
  <c r="M728" i="41"/>
  <c r="M574" i="41"/>
  <c r="M84" i="41"/>
  <c r="M586" i="41"/>
  <c r="M1237" i="41"/>
  <c r="M14" i="41"/>
  <c r="M583" i="41"/>
  <c r="M582" i="41"/>
  <c r="M966" i="41"/>
  <c r="M1157" i="41"/>
  <c r="M211" i="41"/>
  <c r="M633" i="41"/>
  <c r="M576" i="41"/>
  <c r="M1137" i="41"/>
  <c r="M928" i="41"/>
  <c r="M110" i="41"/>
  <c r="M1202" i="41"/>
  <c r="M684" i="41"/>
  <c r="M126" i="41"/>
  <c r="M1129" i="41"/>
  <c r="M464" i="41"/>
  <c r="M40" i="41"/>
  <c r="M616" i="41"/>
  <c r="M382" i="41"/>
  <c r="M112" i="41"/>
  <c r="M1043" i="41"/>
  <c r="M807" i="41"/>
  <c r="M588" i="41"/>
  <c r="M1044" i="41"/>
  <c r="M860" i="41"/>
  <c r="M1198" i="41"/>
  <c r="M1063" i="41"/>
  <c r="M152" i="41"/>
  <c r="M866" i="41"/>
  <c r="M801" i="41"/>
  <c r="M852" i="41"/>
  <c r="M604" i="41"/>
  <c r="M1062" i="41"/>
  <c r="M552" i="41"/>
  <c r="M610" i="41"/>
  <c r="M896" i="41"/>
  <c r="M523" i="41"/>
  <c r="M467" i="41"/>
  <c r="M451" i="41"/>
  <c r="M1068" i="41"/>
  <c r="M899" i="41"/>
  <c r="M1055" i="41"/>
  <c r="M238" i="41"/>
  <c r="M808" i="41"/>
  <c r="M333" i="41"/>
  <c r="M81" i="41"/>
  <c r="M664" i="41"/>
  <c r="M1090" i="41"/>
  <c r="M1174" i="41"/>
  <c r="M1042" i="41"/>
  <c r="M851" i="41"/>
  <c r="M611" i="41"/>
  <c r="M627" i="41"/>
  <c r="M87" i="41"/>
  <c r="M329" i="41"/>
  <c r="M142" i="41"/>
  <c r="M785" i="41"/>
  <c r="M1224" i="41"/>
  <c r="M1140" i="41"/>
  <c r="M737" i="41"/>
  <c r="M502" i="41"/>
  <c r="M30" i="41"/>
  <c r="M691" i="41"/>
  <c r="M689" i="41"/>
  <c r="M575" i="41"/>
  <c r="M1148" i="41"/>
  <c r="M66" i="41"/>
  <c r="M348" i="41"/>
  <c r="M396" i="41"/>
  <c r="M579" i="41"/>
  <c r="M635" i="41"/>
  <c r="M282" i="41"/>
  <c r="M1178" i="41"/>
  <c r="M1100" i="41"/>
  <c r="M918" i="41"/>
  <c r="M1020" i="41"/>
  <c r="M843" i="41"/>
  <c r="M478" i="41"/>
  <c r="M255" i="41"/>
  <c r="M538" i="41"/>
  <c r="M97" i="41"/>
  <c r="M12" i="41"/>
  <c r="M1195" i="41"/>
  <c r="M338" i="41"/>
  <c r="M393" i="41"/>
  <c r="M776" i="41"/>
  <c r="M1151" i="41"/>
  <c r="M877" i="41"/>
  <c r="M265" i="41"/>
  <c r="M887" i="41"/>
  <c r="M848" i="41"/>
  <c r="M90" i="41"/>
  <c r="M978" i="41"/>
  <c r="M558" i="41"/>
  <c r="M897" i="41"/>
  <c r="M907" i="41"/>
  <c r="M632" i="41"/>
  <c r="M111" i="41"/>
  <c r="M78" i="41"/>
  <c r="M600" i="41"/>
  <c r="M670" i="41"/>
  <c r="M410" i="41"/>
  <c r="M926" i="41"/>
  <c r="M9" i="41"/>
  <c r="M962" i="41"/>
  <c r="M964" i="41"/>
  <c r="M961" i="41"/>
  <c r="M922" i="41"/>
  <c r="M921" i="41"/>
  <c r="M297" i="41"/>
  <c r="L1366" i="41"/>
  <c r="L1368" i="41" s="1"/>
  <c r="S1364" i="41"/>
  <c r="Q37" i="29"/>
  <c r="Q17" i="29" s="1"/>
  <c r="O37" i="29"/>
  <c r="O17" i="29" s="1"/>
  <c r="S37" i="29"/>
  <c r="S17" i="29" s="1"/>
  <c r="N37" i="29"/>
  <c r="N17" i="29" s="1"/>
  <c r="G37" i="29"/>
  <c r="D27" i="29"/>
  <c r="D18" i="29" s="1"/>
  <c r="D50" i="29" s="1"/>
  <c r="P37" i="29"/>
  <c r="P17" i="29" s="1"/>
  <c r="I27" i="42"/>
  <c r="L27" i="42"/>
  <c r="E27" i="42"/>
  <c r="D53" i="42"/>
  <c r="D18" i="42"/>
  <c r="F46" i="42" l="1"/>
  <c r="E53" i="42"/>
  <c r="F53" i="42"/>
  <c r="P16" i="29"/>
  <c r="L1355" i="41"/>
  <c r="M1355" i="41" s="1"/>
  <c r="L1345" i="41"/>
  <c r="L1352" i="41"/>
  <c r="L1346" i="41"/>
  <c r="R1349" i="41"/>
  <c r="M1342" i="41"/>
  <c r="XFD1342" i="41" s="1"/>
  <c r="N16" i="29"/>
  <c r="S16" i="29"/>
  <c r="M16" i="29"/>
  <c r="J16" i="29"/>
  <c r="H16" i="29"/>
  <c r="R16" i="29"/>
  <c r="K16" i="29"/>
  <c r="L16" i="29"/>
  <c r="I16" i="29"/>
  <c r="G17" i="29"/>
  <c r="G16" i="29" s="1"/>
  <c r="U37" i="29"/>
  <c r="F28" i="42"/>
  <c r="E18" i="42"/>
  <c r="F41" i="42"/>
  <c r="F39" i="42"/>
  <c r="F45" i="42"/>
  <c r="F25" i="42"/>
  <c r="F34" i="42"/>
  <c r="F30" i="42"/>
  <c r="F24" i="42"/>
  <c r="F21" i="42"/>
  <c r="F23" i="42"/>
  <c r="F29" i="42"/>
  <c r="F43" i="42"/>
  <c r="I21" i="42"/>
  <c r="F35" i="42"/>
  <c r="F33" i="42"/>
  <c r="F22" i="42"/>
  <c r="F42" i="42"/>
  <c r="F44" i="42"/>
  <c r="F31" i="42"/>
  <c r="F38" i="42"/>
  <c r="F26" i="42"/>
  <c r="F40" i="42"/>
  <c r="F36" i="42"/>
  <c r="F32" i="42"/>
  <c r="F37" i="42"/>
  <c r="D59" i="42"/>
  <c r="D64" i="42"/>
  <c r="I56" i="42"/>
  <c r="I53" i="42"/>
  <c r="I2" i="42" s="1"/>
  <c r="O16" i="29"/>
  <c r="Q16" i="29"/>
  <c r="E59" i="42" l="1"/>
  <c r="F59" i="42"/>
  <c r="F20" i="42"/>
  <c r="F27" i="42"/>
  <c r="R1346" i="41"/>
  <c r="S1346" i="41" s="1"/>
  <c r="D54" i="42"/>
  <c r="L1348" i="41"/>
  <c r="K1346" i="41"/>
  <c r="U17" i="29"/>
  <c r="V37" i="29"/>
  <c r="L1344" i="41"/>
  <c r="J1344" i="41" s="1"/>
  <c r="G1344" i="41" s="1"/>
  <c r="L1358" i="41"/>
  <c r="L1350" i="41"/>
  <c r="R1352" i="41"/>
  <c r="G1343" i="41"/>
  <c r="E54" i="42" l="1"/>
  <c r="F54" i="42"/>
  <c r="U16" i="29"/>
  <c r="V18" i="29"/>
  <c r="D55" i="42"/>
  <c r="F55" i="42" s="1"/>
  <c r="M1350" i="41"/>
  <c r="L1349" i="41"/>
  <c r="I1357" i="41"/>
  <c r="F18" i="42"/>
  <c r="E55" i="4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Rasa - Arthur</author>
  </authors>
  <commentList>
    <comment ref="D1426" authorId="0" shapeId="0" xr:uid="{00000000-0006-0000-0700-000001000000}">
      <text>
        <r>
          <rPr>
            <b/>
            <sz val="9"/>
            <color indexed="81"/>
            <rFont val="Segoe UI"/>
            <family val="2"/>
          </rPr>
          <t>Rasa - Arthur:</t>
        </r>
        <r>
          <rPr>
            <sz val="9"/>
            <color indexed="81"/>
            <rFont val="Segoe UI"/>
            <family val="2"/>
          </rPr>
          <t xml:space="preserve">
Estimado com base na metragem quadrado e valor da prateleira, pois a proposta da Stonetec estava com rodapé em Nano Prime.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BRUNO LINHARES</author>
  </authors>
  <commentList>
    <comment ref="K921" authorId="0" shapeId="0" xr:uid="{00000000-0006-0000-0500-000001000000}">
      <text>
        <r>
          <rPr>
            <b/>
            <sz val="9"/>
            <color indexed="81"/>
            <rFont val="Segoe UI"/>
            <family val="2"/>
          </rPr>
          <t>BRUNO LINHARES: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<sst xmlns="http://schemas.openxmlformats.org/spreadsheetml/2006/main" count="23062" uniqueCount="8837">
  <si>
    <t>ITEM</t>
  </si>
  <si>
    <t>CARGO</t>
  </si>
  <si>
    <t>MÊS 1</t>
  </si>
  <si>
    <t>MÊS 2</t>
  </si>
  <si>
    <t>MÊS 3</t>
  </si>
  <si>
    <t>MÊS 4</t>
  </si>
  <si>
    <t>MÊS 5</t>
  </si>
  <si>
    <t>MÊS 6</t>
  </si>
  <si>
    <t>MÊS 7</t>
  </si>
  <si>
    <t>MÊS 8</t>
  </si>
  <si>
    <t>MÊS 9</t>
  </si>
  <si>
    <t>MÊS 10</t>
  </si>
  <si>
    <t>MÊS 11</t>
  </si>
  <si>
    <t>MÊS 12</t>
  </si>
  <si>
    <t>MÊS 13</t>
  </si>
  <si>
    <t>MÊS 14</t>
  </si>
  <si>
    <t>MÊS 15</t>
  </si>
  <si>
    <t>MÊS 16</t>
  </si>
  <si>
    <t>MÊS 17</t>
  </si>
  <si>
    <t>MÊS 18</t>
  </si>
  <si>
    <t>MÊS 19</t>
  </si>
  <si>
    <t>MÊS 20</t>
  </si>
  <si>
    <t>CUSTO TOTAL</t>
  </si>
  <si>
    <t>CUSTO FOLHA</t>
  </si>
  <si>
    <t>HISTOGRAMA DE MÃO DE OBRA</t>
  </si>
  <si>
    <t>REV00</t>
  </si>
  <si>
    <t>VALOR</t>
  </si>
  <si>
    <t>TOTAL</t>
  </si>
  <si>
    <t>UNIDADE</t>
  </si>
  <si>
    <t>vb</t>
  </si>
  <si>
    <t>CUSTO RASO</t>
  </si>
  <si>
    <t>Placa de Obra</t>
  </si>
  <si>
    <t>Controle Tecnológico</t>
  </si>
  <si>
    <t>Ensaio de compressão simples</t>
  </si>
  <si>
    <t>Módulo de deformação</t>
  </si>
  <si>
    <t>Módulo de elasticidade</t>
  </si>
  <si>
    <t>Canteiro de Obras</t>
  </si>
  <si>
    <t>mês</t>
  </si>
  <si>
    <t>Mesa de escritório</t>
  </si>
  <si>
    <t>Ar condicionado</t>
  </si>
  <si>
    <t>Kit Primeiros Socorros</t>
  </si>
  <si>
    <t>Cafeteira</t>
  </si>
  <si>
    <t>Computador</t>
  </si>
  <si>
    <t>Cartuchos de impressora</t>
  </si>
  <si>
    <t>Sinalização de segurança e combate à incêndio</t>
  </si>
  <si>
    <t>Equipamentos de combate à incêndio</t>
  </si>
  <si>
    <t>Extintor de Pó Químico 4kg</t>
  </si>
  <si>
    <t>Equipamentos de proteção individual</t>
  </si>
  <si>
    <t>Outros equipamentos e ferramentas</t>
  </si>
  <si>
    <t>Ferramentas</t>
  </si>
  <si>
    <t>Trena padrão</t>
  </si>
  <si>
    <t>Régua de alumínio</t>
  </si>
  <si>
    <t>Nível de mão</t>
  </si>
  <si>
    <t>Esquadro</t>
  </si>
  <si>
    <t>5.2.</t>
  </si>
  <si>
    <t>Suporte para Mão de Obra</t>
  </si>
  <si>
    <t>Refeição</t>
  </si>
  <si>
    <t>5.3.</t>
  </si>
  <si>
    <t>Vigilância</t>
  </si>
  <si>
    <t>Despesas operacionais</t>
  </si>
  <si>
    <t>Material de escritório</t>
  </si>
  <si>
    <t>Material de higiene</t>
  </si>
  <si>
    <t>Motoboy</t>
  </si>
  <si>
    <t>Cópias e plotagens</t>
  </si>
  <si>
    <t>6.2.</t>
  </si>
  <si>
    <t>Limpeza constante da obra</t>
  </si>
  <si>
    <t>Locação de Caçambas</t>
  </si>
  <si>
    <t>Caçamba para entulho</t>
  </si>
  <si>
    <t>6.3.</t>
  </si>
  <si>
    <t>Despesas operacionais de Engenharia</t>
  </si>
  <si>
    <t>Caixinha de obra</t>
  </si>
  <si>
    <t>Caixinha de Obra</t>
  </si>
  <si>
    <t>m³</t>
  </si>
  <si>
    <t>m²</t>
  </si>
  <si>
    <t>m</t>
  </si>
  <si>
    <t>SEGURANÇA DO TRABALHO E PROTEÇÕES</t>
  </si>
  <si>
    <t>SERVIÇOS TÉCNICOS E PRELIMINARES</t>
  </si>
  <si>
    <t>INSTALAÇÕES PROVISÓRIAS E CANTEIRO</t>
  </si>
  <si>
    <t>MÁQUINAS E EQUIPAMENTOS</t>
  </si>
  <si>
    <t>DESPESAS OPERACIONAIS</t>
  </si>
  <si>
    <t>10.</t>
  </si>
  <si>
    <t>11.</t>
  </si>
  <si>
    <t>12.</t>
  </si>
  <si>
    <t>LOUÇAS E METAIS</t>
  </si>
  <si>
    <t>17.</t>
  </si>
  <si>
    <t>PINTURA</t>
  </si>
  <si>
    <t>INSTALAÇÕES</t>
  </si>
  <si>
    <t>LIMPEZA DE OBRA</t>
  </si>
  <si>
    <t>QTD. TOTAL</t>
  </si>
  <si>
    <t>kg</t>
  </si>
  <si>
    <t>DESPESAS INDIRETAS</t>
  </si>
  <si>
    <t>Extintor CO2 4Kg</t>
  </si>
  <si>
    <t>Contrapiso</t>
  </si>
  <si>
    <t>Limpeza de obra</t>
  </si>
  <si>
    <t>Consultorias</t>
  </si>
  <si>
    <t>Data de Atualização:</t>
  </si>
  <si>
    <t>Projeto:</t>
  </si>
  <si>
    <t>Cidade:</t>
  </si>
  <si>
    <t>Bairro:</t>
  </si>
  <si>
    <t>Uso:</t>
  </si>
  <si>
    <t xml:space="preserve">Data Base: </t>
  </si>
  <si>
    <t>DESCRIÇÃO</t>
  </si>
  <si>
    <t>Perc. (%)</t>
  </si>
  <si>
    <t>TOTAL (R$)</t>
  </si>
  <si>
    <t>TOTAL (INCC)</t>
  </si>
  <si>
    <t>CUSTO DIRETO</t>
  </si>
  <si>
    <t>CUSTO INDIRETO</t>
  </si>
  <si>
    <t>Fundações</t>
  </si>
  <si>
    <t>Malha de aço 10x10cm 2x3m</t>
  </si>
  <si>
    <t>Estante de aço</t>
  </si>
  <si>
    <t>Madeirite</t>
  </si>
  <si>
    <t>Bandeja primária</t>
  </si>
  <si>
    <t>Equipamentos</t>
  </si>
  <si>
    <t>Telefonia e Internet</t>
  </si>
  <si>
    <t>INFRAESTRUTURA</t>
  </si>
  <si>
    <t>Arrasamento de estacas</t>
  </si>
  <si>
    <t>Ensaio PIT</t>
  </si>
  <si>
    <t>01.01.0001</t>
  </si>
  <si>
    <t>TABELA DE INSUMOS</t>
  </si>
  <si>
    <t>CÓDIGO</t>
  </si>
  <si>
    <t>PREÇO</t>
  </si>
  <si>
    <t>OBS</t>
  </si>
  <si>
    <t>DATA</t>
  </si>
  <si>
    <t>01.01.0002</t>
  </si>
  <si>
    <t>01.01.0003</t>
  </si>
  <si>
    <t>01.01.0004</t>
  </si>
  <si>
    <t>01.01.0005</t>
  </si>
  <si>
    <t>01.01.0006</t>
  </si>
  <si>
    <t>01.01.0007</t>
  </si>
  <si>
    <t>01.01.0008</t>
  </si>
  <si>
    <t>01.01.0009</t>
  </si>
  <si>
    <t>01.01.0010</t>
  </si>
  <si>
    <t>01.01.0011</t>
  </si>
  <si>
    <t>01.01.0012</t>
  </si>
  <si>
    <t>01.01.0013</t>
  </si>
  <si>
    <t>01.01.0014</t>
  </si>
  <si>
    <t>01.01.0015</t>
  </si>
  <si>
    <t>01.01.0016</t>
  </si>
  <si>
    <t>01.01.0017</t>
  </si>
  <si>
    <t>01.01.0018</t>
  </si>
  <si>
    <t>01.01.0019</t>
  </si>
  <si>
    <t>01.01.0020</t>
  </si>
  <si>
    <t>01.01.0021</t>
  </si>
  <si>
    <t>01.01.0022</t>
  </si>
  <si>
    <t>01.01.0023</t>
  </si>
  <si>
    <t>01.01.0024</t>
  </si>
  <si>
    <t>01.01.0025</t>
  </si>
  <si>
    <t>01.01.0026</t>
  </si>
  <si>
    <t>01.01.0027</t>
  </si>
  <si>
    <t>01.01.0028</t>
  </si>
  <si>
    <t>01.01.0029</t>
  </si>
  <si>
    <t>01.01.0030</t>
  </si>
  <si>
    <t>01.01.0031</t>
  </si>
  <si>
    <t>01.01.0032</t>
  </si>
  <si>
    <t>01.01.0033</t>
  </si>
  <si>
    <t>01.01.0034</t>
  </si>
  <si>
    <t>01.01.0035</t>
  </si>
  <si>
    <t>01.01.0036</t>
  </si>
  <si>
    <t>01.01.0037</t>
  </si>
  <si>
    <t>01.01.0038</t>
  </si>
  <si>
    <t>01.01.0039</t>
  </si>
  <si>
    <t>01.01.0040</t>
  </si>
  <si>
    <t>01.01.0041</t>
  </si>
  <si>
    <t>01.01.0042</t>
  </si>
  <si>
    <t>01.01.0043</t>
  </si>
  <si>
    <t>01.01.0044</t>
  </si>
  <si>
    <t>01.01.0045</t>
  </si>
  <si>
    <t>01.01.0046</t>
  </si>
  <si>
    <t>01.01.0047</t>
  </si>
  <si>
    <t>01.01.0048</t>
  </si>
  <si>
    <t>01.01.0049</t>
  </si>
  <si>
    <t>01.01.0050</t>
  </si>
  <si>
    <t>01.01.0051</t>
  </si>
  <si>
    <t>01.01.0052</t>
  </si>
  <si>
    <t>01.01.0053</t>
  </si>
  <si>
    <t>01.01.0054</t>
  </si>
  <si>
    <t>01.01.0055</t>
  </si>
  <si>
    <t>01.01.0056</t>
  </si>
  <si>
    <t>01.01.0057</t>
  </si>
  <si>
    <t>01.01.0058</t>
  </si>
  <si>
    <t>01.01.0059</t>
  </si>
  <si>
    <t>01.01.0060</t>
  </si>
  <si>
    <t>01.01.0061</t>
  </si>
  <si>
    <t>01.01.0062</t>
  </si>
  <si>
    <t>01.01.0063</t>
  </si>
  <si>
    <t>01.01.0064</t>
  </si>
  <si>
    <t>01.01.0065</t>
  </si>
  <si>
    <t>01.01.0066</t>
  </si>
  <si>
    <t>01.01.0067</t>
  </si>
  <si>
    <t>01.01.0068</t>
  </si>
  <si>
    <t>01.01.0069</t>
  </si>
  <si>
    <t>01.01.0070</t>
  </si>
  <si>
    <t>01.01.0071</t>
  </si>
  <si>
    <t>01.01.0072</t>
  </si>
  <si>
    <t>01.01.0073</t>
  </si>
  <si>
    <t>01.01.0074</t>
  </si>
  <si>
    <t>01.01.0075</t>
  </si>
  <si>
    <t>01.01.0076</t>
  </si>
  <si>
    <t>01.01.0077</t>
  </si>
  <si>
    <t>01.01.0078</t>
  </si>
  <si>
    <t>01.01.0079</t>
  </si>
  <si>
    <t>01.01.0080</t>
  </si>
  <si>
    <t>01.01.0081</t>
  </si>
  <si>
    <t>01.01.0082</t>
  </si>
  <si>
    <t>01.01.0083</t>
  </si>
  <si>
    <t>01.01.0084</t>
  </si>
  <si>
    <t>01.01.0085</t>
  </si>
  <si>
    <t>01.01.0086</t>
  </si>
  <si>
    <t>01.01.0087</t>
  </si>
  <si>
    <t>01.01.0088</t>
  </si>
  <si>
    <t>01.01.0089</t>
  </si>
  <si>
    <t>01.01.0090</t>
  </si>
  <si>
    <t>01.01.0091</t>
  </si>
  <si>
    <t>01.01.0092</t>
  </si>
  <si>
    <t>01.01.0093</t>
  </si>
  <si>
    <t>01.01.0094</t>
  </si>
  <si>
    <t>01.01.0095</t>
  </si>
  <si>
    <t>01.01.0096</t>
  </si>
  <si>
    <t>01.01.0097</t>
  </si>
  <si>
    <t>01.01.0098</t>
  </si>
  <si>
    <t>01.01.0099</t>
  </si>
  <si>
    <t>01.01.0100</t>
  </si>
  <si>
    <t>01.01.0101</t>
  </si>
  <si>
    <t>01.01.0102</t>
  </si>
  <si>
    <t>01.01.0103</t>
  </si>
  <si>
    <t>01.01.0104</t>
  </si>
  <si>
    <t>01.01.0105</t>
  </si>
  <si>
    <t>01.01.0106</t>
  </si>
  <si>
    <t>01.01.0107</t>
  </si>
  <si>
    <t>01.01.0108</t>
  </si>
  <si>
    <t>01.01.0109</t>
  </si>
  <si>
    <t>01.01.0110</t>
  </si>
  <si>
    <t>01.01.0111</t>
  </si>
  <si>
    <t>01.01.0112</t>
  </si>
  <si>
    <t>01.01.0113</t>
  </si>
  <si>
    <t>01.01.0114</t>
  </si>
  <si>
    <t>01.01.0115</t>
  </si>
  <si>
    <t>01.01.0116</t>
  </si>
  <si>
    <t>01.01.0117</t>
  </si>
  <si>
    <t>01.01.0118</t>
  </si>
  <si>
    <t>Valor Estimado</t>
  </si>
  <si>
    <t>uni</t>
  </si>
  <si>
    <t>Caibro 5x2,5cm</t>
  </si>
  <si>
    <t>Caibro quadrado 5x5x300cm</t>
  </si>
  <si>
    <t>Preço Leroy Merlin</t>
  </si>
  <si>
    <t>Preço Comprado Xian</t>
  </si>
  <si>
    <t>Bebedouro de aço</t>
  </si>
  <si>
    <t>Cadeira de escritório simples</t>
  </si>
  <si>
    <t>Preço Material</t>
  </si>
  <si>
    <t>Munk Locação</t>
  </si>
  <si>
    <t>Velox Locação</t>
  </si>
  <si>
    <t>dia</t>
  </si>
  <si>
    <t>Frete Velox Ida e Volta</t>
  </si>
  <si>
    <t>Retroescavadeira Locação</t>
  </si>
  <si>
    <t>Frete Retroescavadeira Ida e Volta</t>
  </si>
  <si>
    <t>Locação de máquinas geral</t>
  </si>
  <si>
    <t>Diversos materiais de canteiro</t>
  </si>
  <si>
    <t>Caçamba Classe D</t>
  </si>
  <si>
    <t>Proteção Mecânica</t>
  </si>
  <si>
    <t>Primer 18l</t>
  </si>
  <si>
    <t>DESPESAS DIRETAS</t>
  </si>
  <si>
    <t>PAREDES E PAINÉIS</t>
  </si>
  <si>
    <t>10.1</t>
  </si>
  <si>
    <t>10.1.1</t>
  </si>
  <si>
    <t>Tela galvanizada</t>
  </si>
  <si>
    <t>MASSA</t>
  </si>
  <si>
    <t>11.1.1</t>
  </si>
  <si>
    <t>FORRO</t>
  </si>
  <si>
    <t>REFEIÇÕES</t>
  </si>
  <si>
    <t>UNI</t>
  </si>
  <si>
    <t>REFEIÇÕES TOTAL</t>
  </si>
  <si>
    <t>Acompanhamento Mensal Tec. Seg.</t>
  </si>
  <si>
    <t>Forma Mat</t>
  </si>
  <si>
    <t>Manta Asfáltica MAT+MO Completo</t>
  </si>
  <si>
    <t>Argamassa chapisco 20Kg</t>
  </si>
  <si>
    <t>13.</t>
  </si>
  <si>
    <t>Pintura</t>
  </si>
  <si>
    <t>12.1.1</t>
  </si>
  <si>
    <t>13.1.1</t>
  </si>
  <si>
    <t>Tinta acrílica 18l</t>
  </si>
  <si>
    <t>17.1.1</t>
  </si>
  <si>
    <t>01</t>
  </si>
  <si>
    <t>02</t>
  </si>
  <si>
    <t>03</t>
  </si>
  <si>
    <t>04</t>
  </si>
  <si>
    <t>05</t>
  </si>
  <si>
    <t>06</t>
  </si>
  <si>
    <t>09</t>
  </si>
  <si>
    <t>10</t>
  </si>
  <si>
    <t>11</t>
  </si>
  <si>
    <t>13</t>
  </si>
  <si>
    <t>14</t>
  </si>
  <si>
    <t>Massa Acrílica</t>
  </si>
  <si>
    <t>Lastro de concreto 5cm</t>
  </si>
  <si>
    <t>Piso cerâmico Forma Branco 45x45 Eliane</t>
  </si>
  <si>
    <t>Argamassa colante 20kg</t>
  </si>
  <si>
    <t>Soleira granito cinza andorinha</t>
  </si>
  <si>
    <t xml:space="preserve">Cimento branco </t>
  </si>
  <si>
    <t>Cerâmica ref. 32530 - Incefra 32x56cm</t>
  </si>
  <si>
    <t>Tinta Esmalte Sintético 3,6l</t>
  </si>
  <si>
    <t>13.1.3</t>
  </si>
  <si>
    <t>14.</t>
  </si>
  <si>
    <t>14.1</t>
  </si>
  <si>
    <t>14.1.1</t>
  </si>
  <si>
    <t>Não orçado</t>
  </si>
  <si>
    <t>Torneira para lavatório de mesa Zenit Docol Tronic Leed</t>
  </si>
  <si>
    <t>Barra de apoio lavatório Deca 2390.C.Pol</t>
  </si>
  <si>
    <t>ESQUADRIAS E VIDROS</t>
  </si>
  <si>
    <t>Porta de madeira revestido em fórmica - (0,90 x 2,10)m</t>
  </si>
  <si>
    <t xml:space="preserve">Porta de madeira revestido em fórmica - (3,2 x 2,10)m </t>
  </si>
  <si>
    <t>Colocação de porta de madeira</t>
  </si>
  <si>
    <t>Rufo em chapa galvanizada - platibandas</t>
  </si>
  <si>
    <t>Corrimão em ferro tubular Ø 2"</t>
  </si>
  <si>
    <t>Guarda corpo metálico em aço galvanizado tubular - Cobertura</t>
  </si>
  <si>
    <t>Proteção passiva</t>
  </si>
  <si>
    <t>D'Angeli</t>
  </si>
  <si>
    <t>Valor por m² com base em Xian</t>
  </si>
  <si>
    <t>PCF  - P60 - (1,40 x 2,50)m dupla</t>
  </si>
  <si>
    <t>PCF  -P60 - (0,90 x 2,50)m - Escadas, S.Tecnica cob</t>
  </si>
  <si>
    <t>15.</t>
  </si>
  <si>
    <t>15.1</t>
  </si>
  <si>
    <t>15.1.1</t>
  </si>
  <si>
    <t>15.1.3</t>
  </si>
  <si>
    <t>15.1.4</t>
  </si>
  <si>
    <t>16.</t>
  </si>
  <si>
    <t>16.1</t>
  </si>
  <si>
    <t>16.1.1</t>
  </si>
  <si>
    <t>17.1</t>
  </si>
  <si>
    <t>18.</t>
  </si>
  <si>
    <t>18.1</t>
  </si>
  <si>
    <t>18.1.1</t>
  </si>
  <si>
    <t>12</t>
  </si>
  <si>
    <t>15</t>
  </si>
  <si>
    <t>16</t>
  </si>
  <si>
    <t>17</t>
  </si>
  <si>
    <t>REVESTIMENTOS INTERNOS E EXTERNOS</t>
  </si>
  <si>
    <t>MÁRMORES E GRANITOS</t>
  </si>
  <si>
    <t>ELEVADORES</t>
  </si>
  <si>
    <t>20</t>
  </si>
  <si>
    <t>21</t>
  </si>
  <si>
    <t>PREPARO DE TERRENO</t>
  </si>
  <si>
    <t>Outras Instalações</t>
  </si>
  <si>
    <t>Serviços Técnicos</t>
  </si>
  <si>
    <t>07.</t>
  </si>
  <si>
    <t>08.</t>
  </si>
  <si>
    <t>09.</t>
  </si>
  <si>
    <t>19.</t>
  </si>
  <si>
    <t>20.</t>
  </si>
  <si>
    <t>Mármores e granitos</t>
  </si>
  <si>
    <t>Elevadores</t>
  </si>
  <si>
    <t>21.</t>
  </si>
  <si>
    <t>22.</t>
  </si>
  <si>
    <t>I</t>
  </si>
  <si>
    <t>D</t>
  </si>
  <si>
    <t>01.</t>
  </si>
  <si>
    <t>02.</t>
  </si>
  <si>
    <t>04.</t>
  </si>
  <si>
    <t>05.</t>
  </si>
  <si>
    <t>06.</t>
  </si>
  <si>
    <t>03.</t>
  </si>
  <si>
    <t>23.</t>
  </si>
  <si>
    <t>11.1</t>
  </si>
  <si>
    <t>12.1</t>
  </si>
  <si>
    <t>12.1.2</t>
  </si>
  <si>
    <t>13.1</t>
  </si>
  <si>
    <t>17.1.3</t>
  </si>
  <si>
    <t>17.1.2</t>
  </si>
  <si>
    <t>19.1</t>
  </si>
  <si>
    <t>19.1.1</t>
  </si>
  <si>
    <t>20.1</t>
  </si>
  <si>
    <t>20.1.1</t>
  </si>
  <si>
    <t>20.1.2</t>
  </si>
  <si>
    <t>20.1.4</t>
  </si>
  <si>
    <t>21.1</t>
  </si>
  <si>
    <t>21.1.1</t>
  </si>
  <si>
    <t>22.1</t>
  </si>
  <si>
    <t>22.1.1</t>
  </si>
  <si>
    <t>08.1</t>
  </si>
  <si>
    <t>07.1</t>
  </si>
  <si>
    <t>09.1</t>
  </si>
  <si>
    <t>06.1</t>
  </si>
  <si>
    <t>05.1</t>
  </si>
  <si>
    <t>04.1</t>
  </si>
  <si>
    <t>04.2</t>
  </si>
  <si>
    <t>04.3</t>
  </si>
  <si>
    <t>03.1</t>
  </si>
  <si>
    <t>03.2</t>
  </si>
  <si>
    <t>02.1</t>
  </si>
  <si>
    <t>01.1</t>
  </si>
  <si>
    <t>01.2</t>
  </si>
  <si>
    <t>Controle Tecnológico - Diária Moldador</t>
  </si>
  <si>
    <t>Controle Tecnológico - Mobilização</t>
  </si>
  <si>
    <t>cp</t>
  </si>
  <si>
    <t xml:space="preserve">Controle Tecnológico - Ensaio compressão simples concreto NBR 7215 </t>
  </si>
  <si>
    <t>Levantamento Topográfico Planialtimétrico</t>
  </si>
  <si>
    <t>Toptec</t>
  </si>
  <si>
    <t>Tecnofast</t>
  </si>
  <si>
    <t>Container Escritório com WC NR18</t>
  </si>
  <si>
    <t>Container Almoxarifado</t>
  </si>
  <si>
    <t>Container Mestre</t>
  </si>
  <si>
    <t>Container Banheiro</t>
  </si>
  <si>
    <t>Container Duchas</t>
  </si>
  <si>
    <t>Container - Frete ida / volta</t>
  </si>
  <si>
    <t>Container - Refeitório</t>
  </si>
  <si>
    <t>Forma MAT+MO</t>
  </si>
  <si>
    <t>Estimativa</t>
  </si>
  <si>
    <t>Lançamento de concreto Radier</t>
  </si>
  <si>
    <t>01.01.0119</t>
  </si>
  <si>
    <t>01.01.0120</t>
  </si>
  <si>
    <t>01.01.0121</t>
  </si>
  <si>
    <t>01.01.0122</t>
  </si>
  <si>
    <t>01.01.0123</t>
  </si>
  <si>
    <t>01.01.0124</t>
  </si>
  <si>
    <t>01.01.0125</t>
  </si>
  <si>
    <t>01.01.0126</t>
  </si>
  <si>
    <t>01.01.0127</t>
  </si>
  <si>
    <t>01.01.0128</t>
  </si>
  <si>
    <t>01.01.0129</t>
  </si>
  <si>
    <t>01.01.0130</t>
  </si>
  <si>
    <t>01.01.0131</t>
  </si>
  <si>
    <t>01.01.0132</t>
  </si>
  <si>
    <t>01.01.0133</t>
  </si>
  <si>
    <t>01.01.0134</t>
  </si>
  <si>
    <t>01.01.0135</t>
  </si>
  <si>
    <t>01.01.0136</t>
  </si>
  <si>
    <t>01.01.0137</t>
  </si>
  <si>
    <t>01.01.0138</t>
  </si>
  <si>
    <t>01.01.0139</t>
  </si>
  <si>
    <t>01.01.0140</t>
  </si>
  <si>
    <t>01.01.0141</t>
  </si>
  <si>
    <t>01.01.0142</t>
  </si>
  <si>
    <t>01.01.0143</t>
  </si>
  <si>
    <t>01.01.0144</t>
  </si>
  <si>
    <t>01.01.0145</t>
  </si>
  <si>
    <t>01.01.0146</t>
  </si>
  <si>
    <t>01.01.0147</t>
  </si>
  <si>
    <t>01.01.0148</t>
  </si>
  <si>
    <t>01.01.0149</t>
  </si>
  <si>
    <t>01.01.0150</t>
  </si>
  <si>
    <t>01.01.0151</t>
  </si>
  <si>
    <t>01.01.0152</t>
  </si>
  <si>
    <t>01.01.0153</t>
  </si>
  <si>
    <t>01.01.0154</t>
  </si>
  <si>
    <t>01.01.0155</t>
  </si>
  <si>
    <t>01.01.0156</t>
  </si>
  <si>
    <t>01.01.0157</t>
  </si>
  <si>
    <t>01.01.0158</t>
  </si>
  <si>
    <t>01.01.0159</t>
  </si>
  <si>
    <t>01.01.0160</t>
  </si>
  <si>
    <t>01.01.0161</t>
  </si>
  <si>
    <t>01.01.0162</t>
  </si>
  <si>
    <t>01.01.0163</t>
  </si>
  <si>
    <t>01.01.0164</t>
  </si>
  <si>
    <t>01.01.0165</t>
  </si>
  <si>
    <t>01.01.0166</t>
  </si>
  <si>
    <t>01.01.0167</t>
  </si>
  <si>
    <t>01.01.0168</t>
  </si>
  <si>
    <t>01.01.0169</t>
  </si>
  <si>
    <t>01.01.0170</t>
  </si>
  <si>
    <t>01.01.0171</t>
  </si>
  <si>
    <t>01.01.0172</t>
  </si>
  <si>
    <t>01.01.0173</t>
  </si>
  <si>
    <t>01.01.0174</t>
  </si>
  <si>
    <t>01.01.0175</t>
  </si>
  <si>
    <t>01.01.0176</t>
  </si>
  <si>
    <t>01.01.0177</t>
  </si>
  <si>
    <t>01.01.0178</t>
  </si>
  <si>
    <t>01.01.0179</t>
  </si>
  <si>
    <t>01.01.0180</t>
  </si>
  <si>
    <t>01.01.0181</t>
  </si>
  <si>
    <t>01.01.0182</t>
  </si>
  <si>
    <t>01.01.0183</t>
  </si>
  <si>
    <t>01.01.0184</t>
  </si>
  <si>
    <t>01.01.0185</t>
  </si>
  <si>
    <t>01.01.0186</t>
  </si>
  <si>
    <t>01.01.0187</t>
  </si>
  <si>
    <t>01.01.0188</t>
  </si>
  <si>
    <t>01.01.0189</t>
  </si>
  <si>
    <t>01.01.0190</t>
  </si>
  <si>
    <t>01.01.0191</t>
  </si>
  <si>
    <t>01.01.0192</t>
  </si>
  <si>
    <t>01.01.0193</t>
  </si>
  <si>
    <t>01.01.0194</t>
  </si>
  <si>
    <t>01.01.0195</t>
  </si>
  <si>
    <t>01.01.0196</t>
  </si>
  <si>
    <t>01.01.0197</t>
  </si>
  <si>
    <t>01.01.0198</t>
  </si>
  <si>
    <t>01.01.0199</t>
  </si>
  <si>
    <t>01.01.0200</t>
  </si>
  <si>
    <t>01.01.0201</t>
  </si>
  <si>
    <t>01.01.0202</t>
  </si>
  <si>
    <t>01.01.0203</t>
  </si>
  <si>
    <t>01.01.0204</t>
  </si>
  <si>
    <t>01.01.0205</t>
  </si>
  <si>
    <t>01.01.0206</t>
  </si>
  <si>
    <t>01.01.0207</t>
  </si>
  <si>
    <t>01.01.0208</t>
  </si>
  <si>
    <t>01.01.0209</t>
  </si>
  <si>
    <t>01.01.0210</t>
  </si>
  <si>
    <t>01.01.0211</t>
  </si>
  <si>
    <t>01.01.0212</t>
  </si>
  <si>
    <t>01.01.0213</t>
  </si>
  <si>
    <t>01.01.0214</t>
  </si>
  <si>
    <t>01.01.0215</t>
  </si>
  <si>
    <t>01.01.0216</t>
  </si>
  <si>
    <t>01.01.0217</t>
  </si>
  <si>
    <t>01.01.0218</t>
  </si>
  <si>
    <t>01.01.0219</t>
  </si>
  <si>
    <t>01.01.0220</t>
  </si>
  <si>
    <t>01.01.0221</t>
  </si>
  <si>
    <t>01.01.0222</t>
  </si>
  <si>
    <t>01.01.0223</t>
  </si>
  <si>
    <t>01.01.0224</t>
  </si>
  <si>
    <t>01.01.0225</t>
  </si>
  <si>
    <t>01.01.0226</t>
  </si>
  <si>
    <t>01.01.0227</t>
  </si>
  <si>
    <t>01.01.0228</t>
  </si>
  <si>
    <t>01.01.0229</t>
  </si>
  <si>
    <t>01.01.0230</t>
  </si>
  <si>
    <t>01.01.0231</t>
  </si>
  <si>
    <t>01.01.0232</t>
  </si>
  <si>
    <t>01.01.0233</t>
  </si>
  <si>
    <t>01.01.0234</t>
  </si>
  <si>
    <t>01.01.0235</t>
  </si>
  <si>
    <t>01.01.0236</t>
  </si>
  <si>
    <t>01.01.0237</t>
  </si>
  <si>
    <t>01.01.0238</t>
  </si>
  <si>
    <t>01.01.0239</t>
  </si>
  <si>
    <t>01.01.0240</t>
  </si>
  <si>
    <t>01.01.0241</t>
  </si>
  <si>
    <t>01.01.0242</t>
  </si>
  <si>
    <t>01.01.0243</t>
  </si>
  <si>
    <t>01.01.0244</t>
  </si>
  <si>
    <t>01.01.0245</t>
  </si>
  <si>
    <t>01.01.0246</t>
  </si>
  <si>
    <t>01.01.0247</t>
  </si>
  <si>
    <t>01.01.0248</t>
  </si>
  <si>
    <t>01.01.0249</t>
  </si>
  <si>
    <t>01.01.0250</t>
  </si>
  <si>
    <t>01.01.0251</t>
  </si>
  <si>
    <t>01.01.0252</t>
  </si>
  <si>
    <t>01.01.0253</t>
  </si>
  <si>
    <t>01.01.0254</t>
  </si>
  <si>
    <t>01.01.0255</t>
  </si>
  <si>
    <t>01.01.0256</t>
  </si>
  <si>
    <t>01.01.0257</t>
  </si>
  <si>
    <t>01.01.0258</t>
  </si>
  <si>
    <t>01.01.0259</t>
  </si>
  <si>
    <t>01.01.0260</t>
  </si>
  <si>
    <t>01.01.0261</t>
  </si>
  <si>
    <t>01.01.0262</t>
  </si>
  <si>
    <t>01.01.0263</t>
  </si>
  <si>
    <t>01.01.0264</t>
  </si>
  <si>
    <t>01.01.0265</t>
  </si>
  <si>
    <t>01.01.0266</t>
  </si>
  <si>
    <t>01.01.0267</t>
  </si>
  <si>
    <t>01.01.0268</t>
  </si>
  <si>
    <t>01.01.0269</t>
  </si>
  <si>
    <t>01.01.0270</t>
  </si>
  <si>
    <t>01.01.0271</t>
  </si>
  <si>
    <t>01.01.0272</t>
  </si>
  <si>
    <t>01.01.0273</t>
  </si>
  <si>
    <t>01.01.0274</t>
  </si>
  <si>
    <t>01.01.0275</t>
  </si>
  <si>
    <t>01.01.0276</t>
  </si>
  <si>
    <t>01.01.0277</t>
  </si>
  <si>
    <t>01.01.0278</t>
  </si>
  <si>
    <t>01.01.0279</t>
  </si>
  <si>
    <t>01.01.0280</t>
  </si>
  <si>
    <t>01.01.0281</t>
  </si>
  <si>
    <t>01.01.0282</t>
  </si>
  <si>
    <t>01.01.0283</t>
  </si>
  <si>
    <t>01.01.0284</t>
  </si>
  <si>
    <t>01.01.0285</t>
  </si>
  <si>
    <t>01.01.0286</t>
  </si>
  <si>
    <t>01.01.0287</t>
  </si>
  <si>
    <t>01.01.0288</t>
  </si>
  <si>
    <t>01.01.0289</t>
  </si>
  <si>
    <t>01.01.0290</t>
  </si>
  <si>
    <t>01.01.0291</t>
  </si>
  <si>
    <t>01.01.0292</t>
  </si>
  <si>
    <t>01.01.0293</t>
  </si>
  <si>
    <t>01.01.0294</t>
  </si>
  <si>
    <t>01.01.0295</t>
  </si>
  <si>
    <t>01.01.0296</t>
  </si>
  <si>
    <t>01.01.0297</t>
  </si>
  <si>
    <t>01.01.0298</t>
  </si>
  <si>
    <t>01.01.0299</t>
  </si>
  <si>
    <t>01.01.0300</t>
  </si>
  <si>
    <t>01.01.0301</t>
  </si>
  <si>
    <t>01.01.0302</t>
  </si>
  <si>
    <t>01.01.0303</t>
  </si>
  <si>
    <t>01.01.0304</t>
  </si>
  <si>
    <t>01.01.0305</t>
  </si>
  <si>
    <t>01.01.0306</t>
  </si>
  <si>
    <t>01.01.0307</t>
  </si>
  <si>
    <t>01.01.0308</t>
  </si>
  <si>
    <t>01.01.0309</t>
  </si>
  <si>
    <t>01.01.0310</t>
  </si>
  <si>
    <t>01.01.0311</t>
  </si>
  <si>
    <t>01.01.0312</t>
  </si>
  <si>
    <t>01.01.0313</t>
  </si>
  <si>
    <t>01.01.0314</t>
  </si>
  <si>
    <t>01.01.0315</t>
  </si>
  <si>
    <t>01.01.0316</t>
  </si>
  <si>
    <t>01.01.0317</t>
  </si>
  <si>
    <t>01.01.0318</t>
  </si>
  <si>
    <t>01.01.0319</t>
  </si>
  <si>
    <t>01.01.0320</t>
  </si>
  <si>
    <t>01.01.0321</t>
  </si>
  <si>
    <t>01.01.0322</t>
  </si>
  <si>
    <t>01.01.0323</t>
  </si>
  <si>
    <t>01.01.0324</t>
  </si>
  <si>
    <t>01.01.0325</t>
  </si>
  <si>
    <t>01.01.0326</t>
  </si>
  <si>
    <t>01.01.0327</t>
  </si>
  <si>
    <t>01.01.0328</t>
  </si>
  <si>
    <t>01.01.0329</t>
  </si>
  <si>
    <t>01.01.0330</t>
  </si>
  <si>
    <t>01.01.0331</t>
  </si>
  <si>
    <t>01.01.0332</t>
  </si>
  <si>
    <t>01.01.0333</t>
  </si>
  <si>
    <t>01.01.0334</t>
  </si>
  <si>
    <t>01.01.0335</t>
  </si>
  <si>
    <t>01.01.0336</t>
  </si>
  <si>
    <t>01.01.0337</t>
  </si>
  <si>
    <t>01.01.0338</t>
  </si>
  <si>
    <t>01.01.0339</t>
  </si>
  <si>
    <t>01.01.0340</t>
  </si>
  <si>
    <t>01.01.0341</t>
  </si>
  <si>
    <t>01.01.0342</t>
  </si>
  <si>
    <t>01.01.0343</t>
  </si>
  <si>
    <t>01.01.0344</t>
  </si>
  <si>
    <t>01.01.0345</t>
  </si>
  <si>
    <t>01.01.0346</t>
  </si>
  <si>
    <t>01.01.0347</t>
  </si>
  <si>
    <t>01.01.0348</t>
  </si>
  <si>
    <t>01.01.0349</t>
  </si>
  <si>
    <t>01.01.0350</t>
  </si>
  <si>
    <t>01.01.0351</t>
  </si>
  <si>
    <t>01.01.0352</t>
  </si>
  <si>
    <t>01.01.0353</t>
  </si>
  <si>
    <t>01.01.0354</t>
  </si>
  <si>
    <t>01.01.0355</t>
  </si>
  <si>
    <t>01.01.0356</t>
  </si>
  <si>
    <t>01.01.0357</t>
  </si>
  <si>
    <t>01.01.0358</t>
  </si>
  <si>
    <t>01.01.0359</t>
  </si>
  <si>
    <t>01.01.0360</t>
  </si>
  <si>
    <t>01.01.0361</t>
  </si>
  <si>
    <t>01.01.0362</t>
  </si>
  <si>
    <t>01.01.0363</t>
  </si>
  <si>
    <t>01.01.0364</t>
  </si>
  <si>
    <t>01.01.0365</t>
  </si>
  <si>
    <t>01.01.0366</t>
  </si>
  <si>
    <t>01.01.0367</t>
  </si>
  <si>
    <t>01.01.0368</t>
  </si>
  <si>
    <t>01.01.0369</t>
  </si>
  <si>
    <t>01.01.0370</t>
  </si>
  <si>
    <t>01.01.0371</t>
  </si>
  <si>
    <t>01.01.0372</t>
  </si>
  <si>
    <t>01.01.0373</t>
  </si>
  <si>
    <t>01.01.0374</t>
  </si>
  <si>
    <t>01.01.0375</t>
  </si>
  <si>
    <t>01.01.0376</t>
  </si>
  <si>
    <t>01.01.0377</t>
  </si>
  <si>
    <t>01.01.0378</t>
  </si>
  <si>
    <t>01.01.0379</t>
  </si>
  <si>
    <t>01.01.0380</t>
  </si>
  <si>
    <t>01.01.0381</t>
  </si>
  <si>
    <t>01.01.0382</t>
  </si>
  <si>
    <t>01.01.0383</t>
  </si>
  <si>
    <t>01.01.0384</t>
  </si>
  <si>
    <t>01.01.0385</t>
  </si>
  <si>
    <t>01.01.0386</t>
  </si>
  <si>
    <t>01.01.0387</t>
  </si>
  <si>
    <t>01.01.0388</t>
  </si>
  <si>
    <t>01.01.0389</t>
  </si>
  <si>
    <t>01.01.0390</t>
  </si>
  <si>
    <t>01.01.0391</t>
  </si>
  <si>
    <t>01.01.0392</t>
  </si>
  <si>
    <t>01.01.0393</t>
  </si>
  <si>
    <t>01.01.0394</t>
  </si>
  <si>
    <t>01.01.0395</t>
  </si>
  <si>
    <t>01.01.0396</t>
  </si>
  <si>
    <t>01.01.0397</t>
  </si>
  <si>
    <t>01.01.0398</t>
  </si>
  <si>
    <t>01.01.0399</t>
  </si>
  <si>
    <t>01.01.0400</t>
  </si>
  <si>
    <t>01.01.0401</t>
  </si>
  <si>
    <t>01.01.0402</t>
  </si>
  <si>
    <t>01.01.0403</t>
  </si>
  <si>
    <t>01.01.0404</t>
  </si>
  <si>
    <t>01.01.0405</t>
  </si>
  <si>
    <t>01.01.0406</t>
  </si>
  <si>
    <t>01.01.0407</t>
  </si>
  <si>
    <t>01.01.0408</t>
  </si>
  <si>
    <t>01.01.0409</t>
  </si>
  <si>
    <t>01.01.0410</t>
  </si>
  <si>
    <t>01.01.0411</t>
  </si>
  <si>
    <t>01.01.0412</t>
  </si>
  <si>
    <t>01.01.0413</t>
  </si>
  <si>
    <t>01.01.0414</t>
  </si>
  <si>
    <t>01.01.0415</t>
  </si>
  <si>
    <t>01.01.0416</t>
  </si>
  <si>
    <t>01.01.0417</t>
  </si>
  <si>
    <t>01.01.0418</t>
  </si>
  <si>
    <t>01.01.0419</t>
  </si>
  <si>
    <t>01.01.0420</t>
  </si>
  <si>
    <t>01.01.0421</t>
  </si>
  <si>
    <t>01.01.0422</t>
  </si>
  <si>
    <t>01.01.0423</t>
  </si>
  <si>
    <t>01.01.0424</t>
  </si>
  <si>
    <t>01.01.0425</t>
  </si>
  <si>
    <t>01.01.0426</t>
  </si>
  <si>
    <t>01.01.0427</t>
  </si>
  <si>
    <t>01.01.0428</t>
  </si>
  <si>
    <t>01.01.0429</t>
  </si>
  <si>
    <t>01.01.0430</t>
  </si>
  <si>
    <t>01.01.0431</t>
  </si>
  <si>
    <t>01.01.0432</t>
  </si>
  <si>
    <t>01.01.0433</t>
  </si>
  <si>
    <t>01.01.0434</t>
  </si>
  <si>
    <t>01.01.0435</t>
  </si>
  <si>
    <t>01.01.0436</t>
  </si>
  <si>
    <t>01.01.0437</t>
  </si>
  <si>
    <t>01.01.0438</t>
  </si>
  <si>
    <t>01.01.0439</t>
  </si>
  <si>
    <t>01.01.0440</t>
  </si>
  <si>
    <t>01.01.0441</t>
  </si>
  <si>
    <t>01.01.0442</t>
  </si>
  <si>
    <t>01.01.0443</t>
  </si>
  <si>
    <t>01.01.0444</t>
  </si>
  <si>
    <t>01.01.0445</t>
  </si>
  <si>
    <t>01.01.0446</t>
  </si>
  <si>
    <t>01.01.0447</t>
  </si>
  <si>
    <t>01.01.0448</t>
  </si>
  <si>
    <t>01.01.0449</t>
  </si>
  <si>
    <t>01.01.0450</t>
  </si>
  <si>
    <t>01.01.0451</t>
  </si>
  <si>
    <t>01.01.0452</t>
  </si>
  <si>
    <t>01.01.0453</t>
  </si>
  <si>
    <t>01.01.0454</t>
  </si>
  <si>
    <t>01.01.0455</t>
  </si>
  <si>
    <t>01.01.0456</t>
  </si>
  <si>
    <t>01.01.0457</t>
  </si>
  <si>
    <t>01.01.0458</t>
  </si>
  <si>
    <t>01.01.0459</t>
  </si>
  <si>
    <t>01.01.0460</t>
  </si>
  <si>
    <t>01.01.0461</t>
  </si>
  <si>
    <t>01.01.0462</t>
  </si>
  <si>
    <t>01.01.0463</t>
  </si>
  <si>
    <t>01.01.0464</t>
  </si>
  <si>
    <t>01.01.0465</t>
  </si>
  <si>
    <t>01.01.0466</t>
  </si>
  <si>
    <t>01.01.0467</t>
  </si>
  <si>
    <t>01.01.0468</t>
  </si>
  <si>
    <t>01.01.0469</t>
  </si>
  <si>
    <t>01.01.0470</t>
  </si>
  <si>
    <t>01.01.0471</t>
  </si>
  <si>
    <t>01.01.0472</t>
  </si>
  <si>
    <t>01.01.0473</t>
  </si>
  <si>
    <t>01.01.0474</t>
  </si>
  <si>
    <t>01.01.0475</t>
  </si>
  <si>
    <t>01.01.0476</t>
  </si>
  <si>
    <t>01.01.0477</t>
  </si>
  <si>
    <t>01.01.0478</t>
  </si>
  <si>
    <t>01.01.0479</t>
  </si>
  <si>
    <t>01.01.0480</t>
  </si>
  <si>
    <t>01.01.0481</t>
  </si>
  <si>
    <t>01.01.0482</t>
  </si>
  <si>
    <t>01.01.0483</t>
  </si>
  <si>
    <t>01.01.0484</t>
  </si>
  <si>
    <t>01.01.0485</t>
  </si>
  <si>
    <t>01.01.0486</t>
  </si>
  <si>
    <t>01.01.0487</t>
  </si>
  <si>
    <t>01.01.0488</t>
  </si>
  <si>
    <t>01.01.0489</t>
  </si>
  <si>
    <t>01.01.0490</t>
  </si>
  <si>
    <t>01.01.0491</t>
  </si>
  <si>
    <t>01.01.0492</t>
  </si>
  <si>
    <t>01.01.0493</t>
  </si>
  <si>
    <t>01.01.0494</t>
  </si>
  <si>
    <t>01.01.0495</t>
  </si>
  <si>
    <t>01.01.0496</t>
  </si>
  <si>
    <t>01.01.0497</t>
  </si>
  <si>
    <t>01.01.0498</t>
  </si>
  <si>
    <t>01.01.0499</t>
  </si>
  <si>
    <t>01.01.0500</t>
  </si>
  <si>
    <t>01.01.0501</t>
  </si>
  <si>
    <t>01.01.0502</t>
  </si>
  <si>
    <t>01.01.0503</t>
  </si>
  <si>
    <t>01.01.0504</t>
  </si>
  <si>
    <t>01.01.0505</t>
  </si>
  <si>
    <t>01.01.0506</t>
  </si>
  <si>
    <t>01.01.0507</t>
  </si>
  <si>
    <t>01.01.0508</t>
  </si>
  <si>
    <t>01.01.0509</t>
  </si>
  <si>
    <t>01.01.0510</t>
  </si>
  <si>
    <t>01.01.0511</t>
  </si>
  <si>
    <t>01.01.0512</t>
  </si>
  <si>
    <t>01.01.0513</t>
  </si>
  <si>
    <t>01.01.0514</t>
  </si>
  <si>
    <t>01.01.0515</t>
  </si>
  <si>
    <t>01.01.0516</t>
  </si>
  <si>
    <t>01.01.0517</t>
  </si>
  <si>
    <t>01.01.0518</t>
  </si>
  <si>
    <t>01.01.0519</t>
  </si>
  <si>
    <t>01.01.0520</t>
  </si>
  <si>
    <t>01.01.0521</t>
  </si>
  <si>
    <t>01.01.0522</t>
  </si>
  <si>
    <t>01.01.0523</t>
  </si>
  <si>
    <t>01.01.0524</t>
  </si>
  <si>
    <t>01.01.0525</t>
  </si>
  <si>
    <t>01.01.0526</t>
  </si>
  <si>
    <t>01.01.0527</t>
  </si>
  <si>
    <t>01.01.0528</t>
  </si>
  <si>
    <t>01.01.0529</t>
  </si>
  <si>
    <t>01.01.0530</t>
  </si>
  <si>
    <t>01.01.0531</t>
  </si>
  <si>
    <t>01.01.0532</t>
  </si>
  <si>
    <t>01.01.0533</t>
  </si>
  <si>
    <t>01.01.0534</t>
  </si>
  <si>
    <t>01.01.0535</t>
  </si>
  <si>
    <t>01.01.0536</t>
  </si>
  <si>
    <t>01.01.0537</t>
  </si>
  <si>
    <t>01.01.0538</t>
  </si>
  <si>
    <t>01.01.0539</t>
  </si>
  <si>
    <t>01.01.0540</t>
  </si>
  <si>
    <t>01.01.0541</t>
  </si>
  <si>
    <t>01.01.0542</t>
  </si>
  <si>
    <t>01.01.0543</t>
  </si>
  <si>
    <t>01.01.0544</t>
  </si>
  <si>
    <t>01.01.0545</t>
  </si>
  <si>
    <t>01.01.0546</t>
  </si>
  <si>
    <t>01.01.0547</t>
  </si>
  <si>
    <t>01.01.0548</t>
  </si>
  <si>
    <t>01.01.0549</t>
  </si>
  <si>
    <t>01.01.0550</t>
  </si>
  <si>
    <t>01.01.0551</t>
  </si>
  <si>
    <t>01.01.0552</t>
  </si>
  <si>
    <t>01.01.0553</t>
  </si>
  <si>
    <t>01.01.0554</t>
  </si>
  <si>
    <t>01.01.0555</t>
  </si>
  <si>
    <t>01.01.0556</t>
  </si>
  <si>
    <t>01.01.0557</t>
  </si>
  <si>
    <t>01.01.0558</t>
  </si>
  <si>
    <t>01.01.0559</t>
  </si>
  <si>
    <t>01.01.0560</t>
  </si>
  <si>
    <t>01.01.0561</t>
  </si>
  <si>
    <t>01.01.0562</t>
  </si>
  <si>
    <t>01.01.0563</t>
  </si>
  <si>
    <t>01.01.0564</t>
  </si>
  <si>
    <t>01.01.0565</t>
  </si>
  <si>
    <t>01.01.0566</t>
  </si>
  <si>
    <t>01.01.0567</t>
  </si>
  <si>
    <t>01.01.0568</t>
  </si>
  <si>
    <t>01.01.0569</t>
  </si>
  <si>
    <t>01.01.0570</t>
  </si>
  <si>
    <t>01.01.0571</t>
  </si>
  <si>
    <t>01.01.0572</t>
  </si>
  <si>
    <t>01.01.0573</t>
  </si>
  <si>
    <t>01.01.0574</t>
  </si>
  <si>
    <t>01.01.0575</t>
  </si>
  <si>
    <t>01.01.0576</t>
  </si>
  <si>
    <t>01.01.0577</t>
  </si>
  <si>
    <t>01.01.0578</t>
  </si>
  <si>
    <t>01.01.0579</t>
  </si>
  <si>
    <t>01.01.0580</t>
  </si>
  <si>
    <t>01.01.0581</t>
  </si>
  <si>
    <t>01.01.0582</t>
  </si>
  <si>
    <t>01.01.0583</t>
  </si>
  <si>
    <t>01.01.0584</t>
  </si>
  <si>
    <t>01.01.0585</t>
  </si>
  <si>
    <t>01.01.0586</t>
  </si>
  <si>
    <t>Guarda corpo de madeira - barraco</t>
  </si>
  <si>
    <t>Escada de obra - barraco</t>
  </si>
  <si>
    <t>Barraco</t>
  </si>
  <si>
    <t>EPI EVENTUAL</t>
  </si>
  <si>
    <t>Proteção periférica - locação</t>
  </si>
  <si>
    <t>Proteção periférica - frete</t>
  </si>
  <si>
    <t>Scora</t>
  </si>
  <si>
    <t>Local</t>
  </si>
  <si>
    <t>Transmater</t>
  </si>
  <si>
    <t>Escavadeira Locação</t>
  </si>
  <si>
    <t>Frete Escavadeira Ida e Volta</t>
  </si>
  <si>
    <t>Nobretec</t>
  </si>
  <si>
    <t>Makita - Serra Mármore</t>
  </si>
  <si>
    <t>ESTRUTURA METÁLICA</t>
  </si>
  <si>
    <t>Rodapé: laminado Formipiso reforçado</t>
  </si>
  <si>
    <t>Piso: laminado Formipiso reforçado</t>
  </si>
  <si>
    <t>Rejunte</t>
  </si>
  <si>
    <t>Mão de obra - Execução de Piso</t>
  </si>
  <si>
    <t>Mão de obra - Execução de Parede</t>
  </si>
  <si>
    <t>Fórmica fogo-retardante sobre parede de drywall</t>
  </si>
  <si>
    <t>Escada em granito amarelo Icaraí</t>
  </si>
  <si>
    <t>16.1.2</t>
  </si>
  <si>
    <t>Soleira em granito cinza polido</t>
  </si>
  <si>
    <t>Tento em granito cinza polido</t>
  </si>
  <si>
    <t>Peitoril em granito cinza polido</t>
  </si>
  <si>
    <t>Bancada em granito cinza polido</t>
  </si>
  <si>
    <t>Mão de obra - Execução de Contrapiso</t>
  </si>
  <si>
    <t>Mão de obra - Execução de Chapisco</t>
  </si>
  <si>
    <t>Mão de obra - Execução de Emboço Interno</t>
  </si>
  <si>
    <t>Instalações provisórias</t>
  </si>
  <si>
    <t>Andaime fachadeiro - locação mensal</t>
  </si>
  <si>
    <t>Andaime fachadeiro - frete ida e volta</t>
  </si>
  <si>
    <t>Andaime fachadeiro - montagem e desmontagem</t>
  </si>
  <si>
    <t>Sondagem</t>
  </si>
  <si>
    <t>Metax</t>
  </si>
  <si>
    <t>01.1.1</t>
  </si>
  <si>
    <t>01.2.1</t>
  </si>
  <si>
    <t>01.2.2</t>
  </si>
  <si>
    <t>01.2.3</t>
  </si>
  <si>
    <t>02.1.1</t>
  </si>
  <si>
    <t>02.1.2</t>
  </si>
  <si>
    <t>02.1.3</t>
  </si>
  <si>
    <t>03.1.1</t>
  </si>
  <si>
    <t>03.2.1</t>
  </si>
  <si>
    <t>04.1.1</t>
  </si>
  <si>
    <t>04.2.1</t>
  </si>
  <si>
    <t>04.3.1</t>
  </si>
  <si>
    <t>05.1.1</t>
  </si>
  <si>
    <t>05.2.1</t>
  </si>
  <si>
    <t>05.3.1</t>
  </si>
  <si>
    <t>Segurança Patrimonial (Posto 24hs)</t>
  </si>
  <si>
    <t>06.1.1</t>
  </si>
  <si>
    <t>06.2.1</t>
  </si>
  <si>
    <t>06.3.1</t>
  </si>
  <si>
    <t>07.1.1</t>
  </si>
  <si>
    <t>08.1.1</t>
  </si>
  <si>
    <t>08.1.2</t>
  </si>
  <si>
    <t>Estaca Metálica - Mobilização e Montagem</t>
  </si>
  <si>
    <t>Estaca Metálica - Cravação</t>
  </si>
  <si>
    <t>Estaca Metálica - Emendas</t>
  </si>
  <si>
    <t>Tengel</t>
  </si>
  <si>
    <t>Kg</t>
  </si>
  <si>
    <t>Bota Fora</t>
  </si>
  <si>
    <t>Bota Fora MO</t>
  </si>
  <si>
    <t>09.1.1</t>
  </si>
  <si>
    <t>Escavação Manual</t>
  </si>
  <si>
    <t>Acerto de Terreno MAT+MO</t>
  </si>
  <si>
    <t>SUPRAESTRUTURA</t>
  </si>
  <si>
    <t>Gras</t>
  </si>
  <si>
    <t>Embrasil</t>
  </si>
  <si>
    <t>Cerâmica Eliane Forma Slim Fendi 30X40cm branco</t>
  </si>
  <si>
    <t>Pirajá</t>
  </si>
  <si>
    <t>Eliane</t>
  </si>
  <si>
    <t>Papel de parede padrão Origini ref 205-11 liso</t>
  </si>
  <si>
    <t>Origini.com</t>
  </si>
  <si>
    <t>Papel de parede padrão Origini ref 205-11 liso MO</t>
  </si>
  <si>
    <t>Thyssen Krupp</t>
  </si>
  <si>
    <t>17.1.4</t>
  </si>
  <si>
    <t>Esquadria de Alumínio</t>
  </si>
  <si>
    <t>Vidro Cristal Simples Incolor 4mm</t>
  </si>
  <si>
    <t>16.1.4</t>
  </si>
  <si>
    <t>Aduela Elevador Granito Cinza</t>
  </si>
  <si>
    <t>Colocação de peitoril de granito</t>
  </si>
  <si>
    <t>Guarda Corpo de Alumínio</t>
  </si>
  <si>
    <t>Bacia Sanitária Com Caixa Izy</t>
  </si>
  <si>
    <t>Cuba de Embutir Oval Branco Gelo - 49x36 Cm - Ref.: L.37</t>
  </si>
  <si>
    <t>Lavatório Aspen/Vogue Plus Branco 44,5x35,5cm</t>
  </si>
  <si>
    <t>Lavatório de Canto Izy Branco 41x33cm</t>
  </si>
  <si>
    <t>CeC</t>
  </si>
  <si>
    <t>Cuba 3 Brilho Básica Furo 3,5'' 40x34x14cm</t>
  </si>
  <si>
    <t>Sifão para Cozinha 11/2"X11/2" Cromado 1680c112</t>
  </si>
  <si>
    <t>Parafuso de Fixação de Bacia E Bidê Cromado – Ref: Sp-13</t>
  </si>
  <si>
    <t>Engate Flexível Gflex 4607 Fabrimar 40cm 1/2" Inox</t>
  </si>
  <si>
    <t>Torneira Pressmatic de Mesa Compact Baixa Pressão</t>
  </si>
  <si>
    <t>Acabamento para Registro Izy 1/2" E 3/4" Cromado Pequeno C37 4900</t>
  </si>
  <si>
    <t>23</t>
  </si>
  <si>
    <t>Piso intertravado (MAT+MO)</t>
  </si>
  <si>
    <t>Formicenter</t>
  </si>
  <si>
    <t>Grama</t>
  </si>
  <si>
    <t>PROJETOS E CONSULTORIAS</t>
  </si>
  <si>
    <t>Projetos</t>
  </si>
  <si>
    <t>Projeto de Estrutura</t>
  </si>
  <si>
    <t>Projeto de Arquitetura</t>
  </si>
  <si>
    <t>Projeto de Fundações</t>
  </si>
  <si>
    <t>Estrutura</t>
  </si>
  <si>
    <t>24.</t>
  </si>
  <si>
    <t>24.1</t>
  </si>
  <si>
    <t>24.1.1</t>
  </si>
  <si>
    <t>24</t>
  </si>
  <si>
    <t>25</t>
  </si>
  <si>
    <t>24.1.2</t>
  </si>
  <si>
    <t>PCMAT, PCMSO e PPRA</t>
  </si>
  <si>
    <t>06.3.2</t>
  </si>
  <si>
    <t>Primeiros Socorros</t>
  </si>
  <si>
    <t>06.3.3</t>
  </si>
  <si>
    <t>Despesas Mensais</t>
  </si>
  <si>
    <t>Fretes e Carretos</t>
  </si>
  <si>
    <t>Mão de obra / Engenharia</t>
  </si>
  <si>
    <t>MÃO DE OBRA DE APOIO / ENGENHARIA</t>
  </si>
  <si>
    <t>Mão de obra de Apoio / Engenharia</t>
  </si>
  <si>
    <t>Fechamento de vidro em PD duplo</t>
  </si>
  <si>
    <t>Vidro simples 3mm</t>
  </si>
  <si>
    <t>ASSISTÊNCIA TÉCNICA</t>
  </si>
  <si>
    <t>26</t>
  </si>
  <si>
    <t>Prazo:</t>
  </si>
  <si>
    <t>PRAZO (meses)</t>
  </si>
  <si>
    <t>Seguro de Obra</t>
  </si>
  <si>
    <t>Biovert</t>
  </si>
  <si>
    <t>Freecolor</t>
  </si>
  <si>
    <t>VERIFICAÇÃO GERAL</t>
  </si>
  <si>
    <t>Andaime Tubular 6m</t>
  </si>
  <si>
    <t>Topógrafo + Estação</t>
  </si>
  <si>
    <t>Container - Montagem e Desmontagem</t>
  </si>
  <si>
    <t>Estrutura com Chapa Perfurada</t>
  </si>
  <si>
    <t>Pintura Acrílica com massa sobre emboço (MAT+MO)</t>
  </si>
  <si>
    <t>Plataforma PNE</t>
  </si>
  <si>
    <t>Divisórias de banheiro Neocom</t>
  </si>
  <si>
    <t>Confart</t>
  </si>
  <si>
    <t>Brasil Pavers</t>
  </si>
  <si>
    <t>Gradil de ferro pintado</t>
  </si>
  <si>
    <t>Pintura Acrílica com massa sobre forro drywall (MAT+MO)</t>
  </si>
  <si>
    <t>Pintura Epoxi de piso (MAT+MO)</t>
  </si>
  <si>
    <t>Pintura de numeração de vagas (MAT+MO)</t>
  </si>
  <si>
    <t>Pintura esmalte sobre esquadria de madeira - Portas (MAT+MO)</t>
  </si>
  <si>
    <t>Andaime Tubular 3m</t>
  </si>
  <si>
    <t>Andaime Tubular frete ida e volta</t>
  </si>
  <si>
    <t>Forro removível Knauf 62,5x62,5cm - Glober</t>
  </si>
  <si>
    <t xml:space="preserve">Ceramica Eliane 10x30 Linear L-100 White Acetinado </t>
  </si>
  <si>
    <t>Forma branco AC 45x45 - Unity white</t>
  </si>
  <si>
    <t>Portobello</t>
  </si>
  <si>
    <t>Porcelanato Fendi Pol. 90x90 - Linha City - Portobello</t>
  </si>
  <si>
    <t>Porcelanato Portinari - Coleção Essence - Blanco 60x60 Nat. Ret.</t>
  </si>
  <si>
    <t>Telha Norte</t>
  </si>
  <si>
    <t>Banca em granito branco São Paulo   2,50x0,60 com colocação</t>
  </si>
  <si>
    <t>Heitália DESCONTO 15%</t>
  </si>
  <si>
    <t>Granito branco São Paulo  2,40x0,20 com colocação</t>
  </si>
  <si>
    <t>Soleira/ Filete/Tento em Granito Branco Ítauna - 0,80x0,14 com colocação</t>
  </si>
  <si>
    <t>Soleira/ Filete/Tento em Granito Branco Ítauna - 0,80x0,15 com colocação</t>
  </si>
  <si>
    <t>Soleira/ Filete/Tento em Granito Branco Ítauna - 0,80x0,20 com colocação</t>
  </si>
  <si>
    <t>Banca Granito branco São Paulo  2,00x0,40 com colocação</t>
  </si>
  <si>
    <t>Marmore Crema Marfil - Balcão recepção com colocação</t>
  </si>
  <si>
    <t>Marmore Travertino Romano  com colocação</t>
  </si>
  <si>
    <t>Banca em granito branco São Paulo   3,50x0,55 com colocação</t>
  </si>
  <si>
    <t>Mesa Portaria - Granito Branco Itaunas com colocação</t>
  </si>
  <si>
    <t>Soleira/ Filete/Tento em Granito Branco Ítauna - 1,10x0,15 com colocação</t>
  </si>
  <si>
    <t>Soleira/ Filete/Tento em Granito Branco Ítauna - 1,20x0,15 com colocação</t>
  </si>
  <si>
    <t>Soleira/ Filete/Tento em Granito Branco Ítauna - 1,40x0,15 com colocação</t>
  </si>
  <si>
    <t>Soleira/ Filete/Tento em Granito Branco Ítauna - 1,50x0,15 com colocação</t>
  </si>
  <si>
    <t>Soleira/ Filete/Tento em Granito Branco Ítauna - 1,60x0,15 com colocação</t>
  </si>
  <si>
    <t>Soleira/ Filete/Tento em Granito Branco Ítauna - 2,70x0,20 com colocação</t>
  </si>
  <si>
    <t>PM01 - 0,70x2,10 com colocação</t>
  </si>
  <si>
    <t>Fenal</t>
  </si>
  <si>
    <t>PM02 - 0,80x2,10 com colocação</t>
  </si>
  <si>
    <t>PM03 - 0,90x2,10 com colocação</t>
  </si>
  <si>
    <t>PMC01 - 0,90x2,10 com colocação</t>
  </si>
  <si>
    <t>PME01 - 0,80x2,10 com colocação</t>
  </si>
  <si>
    <t>PME02 - 1,70x2,58 com colocação</t>
  </si>
  <si>
    <t>PME03 - 2,50x2,58 com colocação</t>
  </si>
  <si>
    <t>PME04 - 2,65x2,58 com colocação</t>
  </si>
  <si>
    <t>PME05 - 2,75x2,58 com colocação</t>
  </si>
  <si>
    <t>PME06 - 2,90x2,58 com colocação</t>
  </si>
  <si>
    <t>Anel de vedação para bacia sanitária</t>
  </si>
  <si>
    <t>Bacia com caixa acoplada linha Ravena Ref: P909,17 - Deca</t>
  </si>
  <si>
    <t>Deca</t>
  </si>
  <si>
    <t>Cuba de embutir oval Ref: L37,17 - Branca - Deca</t>
  </si>
  <si>
    <t>Chuveiro elétrico Tradição - lorenzetti</t>
  </si>
  <si>
    <t>Cec</t>
  </si>
  <si>
    <t>Cuba retangular 40BL - Tramontina - Ref: 94081506</t>
  </si>
  <si>
    <t>Dispenser para sabonete espuma cod:70430 - melhoramentos</t>
  </si>
  <si>
    <t>Dispenser para toalha de papel cod:70070 - melhoramentos</t>
  </si>
  <si>
    <t>LIGACAO FLEXIVEL MALHA DE ACO 40CM-CR DECA</t>
  </si>
  <si>
    <t>SIFAO P/COZ e TQ 11/2 X 11/2 / 11/2X2-CR DECA</t>
  </si>
  <si>
    <t xml:space="preserve"> SIFAO P/LAV 1 X 11/2-CR DECA</t>
  </si>
  <si>
    <t>Torneira  de parede para cozinha Prata Ref:1168.C Link - Deca</t>
  </si>
  <si>
    <t>Torneira para lavatório de mesa pressmatic compact cód: 17160606 - Docol</t>
  </si>
  <si>
    <t>Valvula para Cuba de embutir oval Ref: L37,17 - Branca - Deca</t>
  </si>
  <si>
    <t>Cuba de Semi-encaixe quadrada L800.17 Branco Gelo GE17 - Deca</t>
  </si>
  <si>
    <t>LAVATORIO COM COLUNA 455X360MM RAVENA/IZY-BRANCO deca</t>
  </si>
  <si>
    <t>LAVATORIO COM SOLUNA SUSPENSA 550X470MM VOGUE PLUS-BRANCO</t>
  </si>
  <si>
    <t>Barra de apoio conforto 2310.C 0.80 POL - Deca</t>
  </si>
  <si>
    <t>Torneira de mesa com fechamento automático - decamatic Eco 1173.C.Conf ou 1170C - Deca</t>
  </si>
  <si>
    <t>Torneira para lavatório de mesa pressmatic bica alta Cód. 00444506 - Docol ou Deca Ref.1170c</t>
  </si>
  <si>
    <t>Valvula lavatorio Deca</t>
  </si>
  <si>
    <t>Mictório Ref:M.711.17 - Deca</t>
  </si>
  <si>
    <t>Calçada em concreto liso</t>
  </si>
  <si>
    <t>Banca em granito São Paulo 1,50 x 0,60m com colocação</t>
  </si>
  <si>
    <t>Banca Granito branco São Paulo  2,00x0,60 com colocação</t>
  </si>
  <si>
    <t>Granito branco Itaunas apicoado com colocação</t>
  </si>
  <si>
    <t>TV LG UHD 65UH6500</t>
  </si>
  <si>
    <t>Submarino</t>
  </si>
  <si>
    <t>Cerva Viva Murta</t>
  </si>
  <si>
    <t>Pintura de vagas especiais (MAT+MO)</t>
  </si>
  <si>
    <t>Limpeza de fachada</t>
  </si>
  <si>
    <t>Alfa Alpinismo</t>
  </si>
  <si>
    <t>Dedetização e desratização</t>
  </si>
  <si>
    <t>Porta automática completa com instalação</t>
  </si>
  <si>
    <t>Easy</t>
  </si>
  <si>
    <t>Capacho coletor de sujeira completo com instalação</t>
  </si>
  <si>
    <t>Cosimo</t>
  </si>
  <si>
    <t>Escaninho de correio</t>
  </si>
  <si>
    <t>Ronimar</t>
  </si>
  <si>
    <t>Pintura de estrutra metálica</t>
  </si>
  <si>
    <t>Colocação de telha</t>
  </si>
  <si>
    <t>VIDRO LAMINADO REFLETIVO VERDE 8MM LAPIDADO P/ FACHADAS</t>
  </si>
  <si>
    <t>Vilmobrás</t>
  </si>
  <si>
    <t xml:space="preserve"> VIDRO P/ GUARDA CORPO TEMPERADO E LAMINADO INCOLOR COM SETRY GLASS</t>
  </si>
  <si>
    <t>Paris</t>
  </si>
  <si>
    <t>Fachadas unitizadas</t>
  </si>
  <si>
    <t>Esquadripan DESCONTO 4%</t>
  </si>
  <si>
    <t>Fachada Stick</t>
  </si>
  <si>
    <t>Esquadrias convencionais</t>
  </si>
  <si>
    <t>Revestimento em ACM</t>
  </si>
  <si>
    <t>Guarda-corpo</t>
  </si>
  <si>
    <t>CJ FECHADURA INTERNA 6236 CR</t>
  </si>
  <si>
    <t>La Fonte</t>
  </si>
  <si>
    <t>CJ FECHADURA WC 6236 CR</t>
  </si>
  <si>
    <t>DOB 395 3X21/2 INOX 395</t>
  </si>
  <si>
    <t>KIT ROLDANA /GUIA/ TRILHOS</t>
  </si>
  <si>
    <t>FECHADURA 4021 B PAPAG.502 TR CR</t>
  </si>
  <si>
    <t>FECHO UNHA 20 INOX</t>
  </si>
  <si>
    <t>Móveis Acoplac</t>
  </si>
  <si>
    <t>Quadro com porta medindo 4,76 x 2,00</t>
  </si>
  <si>
    <t>AC Nunes</t>
  </si>
  <si>
    <t>Quadro fixo de 3.50 x 2.00</t>
  </si>
  <si>
    <t>Escada Marinheiro</t>
  </si>
  <si>
    <t>Catracas de controle (Equipamentos + Bloqueio)</t>
  </si>
  <si>
    <t>Magnetic</t>
  </si>
  <si>
    <t>balcão de recepção em MDF revestido com laminado padrão Wengue</t>
  </si>
  <si>
    <t>ParCam</t>
  </si>
  <si>
    <t>painéis laterais em MDF, revestido em laminado padrão Wengue</t>
  </si>
  <si>
    <t>painel central (est met e revest em MDF c acab laminado padrão Wengue</t>
  </si>
  <si>
    <t>Revest Pilar MDF resist umidade c acab laminado padrão Wengue</t>
  </si>
  <si>
    <t>Revest parede PUC MDF resist umidade c acab laminado padrão Wengue</t>
  </si>
  <si>
    <t>Plataforma Vertical (Girafinha)</t>
  </si>
  <si>
    <t>Solaris</t>
  </si>
  <si>
    <t>Plataforma Vertical Frete ida e volta</t>
  </si>
  <si>
    <t>Pintura na cor cinza, Ref: C160 Nevoeiro da Suvinil</t>
  </si>
  <si>
    <t>Barraco de Obra</t>
  </si>
  <si>
    <t>INSTALAÇÕES ELÉTRICAS</t>
  </si>
  <si>
    <t>Klimax</t>
  </si>
  <si>
    <t>Luminárias</t>
  </si>
  <si>
    <t>System</t>
  </si>
  <si>
    <t>INSTALAÇÃO HIDRAULICAS</t>
  </si>
  <si>
    <t>INSTALAÇÕES SANITARIAS E AGUAS PLUVIAIS</t>
  </si>
  <si>
    <t>INSTALAÇÕES ESPECIAIS</t>
  </si>
  <si>
    <t>Brises par Condensadoras</t>
  </si>
  <si>
    <t>Fortec</t>
  </si>
  <si>
    <t>INSTALAÇÕES AR CONDICIONADO E EXAUSTÃO</t>
  </si>
  <si>
    <t>Degrau com desconto (Joel)</t>
  </si>
  <si>
    <t>CONSULTOR DE ESQUADRIAS (2% de contrato de esq de alumínio)</t>
  </si>
  <si>
    <t>SEGURO DE OBRA</t>
  </si>
  <si>
    <t>Pintura de Tubulações</t>
  </si>
  <si>
    <t>Esquadria de Alumínio (MAT + MO)</t>
  </si>
  <si>
    <t>Confiança</t>
  </si>
  <si>
    <t>Shadow box</t>
  </si>
  <si>
    <t>ACM - Revestimento</t>
  </si>
  <si>
    <t>Vidros com instalação</t>
  </si>
  <si>
    <t>SPDA</t>
  </si>
  <si>
    <t>INFRA ESPECIAIS</t>
  </si>
  <si>
    <t>ESPELHO</t>
  </si>
  <si>
    <t>formulado</t>
  </si>
  <si>
    <t>INVENTÁRIO ARBÓREO</t>
  </si>
  <si>
    <t>DARM PREFEITURA PARA CORTE DE ÁRVORES</t>
  </si>
  <si>
    <t>ABERTURA E ACOMPANHAMENTO PROCESSO - PREFEITURA</t>
  </si>
  <si>
    <t>Alvenaria</t>
  </si>
  <si>
    <t>Instalações Prediais</t>
  </si>
  <si>
    <t>Parede Drywall ST-RU (MAT+MO) com isolamento acústico</t>
  </si>
  <si>
    <t>Parede Drywall RU (MAT+MO) com isolamento acústico</t>
  </si>
  <si>
    <t>Piso Vinílico</t>
  </si>
  <si>
    <t>Rodapé para Piso Vinílico</t>
  </si>
  <si>
    <t>Cerâmica para piso</t>
  </si>
  <si>
    <t>Textura Grafiato Interna</t>
  </si>
  <si>
    <t>Pintura em teto sobre drywall (MAT+MO)</t>
  </si>
  <si>
    <t>Pintura em parede sobre drywall (MAT+MO)</t>
  </si>
  <si>
    <t>Janela em Blindex</t>
  </si>
  <si>
    <t>Esquadria em Veneziana de Alumínio</t>
  </si>
  <si>
    <t>Porta Corta Fogo 0,80 x 2,10</t>
  </si>
  <si>
    <t>Tanque de Louça</t>
  </si>
  <si>
    <t>Chuveiro Metal Deca</t>
  </si>
  <si>
    <t>Textura Grafiato Externa</t>
  </si>
  <si>
    <t>RESUMO DE ORÇAMENTO - R00</t>
  </si>
  <si>
    <t>15.1.5</t>
  </si>
  <si>
    <t>Porcelanato (Amadeirado)</t>
  </si>
  <si>
    <t>Colocação de Porcelanato em Fachada</t>
  </si>
  <si>
    <t>Concreto Protendido</t>
  </si>
  <si>
    <t>MAC Protensão</t>
  </si>
  <si>
    <t>Aço CP 190 RB NUA (Ø15,2mm)</t>
  </si>
  <si>
    <t>Arcelormittal</t>
  </si>
  <si>
    <t>Malha de aço 15x15cm 2x3m</t>
  </si>
  <si>
    <t>Leroy Merlin</t>
  </si>
  <si>
    <t>Mão de Obra - Concreto Produzido em Obra</t>
  </si>
  <si>
    <t>Seletto</t>
  </si>
  <si>
    <t>Seletto 4,5m + 25%</t>
  </si>
  <si>
    <t>Argamassa para Pastilha Jatobá Saco 20Kg</t>
  </si>
  <si>
    <t>Rejunte para Pastilha Jatobá</t>
  </si>
  <si>
    <t>Mão de Obra Execução de Pastilha</t>
  </si>
  <si>
    <t>Revestimento Piso Gail Kerafloor 24x24cm cod. 6024-1001 Cinza Claro</t>
  </si>
  <si>
    <t>Argamassa Gail</t>
  </si>
  <si>
    <t>Rodapé Gail</t>
  </si>
  <si>
    <t>Produto Limpeza Gail</t>
  </si>
  <si>
    <t>Rejunte Industrial Gail</t>
  </si>
  <si>
    <t>Gail</t>
  </si>
  <si>
    <t>Frete Gail</t>
  </si>
  <si>
    <t>Revestimento Cerâmico Eliane 30x60cm BR BOLD Cor Branca</t>
  </si>
  <si>
    <t>Engelaje com frete</t>
  </si>
  <si>
    <t>Revestimento Cimento Queimado em Parede MO</t>
  </si>
  <si>
    <t>Preço Togu</t>
  </si>
  <si>
    <t>Revestimento Cimento Queimado em Parede MAT Ibratin</t>
  </si>
  <si>
    <t>Marcos Repres Jatobá com Frete</t>
  </si>
  <si>
    <t>21.1.3</t>
  </si>
  <si>
    <t>Ferragens</t>
  </si>
  <si>
    <t>Porta de Enrolar</t>
  </si>
  <si>
    <t>Fechamento Porta de Enrolar Fachada</t>
  </si>
  <si>
    <t>Kit Ferragens para porta (Fechadura, Dobradiças, Maçanetas)</t>
  </si>
  <si>
    <t>Esquadria de Madeira de Fachada com vidros</t>
  </si>
  <si>
    <t>Viga Metálica para base de drywall</t>
  </si>
  <si>
    <t>Tratamento em laje aparente</t>
  </si>
  <si>
    <t>Rodapé Granito São Gabriel com colocação</t>
  </si>
  <si>
    <t>Lavatório suspenso - Linha Oxford - Cód. L200 - Fab. Deca</t>
  </si>
  <si>
    <t>Torneira automática de mesa - Cód 1173C - Fab. Deca</t>
  </si>
  <si>
    <t>Bacia com caixa acoplada Vogue Plus cód. CP505 - Deca</t>
  </si>
  <si>
    <t>Bacia Convencional Vogue Plus cód. P5- Deca</t>
  </si>
  <si>
    <t>Válvula de descarga hydra retro - Cód. 2525C</t>
  </si>
  <si>
    <t>Bacia Convencional - Linha Izy - Cód. P11 - Fab. Deca</t>
  </si>
  <si>
    <t>Lavatório de canto - Linha Izy - Cód L101.17 - Fab. Deca</t>
  </si>
  <si>
    <t>Padovani</t>
  </si>
  <si>
    <t>Torneira de mesa - Linha izy- Cód. 1193 C37 - Fab. Deca</t>
  </si>
  <si>
    <t>Assento Sanitário Poliéster Deca Vogue Plus</t>
  </si>
  <si>
    <t>Assento Sanitário Plástico Compatível Izy</t>
  </si>
  <si>
    <t>Válvula de Descarga Branca 50mm ou 1.1/2" Hydra Max Deca</t>
  </si>
  <si>
    <t>Conjunto para Fixação de Bacia - Deca</t>
  </si>
  <si>
    <t>Ligação Flexível em Aço Inox 30cm Cromada  - Deca</t>
  </si>
  <si>
    <t>Porta vai e vem Refenge com visor MAT+MO</t>
  </si>
  <si>
    <t>Luis Marceneiro</t>
  </si>
  <si>
    <t>Parede - Drywall cimentício + ST + Lã de Rocha</t>
  </si>
  <si>
    <t>Salvador Togu</t>
  </si>
  <si>
    <t>Salvador Togu + Mat/m²</t>
  </si>
  <si>
    <t>Fabio Orcioli Mármores</t>
  </si>
  <si>
    <t>Soleira Granto São Gabriel com colocação</t>
  </si>
  <si>
    <t>Peitoril Granto São Gabriel com colocação</t>
  </si>
  <si>
    <t>Barra de Apoio Conforto Aço Polido 70cm DECA</t>
  </si>
  <si>
    <t>SÁBADO</t>
  </si>
  <si>
    <t>DIA</t>
  </si>
  <si>
    <t>%</t>
  </si>
  <si>
    <t>HORAS POR DIA</t>
  </si>
  <si>
    <t>DIAS POR MÊS</t>
  </si>
  <si>
    <t>QUANT HORAS POR MÊS</t>
  </si>
  <si>
    <t>DOM/FER</t>
  </si>
  <si>
    <t>SEG A QUI</t>
  </si>
  <si>
    <t>SEX</t>
  </si>
  <si>
    <t>PREVISÃO DE HORA EXTRA</t>
  </si>
  <si>
    <t>TOTAL DE HORAS POR MÊS</t>
  </si>
  <si>
    <t>TOTAL DE HORAS EXTRAS PREVISTAS</t>
  </si>
  <si>
    <t>Não alterar células com esta cor.</t>
  </si>
  <si>
    <t>LEGISLAÇÃO</t>
  </si>
  <si>
    <t>SÁBADO ATÉ 6 HORAS</t>
  </si>
  <si>
    <t>SEG A QUI ATÉ 1 HORA</t>
  </si>
  <si>
    <t>SEX ATÉ 2</t>
  </si>
  <si>
    <t>DOM/FER ATÉ 8</t>
  </si>
  <si>
    <t>Mega Bronze com desc 15% Combinado</t>
  </si>
  <si>
    <t>Impermeabilização com cimento polimérico MAT+MO</t>
  </si>
  <si>
    <t>Refenge desc combinado</t>
  </si>
  <si>
    <t>Xian Deca - Robson</t>
  </si>
  <si>
    <t>SIFAO P/LAV 1 X 11/2-CR DECA</t>
  </si>
  <si>
    <t>VALV ESC PLA P/LAV /CUBA/BIDE-CR</t>
  </si>
  <si>
    <t>EVENTUAIS</t>
  </si>
  <si>
    <t>% DISTR</t>
  </si>
  <si>
    <t>VALOR SEM % DISTR</t>
  </si>
  <si>
    <t>PLANILHA ORÇAMENTÁRIA DETALHADA</t>
  </si>
  <si>
    <t>HE</t>
  </si>
  <si>
    <t>SALÁRIO + ENCARGOS 1º MÊS</t>
  </si>
  <si>
    <t>SALÁRIO + ENCARGOS APÓS 1º MÊS</t>
  </si>
  <si>
    <t>PLANILHA DE MÃO DE OBRA TERCERIZADA</t>
  </si>
  <si>
    <t>ENCARGOS SOBRE SALÁRIO BASE</t>
  </si>
  <si>
    <t>TOTAL COM ENCARGOS</t>
  </si>
  <si>
    <t>COMISSÃO DE EMPRESA DP</t>
  </si>
  <si>
    <t>TOTAL COM COMISSÃO</t>
  </si>
  <si>
    <t>PRIMEIRO MÊS</t>
  </si>
  <si>
    <t>APÓS PRIMEIRO MÊS</t>
  </si>
  <si>
    <t>VT</t>
  </si>
  <si>
    <t>ASO</t>
  </si>
  <si>
    <t>UNIFORME</t>
  </si>
  <si>
    <t>TOTAL SEM IMPOSTOS</t>
  </si>
  <si>
    <t>IMPOSTOS NF</t>
  </si>
  <si>
    <t>ISS</t>
  </si>
  <si>
    <t>TOTAL COM IMPOSTOS E ISS</t>
  </si>
  <si>
    <t>FUNÇÃO</t>
  </si>
  <si>
    <t>SALÁRIO SIND 2017</t>
  </si>
  <si>
    <t>ENC. DE OBRA E ENC. ADM DE OBRA</t>
  </si>
  <si>
    <t>ENC. DE TURMA</t>
  </si>
  <si>
    <t>ALMOXARIFE, APONTADOR E PROF. LÍDER</t>
  </si>
  <si>
    <t>PEDREIRO</t>
  </si>
  <si>
    <t>1/2 OFICIAL</t>
  </si>
  <si>
    <t>SERVENTE</t>
  </si>
  <si>
    <t>ADMINISTRATIVO</t>
  </si>
  <si>
    <t>AUX.ADM E SIMILARES</t>
  </si>
  <si>
    <t>1º MÊS</t>
  </si>
  <si>
    <t>APÓS 1º MÊS</t>
  </si>
  <si>
    <t>Brascipa</t>
  </si>
  <si>
    <t>Andaime - Estação de Trabalho</t>
  </si>
  <si>
    <t>Andaime Tubular 12m</t>
  </si>
  <si>
    <t>Forro Acústico</t>
  </si>
  <si>
    <t>14.1.2</t>
  </si>
  <si>
    <t>15.1.2</t>
  </si>
  <si>
    <t>Piso Elevado à definir mat+mo</t>
  </si>
  <si>
    <t>15.1.6</t>
  </si>
  <si>
    <t>Rodapé madeira à definir mat+mo</t>
  </si>
  <si>
    <t>Rodapé Piso Elevado à definir mat+mo</t>
  </si>
  <si>
    <t>Soleira Mármore Paraná mat+mo</t>
  </si>
  <si>
    <t>Bancada Mármore Paraná mat+mo</t>
  </si>
  <si>
    <t>Degrau Escada Granilite Cinza</t>
  </si>
  <si>
    <t>Porta Madeira Semi-oca 1,00x2,10m c/ colocação</t>
  </si>
  <si>
    <t>Divisórias Sanitárias</t>
  </si>
  <si>
    <t>Parede - Revestimento Acústico</t>
  </si>
  <si>
    <t>TEC SEGURANÇA</t>
  </si>
  <si>
    <t>15.2.1</t>
  </si>
  <si>
    <t>15.2.3</t>
  </si>
  <si>
    <t>15.2.2</t>
  </si>
  <si>
    <t>Ecotelhado</t>
  </si>
  <si>
    <t>Piso Granitina Branco mat+mo</t>
  </si>
  <si>
    <t>Rodapé Granitina Branco mat+mo</t>
  </si>
  <si>
    <t>Rodapé Granitina Cinza mat+mo</t>
  </si>
  <si>
    <t>Parede - Granitina</t>
  </si>
  <si>
    <t>Struttura</t>
  </si>
  <si>
    <t>Estrutura Metálica - Projeto</t>
  </si>
  <si>
    <t>Dangeli</t>
  </si>
  <si>
    <t>Parede - Fórmica Quadro Negro</t>
  </si>
  <si>
    <t>Parede - Fórmica Branca + CLT</t>
  </si>
  <si>
    <t>Granitina</t>
  </si>
  <si>
    <t>Piso Granitina Cinza mat+mo</t>
  </si>
  <si>
    <t>Sistema de irrigação - Parede Verde</t>
  </si>
  <si>
    <t>Bleza</t>
  </si>
  <si>
    <t>Global</t>
  </si>
  <si>
    <t>Revestimento Acústico Sobre Laje Climatex Madeira Branco</t>
  </si>
  <si>
    <t>04.1.2</t>
  </si>
  <si>
    <t>Blocos escada externa</t>
  </si>
  <si>
    <t>09.1.2</t>
  </si>
  <si>
    <t>09.1.3</t>
  </si>
  <si>
    <t>17.1.5</t>
  </si>
  <si>
    <t>Divisórias Móveis Tipo Escritório</t>
  </si>
  <si>
    <t>Aqualar com 10% desc</t>
  </si>
  <si>
    <t>Parede Verde</t>
  </si>
  <si>
    <t>Telhado Verde</t>
  </si>
  <si>
    <t>Bustamante</t>
  </si>
  <si>
    <t>17.1.6</t>
  </si>
  <si>
    <t>IMPERMEABILIZAÇÃO E COBERTURAS</t>
  </si>
  <si>
    <t>12.1.3</t>
  </si>
  <si>
    <t>Parede de Drywall ST MAT+MO</t>
  </si>
  <si>
    <t>Andromeda</t>
  </si>
  <si>
    <t>Andromeda + Material</t>
  </si>
  <si>
    <t>Bota-fora Fundação Elevador</t>
  </si>
  <si>
    <t>08.1.3</t>
  </si>
  <si>
    <t>08.1.4</t>
  </si>
  <si>
    <t>Bota-fora Blocos</t>
  </si>
  <si>
    <t>Wall System</t>
  </si>
  <si>
    <t>Instalações Ar Condicionado e Exaustão</t>
  </si>
  <si>
    <t>Elevador</t>
  </si>
  <si>
    <t>11.2</t>
  </si>
  <si>
    <t>11.2.1</t>
  </si>
  <si>
    <t>11.3</t>
  </si>
  <si>
    <t>11.3.1</t>
  </si>
  <si>
    <t>11.4</t>
  </si>
  <si>
    <t>11.4.1</t>
  </si>
  <si>
    <t>Comissionamentos</t>
  </si>
  <si>
    <t>Instalações Prediais - Comissionamento</t>
  </si>
  <si>
    <t>Instalações Mecânicas - Comisisonamento</t>
  </si>
  <si>
    <t>Serviços Preliminares</t>
  </si>
  <si>
    <t>6.4.</t>
  </si>
  <si>
    <t>Despesas de Consumo</t>
  </si>
  <si>
    <t>Água</t>
  </si>
  <si>
    <t>Energia</t>
  </si>
  <si>
    <t>Divisórias Tipo Escritório - Policarbonato Alveolar</t>
  </si>
  <si>
    <t>Divisórias Tipo Escritório - Policarbonato Alveolar Translúcido</t>
  </si>
  <si>
    <t>Parede - Fórmica Branca</t>
  </si>
  <si>
    <t>15.2.4</t>
  </si>
  <si>
    <t>15.2.5</t>
  </si>
  <si>
    <t>Chapim Granito Cinza Andorinha mat+mo</t>
  </si>
  <si>
    <t>CUSTO TOTAL SEM CONTINGÊNCIA (RASO+BDI)</t>
  </si>
  <si>
    <t>Cabo PP (2 x 2,5 mm)</t>
  </si>
  <si>
    <t>Diba 695</t>
  </si>
  <si>
    <t>Bocal para lâmpada</t>
  </si>
  <si>
    <t>unid</t>
  </si>
  <si>
    <t>Lâmpada</t>
  </si>
  <si>
    <t>Plug macho</t>
  </si>
  <si>
    <t>Plug fêmea</t>
  </si>
  <si>
    <t>Tapume metálico</t>
  </si>
  <si>
    <t>Rio Tapumes</t>
  </si>
  <si>
    <t>Máscara</t>
  </si>
  <si>
    <t>Bota</t>
  </si>
  <si>
    <t>Capacete</t>
  </si>
  <si>
    <t>Cinto de segurança</t>
  </si>
  <si>
    <t>Luva</t>
  </si>
  <si>
    <t>Óculos</t>
  </si>
  <si>
    <t>Tela de proteção</t>
  </si>
  <si>
    <t>rolo</t>
  </si>
  <si>
    <t>Serra mármore</t>
  </si>
  <si>
    <t>Lixadeira</t>
  </si>
  <si>
    <t>JLS</t>
  </si>
  <si>
    <t>Furadeira</t>
  </si>
  <si>
    <t>Martelete 10 Kg</t>
  </si>
  <si>
    <t>Martelete 15 Kg</t>
  </si>
  <si>
    <t>Andaime com 32 m com 4 rodízio e  4 plataformas</t>
  </si>
  <si>
    <t xml:space="preserve">Impermeabilização com manta asfáltica tipo III-4mm </t>
  </si>
  <si>
    <t>12.1.4</t>
  </si>
  <si>
    <t>Emboço Interno paulista</t>
  </si>
  <si>
    <t>Emboço interno sarrafeado</t>
  </si>
  <si>
    <t>Emboço externo paulista</t>
  </si>
  <si>
    <t>Emboço externo sarrafeado</t>
  </si>
  <si>
    <t>Mão de obra - Execução de enchimento de contrapiso</t>
  </si>
  <si>
    <t>Material - Execução argamassa de Regularização</t>
  </si>
  <si>
    <t xml:space="preserve">Mão de obra - Execução argamassa de Regularização </t>
  </si>
  <si>
    <t xml:space="preserve">Mão de obra - Execução proteção primária do piso </t>
  </si>
  <si>
    <t>Material - Execução proteção primária do piso</t>
  </si>
  <si>
    <t xml:space="preserve">Material - Execução impermeabilização com poliuretano </t>
  </si>
  <si>
    <t>Mão de obra - Execução impermeabilização com poliuretano</t>
  </si>
  <si>
    <t xml:space="preserve">Material - Execução Impermeabilização  manta asfáltica tipo III-4mm  </t>
  </si>
  <si>
    <t xml:space="preserve">Mão de obra - Execução Impermeabilização  manta asfáltica tipo III-4mm  </t>
  </si>
  <si>
    <t>Mão de obra - Execução de emboço externo paulista</t>
  </si>
  <si>
    <t>Mão de obra - Execução de emboço externo sarrafeado</t>
  </si>
  <si>
    <t>Decisão</t>
  </si>
  <si>
    <t>07</t>
  </si>
  <si>
    <t>08</t>
  </si>
  <si>
    <t>Cimento (saco 50 Kg)</t>
  </si>
  <si>
    <t xml:space="preserve">Mão de obra - Execução forro de gesso drywall ST </t>
  </si>
  <si>
    <t>Gesso Universo</t>
  </si>
  <si>
    <t xml:space="preserve">Mão de obra - Execução sanca em  forro de gesso drywall ST </t>
  </si>
  <si>
    <t>13.1.4</t>
  </si>
  <si>
    <t>13.1.5</t>
  </si>
  <si>
    <t>13.1.6</t>
  </si>
  <si>
    <t>13.1.7</t>
  </si>
  <si>
    <t>Gesso estuque</t>
  </si>
  <si>
    <t>Mão de obra - Execução gesso estuque</t>
  </si>
  <si>
    <t>Material - Execução da Pastilha Sixties White 5x5cm</t>
  </si>
  <si>
    <t>Mão de obra - Execução da Pastilha Sixties White 5x5cm</t>
  </si>
  <si>
    <t>Material - Execução da cerâmica Antartida 30 x 90 retificada</t>
  </si>
  <si>
    <t>Mão de obra - Execução da cerâmica Antartida 30 x 90 retificada</t>
  </si>
  <si>
    <t>Mão de obra - Execução da cerâmica Beatle AC 10x20</t>
  </si>
  <si>
    <t>Material - Execução da cerâmica Block Off white tel 2,3 x 7,3</t>
  </si>
  <si>
    <t>Mão de obra- Execução da cerâmica Block Off white tel 2,3 x 7,3</t>
  </si>
  <si>
    <t>Material - Execução da pastilha Artico Ref. M6249 2,5 x 5</t>
  </si>
  <si>
    <t>Mão de obra - Execução da pastilha Artico Ref. M6249 2,5 x 5</t>
  </si>
  <si>
    <t>Frete Eliane</t>
  </si>
  <si>
    <t>Atlas (Artec)</t>
  </si>
  <si>
    <t>Amoedo</t>
  </si>
  <si>
    <t>Material - Execução pedra madeira</t>
  </si>
  <si>
    <t>Mão de obra - Execução pedra madeira</t>
  </si>
  <si>
    <t>Todos os mármores</t>
  </si>
  <si>
    <t>Material - Execução piso em taco de madeira Cumaru 40/7</t>
  </si>
  <si>
    <t>Mão de Obra - Execução piso em taco de madeira Cumaru 40/7</t>
  </si>
  <si>
    <t>Lourinho</t>
  </si>
  <si>
    <t>Cola para execução do piso em taco de madeira</t>
  </si>
  <si>
    <t>Material - Execução de rodapé em MDF com revest. em poliestireno</t>
  </si>
  <si>
    <t>Piso vinílico Tarkett, linha Ambienta coleção Rustico</t>
  </si>
  <si>
    <t>Material - Execução do porcelanato 60 x 60 Mineral Argento Nat</t>
  </si>
  <si>
    <t>Material - Execução do porcelanato 90x90cm Karst off white NAT</t>
  </si>
  <si>
    <t>Mão de obra - Execução do porcelanato 90x90cm Karst off white NAT</t>
  </si>
  <si>
    <t>Material - Execução do porcelanato 90x90cm Karst off white EXT</t>
  </si>
  <si>
    <t>Mão de obra - Execução do porcelanato 90x90cm Karst off white EXT</t>
  </si>
  <si>
    <t>Material - Execução do piso vinílico Tarkett, linha Ambienta coleção Rustico</t>
  </si>
  <si>
    <t>Mão de obra - Execução do piso vinílico Tarkett, linha Ambienta coleção Rustico</t>
  </si>
  <si>
    <t>Mão de obra - Execução do porcelanato Alpine white 60x60cm NAT RET</t>
  </si>
  <si>
    <t>Material - Execução do porcelanato Mineral 90x90 NAT</t>
  </si>
  <si>
    <t>Material - Execução do porcelanato Aspen Blanco 80x80</t>
  </si>
  <si>
    <t>Mão de obra - Execução do porcelanato Aspen Blanco 80x80</t>
  </si>
  <si>
    <t>Ekko revestimentos</t>
  </si>
  <si>
    <t>Frete Portobello</t>
  </si>
  <si>
    <t>Parede pedra madeira</t>
  </si>
  <si>
    <t>Material  - Execução de soleira / filetes de granito Santa Cecília</t>
  </si>
  <si>
    <t>ReOficina</t>
  </si>
  <si>
    <t>Material - Frontispício mármore branco Pigues 2 x 0,15</t>
  </si>
  <si>
    <t>Material -  Bancada mármore branco Pigues 1,40 x 0,60</t>
  </si>
  <si>
    <t>Material - Rodapé mármore branco pigues 6, 8 m</t>
  </si>
  <si>
    <t>16.1.3</t>
  </si>
  <si>
    <t>Mão de obra -  Instalação de itens do lavabo</t>
  </si>
  <si>
    <t>Material -  Bancada mármore branco Pigues 2,96 x 0,60</t>
  </si>
  <si>
    <t>Material - Frontispício mármore branco Pigues 2,36 x 0,15</t>
  </si>
  <si>
    <t>Material - Tento mármore branco pigues 1,60 x 0,10 m</t>
  </si>
  <si>
    <t>Material - Soleira mármore branco pigues 0,80 x 0,15</t>
  </si>
  <si>
    <t>Material - Soleira mármore branco pigues 0,75 x 0,15</t>
  </si>
  <si>
    <t>Mão de obra -  Instalação de itens do banheiro hóspede</t>
  </si>
  <si>
    <t>Material - Soleira granito cinza andorinha 5,63 m x 0,15</t>
  </si>
  <si>
    <t>Mão de obra - Instalação de itens da área externa</t>
  </si>
  <si>
    <t>16.1.5</t>
  </si>
  <si>
    <t>Material - Soleira granito cinza andorinha 8,65 m x 0,15</t>
  </si>
  <si>
    <t>Mão de obra - Instalação de itens da varanda superior</t>
  </si>
  <si>
    <t>16.1.6</t>
  </si>
  <si>
    <t>Material - soleira mármore branco piguês 0,65 x 0,15</t>
  </si>
  <si>
    <t>16.1.7</t>
  </si>
  <si>
    <t>Material -  Bancada mármore branco Pigues 1,48 x 0,60</t>
  </si>
  <si>
    <t>Material - Frontispício mármore branco Pigues 2,08 x 0,15</t>
  </si>
  <si>
    <t>Material - Tento mármore branco pigues 2,20 x 0,10 m</t>
  </si>
  <si>
    <t>Mão de obra -  Instalação de itens do banheiro suíte 01</t>
  </si>
  <si>
    <t>16.1.8</t>
  </si>
  <si>
    <t>Banheiro suíte 02 - mármore branco piguês</t>
  </si>
  <si>
    <t>Material -  Bancada mármore branco Pigues 2,03 x 0,60</t>
  </si>
  <si>
    <t>Material - Frontispício mármore branco Pigues 2,63 x 0,15</t>
  </si>
  <si>
    <t>Material - Tento mármore branco pigues 1,80 x 0,10 m</t>
  </si>
  <si>
    <t>Mão de obra -  Instalação de itens do banheiro suíte 02</t>
  </si>
  <si>
    <t>16.1.9</t>
  </si>
  <si>
    <t>Banheiro suíte 03 - mármore branco piguês</t>
  </si>
  <si>
    <t>Material -  Bancada mármore branco Pigues 1,96 x 0,60</t>
  </si>
  <si>
    <t>Material - Frontispício mármore branco Pigues 2,56 x 0,15</t>
  </si>
  <si>
    <t>Mão de obra -  Instalação de itens do banheiro suíte 03</t>
  </si>
  <si>
    <t>Banheiro 01 suíte master</t>
  </si>
  <si>
    <t>Mão de obra -  Instalação de itens do banheiro 01 suíte master</t>
  </si>
  <si>
    <t>Material -  Bancada mármore branco Pigues 2,28 x 0,60</t>
  </si>
  <si>
    <t>Material - Tento mármore branco pigues 1,22 x 0,10 m</t>
  </si>
  <si>
    <t>Banheiro 02 suíte master</t>
  </si>
  <si>
    <t>Material - Frontispício mármore branco Pigues 3,56 x 0,15</t>
  </si>
  <si>
    <t>Material - Tento mármore branco pigues 4,18 x 0,10 m</t>
  </si>
  <si>
    <t>Material - soleira mármore branco piguês 0,90 x 0,15</t>
  </si>
  <si>
    <t>Mão de obra -  Instalação de itens do banheiro 02 suíte master</t>
  </si>
  <si>
    <t>REVESTIMENTOS PAREDE</t>
  </si>
  <si>
    <t>15.2</t>
  </si>
  <si>
    <t>REVESTIMENTOS PISO</t>
  </si>
  <si>
    <t>15.2.6</t>
  </si>
  <si>
    <t>15.2.7</t>
  </si>
  <si>
    <t>15.2.8</t>
  </si>
  <si>
    <t>15.2.9</t>
  </si>
  <si>
    <t>Branex</t>
  </si>
  <si>
    <t>Material - Instalação de Kit porta pronta 70 x 210 (aduela de 12 cm)</t>
  </si>
  <si>
    <t>Mão de obra - Instalação de Kit porta pronta 70 x 210 (aduela de 12 cm)</t>
  </si>
  <si>
    <t>Frete Branex</t>
  </si>
  <si>
    <t>Mão de obra - Execução pintura PVA com emassamento sobre paredes internas</t>
  </si>
  <si>
    <t>Mão de obra - Execução pintura acrílica com emassamento sobre paredes internas</t>
  </si>
  <si>
    <t xml:space="preserve">Mão de obra - Execução de textura </t>
  </si>
  <si>
    <t xml:space="preserve">Mão de obra - Execução pintura PVA com emassamento sobre forro </t>
  </si>
  <si>
    <t xml:space="preserve">Mão de obra - Execução pintura acrílica com emassamento sobre forro </t>
  </si>
  <si>
    <t>SN pintura</t>
  </si>
  <si>
    <t>Mão de obra - Execução de pintura esmalte sobre esquadrias de madeira</t>
  </si>
  <si>
    <t>20.1.3</t>
  </si>
  <si>
    <t xml:space="preserve"> Textura </t>
  </si>
  <si>
    <t>20.1.5</t>
  </si>
  <si>
    <t>Pintura esmalte sobre esquadrias de madeira</t>
  </si>
  <si>
    <t>20.1.6</t>
  </si>
  <si>
    <t>Seguro de obra para residência de 1.100 m² com SS+ 2 pavimentos</t>
  </si>
  <si>
    <t>Bustamante corretora</t>
  </si>
  <si>
    <t>Diária de marceneiro</t>
  </si>
  <si>
    <t>Pote 5,6 Kg</t>
  </si>
  <si>
    <t>Esmalte sintético Suvinil</t>
  </si>
  <si>
    <t>Galão 3,6 L</t>
  </si>
  <si>
    <t>Seladora Suvinil</t>
  </si>
  <si>
    <t>Tinta Suvinil</t>
  </si>
  <si>
    <t>Seladora para textura Ibratin</t>
  </si>
  <si>
    <t>Textura Ibratin</t>
  </si>
  <si>
    <t>N cores</t>
  </si>
  <si>
    <t>Lata 18 L</t>
  </si>
  <si>
    <t>Massa corrida Nova massa</t>
  </si>
  <si>
    <t>Massa corrida para madeira Coral</t>
  </si>
  <si>
    <t>Galão 1,5 Kg</t>
  </si>
  <si>
    <t>21.1.2</t>
  </si>
  <si>
    <t>Cozinha</t>
  </si>
  <si>
    <t>Lavanderia</t>
  </si>
  <si>
    <t>21.1.4</t>
  </si>
  <si>
    <t>Banheiro hóspede e WC churrasqueira</t>
  </si>
  <si>
    <t>21.1.5</t>
  </si>
  <si>
    <t>Churrasqueira</t>
  </si>
  <si>
    <t>21.1.6</t>
  </si>
  <si>
    <t>Banheiros suítes 01, 02 3 03</t>
  </si>
  <si>
    <t>21.1.7</t>
  </si>
  <si>
    <t>Banheiros 01 e 02 suíte master</t>
  </si>
  <si>
    <t>21.1.8</t>
  </si>
  <si>
    <t>Área externa</t>
  </si>
  <si>
    <t>21.1.9</t>
  </si>
  <si>
    <t>Cuba semiencaixe com bojo facetado L1092</t>
  </si>
  <si>
    <t>Bacia convencional linha Duna P7.17</t>
  </si>
  <si>
    <t>Torneira de mesa com chapa bica alta para lavatório 1191.C32</t>
  </si>
  <si>
    <t>Válvula de descarga Hydra Plus Deca 2555 C114</t>
  </si>
  <si>
    <t>Válvula para lavatório</t>
  </si>
  <si>
    <t>Ralo 15 x 15</t>
  </si>
  <si>
    <t>Flexível 40 cm</t>
  </si>
  <si>
    <t>Cuba Acquario AEX 610</t>
  </si>
  <si>
    <t>Franke</t>
  </si>
  <si>
    <t>Monocomando Nokite com bica sacável</t>
  </si>
  <si>
    <t>Acabamento de registro linha Polo Classica 1/2 a 3/4</t>
  </si>
  <si>
    <t>Sifão para lavatório 1 x 11/2</t>
  </si>
  <si>
    <t>Acabamento de registro linha Spin 1/2 a 3/4</t>
  </si>
  <si>
    <t xml:space="preserve">Sifão para Cozinha 11/2"X11/2" Cromado </t>
  </si>
  <si>
    <t>Tanque inox 50 x 40 alto brilho 32 L</t>
  </si>
  <si>
    <t>Torneira de mesa bica móvel Link para tanque 1166 C.LNK</t>
  </si>
  <si>
    <t>Cuba quadrada de embutir L701</t>
  </si>
  <si>
    <t>Chuveiro Acqua plus sem tubo 1990CST</t>
  </si>
  <si>
    <t>Misturador lavatório mesa bica alta linha Polo clássica 1877 C32</t>
  </si>
  <si>
    <t>Ducha Higiênica linha polo clássica 1984.C32.ACT.CR</t>
  </si>
  <si>
    <t>Ralo 10 x 10</t>
  </si>
  <si>
    <t>Monocomando de mesa bica móvel linha Spin 2271.C72.CR</t>
  </si>
  <si>
    <t>Cuba de sobrepor retangular com mesa e válvula oculta L870</t>
  </si>
  <si>
    <t>Cuba de sobrepor retangular com mesa e válvula oculta L147</t>
  </si>
  <si>
    <t>Torneira de jardim DN 15/20 MAX CR</t>
  </si>
  <si>
    <t>Válvula americana para pia de cozinha</t>
  </si>
  <si>
    <t>Maçanetas modelo logus cromado Imab - Ref.: MA0910</t>
  </si>
  <si>
    <t>Dobradiças para portas internas</t>
  </si>
  <si>
    <t>Palácio das Ferramentas</t>
  </si>
  <si>
    <t>01.01.0587</t>
  </si>
  <si>
    <t>Material - Execução borda do porcelanato 90x90cm Karst off white EXT</t>
  </si>
  <si>
    <t>pç</t>
  </si>
  <si>
    <t>01.01.0588</t>
  </si>
  <si>
    <t>Preparo de terreno</t>
  </si>
  <si>
    <t>CATEGORIA</t>
  </si>
  <si>
    <t>CUSTO RASO MATERIAL</t>
  </si>
  <si>
    <t>CUSTO RASO MÃO DE OBRA</t>
  </si>
  <si>
    <t>QTD.</t>
  </si>
  <si>
    <t>MARCENARIA</t>
  </si>
  <si>
    <t>Argamassa regularização (traço 1:3)</t>
  </si>
  <si>
    <t>Proteção primária do piso (traço 1:6)</t>
  </si>
  <si>
    <t>01.01.0589</t>
  </si>
  <si>
    <t>Robozinho para instalação provisória</t>
  </si>
  <si>
    <t>Enei</t>
  </si>
  <si>
    <t>Material - Execução pergolado varanda living</t>
  </si>
  <si>
    <t>Mão de obra - Execução pergolado varanda living</t>
  </si>
  <si>
    <t>Material - Execução pergolado varanda suíte 03</t>
  </si>
  <si>
    <t>Mão de obra - Execução pergolado varanda suíte 03</t>
  </si>
  <si>
    <t>01.01.0590</t>
  </si>
  <si>
    <t>01.01.0591</t>
  </si>
  <si>
    <t>01.01.0592</t>
  </si>
  <si>
    <t>01.01.0593</t>
  </si>
  <si>
    <t>Tecprom</t>
  </si>
  <si>
    <t>Pergolado</t>
  </si>
  <si>
    <t>Material - Bancada de  preto são gabriel 3,62 x 0,60</t>
  </si>
  <si>
    <t>Material - Frontispício até h=15cm de preto são gabriel 4,22 x 0,15</t>
  </si>
  <si>
    <t>Material - Ilhargas dupla de preto são gabriel 0,85 x 0,60</t>
  </si>
  <si>
    <t>Material - Ilha com saia de 5cm de preto são gabriel 3,15 x 0,85</t>
  </si>
  <si>
    <t>Material - Fechamento da ilha de preto são gabriel 8,1 x 0,85</t>
  </si>
  <si>
    <t>Mão de obra  - Instalação dos itens da cozinha</t>
  </si>
  <si>
    <t>01.01.0594</t>
  </si>
  <si>
    <t>01.01.0595</t>
  </si>
  <si>
    <t>01.01.0596</t>
  </si>
  <si>
    <t>01.01.0597</t>
  </si>
  <si>
    <t>01.01.0598</t>
  </si>
  <si>
    <t>01.01.0599</t>
  </si>
  <si>
    <t>Material - Bancada com furo para tanque preto são gabriel 3,51 x 0,60</t>
  </si>
  <si>
    <t>Material - Frontispício até h=15cm de preto são gabriel 3,63 x 0,15</t>
  </si>
  <si>
    <t>Mão de obra  - Instalação dos itens da lavanderia</t>
  </si>
  <si>
    <t>01.01.0600</t>
  </si>
  <si>
    <t>01.01.0601</t>
  </si>
  <si>
    <t>01.01.0602</t>
  </si>
  <si>
    <t>Material - Bancada de  preto são gabriel 4,50 x 0,60</t>
  </si>
  <si>
    <t>Material - Frontispício até h=15cm de preto são gabriel  5,10 x 0,15</t>
  </si>
  <si>
    <t>01.01.0603</t>
  </si>
  <si>
    <t>01.01.0604</t>
  </si>
  <si>
    <t>01.01.0605</t>
  </si>
  <si>
    <t>01.01.0606</t>
  </si>
  <si>
    <t>Material - Ilha com saia de 5cm de preto são gabriel  6,48 x 0,85</t>
  </si>
  <si>
    <t>Mão de obra  - Instalação dos itens da churrasqueira</t>
  </si>
  <si>
    <t>01.01.0607</t>
  </si>
  <si>
    <t>Banheiro churrasqueira</t>
  </si>
  <si>
    <t>01.01.0608</t>
  </si>
  <si>
    <t>01.01.0609</t>
  </si>
  <si>
    <t>01.01.0610</t>
  </si>
  <si>
    <t>Mão de obra  - Instalação dos itens do banheiro da churrasqueira</t>
  </si>
  <si>
    <t>Material - Bancanda com furo para cuba e saia de 15cm de mármore branco piguês 1,97 x 0,6</t>
  </si>
  <si>
    <t>Material - Frontispício até h=15cm de mármore branco piguês 3,17 x 0,15</t>
  </si>
  <si>
    <t>Material - Nicho mármore branco Piguês</t>
  </si>
  <si>
    <t>01.01.0611</t>
  </si>
  <si>
    <t>Valor estimado</t>
  </si>
  <si>
    <t>Escada / varanda suíte 03 / Varanda suíte master / Mirante</t>
  </si>
  <si>
    <t>Material - rodapé granito cinza andorinha altura de  10 cm</t>
  </si>
  <si>
    <t>Mão de obra - instalação rodapé da escada / varanda suíte 03 / varanda suíte master / mirante</t>
  </si>
  <si>
    <t>Material - Execução de pontos de luz, tomada, interruptor, infra estrutura seca para telefone, antena, lógica e rede</t>
  </si>
  <si>
    <t>Materrial - Fornecimento e instalação de um novos quadros de luz</t>
  </si>
  <si>
    <t xml:space="preserve">Material - Infra estrutura seca para sistemas complementares de Audio, Vídeo, Automação e Segurança </t>
  </si>
  <si>
    <t>Material - Fornecimento de material e mão de obra para colocação de acabamentos para tomadas e interruptores linha B-ticino Linha Light - exclusive dimers e/ou dispositivos de automação como Lutron</t>
  </si>
  <si>
    <t>Material - Fornecimento de material e mão de obra para instalação de dimers e/ou dispositivos de automação como Lutron</t>
  </si>
  <si>
    <t>Mão de obra - Execução de pontos de luz, tomada, interruptor, infra estrutura seca para telefone, antena, lógica e rede</t>
  </si>
  <si>
    <t>Mão de obra - Fornecimento e instalação de um novos quadros de luz</t>
  </si>
  <si>
    <t xml:space="preserve">Mão de obra - Infra estrutura seca para sistemas complementares de Audio, Vídeo, Automação e Segurança </t>
  </si>
  <si>
    <t>Mão de obra - Fornecimento de material e mão de obra para instalação de dimers e/ou dispositivos de automação como Lutron</t>
  </si>
  <si>
    <t>Material - Fornecimento e instalação de central telefônica</t>
  </si>
  <si>
    <t>Mão de obra - Instalação de luminárias</t>
  </si>
  <si>
    <t>Mão de obra - Fornecimento e instalação de central telefônica</t>
  </si>
  <si>
    <t>01.01.0612</t>
  </si>
  <si>
    <t>01.01.0613</t>
  </si>
  <si>
    <t>01.01.0614</t>
  </si>
  <si>
    <t>01.01.0615</t>
  </si>
  <si>
    <t>01.01.0616</t>
  </si>
  <si>
    <t>01.01.0617</t>
  </si>
  <si>
    <t>01.01.0618</t>
  </si>
  <si>
    <t>01.01.0619</t>
  </si>
  <si>
    <t>01.01.0620</t>
  </si>
  <si>
    <t>01.01.0621</t>
  </si>
  <si>
    <t>01.01.0622</t>
  </si>
  <si>
    <t>01.01.0623</t>
  </si>
  <si>
    <t>01.01.0624</t>
  </si>
  <si>
    <t>Mão de obra - Fornecimento de material e mão de obra para colocação de acabamentos para tomadas e interruptores linha B-ticino Linha Light - exclusive dimers e/ou dispositivos de automação como Lutron</t>
  </si>
  <si>
    <t>11.1.2</t>
  </si>
  <si>
    <t>Instalações hidrosanitárias</t>
  </si>
  <si>
    <t>Material - Instalações hidráulicas de água fria (PVC marrom)</t>
  </si>
  <si>
    <t>Material - Colunas (ventilação, esgoto, AF, AQ)</t>
  </si>
  <si>
    <t>Material - Distribuição da tubulação pelo teto</t>
  </si>
  <si>
    <t>Material - Instalação dos drenos dos ar condicionados novos</t>
  </si>
  <si>
    <t>Mão de obra - Instalações hidráulicas de água fria (PVC marrom)</t>
  </si>
  <si>
    <t>Mão de obra - Instalações hidráulicas água quente (CPVC)</t>
  </si>
  <si>
    <t>Material - Instalações hidráulicas água quente (CPVC)</t>
  </si>
  <si>
    <t>Mão de obra - Instalações sanitárias</t>
  </si>
  <si>
    <t>Mão de obra - Colunas (ventilação, esgoto, AF, AQ)</t>
  </si>
  <si>
    <t>Mão de obra - Distribuição da tubulação pelo teto</t>
  </si>
  <si>
    <t>Mão de obra - Instalação dos drenos dos ar condicionados novos</t>
  </si>
  <si>
    <t>01.01.0625</t>
  </si>
  <si>
    <t>01.01.0626</t>
  </si>
  <si>
    <t>01.01.0627</t>
  </si>
  <si>
    <t>01.01.0628</t>
  </si>
  <si>
    <t>01.01.0629</t>
  </si>
  <si>
    <t>01.01.0630</t>
  </si>
  <si>
    <t>01.01.0631</t>
  </si>
  <si>
    <t>01.01.0632</t>
  </si>
  <si>
    <t>01.01.0633</t>
  </si>
  <si>
    <t>01.01.0634</t>
  </si>
  <si>
    <t>01.01.0635</t>
  </si>
  <si>
    <t>01.01.0636</t>
  </si>
  <si>
    <t>01.01.0637</t>
  </si>
  <si>
    <t>Material - Instalação bancada branco prime 70 x 33</t>
  </si>
  <si>
    <t>Mão de obra - Instalação bancada branco prime 70 x 33</t>
  </si>
  <si>
    <t>Material - Instalação bancada branco prime 130 x 40</t>
  </si>
  <si>
    <t>Mão de obra - Instalação bancada branco prime 130 x 40</t>
  </si>
  <si>
    <t>01.01.0638</t>
  </si>
  <si>
    <t>01.01.0639</t>
  </si>
  <si>
    <t>01.01.0640</t>
  </si>
  <si>
    <t>Material - Soleiras/filetes branco prime</t>
  </si>
  <si>
    <t>01.01.0641</t>
  </si>
  <si>
    <t>01.01.0642</t>
  </si>
  <si>
    <t>01.01.0643</t>
  </si>
  <si>
    <t>01.01.0644</t>
  </si>
  <si>
    <t>01.01.0645</t>
  </si>
  <si>
    <t>Cuba de embutir redonda 360 x 360 Branca Deca</t>
  </si>
  <si>
    <t>Torneira de mesa para lavatório bica alta Link - Deca</t>
  </si>
  <si>
    <t>Bacia convencional Vogue Plus branca</t>
  </si>
  <si>
    <t>Assento sanitário em polipropileno Vogue plus branco gelo - Deca</t>
  </si>
  <si>
    <t>01.01.0646</t>
  </si>
  <si>
    <t>Kit de instalação para bacia convencional com fixação lateral - Deca</t>
  </si>
  <si>
    <t>01.01.0647</t>
  </si>
  <si>
    <t>01.01.0648</t>
  </si>
  <si>
    <t>MOBILIÁRIO</t>
  </si>
  <si>
    <t>01.01.0649</t>
  </si>
  <si>
    <t>01.01.0650</t>
  </si>
  <si>
    <t>01.01.0651</t>
  </si>
  <si>
    <t>01.01.0652</t>
  </si>
  <si>
    <t>01.01.0653</t>
  </si>
  <si>
    <t>JMG</t>
  </si>
  <si>
    <t xml:space="preserve">Mão de obra - Instalações hidráulicas de água fria </t>
  </si>
  <si>
    <t>01.01.0654</t>
  </si>
  <si>
    <t>01.01.0655</t>
  </si>
  <si>
    <t>01.01.0656</t>
  </si>
  <si>
    <t>01.01.0657</t>
  </si>
  <si>
    <t>01.01.0658</t>
  </si>
  <si>
    <t>01.01.0659</t>
  </si>
  <si>
    <t>01.01.0660</t>
  </si>
  <si>
    <t>01.01.0661</t>
  </si>
  <si>
    <t>01.01.0662</t>
  </si>
  <si>
    <t>Mão de obra - Fornecimento e instalação de um novo quadro de luz</t>
  </si>
  <si>
    <t>Mão de obra - Fornecimento de material e mão de obra para colocação de acabamentos para tomadas e interruptores linha Pial Legrand</t>
  </si>
  <si>
    <t>Material - Fornecimento e instalação de um novo quadro de luz</t>
  </si>
  <si>
    <t xml:space="preserve">Material - Porcelanato Ionic Steel 60 x 120 </t>
  </si>
  <si>
    <t>Material - Revestimento em Quartzo Unsui Polido</t>
  </si>
  <si>
    <t>Mão de obra - Revestimento em Quartzo Unsui Polido</t>
  </si>
  <si>
    <t>Material - Pastilha RV Bisote Black 7,5 x 15,5</t>
  </si>
  <si>
    <t>01.01.0663</t>
  </si>
  <si>
    <t>01.01.0664</t>
  </si>
  <si>
    <t>01.01.0665</t>
  </si>
  <si>
    <t>01.01.0666</t>
  </si>
  <si>
    <t>01.01.0667</t>
  </si>
  <si>
    <t>01.01.0668</t>
  </si>
  <si>
    <t>Piso carpete</t>
  </si>
  <si>
    <t>Material - Instalação de carpete em placas</t>
  </si>
  <si>
    <t>Mão de obra - Instalação de carpete em placas</t>
  </si>
  <si>
    <t>Material - Pintura cor de elefante acabamento acetinado</t>
  </si>
  <si>
    <t>Mão de obra - Pintura cor de elefante acabamento acetinado</t>
  </si>
  <si>
    <t>Material  - Textura cor de elefante efeito mármore</t>
  </si>
  <si>
    <t>Mão de obra  - Textura cor de elefante efeito mármore</t>
  </si>
  <si>
    <t>Material  - Textura Coverstone bege</t>
  </si>
  <si>
    <t>Mão de obra  - Textura Coverstone bege</t>
  </si>
  <si>
    <t>01.01.0669</t>
  </si>
  <si>
    <t>01.01.0670</t>
  </si>
  <si>
    <t>01.01.0671</t>
  </si>
  <si>
    <t>01.01.0672</t>
  </si>
  <si>
    <t>01.01.0673</t>
  </si>
  <si>
    <t>01.01.0674</t>
  </si>
  <si>
    <t>Textura Coverstone bege</t>
  </si>
  <si>
    <t>Santa Sofia</t>
  </si>
  <si>
    <t>Material - cuba de semi encaixe branca 47 x 41 Roca</t>
  </si>
  <si>
    <t>Material - cuba de apoio Loop branca Roca</t>
  </si>
  <si>
    <t>Material - lavatório suspenso dama N 50x32 branca Roca</t>
  </si>
  <si>
    <t>Material - torneira de mesa bica alta fusion Roca</t>
  </si>
  <si>
    <t>Material - bacia com caixa acoplada nexo OR branca Roca</t>
  </si>
  <si>
    <t>Material - torneira de mesa bica alta singles one Roca</t>
  </si>
  <si>
    <t>Material - torneira de mesa bica alta vega Roca</t>
  </si>
  <si>
    <t>01.01.0675</t>
  </si>
  <si>
    <t>01.01.0676</t>
  </si>
  <si>
    <t>01.01.0677</t>
  </si>
  <si>
    <t>01.01.0678</t>
  </si>
  <si>
    <t>01.01.0679</t>
  </si>
  <si>
    <t>01.01.0680</t>
  </si>
  <si>
    <t>01.01.0681</t>
  </si>
  <si>
    <t>Ncores</t>
  </si>
  <si>
    <t>Barrica 21 Kg</t>
  </si>
  <si>
    <t>Galão 2,8 L</t>
  </si>
  <si>
    <t>Barra vidros</t>
  </si>
  <si>
    <t>01.01.0682</t>
  </si>
  <si>
    <t>Instalação espelho banheiros 01 a 04 (MAT + MO)</t>
  </si>
  <si>
    <t>Frete Santa Sofia</t>
  </si>
  <si>
    <t>01.01.0683</t>
  </si>
  <si>
    <t>Material - Fornecimento e isntalação bancada preto são gabriel</t>
  </si>
  <si>
    <t>Mão de obra - Fornecimento e isntalação bancada preto são gabriel</t>
  </si>
  <si>
    <t>01.01.0684</t>
  </si>
  <si>
    <t>01.01.0685</t>
  </si>
  <si>
    <t>Material - Fornecimento e instalação de forro removível</t>
  </si>
  <si>
    <t>Mão de obra - Fornecimento e instalação de forro removível</t>
  </si>
  <si>
    <t>01.01.0686</t>
  </si>
  <si>
    <t>01.01.0687</t>
  </si>
  <si>
    <t>Forro Removível</t>
  </si>
  <si>
    <t>Fornecimento e instalação de divisórias de vidro V1</t>
  </si>
  <si>
    <t>Fornecimento e instalação de divisórias de vidro V6</t>
  </si>
  <si>
    <t>01.01.0688</t>
  </si>
  <si>
    <t>01.01.0689</t>
  </si>
  <si>
    <t xml:space="preserve">Drywall </t>
  </si>
  <si>
    <t>Marcenaria</t>
  </si>
  <si>
    <t>Execução de marcenaria (mat + mo)</t>
  </si>
  <si>
    <t>01.01.0690</t>
  </si>
  <si>
    <t>27.</t>
  </si>
  <si>
    <t>27.1</t>
  </si>
  <si>
    <t>27.1.1</t>
  </si>
  <si>
    <t>23.1</t>
  </si>
  <si>
    <t>23.1.1</t>
  </si>
  <si>
    <t>22</t>
  </si>
  <si>
    <t>Braz 66</t>
  </si>
  <si>
    <t>Execução das instalações elétricas (mat + mo)</t>
  </si>
  <si>
    <t>Execução das instalações hidrosanitárias (mat + mo)</t>
  </si>
  <si>
    <t>01.01.0691</t>
  </si>
  <si>
    <t>01.01.0692</t>
  </si>
  <si>
    <t>01.01.0693</t>
  </si>
  <si>
    <t>Material - luminárias</t>
  </si>
  <si>
    <t>01.01.0694</t>
  </si>
  <si>
    <t>26.</t>
  </si>
  <si>
    <t>26.1</t>
  </si>
  <si>
    <t>26.1.1</t>
  </si>
  <si>
    <t>01.01.0695</t>
  </si>
  <si>
    <t>01.01.0696</t>
  </si>
  <si>
    <t>01.01.0697</t>
  </si>
  <si>
    <t>01.01.0698</t>
  </si>
  <si>
    <t>TOKSTOK</t>
  </si>
  <si>
    <t>ALBERFLEX</t>
  </si>
  <si>
    <t xml:space="preserve">BROOKLYN BANCO BAIXO 37X37 - COR CINZA ESCURO </t>
  </si>
  <si>
    <t xml:space="preserve">BANCO FABRIC MÉDIO </t>
  </si>
  <si>
    <t xml:space="preserve">PATSIE CADEIRA PRETA </t>
  </si>
  <si>
    <t>28.</t>
  </si>
  <si>
    <t>28.1</t>
  </si>
  <si>
    <t>28.1.1</t>
  </si>
  <si>
    <t>27</t>
  </si>
  <si>
    <t>CADEIRA PRETA C/ RODÍZIO - NET-ON</t>
  </si>
  <si>
    <t>Forro dry wall</t>
  </si>
  <si>
    <t>01.01.0699</t>
  </si>
  <si>
    <t xml:space="preserve">Andaime de 4,0 m altura com rodízio e plataforma </t>
  </si>
  <si>
    <t>Mão de obra - Pintura com emassamento</t>
  </si>
  <si>
    <t>01.01.0700</t>
  </si>
  <si>
    <t>MO própria</t>
  </si>
  <si>
    <t>Material - Seladora Coral</t>
  </si>
  <si>
    <t>Material - Massa corrida Coral</t>
  </si>
  <si>
    <t>Material - Tinta Coral</t>
  </si>
  <si>
    <t>01.01.0701</t>
  </si>
  <si>
    <t>01.01.0702</t>
  </si>
  <si>
    <t>01.01.0703</t>
  </si>
  <si>
    <t>Lata 18L</t>
  </si>
  <si>
    <t>Coral</t>
  </si>
  <si>
    <t>Cobertura metálica (MO + MAT)</t>
  </si>
  <si>
    <t>D'Angelli</t>
  </si>
  <si>
    <t>01.01.0704</t>
  </si>
  <si>
    <t>Marco Piso (piso marmorizado)</t>
  </si>
  <si>
    <t>01.01.0705</t>
  </si>
  <si>
    <t>01.01.0706</t>
  </si>
  <si>
    <t>01.01.0707</t>
  </si>
  <si>
    <t>01.01.0708</t>
  </si>
  <si>
    <t xml:space="preserve">Material - Soleira capão vermelho </t>
  </si>
  <si>
    <t>01.01.0709</t>
  </si>
  <si>
    <t>01.01.0710</t>
  </si>
  <si>
    <t>Blindex das portas hidrantes</t>
  </si>
  <si>
    <t>Blindex portas dos hidrantes</t>
  </si>
  <si>
    <t>01.01.0711</t>
  </si>
  <si>
    <t>Porta corta fogo</t>
  </si>
  <si>
    <t>Jardineiras</t>
  </si>
  <si>
    <t>01.01.0712</t>
  </si>
  <si>
    <t>Seguro responsabilidade civil e cruzada</t>
  </si>
  <si>
    <t>01.01.0713</t>
  </si>
  <si>
    <t>01.01.0714</t>
  </si>
  <si>
    <t>Paredes e painéis</t>
  </si>
  <si>
    <t>Tapume (Docas + área de vivência)</t>
  </si>
  <si>
    <t>Trelar madeiras</t>
  </si>
  <si>
    <t>01.01.0715</t>
  </si>
  <si>
    <t>Mobiliário para barraco</t>
  </si>
  <si>
    <t>01.01.0716</t>
  </si>
  <si>
    <t>01.01.0717</t>
  </si>
  <si>
    <t>Itens diversos de instalações provisórias</t>
  </si>
  <si>
    <t>01.01.0718</t>
  </si>
  <si>
    <t>AUX. ALMOXARIFE (diurno)</t>
  </si>
  <si>
    <t>PROFISSIONAL (noturno)</t>
  </si>
  <si>
    <t>AJUDANTE (noturno)</t>
  </si>
  <si>
    <t>TÉC SEGURANÇA (noturno)</t>
  </si>
  <si>
    <t>04.2.2</t>
  </si>
  <si>
    <t>Plástico bolha</t>
  </si>
  <si>
    <t>Chapa compensando 10 mm (1,1 x 2,2)</t>
  </si>
  <si>
    <t>01.01.0719</t>
  </si>
  <si>
    <t>01.01.0720</t>
  </si>
  <si>
    <t xml:space="preserve">Material - Chapim capão vermelho </t>
  </si>
  <si>
    <t>01.01.0721</t>
  </si>
  <si>
    <t>13.1.2</t>
  </si>
  <si>
    <t xml:space="preserve">Concreto ciclópico </t>
  </si>
  <si>
    <t>01.01.0722</t>
  </si>
  <si>
    <t>01.01.0723</t>
  </si>
  <si>
    <t>01.01.0724</t>
  </si>
  <si>
    <t>AJUDANTE (diurno)</t>
  </si>
  <si>
    <t>Porta Corta Fogo 1,60 x 2,10</t>
  </si>
  <si>
    <t>01.01.0725</t>
  </si>
  <si>
    <t>01.01.0726</t>
  </si>
  <si>
    <t>01.01.0727</t>
  </si>
  <si>
    <t>01.01.0728</t>
  </si>
  <si>
    <t>Instalações ar condicionado e exaustão (mat + mo)</t>
  </si>
  <si>
    <t>Container marítimo 20 pés</t>
  </si>
  <si>
    <t>01.01.0729</t>
  </si>
  <si>
    <t>Eurobras</t>
  </si>
  <si>
    <t>Frete container marítimo</t>
  </si>
  <si>
    <t>01.01.0730</t>
  </si>
  <si>
    <t>Locar Munck</t>
  </si>
  <si>
    <t>01.01.0731</t>
  </si>
  <si>
    <t>Balde 18 L</t>
  </si>
  <si>
    <t>Bianco Vedacit</t>
  </si>
  <si>
    <t>Shaft</t>
  </si>
  <si>
    <t>Angelus</t>
  </si>
  <si>
    <t>01.01.0732</t>
  </si>
  <si>
    <t>Fixo</t>
  </si>
  <si>
    <t xml:space="preserve">Locação conjunto de cadeira suspensa </t>
  </si>
  <si>
    <t>01.01.0733</t>
  </si>
  <si>
    <t>Montagem e desmontagem conjunto cadeira suspensa</t>
  </si>
  <si>
    <t>01.01.0734</t>
  </si>
  <si>
    <t>01.01.0735</t>
  </si>
  <si>
    <t>01.01.0736</t>
  </si>
  <si>
    <t>Locação balancim elétrico de 8 m</t>
  </si>
  <si>
    <t>Locação torre auxiliar para fixação balancim elétrico  com contrapeso</t>
  </si>
  <si>
    <t>Montagem e desmontagem de balancim elétrico fixado em torre auxiliar com contrapeso</t>
  </si>
  <si>
    <t>01.01.0737</t>
  </si>
  <si>
    <t>Frete equipamentos de acesso</t>
  </si>
  <si>
    <t>01.01.0738</t>
  </si>
  <si>
    <t>Reparos na impermeabilização da cobertura devido abertura de furos</t>
  </si>
  <si>
    <t>01.01.0739</t>
  </si>
  <si>
    <t>Furos no concreto</t>
  </si>
  <si>
    <t>01.01.0740</t>
  </si>
  <si>
    <t>04.2.3</t>
  </si>
  <si>
    <t>Perfuração do concreto</t>
  </si>
  <si>
    <t>Equipamentos de proteção coletiva</t>
  </si>
  <si>
    <t>03.3</t>
  </si>
  <si>
    <t>03.3.1</t>
  </si>
  <si>
    <t>Proteção de periferia</t>
  </si>
  <si>
    <t>Linha de vida</t>
  </si>
  <si>
    <t>01.01.0741</t>
  </si>
  <si>
    <t>01.01.0742</t>
  </si>
  <si>
    <t>Locação andaime de 8 m extensão com balanço</t>
  </si>
  <si>
    <t>01.01.0743</t>
  </si>
  <si>
    <t>Montagem e desmontagem de andaime de 8 m de extensão com balanço</t>
  </si>
  <si>
    <t>01.01.0744</t>
  </si>
  <si>
    <t>Jardineira - caixa metálica</t>
  </si>
  <si>
    <t>Belchior</t>
  </si>
  <si>
    <t>01.01.0745</t>
  </si>
  <si>
    <t xml:space="preserve">Material - Jardineira - caixa metálica </t>
  </si>
  <si>
    <t xml:space="preserve">Mão de obra - Jardineira - caixa metálica </t>
  </si>
  <si>
    <t>01.01.0746</t>
  </si>
  <si>
    <t>Material - Guarda corpo com vidro</t>
  </si>
  <si>
    <t>Mão de obra - Guarda corpo com vidro</t>
  </si>
  <si>
    <t>01.01.0747</t>
  </si>
  <si>
    <t>01.01.0748</t>
  </si>
  <si>
    <t>01.01.0749</t>
  </si>
  <si>
    <t>Proteção piso e lycra para forro e equipamentos</t>
  </si>
  <si>
    <t>Lycra</t>
  </si>
  <si>
    <t>Mercado livre</t>
  </si>
  <si>
    <t>01.01.0750</t>
  </si>
  <si>
    <t>Retirada guarda corpo existentes</t>
  </si>
  <si>
    <t>01.01.0751</t>
  </si>
  <si>
    <t>Plataforma elevatória de 7 m (tesourinha)</t>
  </si>
  <si>
    <t>Frete para plataforma elevatória</t>
  </si>
  <si>
    <t>01.01.0752</t>
  </si>
  <si>
    <t>01.01.0753</t>
  </si>
  <si>
    <t>Precisão</t>
  </si>
  <si>
    <t>Material - Dry wall parede e forro</t>
  </si>
  <si>
    <t>Gesso Impacto</t>
  </si>
  <si>
    <t>01.01.0754</t>
  </si>
  <si>
    <t>01.01.0755</t>
  </si>
  <si>
    <t>Mão de obra - Dry wall parede e forro (encarregado+ 8 profissionais + 16 ajudantes)</t>
  </si>
  <si>
    <t>01.01.0756</t>
  </si>
  <si>
    <t>Refletores 100 W</t>
  </si>
  <si>
    <t>Torre de iluminação</t>
  </si>
  <si>
    <t>Martelete pneumático 30 Kg</t>
  </si>
  <si>
    <t>Compressor 185 PCM para 2 marteletes</t>
  </si>
  <si>
    <t>Lance de mangueira c/ 20 m</t>
  </si>
  <si>
    <t>Cortador de piso</t>
  </si>
  <si>
    <t>Disco corte</t>
  </si>
  <si>
    <t>Veículo (Kombi, Bongo,etc)</t>
  </si>
  <si>
    <t>01.01.0757</t>
  </si>
  <si>
    <t>01.01.0758</t>
  </si>
  <si>
    <t>01.01.0759</t>
  </si>
  <si>
    <t>01.01.0760</t>
  </si>
  <si>
    <t>01.01.0761</t>
  </si>
  <si>
    <t>01.01.0762</t>
  </si>
  <si>
    <t>01.01.0763</t>
  </si>
  <si>
    <t>01.01.0764</t>
  </si>
  <si>
    <t>01.01.0765</t>
  </si>
  <si>
    <t>01.01.0766</t>
  </si>
  <si>
    <t>01.01.0767</t>
  </si>
  <si>
    <t>Gerador portátil 8 Kva</t>
  </si>
  <si>
    <t>Montalto</t>
  </si>
  <si>
    <t>Solumaq</t>
  </si>
  <si>
    <t>casa do construtor</t>
  </si>
  <si>
    <t>Soluguel</t>
  </si>
  <si>
    <t>Veículo (Kombi)</t>
  </si>
  <si>
    <t>Locação de equipamentos diversos</t>
  </si>
  <si>
    <t>Módulo habitacional banheiro</t>
  </si>
  <si>
    <t>Banheiro químico</t>
  </si>
  <si>
    <t>01.01.0768</t>
  </si>
  <si>
    <t xml:space="preserve">Frete equipamentos </t>
  </si>
  <si>
    <t>01.01.0769</t>
  </si>
  <si>
    <t>Diesel</t>
  </si>
  <si>
    <t>L</t>
  </si>
  <si>
    <t>01.01.0770</t>
  </si>
  <si>
    <t>Compactador de solo</t>
  </si>
  <si>
    <t>01.01.0771</t>
  </si>
  <si>
    <t>Giranda com 100 metros</t>
  </si>
  <si>
    <t>01.01.0772</t>
  </si>
  <si>
    <t>Carta fiança (10% valor)</t>
  </si>
  <si>
    <t>01.01.0773</t>
  </si>
  <si>
    <t>TÉC SEGURANÇA (diurno)</t>
  </si>
  <si>
    <t>ADMNISTRATIVO (diurno)</t>
  </si>
  <si>
    <t>PROFISSIONAL (diurno)</t>
  </si>
  <si>
    <t>ENCARREGADO (diurno)</t>
  </si>
  <si>
    <t>Isolamento área de trabalho</t>
  </si>
  <si>
    <t>Vibrador de concreto de 35 mm com motor</t>
  </si>
  <si>
    <t>01.01.0774</t>
  </si>
  <si>
    <t>Hidrojato</t>
  </si>
  <si>
    <t>01.01.0775</t>
  </si>
  <si>
    <t>5.4.</t>
  </si>
  <si>
    <t>Topografia</t>
  </si>
  <si>
    <t>Topógrafo</t>
  </si>
  <si>
    <t>diária</t>
  </si>
  <si>
    <t>01.01.0776</t>
  </si>
  <si>
    <t>01.01.0777</t>
  </si>
  <si>
    <t>Diária</t>
  </si>
  <si>
    <t>Rental Munck</t>
  </si>
  <si>
    <t>Caminhão Munck  (com peça para transporte )</t>
  </si>
  <si>
    <t>ENG PRODUÇÃO (diurno)</t>
  </si>
  <si>
    <t>ENCARREGADO (Noturno)</t>
  </si>
  <si>
    <t>01.01.0778</t>
  </si>
  <si>
    <t>Refletores 400 W</t>
  </si>
  <si>
    <t>Madeirasmadeiras</t>
  </si>
  <si>
    <t>Retroescavadeira com operador</t>
  </si>
  <si>
    <t>01.01.0779</t>
  </si>
  <si>
    <t>01.01.0780</t>
  </si>
  <si>
    <t>Bomba submersa</t>
  </si>
  <si>
    <t>Mangote para bomba 20 m</t>
  </si>
  <si>
    <t>01.01.0781</t>
  </si>
  <si>
    <t>Traçador</t>
  </si>
  <si>
    <t>01.01.0782</t>
  </si>
  <si>
    <t>01.01.0783</t>
  </si>
  <si>
    <t>RL</t>
  </si>
  <si>
    <t>Locação andaime fachadeiro</t>
  </si>
  <si>
    <t>Mão de obra para montagem e desmontagem de andaime fachadeiro</t>
  </si>
  <si>
    <t>01.01.0784</t>
  </si>
  <si>
    <t>01.01.0785</t>
  </si>
  <si>
    <t>Andaimes - Estação de trabalho</t>
  </si>
  <si>
    <t>01.01.0786</t>
  </si>
  <si>
    <t>Monterrey</t>
  </si>
  <si>
    <t>Caixa d' agua 10.000 L</t>
  </si>
  <si>
    <t>01.01.0787</t>
  </si>
  <si>
    <t>Bomba de recalque água</t>
  </si>
  <si>
    <t>01.01.0788</t>
  </si>
  <si>
    <t>Documentação de segurança do trabalho</t>
  </si>
  <si>
    <t>Revisão do PCMAT</t>
  </si>
  <si>
    <t>Mapa de risco por fase da obra</t>
  </si>
  <si>
    <t>PCMAT por fase da obra</t>
  </si>
  <si>
    <t>Revisão do PCMSO</t>
  </si>
  <si>
    <t>Implantação e gerenciamento da CIPA</t>
  </si>
  <si>
    <t>Treinamento para CIPA</t>
  </si>
  <si>
    <t>01.01.0789</t>
  </si>
  <si>
    <t>01.01.0790</t>
  </si>
  <si>
    <t>01.01.0791</t>
  </si>
  <si>
    <t>01.01.0792</t>
  </si>
  <si>
    <t>01.01.0793</t>
  </si>
  <si>
    <t>01.01.0794</t>
  </si>
  <si>
    <t>01.01.0795</t>
  </si>
  <si>
    <t>01.01.0796</t>
  </si>
  <si>
    <t>01.01.0797</t>
  </si>
  <si>
    <t>SES</t>
  </si>
  <si>
    <t>01.01.0798</t>
  </si>
  <si>
    <t>Argamassa polimérica</t>
  </si>
  <si>
    <t>Preparo da superfície</t>
  </si>
  <si>
    <t>01.01.0799</t>
  </si>
  <si>
    <t>01.01.0800</t>
  </si>
  <si>
    <t>Impermeabilizante oleofugante</t>
  </si>
  <si>
    <t>LT</t>
  </si>
  <si>
    <t>Rejunte chumbo 10 Kg</t>
  </si>
  <si>
    <t>sc</t>
  </si>
  <si>
    <t>Eliane Linear White  Matte 10 x 30</t>
  </si>
  <si>
    <t>Eliane Linear Gray  Matte 10 x 30</t>
  </si>
  <si>
    <t>Santa Alda Tijolo Branco 10 x 20</t>
  </si>
  <si>
    <t>Biancogres Chicago Gridio 83 x 83</t>
  </si>
  <si>
    <t>Decortiles Home AC  60 x 120</t>
  </si>
  <si>
    <t>Portinari Porcelanato Silicato HD GR Hard 90 x 90</t>
  </si>
  <si>
    <t>01.01.0801</t>
  </si>
  <si>
    <t>01.01.0802</t>
  </si>
  <si>
    <t>01.01.0803</t>
  </si>
  <si>
    <t>01.01.0804</t>
  </si>
  <si>
    <t>01.01.0805</t>
  </si>
  <si>
    <t>01.01.0806</t>
  </si>
  <si>
    <t>01.01.0807</t>
  </si>
  <si>
    <t>01.01.0808</t>
  </si>
  <si>
    <t>01.01.0809</t>
  </si>
  <si>
    <t>01.01.0810</t>
  </si>
  <si>
    <t>01.01.0811</t>
  </si>
  <si>
    <t>Eliane Linear Black  Matte 10 x 30</t>
  </si>
  <si>
    <t>Castelatto Painel piso Paris 100 x 100 chumbo</t>
  </si>
  <si>
    <t>Inove</t>
  </si>
  <si>
    <t>01.01.0812</t>
  </si>
  <si>
    <t>09.1.4</t>
  </si>
  <si>
    <t>Bandeja metálica para laje</t>
  </si>
  <si>
    <t>Banheiro suíte</t>
  </si>
  <si>
    <t>Banheiro social</t>
  </si>
  <si>
    <t>Lavabo</t>
  </si>
  <si>
    <t>Horigran</t>
  </si>
  <si>
    <t>Bancada de branco prime 1,32 x 0,55</t>
  </si>
  <si>
    <t>Bancada de branco prime 1,14 x 0,55</t>
  </si>
  <si>
    <t>Tento duplo de branco prime 1,27 x 0,10</t>
  </si>
  <si>
    <t>Tento duplo de branco prime 1,70 x 0,10</t>
  </si>
  <si>
    <t>Nicho de branco prime b. suíte</t>
  </si>
  <si>
    <t>Nicho de branco prime b. social</t>
  </si>
  <si>
    <t>Bancada branco nanoglass 0,90 x 0,55</t>
  </si>
  <si>
    <t>Bancada molhada e seca preto são gabriel</t>
  </si>
  <si>
    <t>Soco preto são gabriel</t>
  </si>
  <si>
    <t>Bancada preto são gabriel 1,21 x 0,60</t>
  </si>
  <si>
    <t>01.01.0813</t>
  </si>
  <si>
    <t>01.01.0814</t>
  </si>
  <si>
    <t>01.01.0815</t>
  </si>
  <si>
    <t>01.01.0816</t>
  </si>
  <si>
    <t>01.01.0817</t>
  </si>
  <si>
    <t>01.01.0818</t>
  </si>
  <si>
    <t>01.01.0819</t>
  </si>
  <si>
    <t>01.01.0820</t>
  </si>
  <si>
    <t>01.01.0821</t>
  </si>
  <si>
    <t>01.01.0822</t>
  </si>
  <si>
    <t>Esquadrias de alumínio</t>
  </si>
  <si>
    <t>Porta de alumínio da varanda</t>
  </si>
  <si>
    <t>Janela de alumínio da cozinha</t>
  </si>
  <si>
    <t>Janela de alumínio do quarto extra</t>
  </si>
  <si>
    <t>Retirada e recolocação das esquadrias existentes dos quartos</t>
  </si>
  <si>
    <t>Esquadriplan</t>
  </si>
  <si>
    <t>01.01.0823</t>
  </si>
  <si>
    <t>01.01.0824</t>
  </si>
  <si>
    <t>01.01.0825</t>
  </si>
  <si>
    <t>01.01.0826</t>
  </si>
  <si>
    <t>Espelhos</t>
  </si>
  <si>
    <t>Espelhos 4 mm B. suíte, B. social e lavabo</t>
  </si>
  <si>
    <t>Box para B. suíte e B. social</t>
  </si>
  <si>
    <t>01.01.0827</t>
  </si>
  <si>
    <t>01.01.0828</t>
  </si>
  <si>
    <t>Louças e metais (material) do lavabo, área serviço, b . Social e suíte, cozinha e churrasqueira</t>
  </si>
  <si>
    <t>01.01.0829</t>
  </si>
  <si>
    <t>01.01.0830</t>
  </si>
  <si>
    <t>01.01.0831</t>
  </si>
  <si>
    <t>Execução de um ponto de Split 22.000 BTU</t>
  </si>
  <si>
    <t>01.01.0832</t>
  </si>
  <si>
    <t>Execução de pergolado</t>
  </si>
  <si>
    <t>01.01.0833</t>
  </si>
  <si>
    <t>Esquadrias de madeira</t>
  </si>
  <si>
    <t>17.1.7</t>
  </si>
  <si>
    <t>Fornecimento e instalação das portas do corredor e quarto extra</t>
  </si>
  <si>
    <t>Fornecimento e instalação da porta de correr da área de serviço</t>
  </si>
  <si>
    <t>Fornecimento e instalação da porta de correr com 3 folhas da cozinha</t>
  </si>
  <si>
    <t>Remanejamento de portas</t>
  </si>
  <si>
    <t>01.01.0834</t>
  </si>
  <si>
    <t>01.01.0835</t>
  </si>
  <si>
    <t>01.01.0836</t>
  </si>
  <si>
    <t>01.01.0837</t>
  </si>
  <si>
    <t>Sala e quartos</t>
  </si>
  <si>
    <t>01.01.0838</t>
  </si>
  <si>
    <t>Bancada em Inox</t>
  </si>
  <si>
    <t>01.01.0839</t>
  </si>
  <si>
    <t>Sob medida inox</t>
  </si>
  <si>
    <t>Área de serviço / cozinha</t>
  </si>
  <si>
    <t>Ycrad</t>
  </si>
  <si>
    <t>Betoneira</t>
  </si>
  <si>
    <t>01.01.0840</t>
  </si>
  <si>
    <t>Fornecimento e aplicação de chapa XPS</t>
  </si>
  <si>
    <t>Cinasita</t>
  </si>
  <si>
    <t>01.01.0841</t>
  </si>
  <si>
    <t>01.01.0842</t>
  </si>
  <si>
    <t>Aprovação prefeitura</t>
  </si>
  <si>
    <t>Projetos e consultorias</t>
  </si>
  <si>
    <t>Isolamento térmico</t>
  </si>
  <si>
    <t>Cruzada</t>
  </si>
  <si>
    <t>Execução da argamassa de regularização</t>
  </si>
  <si>
    <t>Execução da impermeabilização com manta asfáltica tipo III - 4 mm protegida com grânulos de ardósia</t>
  </si>
  <si>
    <t>Execução da proteção primária do piso</t>
  </si>
  <si>
    <t>Execução da impermeabilização com poliuretano bicomponente</t>
  </si>
  <si>
    <t>Execução da impermeabilização com epóxi</t>
  </si>
  <si>
    <t>Execução da impermeabilização pelo sistema de manta líquida à base de copolímero acrílico</t>
  </si>
  <si>
    <t>01.01.0843</t>
  </si>
  <si>
    <t>01.01.0844</t>
  </si>
  <si>
    <t>01.01.0845</t>
  </si>
  <si>
    <t>01.01.0846</t>
  </si>
  <si>
    <t>01.01.0847</t>
  </si>
  <si>
    <t>01.01.0848</t>
  </si>
  <si>
    <t>01.01.0849</t>
  </si>
  <si>
    <t>Impermeabilização com manta asfáltica tipo III-4mm protegida com grânulos de ardósia</t>
  </si>
  <si>
    <t>12.1.5</t>
  </si>
  <si>
    <t>12.1.6</t>
  </si>
  <si>
    <t>Impermeabilização com poliuretano bicomponente</t>
  </si>
  <si>
    <t>Impermeabilização com epoxi</t>
  </si>
  <si>
    <t>Impermeabilização pelo sistema manta líquida à base de copolímero acrílico</t>
  </si>
  <si>
    <t>12.1.7</t>
  </si>
  <si>
    <t>12.1.8</t>
  </si>
  <si>
    <t>12.1.9</t>
  </si>
  <si>
    <t>IM distribuidora</t>
  </si>
  <si>
    <t>Execução forro liso em dry wall</t>
  </si>
  <si>
    <t>01.01.0850</t>
  </si>
  <si>
    <t>Piso Madeirado Reserva Natural 20 x 120</t>
  </si>
  <si>
    <t>Piso Manhatan Offwhite Estato Delarte 84 x 84</t>
  </si>
  <si>
    <t>Piso Munari Concreto AC 60 x 60</t>
  </si>
  <si>
    <t>01.01.0851</t>
  </si>
  <si>
    <t>01.01.0852</t>
  </si>
  <si>
    <t>01.01.0853</t>
  </si>
  <si>
    <t xml:space="preserve">Rejunte acrílico Portokoll </t>
  </si>
  <si>
    <t>Rodapé madeirado Reserva Natural 20 x 120</t>
  </si>
  <si>
    <t>Rodapé Manhatan Offwhite Estato Delarte 84 x 84</t>
  </si>
  <si>
    <t>Rodapé Madeirado Reserva Natural 20 x 120</t>
  </si>
  <si>
    <t>01.01.0854</t>
  </si>
  <si>
    <t>01.01.0855</t>
  </si>
  <si>
    <t>Pergolado metálico</t>
  </si>
  <si>
    <t>01.01.0856</t>
  </si>
  <si>
    <t>PLANILHA DE MÃO DE OBRA TERCERIZADA NOTURNO</t>
  </si>
  <si>
    <t>BENEFÍCIO ASSIDUIDADE</t>
  </si>
  <si>
    <t>AUX. ALMOXARIFE (noturno)</t>
  </si>
  <si>
    <t>ADMNISTRATIVO (noturno)</t>
  </si>
  <si>
    <t>Cobogo 30 x 30 linha elemento Portobelo</t>
  </si>
  <si>
    <t>01.01.0857</t>
  </si>
  <si>
    <t>Içamento banheira</t>
  </si>
  <si>
    <t xml:space="preserve">Instalação da banheira </t>
  </si>
  <si>
    <t>01.01.0858</t>
  </si>
  <si>
    <t>01.01.0859</t>
  </si>
  <si>
    <t>01.01.0860</t>
  </si>
  <si>
    <t>Fornecimento de banheira, com frete</t>
  </si>
  <si>
    <t>Fornecimento e instalação de banheira</t>
  </si>
  <si>
    <t>Fixpar</t>
  </si>
  <si>
    <t>Reaterro manual</t>
  </si>
  <si>
    <t>01.01.0861</t>
  </si>
  <si>
    <t xml:space="preserve"> Light Steel Frame</t>
  </si>
  <si>
    <t>01.01.0862</t>
  </si>
  <si>
    <t>Projeto de Light Steel Frame</t>
  </si>
  <si>
    <t>Execução de Light Steel frame</t>
  </si>
  <si>
    <t>01.01.0863</t>
  </si>
  <si>
    <t>Guarda corpo da escada</t>
  </si>
  <si>
    <t>01.01.0864</t>
  </si>
  <si>
    <t>Guarda corpo metálico</t>
  </si>
  <si>
    <t>Fornecimento e instalação Kit porta pronta</t>
  </si>
  <si>
    <t>01.01.0865</t>
  </si>
  <si>
    <t>IMPOSTO</t>
  </si>
  <si>
    <t xml:space="preserve">BDI </t>
  </si>
  <si>
    <t>CUSTO RASO FATURAMENTO DIRETO</t>
  </si>
  <si>
    <t>CUSTO RASO RASA</t>
  </si>
  <si>
    <t>Mobilização equipamento sondagem</t>
  </si>
  <si>
    <t>Execução sondagem</t>
  </si>
  <si>
    <t>01.01.0866</t>
  </si>
  <si>
    <t>01.01.0867</t>
  </si>
  <si>
    <t>Forma (Mat - Chapa plastificada 12 mm+ perna 3'+ tábua)</t>
  </si>
  <si>
    <t>01.01.0868</t>
  </si>
  <si>
    <t>Supermix</t>
  </si>
  <si>
    <t>01.01.0869</t>
  </si>
  <si>
    <t>M. Neto</t>
  </si>
  <si>
    <t>Gypsi center</t>
  </si>
  <si>
    <t>Locação de escoras metálicas para até 750 Kg</t>
  </si>
  <si>
    <t>01.01.0870</t>
  </si>
  <si>
    <t>Unid/mês</t>
  </si>
  <si>
    <t>Unid</t>
  </si>
  <si>
    <t>01.01.0871</t>
  </si>
  <si>
    <t>Argamassa multiuso 50kg (pequenas Qtde)</t>
  </si>
  <si>
    <t>Argamassa multiuso 50kg (grandes Qtde, acima de 240)</t>
  </si>
  <si>
    <t>01.01.0872</t>
  </si>
  <si>
    <t>Riomix</t>
  </si>
  <si>
    <t>Cx</t>
  </si>
  <si>
    <t>Tamoio</t>
  </si>
  <si>
    <t>Areia (granel)</t>
  </si>
  <si>
    <t>Lajes cobertura acréscimo da suíte e casa de máquina</t>
  </si>
  <si>
    <t>Fundação radier acréscimo da suíte</t>
  </si>
  <si>
    <t>Painel</t>
  </si>
  <si>
    <t>Aço bandeirantes</t>
  </si>
  <si>
    <t>01.01.0873</t>
  </si>
  <si>
    <t>01.01.0874</t>
  </si>
  <si>
    <t>Microseixos</t>
  </si>
  <si>
    <t>Material - Fornecimento de microseixos</t>
  </si>
  <si>
    <t>Mão de obra - Assentamento de microseixos</t>
  </si>
  <si>
    <t>01.01.0875</t>
  </si>
  <si>
    <t>01.01.0876</t>
  </si>
  <si>
    <t>Material - Fornecimento de papel de parede</t>
  </si>
  <si>
    <t>Mão de obra - Instalação de papel de parede</t>
  </si>
  <si>
    <t>01.01.0877</t>
  </si>
  <si>
    <t>01.01.0878</t>
  </si>
  <si>
    <t>Papel de parede</t>
  </si>
  <si>
    <t>01.01.0879</t>
  </si>
  <si>
    <t>01.01.0880</t>
  </si>
  <si>
    <t>Rustic Fit Terracota - 26 x 6</t>
  </si>
  <si>
    <t>01.01.0881</t>
  </si>
  <si>
    <t>Exata</t>
  </si>
  <si>
    <t>Fornecimento de luminária de embutir com refletor  d alumínio e duas lampadas tubuled 18 W</t>
  </si>
  <si>
    <t>Painel de embutir quadrado LED 18 W</t>
  </si>
  <si>
    <t>Refletor de alumínio de 100 W</t>
  </si>
  <si>
    <t>Execução de piso em concreto usinado resinado</t>
  </si>
  <si>
    <t>Engquadra</t>
  </si>
  <si>
    <t>Fornecimento e instalação de equipamento esportivo mini futsal</t>
  </si>
  <si>
    <t>Fornecimento e instalação de equipamento esportivo volei</t>
  </si>
  <si>
    <t>Fornecimento e instalação de equipamento esportivo mini basquete</t>
  </si>
  <si>
    <t>Aterro com compactação mecânica</t>
  </si>
  <si>
    <t>Land</t>
  </si>
  <si>
    <t>Mobilização equipamentos terraplanagem</t>
  </si>
  <si>
    <t>Geofix</t>
  </si>
  <si>
    <t>Mobilização equipamentos fundação</t>
  </si>
  <si>
    <t>Reaterro</t>
  </si>
  <si>
    <t>Concreto de alta resistência</t>
  </si>
  <si>
    <t>01.01.0882</t>
  </si>
  <si>
    <t>01.01.0883</t>
  </si>
  <si>
    <t>01.01.0884</t>
  </si>
  <si>
    <t>01.01.0885</t>
  </si>
  <si>
    <t>01.01.0886</t>
  </si>
  <si>
    <t>01.01.0887</t>
  </si>
  <si>
    <t>01.01.0888</t>
  </si>
  <si>
    <t>01.01.0889</t>
  </si>
  <si>
    <t>01.01.0890</t>
  </si>
  <si>
    <t>01.01.0891</t>
  </si>
  <si>
    <t>01.01.0892</t>
  </si>
  <si>
    <t>01.01.0893</t>
  </si>
  <si>
    <t>01.01.0894</t>
  </si>
  <si>
    <t>01.01.0895</t>
  </si>
  <si>
    <t>Polimento a seco de concreto</t>
  </si>
  <si>
    <t>Jconcretar</t>
  </si>
  <si>
    <t>Lançamento de concreto, nivelamento a laser e acabamento com uso de bambolê</t>
  </si>
  <si>
    <t>Execução de tapume em madeira</t>
  </si>
  <si>
    <t>01.01.0896</t>
  </si>
  <si>
    <t>01.01.0897</t>
  </si>
  <si>
    <t>01.01.0898</t>
  </si>
  <si>
    <t>Fornecimento e instalação de 17 acabamentos em inox para aspiração e 02 para sucção</t>
  </si>
  <si>
    <t>Hibritec</t>
  </si>
  <si>
    <t>Fornecimento e instalação de 2 ralos de fundo com fosso de acesso lateral e acabamento em FSB prata</t>
  </si>
  <si>
    <t>Execução da impermeabilização com manta asfáltica tipo III - 3 mm</t>
  </si>
  <si>
    <t>Impertec</t>
  </si>
  <si>
    <t>01.01.0899</t>
  </si>
  <si>
    <t>01.01.0900</t>
  </si>
  <si>
    <t>01.01.0901</t>
  </si>
  <si>
    <t>01.01.0902</t>
  </si>
  <si>
    <t>01.01.0903</t>
  </si>
  <si>
    <t>Fornecimento de Pedra São Tomé</t>
  </si>
  <si>
    <t>Hiperpedras</t>
  </si>
  <si>
    <t>Mão de obra para colocação de Pedra São Tomé</t>
  </si>
  <si>
    <t>Cimento Branco saco 1Kg</t>
  </si>
  <si>
    <t>Fornecimento de borda boleada em Pedra São Tomé</t>
  </si>
  <si>
    <t>Mão de obra para colocação de borda boleada em Pedra São Tomé</t>
  </si>
  <si>
    <t>01.01.0904</t>
  </si>
  <si>
    <t>01.01.0905</t>
  </si>
  <si>
    <t>01.01.0906</t>
  </si>
  <si>
    <t>01.01.0907</t>
  </si>
  <si>
    <t>01.01.0908</t>
  </si>
  <si>
    <t>Fornecimento de Sikadur 32</t>
  </si>
  <si>
    <t>Sika</t>
  </si>
  <si>
    <t>Frete Sikadur</t>
  </si>
  <si>
    <t>Cadeirinhas para cordoalha</t>
  </si>
  <si>
    <t>Jeruel</t>
  </si>
  <si>
    <t>Broca 14 mm Makita</t>
  </si>
  <si>
    <t>Martelo perfurador 7 Kg</t>
  </si>
  <si>
    <t>Compressor de ar pequeno</t>
  </si>
  <si>
    <t>mês/unidade</t>
  </si>
  <si>
    <t>Concreto magro</t>
  </si>
  <si>
    <t>Metro cúbico faltante</t>
  </si>
  <si>
    <t>Pintura impermeabilizante</t>
  </si>
  <si>
    <t>MC Bauchemie</t>
  </si>
  <si>
    <t>Grout tixotrópico</t>
  </si>
  <si>
    <t>SC 25 Kg</t>
  </si>
  <si>
    <t>Ancoragem química</t>
  </si>
  <si>
    <t>CJ 1 Kg</t>
  </si>
  <si>
    <t>Pintura inibidora de corrosão / Ponte de aderência</t>
  </si>
  <si>
    <t>Cura química</t>
  </si>
  <si>
    <t>Saco 200 Kg</t>
  </si>
  <si>
    <t>Concreto auto adensável</t>
  </si>
  <si>
    <t>Espuma expansiva</t>
  </si>
  <si>
    <t>01.01.0909</t>
  </si>
  <si>
    <t>01.01.0910</t>
  </si>
  <si>
    <t>01.01.0911</t>
  </si>
  <si>
    <t>01.01.0912</t>
  </si>
  <si>
    <t>01.01.0913</t>
  </si>
  <si>
    <t>01.01.0914</t>
  </si>
  <si>
    <t>01.01.0915</t>
  </si>
  <si>
    <t>01.01.0916</t>
  </si>
  <si>
    <t>01.01.0917</t>
  </si>
  <si>
    <t>01.01.0918</t>
  </si>
  <si>
    <t>01.01.0919</t>
  </si>
  <si>
    <t>01.01.0920</t>
  </si>
  <si>
    <t>01.01.0921</t>
  </si>
  <si>
    <t>01.01.0922</t>
  </si>
  <si>
    <t>01.01.0923</t>
  </si>
  <si>
    <t>01.01.0924</t>
  </si>
  <si>
    <t>01.01.0925</t>
  </si>
  <si>
    <t>01.01.0926</t>
  </si>
  <si>
    <t>Concret Decortiles - 60 x 120</t>
  </si>
  <si>
    <t>Material - Fornecimento de Concret Decortiles - 60 x 120</t>
  </si>
  <si>
    <t>Mão de obra - Assentamento de Concret Decortiles - 60 x 120</t>
  </si>
  <si>
    <t>Dune Shapes Black</t>
  </si>
  <si>
    <t>Material - Fornecimento de Dunes Shape Black</t>
  </si>
  <si>
    <t>Mão de obra - Assentamento de Dunes Shape Black</t>
  </si>
  <si>
    <t>01.01.0927</t>
  </si>
  <si>
    <t>01.01.0928</t>
  </si>
  <si>
    <t>Material - Fornecimento de Luminosita Statuario polido - 60 x 120</t>
  </si>
  <si>
    <t>01.01.0929</t>
  </si>
  <si>
    <t>01.01.0930</t>
  </si>
  <si>
    <t>Luminosita Statuario polido - 60 x 120</t>
  </si>
  <si>
    <t>15.1.7</t>
  </si>
  <si>
    <t>15.1.8</t>
  </si>
  <si>
    <t>15.1.9</t>
  </si>
  <si>
    <t>15.1.11</t>
  </si>
  <si>
    <t>Mão de obra - Assentamento de pedra moledo</t>
  </si>
  <si>
    <t>01.01.0931</t>
  </si>
  <si>
    <t>01.01.0932</t>
  </si>
  <si>
    <t>Pedra Moledo</t>
  </si>
  <si>
    <t>01.01.0933</t>
  </si>
  <si>
    <t>Jardim vertical</t>
  </si>
  <si>
    <t>Fornecimento e instalação de jardim vertical</t>
  </si>
  <si>
    <t>01.01.0934</t>
  </si>
  <si>
    <t>Painel madeyra Vecchia - 20 x 100</t>
  </si>
  <si>
    <t>01.01.0935</t>
  </si>
  <si>
    <t>01.01.0936</t>
  </si>
  <si>
    <t>Material - Fornecimento de painel madeyra vecchia - 20 x 100</t>
  </si>
  <si>
    <t>Pedra Hijau lisa - 10 x 10</t>
  </si>
  <si>
    <t>Mão de obra - Assentamento de painel madeyra vecchia - 20 x 100</t>
  </si>
  <si>
    <t>01.01.0937</t>
  </si>
  <si>
    <t>01.01.0938</t>
  </si>
  <si>
    <t>Rodapé invertido em alumínio com h= 3 cm</t>
  </si>
  <si>
    <t>01.01.0939</t>
  </si>
  <si>
    <t>Material - Fornecimento de rodapé em alumínio invertido h= 3 cm</t>
  </si>
  <si>
    <t>Mão de obra - Assentamento de rodapé em alumínio invertido h= 3 cm</t>
  </si>
  <si>
    <t>01.01.0940</t>
  </si>
  <si>
    <t>01.01.0941</t>
  </si>
  <si>
    <t>Painel borda mini crystalli fino cinza - 50 x 17</t>
  </si>
  <si>
    <t>Material - Fornecimento de Painel borda mini crystalli fino cinza - 50 x 17</t>
  </si>
  <si>
    <t>Mão de obra - Assentamento de Painel borda mini crystalli fino cinza - 50 x 17</t>
  </si>
  <si>
    <t>01.01.0942</t>
  </si>
  <si>
    <t>01.01.0943</t>
  </si>
  <si>
    <t>Painel acabamento plano crystalli fino cinza - 100 x 100</t>
  </si>
  <si>
    <t>Material - Fornecimento de Painel acabamento plano crystalli fino cinza - 100 x 100</t>
  </si>
  <si>
    <t>Mão de obra - Assentamento de Painel acabamento plano crystalli fino cinza - 100 x 100</t>
  </si>
  <si>
    <t>01.01.0944</t>
  </si>
  <si>
    <t>01.01.0945</t>
  </si>
  <si>
    <t>Pedra Hijau bruta - 10 x 10</t>
  </si>
  <si>
    <t>Material - Fornecimento de pedra Hijau bruta - 10 x 10</t>
  </si>
  <si>
    <t>Mão de obra - Assentamento de de pedra Hijau bruta - 10 x 10</t>
  </si>
  <si>
    <t>01.01.0946</t>
  </si>
  <si>
    <t>01.01.0947</t>
  </si>
  <si>
    <t>LM Koronis Ext Wh pol - 120 x 120</t>
  </si>
  <si>
    <t>01.01.0948</t>
  </si>
  <si>
    <t>01.01.0949</t>
  </si>
  <si>
    <t>Material - Fornecimento de LM Koronis Ext Wh pol - 120 x 120</t>
  </si>
  <si>
    <t>Mão de obra - Assentamento de LM Koronis Ext Wh pol - 120 x 120</t>
  </si>
  <si>
    <t>Piso intertravado</t>
  </si>
  <si>
    <t>Fornecimento e instalação de grama</t>
  </si>
  <si>
    <t>01.01.0950</t>
  </si>
  <si>
    <t>Piso laminado em madeira</t>
  </si>
  <si>
    <t>01.01.0951</t>
  </si>
  <si>
    <t>Downtown HD White</t>
  </si>
  <si>
    <t>Material - Fornecimento de Downtown HD White</t>
  </si>
  <si>
    <t>Mão de obra - Assentamento de Downtown HD White</t>
  </si>
  <si>
    <t>01.01.0952</t>
  </si>
  <si>
    <t>01.01.0953</t>
  </si>
  <si>
    <t>Material - Fornecimento de piso intertravado</t>
  </si>
  <si>
    <t>Pó de pedra</t>
  </si>
  <si>
    <t>01.01.0954</t>
  </si>
  <si>
    <t>01.01.0955</t>
  </si>
  <si>
    <t xml:space="preserve">Base de bica corrida </t>
  </si>
  <si>
    <t>FA pisos</t>
  </si>
  <si>
    <t>Tento pré moldado concreto</t>
  </si>
  <si>
    <t>01.01.0956</t>
  </si>
  <si>
    <t>Ariadna</t>
  </si>
  <si>
    <t>Estrutura de concreto acréscimo da piscina</t>
  </si>
  <si>
    <t>Soleira / Tentos / filetes / Bancadas / Chapim / Peitoril / Nichos / Rodapé</t>
  </si>
  <si>
    <t>Bancadas em Nanoglass</t>
  </si>
  <si>
    <t>Chapim Banco Itaúnas</t>
  </si>
  <si>
    <t>Chapim Nanoglass</t>
  </si>
  <si>
    <t>Nicho em Nanoglass</t>
  </si>
  <si>
    <t>Espelho degrau em Nanoglass</t>
  </si>
  <si>
    <t>Soleira em Nanoglass</t>
  </si>
  <si>
    <t>Tento em Nanoglass</t>
  </si>
  <si>
    <t>01.01.0957</t>
  </si>
  <si>
    <t>01.01.0958</t>
  </si>
  <si>
    <t>01.01.0959</t>
  </si>
  <si>
    <t>01.01.0960</t>
  </si>
  <si>
    <t>01.01.0961</t>
  </si>
  <si>
    <t>01.01.0962</t>
  </si>
  <si>
    <t>01.01.0963</t>
  </si>
  <si>
    <t>01.01.0964</t>
  </si>
  <si>
    <t>01.01.0965</t>
  </si>
  <si>
    <t>01.01.0966</t>
  </si>
  <si>
    <t>Pedras Inteligentes</t>
  </si>
  <si>
    <t>Janelas de alumínio</t>
  </si>
  <si>
    <t>Guarda corpo varandas</t>
  </si>
  <si>
    <t>Porta veneziana de alumínio casa de máquinas e visita</t>
  </si>
  <si>
    <t>Caixa para ar condicionado</t>
  </si>
  <si>
    <t>01.01.0967</t>
  </si>
  <si>
    <t>01.01.0968</t>
  </si>
  <si>
    <t>01.01.0969</t>
  </si>
  <si>
    <t>01.01.0970</t>
  </si>
  <si>
    <t>01.01.0971</t>
  </si>
  <si>
    <t>01.01.0972</t>
  </si>
  <si>
    <t>01.01.0973</t>
  </si>
  <si>
    <t>01.01.0974</t>
  </si>
  <si>
    <t>01.01.0975</t>
  </si>
  <si>
    <t>01.01.0976</t>
  </si>
  <si>
    <t>01.01.0977</t>
  </si>
  <si>
    <t>Esquadrias e vidros</t>
  </si>
  <si>
    <t>Chuveiro Geribá</t>
  </si>
  <si>
    <t>01.01.0978</t>
  </si>
  <si>
    <t>01.01.0979</t>
  </si>
  <si>
    <t>01.01.0980</t>
  </si>
  <si>
    <t>Misturador de mesa bica alta linha Polo - Deca</t>
  </si>
  <si>
    <t>Cuba de sobrepor retangular L1070</t>
  </si>
  <si>
    <t>01.01.0981</t>
  </si>
  <si>
    <t>Cuba Inox 40 x 34</t>
  </si>
  <si>
    <t>01.01.0982</t>
  </si>
  <si>
    <t>01.01.0983</t>
  </si>
  <si>
    <t>Pilares em marcenaria para decoração</t>
  </si>
  <si>
    <t>01.01.0984</t>
  </si>
  <si>
    <t>01.01.0985</t>
  </si>
  <si>
    <t>Banheira de imersão</t>
  </si>
  <si>
    <t>Spazio duo</t>
  </si>
  <si>
    <t xml:space="preserve">Pintura com emassamento sobre paredes </t>
  </si>
  <si>
    <t>Pintura com emassamento sobre forro</t>
  </si>
  <si>
    <t>01.01.0986</t>
  </si>
  <si>
    <t>Pintura Grafiatto fachada</t>
  </si>
  <si>
    <t>01.01.0987</t>
  </si>
  <si>
    <t>Laje de Piso ao redor da piscina e degraus de concreto na entrada</t>
  </si>
  <si>
    <t>Fornecimento e instalação de piso laminado de madeira Durafloor Sense Carvalho</t>
  </si>
  <si>
    <t>Daicon</t>
  </si>
  <si>
    <t>Rodapé MDF com h= 20 cm</t>
  </si>
  <si>
    <t>Material - Fornecimento de rodapé em MDF h= 20 cm</t>
  </si>
  <si>
    <t>SulAmerica decorações</t>
  </si>
  <si>
    <t>Material - Fornecimento de rodapé em poliestireno Duratex h= 20 cm</t>
  </si>
  <si>
    <t>01.01.0988</t>
  </si>
  <si>
    <t xml:space="preserve">Mão de obra - Execução de rodapé </t>
  </si>
  <si>
    <t>Clarofilito (saco 18 Kg)</t>
  </si>
  <si>
    <t>Jardineiro</t>
  </si>
  <si>
    <t>01.01.0989</t>
  </si>
  <si>
    <t>01.01.0990</t>
  </si>
  <si>
    <t>Execução de sanca em dry wall</t>
  </si>
  <si>
    <t>Argamassa ultraflexível bicomponente Portokoll ( caixa 20 Kg)</t>
  </si>
  <si>
    <t>01.01.0991</t>
  </si>
  <si>
    <t>Execução de ar condicionado 18.000 BTU's (mo + equipamentos)</t>
  </si>
  <si>
    <t>Execução de ar condicionado 22.000 BTU's (mo + equipamentos)</t>
  </si>
  <si>
    <t>01.01.0992</t>
  </si>
  <si>
    <t>01.01.0993</t>
  </si>
  <si>
    <t>Execução de ar condicionado 9.000 BTU's (mo + equipamentos)</t>
  </si>
  <si>
    <t>01.01.0994</t>
  </si>
  <si>
    <t>Execução de ar condicionado 12.000 BTU's (mo + equipamentos)</t>
  </si>
  <si>
    <t>01.01.0995</t>
  </si>
  <si>
    <t>Mão de obra - Assentamento de piso intertravado</t>
  </si>
  <si>
    <t>Belmonte</t>
  </si>
  <si>
    <t>01.01.0996</t>
  </si>
  <si>
    <t>Brita ensacada (saco de 20 Kg)</t>
  </si>
  <si>
    <t>Areia ensacada ( saco 20 Kg)</t>
  </si>
  <si>
    <t>01.01.0997</t>
  </si>
  <si>
    <t>Rejunte Castelatto (saco de 10 Kg)</t>
  </si>
  <si>
    <t>Ekko</t>
  </si>
  <si>
    <t>01.01.0998</t>
  </si>
  <si>
    <t>Locação torre de andaime com  2 m de altura com rodízio</t>
  </si>
  <si>
    <t>Jet</t>
  </si>
  <si>
    <t>Locação Andaime com rodízio, 6 m de altura</t>
  </si>
  <si>
    <t>Tanto revest.</t>
  </si>
  <si>
    <t>Frete cerâmica</t>
  </si>
  <si>
    <t>01.01.0999</t>
  </si>
  <si>
    <t>José Mario</t>
  </si>
  <si>
    <t>Camada separadora: Papel Kraft</t>
  </si>
  <si>
    <t>01.01.1000</t>
  </si>
  <si>
    <t>Poliestireno extrudado esp=2,5 cm</t>
  </si>
  <si>
    <t>01.01.1001</t>
  </si>
  <si>
    <t>Pré - laje para sobrecarga de 300 Kg/m²</t>
  </si>
  <si>
    <t>01.01.1002</t>
  </si>
  <si>
    <t>Martelete de 2,5 Kg</t>
  </si>
  <si>
    <t>Martelete 5 Kg</t>
  </si>
  <si>
    <t>Cera BS 200 WB - canela (galão)</t>
  </si>
  <si>
    <t>01.01.1003</t>
  </si>
  <si>
    <t>01.01.1004</t>
  </si>
  <si>
    <t>Cera externa - cinza</t>
  </si>
  <si>
    <t>Terreno</t>
  </si>
  <si>
    <t>Sikatop100 (saco 18 Kg)</t>
  </si>
  <si>
    <t>01.01.1005</t>
  </si>
  <si>
    <t>MÊS 07</t>
  </si>
  <si>
    <t>MÊS 08</t>
  </si>
  <si>
    <t>1º andar</t>
  </si>
  <si>
    <t>Varanda</t>
  </si>
  <si>
    <t>2º andar</t>
  </si>
  <si>
    <t>Área dos fundos</t>
  </si>
  <si>
    <t>Área gourmet</t>
  </si>
  <si>
    <t>Piscina</t>
  </si>
  <si>
    <t>Área descoberta</t>
  </si>
  <si>
    <t>Misturador de piso para banheira e B. área gourmet</t>
  </si>
  <si>
    <t>ATE</t>
  </si>
  <si>
    <t>Custo obra</t>
  </si>
  <si>
    <t>Custo/m² ATE</t>
  </si>
  <si>
    <t>Custo/m² ATC</t>
  </si>
  <si>
    <t>ATC</t>
  </si>
  <si>
    <t>MAT</t>
  </si>
  <si>
    <t>SERV. ESP.</t>
  </si>
  <si>
    <t>Material - Execução de pintura esmalte sobre esquadrias de madeira</t>
  </si>
  <si>
    <t>01.01.1006</t>
  </si>
  <si>
    <t>01.01.1007</t>
  </si>
  <si>
    <t xml:space="preserve">Mão de obra - Execução de pintura Grafiatto fachada </t>
  </si>
  <si>
    <t>01.01.1008</t>
  </si>
  <si>
    <t>01.01.1009</t>
  </si>
  <si>
    <t>CUSTO MO CIVIL</t>
  </si>
  <si>
    <t>MO</t>
  </si>
  <si>
    <t>Material - Execução forro liso em dry wall</t>
  </si>
  <si>
    <t>01.01.1010</t>
  </si>
  <si>
    <t>CUSTO MATERIAL DE ACABAMENTO</t>
  </si>
  <si>
    <t>CUSTO MATERIAL DE CONSUMO (BLOCO, CIMENTO, AREIA, ...)</t>
  </si>
  <si>
    <t>MAT CONSUMO</t>
  </si>
  <si>
    <t>MAT ACABAMENTO</t>
  </si>
  <si>
    <t>GERENCIAMENTO DA OBRA s/ IMPOSOTOS</t>
  </si>
  <si>
    <t>CUSTO SERVIÇOS ESPECIALIZADOS (INSTALAÇÕES, ESQ ALUMÍNIO E MADEIRA, VIDRO)</t>
  </si>
  <si>
    <t>CUSTO MÃO DE OBRA CIVIL</t>
  </si>
  <si>
    <t>MÃO DE OBRA CIVIL</t>
  </si>
  <si>
    <t>MATERIAL DE CONSUMO (BLOCO, CIMENTO, AREIA, ...)</t>
  </si>
  <si>
    <t>MATERIAL DE ACABAMENTO</t>
  </si>
  <si>
    <t>SERVIÇOS ESPECIALIZADOS (ESQ ALUM E MAD, VIDROS, INSTAL)</t>
  </si>
  <si>
    <t>CUSTO SERVIÇOS ESPECIALIZADOS (ESQ ALUM E MAD, VIDROS, INSTAL)</t>
  </si>
  <si>
    <t>Tanto revest</t>
  </si>
  <si>
    <t>Fenix</t>
  </si>
  <si>
    <t>01.01.1011</t>
  </si>
  <si>
    <t>Porta de entrada pivotante em madeira de demolição, com brise superior</t>
  </si>
  <si>
    <t>Deplan</t>
  </si>
  <si>
    <t>Porta Madeira Semi-oca 0,80x2,10m, com bandeira até o forro, ferragenas, pintura e colocação</t>
  </si>
  <si>
    <t>01.01.1012</t>
  </si>
  <si>
    <t>Porta de correr 0,70x2,50m, com trilho, ferragenas, pintura e colocação</t>
  </si>
  <si>
    <t>01.01.1013</t>
  </si>
  <si>
    <t>Revestimento de parede com painel de correr, acab com fundo preto e ripado madeirado - 4,96 x 2,45</t>
  </si>
  <si>
    <t>01.01.1014</t>
  </si>
  <si>
    <t>Revestimento de parede com painel de correr, acab com fundo preto e ripado madeirado - 4,95 x 2,5</t>
  </si>
  <si>
    <t>Ref. Deplan</t>
  </si>
  <si>
    <t>01.01.1015</t>
  </si>
  <si>
    <t>Lirio Plantas</t>
  </si>
  <si>
    <t>Terra adubada para plantio</t>
  </si>
  <si>
    <t>01.01.1016</t>
  </si>
  <si>
    <t>Lírio Plantas</t>
  </si>
  <si>
    <t>Gustavo Lopes</t>
  </si>
  <si>
    <t>Esquadripan</t>
  </si>
  <si>
    <t>estimativa</t>
  </si>
  <si>
    <t>Guarda corpo escada, inclinado com botão</t>
  </si>
  <si>
    <t>estimativa, c/ base Alphaville</t>
  </si>
  <si>
    <t>Enchimento varanda</t>
  </si>
  <si>
    <t>Lajes fechamento escadas e construção de nova escada</t>
  </si>
  <si>
    <t>Reforço estrutural em metálica</t>
  </si>
  <si>
    <t>01.01.1017</t>
  </si>
  <si>
    <t>Reforço estrtural p/ vão de escada</t>
  </si>
  <si>
    <t>Projeto de Automação</t>
  </si>
  <si>
    <t>Projeto de Instalações</t>
  </si>
  <si>
    <t>Fornecimento e instalação de piscina</t>
  </si>
  <si>
    <t>Unlimited</t>
  </si>
  <si>
    <t>Piscina Unlimited 2x2 com pastilha Atlas, bombas, frete e mão de obra</t>
  </si>
  <si>
    <t>01.01.1018</t>
  </si>
  <si>
    <t>01.01.1019</t>
  </si>
  <si>
    <t>01.01.1020</t>
  </si>
  <si>
    <t>01.01.1021</t>
  </si>
  <si>
    <t>01.01.1022</t>
  </si>
  <si>
    <t>Içamento pisicina</t>
  </si>
  <si>
    <t>Ambientair</t>
  </si>
  <si>
    <t>Ar condicionado split hi-wall 12.000 BTU's (equipamento)</t>
  </si>
  <si>
    <t>01.01.1023</t>
  </si>
  <si>
    <t>01.01.1024</t>
  </si>
  <si>
    <t>01.01.1025</t>
  </si>
  <si>
    <t>01.01.1026</t>
  </si>
  <si>
    <t>Deck de madeira (mat +mo)</t>
  </si>
  <si>
    <t xml:space="preserve"> Textura Mr Cryl para área molhada</t>
  </si>
  <si>
    <t>01.01.1027</t>
  </si>
  <si>
    <t>01.01.1028</t>
  </si>
  <si>
    <t>01.01.1029</t>
  </si>
  <si>
    <t>01.01.1030</t>
  </si>
  <si>
    <t>01.01.1031</t>
  </si>
  <si>
    <t>01.01.1032</t>
  </si>
  <si>
    <t>01.01.1033</t>
  </si>
  <si>
    <t>01.01.1034</t>
  </si>
  <si>
    <t>01.01.1035</t>
  </si>
  <si>
    <t>01.01.1036</t>
  </si>
  <si>
    <t>01.01.1037</t>
  </si>
  <si>
    <t>01.01.1038</t>
  </si>
  <si>
    <t>01.01.1039</t>
  </si>
  <si>
    <t>01.01.1040</t>
  </si>
  <si>
    <t>01.01.1041</t>
  </si>
  <si>
    <t>01.01.1042</t>
  </si>
  <si>
    <t>01.01.1043</t>
  </si>
  <si>
    <t>01.01.1044</t>
  </si>
  <si>
    <t>01.01.1045</t>
  </si>
  <si>
    <t>01.01.1046</t>
  </si>
  <si>
    <t>01.01.1047</t>
  </si>
  <si>
    <t>01.01.1048</t>
  </si>
  <si>
    <t>01.01.1049</t>
  </si>
  <si>
    <t>01.01.1050</t>
  </si>
  <si>
    <t>01.01.1051</t>
  </si>
  <si>
    <t>01.01.1052</t>
  </si>
  <si>
    <t>01.01.1053</t>
  </si>
  <si>
    <t>01.01.1054</t>
  </si>
  <si>
    <t>01.01.1055</t>
  </si>
  <si>
    <t>01.01.1056</t>
  </si>
  <si>
    <t>01.01.1057</t>
  </si>
  <si>
    <t>01.01.1058</t>
  </si>
  <si>
    <t>01.01.1059</t>
  </si>
  <si>
    <t>01.01.1060</t>
  </si>
  <si>
    <t>01.01.1061</t>
  </si>
  <si>
    <t>01.01.1062</t>
  </si>
  <si>
    <t>01.01.1063</t>
  </si>
  <si>
    <t>01.01.1064</t>
  </si>
  <si>
    <t>01.01.1065</t>
  </si>
  <si>
    <t>01.01.1066</t>
  </si>
  <si>
    <t>01.01.1067</t>
  </si>
  <si>
    <t>01.01.1068</t>
  </si>
  <si>
    <t>01.01.1069</t>
  </si>
  <si>
    <t>01.01.1070</t>
  </si>
  <si>
    <t>01.01.1071</t>
  </si>
  <si>
    <t>01.01.1072</t>
  </si>
  <si>
    <t>01.01.1073</t>
  </si>
  <si>
    <t>01.01.1074</t>
  </si>
  <si>
    <t>01.01.1075</t>
  </si>
  <si>
    <t>01.01.1076</t>
  </si>
  <si>
    <t>01.01.1077</t>
  </si>
  <si>
    <t>01.01.1078</t>
  </si>
  <si>
    <t>01.01.1079</t>
  </si>
  <si>
    <t>01.01.1080</t>
  </si>
  <si>
    <t>01.01.1081</t>
  </si>
  <si>
    <t>Misturador Monocomando Tramontina Monde Filter em Aço Inox com Saída Adicional para Água Filtrada</t>
  </si>
  <si>
    <t>Tramontina</t>
  </si>
  <si>
    <t>Misturador Docol Monocomando para cozinha de mesa Orbit Cód 00738816</t>
  </si>
  <si>
    <t>01.01.1082</t>
  </si>
  <si>
    <t>01.01.1083</t>
  </si>
  <si>
    <t>01.01.1084</t>
  </si>
  <si>
    <t>01.01.1085</t>
  </si>
  <si>
    <t>01.01.1086</t>
  </si>
  <si>
    <t>Purificador Duplimax 5" DM5BR Springway sem torneira (sob bancada)</t>
  </si>
  <si>
    <t>internet</t>
  </si>
  <si>
    <t>Triturador Insinkerator Evolution 200 com acionamento pneumático</t>
  </si>
  <si>
    <t>Equipamentos especiais</t>
  </si>
  <si>
    <t>01.01.1087</t>
  </si>
  <si>
    <t>PORCELANATO ANTAL CREMA NATURAL 100X100 (MAIS REVESTIMENTOS)</t>
  </si>
  <si>
    <t>LEVEL ACABAMENTOS PORCELANATO TRAVERTINO ROYAL BIANCO NATURAL 100X100</t>
  </si>
  <si>
    <t>PORCELANATO PORTOBELLO CONCRETISSYMA MATIZ GRIGIO 90X90</t>
  </si>
  <si>
    <t>PORCELANATO MAIS REVESTIMENTOS 15510 SD, NATURAL 60X120</t>
  </si>
  <si>
    <t>PORCELANATO ANTAL CREMA ABUJARDADO 100X100 (MAIS REVESTIMENTOS)</t>
  </si>
  <si>
    <t>PORCELANATO ROCA MÔNACO 100X100  PARA ÁREA EXTERNA</t>
  </si>
  <si>
    <t>PORCELANATO GARDENIA ORCHIDEA NATIVE PAV MUD 80X180</t>
  </si>
  <si>
    <t>PORCELANATO GARDENIA ORCHIDEA NATIVE PAV SAND 80X180</t>
  </si>
  <si>
    <t>PISO VINÍLICO TARKET, LINHA AMBIENTA SÉRIES, COLEÇÃO SPEC BÉTULA 9344606 TEXTURA LISA</t>
  </si>
  <si>
    <t>AZULEJO 15X15cm BRANCO ELIANE COM REJUNTE GRAFITE, INSTALADO COM JUNTA AMARRADA</t>
  </si>
  <si>
    <t>15.3</t>
  </si>
  <si>
    <t>15.3.1</t>
  </si>
  <si>
    <t>REVESTIMENTOS ESPECIAIS</t>
  </si>
  <si>
    <t>SONEX EM PAINEIS NEXACUSTIC PERFURADOS, MODELO 16 - 2,74X160mm (COR FREJÓ)</t>
  </si>
  <si>
    <t>Sonex em paineis Nexacustic perfurados, modelo 16 - 2,74X160mm (Cor Freijó) - mo</t>
  </si>
  <si>
    <t>Coverstone Cinza - Lantai Revestimentos</t>
  </si>
  <si>
    <t>Coverstone Cinza - Lantai Revestimentos - mat</t>
  </si>
  <si>
    <t>Coverstone Cinza - Lantai Revestimentos - mo</t>
  </si>
  <si>
    <t>15.4</t>
  </si>
  <si>
    <t>REVESTIMENTOS RODAPÉ</t>
  </si>
  <si>
    <t>15.3.2</t>
  </si>
  <si>
    <t>AZULEJO 15X15cm BRANCO ELIANE COM REJUNTE GRAFITE, INSTALADO COM JUNTA AMARRADA - mat</t>
  </si>
  <si>
    <t>LEVEL ACABAMENTOS PORCELANATO TRAVERTINO ROYAL BIANCO NATURAL 100X100 - mat</t>
  </si>
  <si>
    <t>PORCELANATO ANTAL CREMA NATURAL 100X100 (MAIS REVESTIMENTOS) - mat</t>
  </si>
  <si>
    <t>PORCELANATO PORTOBELLO CONCRETISSYMA MATIZ GRIGIO 90X90 - mat</t>
  </si>
  <si>
    <t>PISO VINÍLICO TARKET, LINHA AMBIENTA SÉRIES, COLEÇÃO SPEC BÉTULA 9344606 TEXTURA LISA - mat</t>
  </si>
  <si>
    <t>01.01.1088</t>
  </si>
  <si>
    <t>01.01.1089</t>
  </si>
  <si>
    <t>01.01.1090</t>
  </si>
  <si>
    <t>01.01.1091</t>
  </si>
  <si>
    <t>01.01.1092</t>
  </si>
  <si>
    <t>01.01.1093</t>
  </si>
  <si>
    <t>01.01.1094</t>
  </si>
  <si>
    <t>01.01.1095</t>
  </si>
  <si>
    <t>01.01.1096</t>
  </si>
  <si>
    <t>01.01.1097</t>
  </si>
  <si>
    <t>balde</t>
  </si>
  <si>
    <t>01.01.1098</t>
  </si>
  <si>
    <t>01.01.1099</t>
  </si>
  <si>
    <t>01.01.1100</t>
  </si>
  <si>
    <t>Protecnica</t>
  </si>
  <si>
    <t>Revestimento Mr Cryl PU Cinza - material</t>
  </si>
  <si>
    <t>Revestimento Mr Cryl PU Cinza - mão de obra</t>
  </si>
  <si>
    <t>01.01.1101</t>
  </si>
  <si>
    <t>Material - Rodapé Poliestireno 10cm - Santa Luzia</t>
  </si>
  <si>
    <t>Casablanca</t>
  </si>
  <si>
    <t>01.01.1102</t>
  </si>
  <si>
    <t>01.01.1103</t>
  </si>
  <si>
    <t>01.01.1104</t>
  </si>
  <si>
    <t>Frete revestimentos</t>
  </si>
  <si>
    <t/>
  </si>
  <si>
    <t>Fabiano - contato Alvarez</t>
  </si>
  <si>
    <t>Telhanorte</t>
  </si>
  <si>
    <t>Cola para piso vinílico global fix - balde 4kg</t>
  </si>
  <si>
    <t>LAG Divisórias</t>
  </si>
  <si>
    <t>Mais revestimentos</t>
  </si>
  <si>
    <t>Level - Representante José Luis</t>
  </si>
  <si>
    <t>01.01.1105</t>
  </si>
  <si>
    <t>01.01.1106</t>
  </si>
  <si>
    <t>01.01.1107</t>
  </si>
  <si>
    <t>AQ Projetos, cob Leonardo</t>
  </si>
  <si>
    <t>Roberto Lapagesse</t>
  </si>
  <si>
    <t>DIVERSOS</t>
  </si>
  <si>
    <t>Recomposição de fachada</t>
  </si>
  <si>
    <t>01.01.1108</t>
  </si>
  <si>
    <t>01.01.1109</t>
  </si>
  <si>
    <t>Telhado retrátil</t>
  </si>
  <si>
    <t>01.01.1110</t>
  </si>
  <si>
    <t>ON2</t>
  </si>
  <si>
    <t>Vidraçaria Maracanã</t>
  </si>
  <si>
    <t>01.01.1111</t>
  </si>
  <si>
    <t>Guarda corpo vidro embutido - escada</t>
  </si>
  <si>
    <t>01.01.1112</t>
  </si>
  <si>
    <t>01.01.1113</t>
  </si>
  <si>
    <t>01.01.1114</t>
  </si>
  <si>
    <t>01.01.1115</t>
  </si>
  <si>
    <t>01.01.1116</t>
  </si>
  <si>
    <t>01.01.1117</t>
  </si>
  <si>
    <t>Banheiro master</t>
  </si>
  <si>
    <t>01.01.1118</t>
  </si>
  <si>
    <t>Estimativa com base Deplan</t>
  </si>
  <si>
    <t>Porta Madeira Semi-oca 0,80x2,10m, ferragenas, pintura e colocação</t>
  </si>
  <si>
    <t xml:space="preserve">Mão de obra - Execução de emassamento acrílico sobre paredes internas </t>
  </si>
  <si>
    <t xml:space="preserve">Material - Execução emassamento acrílico sobre paredes internas </t>
  </si>
  <si>
    <t>Base para para válvula de descarga Hydra Max, 4550.114</t>
  </si>
  <si>
    <t>01.01.1119</t>
  </si>
  <si>
    <t xml:space="preserve">Emassamento acrílico sobre paredes </t>
  </si>
  <si>
    <t>R$/m²</t>
  </si>
  <si>
    <t>área piso</t>
  </si>
  <si>
    <t>área externa</t>
  </si>
  <si>
    <t>Deck da Piscina</t>
  </si>
  <si>
    <t>Demolição área externa</t>
  </si>
  <si>
    <t>Fachada - recomposição</t>
  </si>
  <si>
    <t xml:space="preserve">Telhado </t>
  </si>
  <si>
    <t>01.01.1120</t>
  </si>
  <si>
    <t>José Carlos Marceneiro</t>
  </si>
  <si>
    <t>Porta acústica 70cm</t>
  </si>
  <si>
    <t>Lantai Travertino Rockface</t>
  </si>
  <si>
    <t>material - fornecimento Travertino Rock Face 7,5x20,3cm</t>
  </si>
  <si>
    <t>01.01.1121</t>
  </si>
  <si>
    <t>01.01.1122</t>
  </si>
  <si>
    <t>Ralo Square 15x15 revestido com o revestimento do piso</t>
  </si>
  <si>
    <t>01.01.1123</t>
  </si>
  <si>
    <t>Site</t>
  </si>
  <si>
    <t>Demolição</t>
  </si>
  <si>
    <t>SUPERVISOR</t>
  </si>
  <si>
    <t>Rodapé MDF com h= 10 cm</t>
  </si>
  <si>
    <t>Sonex em paineis Nexacustic perfurados, modelo 16 - 2,74X160mm (Cor Freijó) - mat c/ frete</t>
  </si>
  <si>
    <t>Isar</t>
  </si>
  <si>
    <t>CUSTO RASO FATURAMENTO RASA</t>
  </si>
  <si>
    <t>Manutenção guarda-corpo</t>
  </si>
  <si>
    <t>01.01.1124</t>
  </si>
  <si>
    <t>01.01.1125</t>
  </si>
  <si>
    <t>01.01.1126</t>
  </si>
  <si>
    <t>01.01.1127</t>
  </si>
  <si>
    <t>01.01.1128</t>
  </si>
  <si>
    <t>01.01.1129</t>
  </si>
  <si>
    <t>01.01.1130</t>
  </si>
  <si>
    <t>Ar condicionado split dutado 36.000 BTU's (equipamento)</t>
  </si>
  <si>
    <t>Reforma hall serviço</t>
  </si>
  <si>
    <t>Reforma hall de serviço</t>
  </si>
  <si>
    <t xml:space="preserve">Abertura de vão janela </t>
  </si>
  <si>
    <t>Fechadura externa, linha Unique conjunto 751 da La Fonte</t>
  </si>
  <si>
    <t>Fechadura interna, linha Unique conjunto 751 da La Fonte</t>
  </si>
  <si>
    <t>Fechadura banheiro, linha Unique conjunto 751 da La Fonte</t>
  </si>
  <si>
    <t>01.01.1131</t>
  </si>
  <si>
    <t>01.01.1132</t>
  </si>
  <si>
    <t>01.01.1133</t>
  </si>
  <si>
    <t>01.01.1134</t>
  </si>
  <si>
    <t>Dobradiça invisível, Hafele</t>
  </si>
  <si>
    <t>01.01.1135</t>
  </si>
  <si>
    <t>Material - tomadas e interruptores, Bticino - LivingLight bianco</t>
  </si>
  <si>
    <t>Nova Fase</t>
  </si>
  <si>
    <t>Mês 5</t>
  </si>
  <si>
    <t>Mês 6</t>
  </si>
  <si>
    <t>25.</t>
  </si>
  <si>
    <t>25.1</t>
  </si>
  <si>
    <t>25.1.1</t>
  </si>
  <si>
    <t>25.1.2</t>
  </si>
  <si>
    <t>25.1.3</t>
  </si>
  <si>
    <t>25.1.4</t>
  </si>
  <si>
    <t>1ª quinz</t>
  </si>
  <si>
    <t>2ª quinz</t>
  </si>
  <si>
    <t>Porta piso/teto em MDF Ultra 0,80x2,60m, acab pintura PU branco fosco</t>
  </si>
  <si>
    <t>Porta piso/teto em MDF Ultra 0,60x2,60m, acab pintura PU branco fosco</t>
  </si>
  <si>
    <t>Porta piso/teto em MDF Ultra 0,70x2,60m, acab pintura PU branco fosco</t>
  </si>
  <si>
    <t>Porta piso/teto em MDF Ultra 0,90x2,60m, acab pintura PU branco fosco</t>
  </si>
  <si>
    <t>01.01.1136</t>
  </si>
  <si>
    <t>01.01.1137</t>
  </si>
  <si>
    <t>01.01.1138</t>
  </si>
  <si>
    <t>01.01.1139</t>
  </si>
  <si>
    <t>Porta piso/teto em MDF Ultra 0,70x2,50m, acab pintura PU branco fosco</t>
  </si>
  <si>
    <t>Porta piso/teto em MDF Ultra 0,90x2,50m, acab pintura PU branco fosco</t>
  </si>
  <si>
    <t>Porta piso/teto em MDF Ultra 0,70x2,28m, acab pintura PU branco fosco</t>
  </si>
  <si>
    <t>01.01.1140</t>
  </si>
  <si>
    <t>01.01.1141</t>
  </si>
  <si>
    <t>01.01.1142</t>
  </si>
  <si>
    <t>Porta piso/teto em MDF Ultra 0,60x2,10m, acab pintura PU branco fosco</t>
  </si>
  <si>
    <t>Porta piso/teto em MDF Ultra 0,70x2,10m, acab pintura PU branco fosco</t>
  </si>
  <si>
    <t>Porta piso/teto em MDF Ultra 0,80x2,10m, acab pintura PU branco fosco</t>
  </si>
  <si>
    <t>Porta piso/teto em MDF Ultra 0,90x2,10m, acab pintura PU branco fosco</t>
  </si>
  <si>
    <t>01.01.1143</t>
  </si>
  <si>
    <t>01.01.1144</t>
  </si>
  <si>
    <t>01.01.1145</t>
  </si>
  <si>
    <t>01.01.1146</t>
  </si>
  <si>
    <t>LaServ</t>
  </si>
  <si>
    <t>Aquecedor de passagem Rinnai, 36 l, com garantia Rinnai</t>
  </si>
  <si>
    <t>Adiantamento</t>
  </si>
  <si>
    <t>Mês 1 - 09</t>
  </si>
  <si>
    <t>Mês 2 - 10</t>
  </si>
  <si>
    <t>Mês 3 - 11</t>
  </si>
  <si>
    <t>Mês 4 - 12</t>
  </si>
  <si>
    <t>Antônio</t>
  </si>
  <si>
    <t>DEMOLIÇÃO</t>
  </si>
  <si>
    <t>Demolição - Caçambas</t>
  </si>
  <si>
    <t>Demolição - Ferramentas</t>
  </si>
  <si>
    <t>01.01.1147</t>
  </si>
  <si>
    <t>01.01.1148</t>
  </si>
  <si>
    <t>01.01.1149</t>
  </si>
  <si>
    <t>01.01.1150</t>
  </si>
  <si>
    <t>01.01.1151</t>
  </si>
  <si>
    <t>01.01.1152</t>
  </si>
  <si>
    <t>01.01.1153</t>
  </si>
  <si>
    <t>01.01.1154</t>
  </si>
  <si>
    <t>01.01.1155</t>
  </si>
  <si>
    <t>01.01.1156</t>
  </si>
  <si>
    <t>01.01.1157</t>
  </si>
  <si>
    <t>01.01.1158</t>
  </si>
  <si>
    <t>01.01.1159</t>
  </si>
  <si>
    <t>Lajes fechamento escada</t>
  </si>
  <si>
    <t>Laje e paredes da pisicina</t>
  </si>
  <si>
    <t>Acabamento de tomadas e interruptores linha Pial Plus</t>
  </si>
  <si>
    <t>Escada metálica</t>
  </si>
  <si>
    <t>Escada Metálica conforme imagem da maquete eletrônica</t>
  </si>
  <si>
    <t>18.1.2</t>
  </si>
  <si>
    <t>18.1.3</t>
  </si>
  <si>
    <t>18.1.4</t>
  </si>
  <si>
    <t>PORCELANATO CASTELATTO 120X120</t>
  </si>
  <si>
    <t>Fachada terraço externo</t>
  </si>
  <si>
    <t>REVESTIMENTO PISCINA</t>
  </si>
  <si>
    <t>1ª linha</t>
  </si>
  <si>
    <t>Degrau em madeira</t>
  </si>
  <si>
    <t>18</t>
  </si>
  <si>
    <t>19</t>
  </si>
  <si>
    <t>Portas de PVC, linha Eurotec, Itec e Tecplus</t>
  </si>
  <si>
    <t>Janelas de PVC, linha Eurotec, Itec e Tecplus</t>
  </si>
  <si>
    <t>Impermeabilização</t>
  </si>
  <si>
    <t>Fran, sem nota</t>
  </si>
  <si>
    <t>Fran Copa</t>
  </si>
  <si>
    <t>Bleza sem nota, Leonardo</t>
  </si>
  <si>
    <t>hibritec</t>
  </si>
  <si>
    <t>Projeto de pisicina</t>
  </si>
  <si>
    <t>MO instalação piscina</t>
  </si>
  <si>
    <t>Porta Madeira Semi-oca 0,80x2,10m, com alizar, ferragenas, pintura e colocação</t>
  </si>
  <si>
    <t>Estimativa Deplan</t>
  </si>
  <si>
    <t>Fenix, sem nota</t>
  </si>
  <si>
    <t>Material - Pintura PVA com emassamento sobre paredes emboçadas</t>
  </si>
  <si>
    <t>Mão de obra - Pintura PVA com emassamento sobre paredes pintadas com arremates</t>
  </si>
  <si>
    <t>Material - Pintura PVA com emassamento sobre paredes pintadas com arremates</t>
  </si>
  <si>
    <t>01.01.1160</t>
  </si>
  <si>
    <t>01.01.1161</t>
  </si>
  <si>
    <t xml:space="preserve">Mão de obra - Execução de pintura acrílica com emassamento sobre forro </t>
  </si>
  <si>
    <t xml:space="preserve">Material - Execução de pintura acrílica com emassamento sobre forro </t>
  </si>
  <si>
    <t>01.01.1162</t>
  </si>
  <si>
    <t>01.01.1163</t>
  </si>
  <si>
    <t>EstimatiVa - Recuperação das portas de correr em madeira com vidro, da varanda</t>
  </si>
  <si>
    <t>EQUIPAMENTO</t>
  </si>
  <si>
    <t>MÊS 09</t>
  </si>
  <si>
    <t>Projeto, Ampliação em Estrutura Metálica, Reforço de Paredes internas</t>
  </si>
  <si>
    <t>Aterro com Brita</t>
  </si>
  <si>
    <t>Aterro com Areia</t>
  </si>
  <si>
    <t>Compactação com Sapinho</t>
  </si>
  <si>
    <t>Lançamento de Concreto - Mat</t>
  </si>
  <si>
    <t>Casa das Telhas - Renata 99985-7793</t>
  </si>
  <si>
    <t>Execução Telhado Colonial MO</t>
  </si>
  <si>
    <t>Execução Telha Colonial Material -  57cm</t>
  </si>
  <si>
    <t>Material - Cerâmica Jatobá 5x5 Verde Etna</t>
  </si>
  <si>
    <t>Mão de obra - Assentamento Cerâmica Jatobá 5x5 Verde Etna</t>
  </si>
  <si>
    <t>Azulejo Metro Roca Areia 10 x 20cm - Mat</t>
  </si>
  <si>
    <t>Itanhangá Revestimentos</t>
  </si>
  <si>
    <t>Execução de Rodapé Granitina Segato Areia 90 x 90cm - mat + mo</t>
  </si>
  <si>
    <t>m.l</t>
  </si>
  <si>
    <t>Execução MO - Porcelanato Margres Time T21-AS Snow 60x60cm</t>
  </si>
  <si>
    <t>Material - Rodapé Porcelanato Margres Time T21- Snow Anti Slip 60x60cm</t>
  </si>
  <si>
    <t>Material - Piso Porcelanato Margres Time T21- Snow Anti Slip 60x60cm</t>
  </si>
  <si>
    <t>Mármores Espirito Santo</t>
  </si>
  <si>
    <t>Rodapé - Aglostone Branco Prime</t>
  </si>
  <si>
    <t>Ml</t>
  </si>
  <si>
    <t>Mão de obra - Execução Aglostone Branco Prime</t>
  </si>
  <si>
    <t>Rodapé - Silestone Blanco Maple Levigado</t>
  </si>
  <si>
    <t>Mão de obra - Execução de Silestone Blanco Maple Levigado</t>
  </si>
  <si>
    <t>Mao de obra - Travertino Levigado Estucado</t>
  </si>
  <si>
    <t>Material - Rodapé Tábua corrida em Peroba Mica, 15cm</t>
  </si>
  <si>
    <t>Mão de Obra - Piso e Rodapé Tábua corrida em Peroba Mica, 15cm c/ Cola</t>
  </si>
  <si>
    <t>Aplicação de Bona Fosco + Lixamento</t>
  </si>
  <si>
    <t>Barra Nobre</t>
  </si>
  <si>
    <t>Frete - Tábua corrida em Peroba Mica, 15cm</t>
  </si>
  <si>
    <t>Granzepe Misto Ipê - 4 x 3 x 2</t>
  </si>
  <si>
    <t>Flaviense madeiras - Leanddro</t>
  </si>
  <si>
    <t>Mármores e granitos - Bancada banheiro casal suíte 01
c/ frontispício 10cm e saia 10cm
(2 furações) + ilhargas</t>
  </si>
  <si>
    <t>Mármores e granitos - Bancada suíte 02 c/ frontispicio
14cm e saia 15cm (1 furação):</t>
  </si>
  <si>
    <t>Mármores e granitos - Bancada suíte 03 c/ frontispício 14
cm e saia 15cm (1 furação):</t>
  </si>
  <si>
    <t>Espírito Santo</t>
  </si>
  <si>
    <t>Mármores e granitos - Bancada Lavabo c/ frontispício 15
cm e saia 15cm (1 furação):</t>
  </si>
  <si>
    <t xml:space="preserve">TELHADO </t>
  </si>
  <si>
    <t>Mão de Obra- Execução de Telhado colonial</t>
  </si>
  <si>
    <t>Vb</t>
  </si>
  <si>
    <t>Esquadrias de Madeira - Mão de Obra</t>
  </si>
  <si>
    <t>IMPERMEABILIZAÇÃO</t>
  </si>
  <si>
    <t>Celumassa Colante AC3 flexível 20Kg</t>
  </si>
  <si>
    <t>riomix</t>
  </si>
  <si>
    <t>Segato</t>
  </si>
  <si>
    <t>Material - Piso Granitina Segato Areia 90 x 90cm</t>
  </si>
  <si>
    <t>Material - Base seladora de alto desempenho</t>
  </si>
  <si>
    <t>Material - Cera Impermeabilizante alto desempenho</t>
  </si>
  <si>
    <t>Material - Rodapé Granitina Segato Areia 90 x 90cm</t>
  </si>
  <si>
    <t>P17 - PORTA DE CORRER DE DUAS 
FOLHAS E BANDEIRA FIXA
EM ALUMÍNIO E MIOLOS EM
TELA EXPANDIDA</t>
  </si>
  <si>
    <t>Vidro fixo vitral</t>
  </si>
  <si>
    <t>P18 - PORTA DE ABRIR E 
BANDEIRA FIXA EM 
ALUMÍNIO E MIOLOS EM 
TELA EXPANDIDA</t>
  </si>
  <si>
    <t>Unidade</t>
  </si>
  <si>
    <t xml:space="preserve">Elevador Plataforma de Acessibilidade </t>
  </si>
  <si>
    <t>Selador para pintura 18l - Suvinil</t>
  </si>
  <si>
    <t>Hugo pintor</t>
  </si>
  <si>
    <t>Misturador de mesa bica alta para lavatório Izy Deca, 1877.C37;</t>
  </si>
  <si>
    <t>Bacia convencional Vogue Plus Deca, P.5.17;</t>
  </si>
  <si>
    <t>Ducha higiênica com registro e derivação Izy Deca, 1984.C37.ACT.CR;</t>
  </si>
  <si>
    <t>Hydra Clean Deca, 4900.C.CLN;</t>
  </si>
  <si>
    <t>Chuveiro com tubo de parede Acqua Plus Deca, 1990.C.STD</t>
  </si>
  <si>
    <t>Cuba de embutir L129, Deca;</t>
  </si>
  <si>
    <t>Misturador de mesa bica alta para lavatório Izy Plus Deca, 1877.C37</t>
  </si>
  <si>
    <t>Barra deslizante moderna 1981.c com ducha manual aspen 4867.c</t>
  </si>
  <si>
    <t>Bacia Carrara P60, Deca</t>
  </si>
  <si>
    <t>Ducha higiênica com registro e derivação Izy Plus Deca, 1984.C37.ACT.CR</t>
  </si>
  <si>
    <t>Válvula SLIM 2553.C.112 DECA</t>
  </si>
  <si>
    <t>Cuba de embutir L375, Deca;</t>
  </si>
  <si>
    <t>Misturador de parede para lavatório Izy Plus Deca, 1878.C37</t>
  </si>
  <si>
    <t>Cuba de embutir L375, Deca</t>
  </si>
  <si>
    <t>Lavatório Ref: 58004 e Coluna Ref: 58201 Linha Clássica CELITE</t>
  </si>
  <si>
    <t>Misturador de mesa bica alta para lavatório Belle Epoque 1877.C52 DECA</t>
  </si>
  <si>
    <t>Acabamento para registro Belle Epoque 4900.C52. PQ DECA</t>
  </si>
  <si>
    <t>Bacia Convencional Carrara P60 DECA</t>
  </si>
  <si>
    <t>Ducha Higiênica com registro e derivação Belle Epoque 1984.C52. Act DECA</t>
  </si>
  <si>
    <t>Chuveiro com tubo de teto Acqua Plus Deca, 1990.TET.STD;</t>
  </si>
  <si>
    <t>Válvula De Descarga Deca Hydramax DECA</t>
  </si>
  <si>
    <t>Cuba Mekal Linha Retta LR-50 500x400</t>
  </si>
  <si>
    <t>Misturador Para Cozinha Spin Gourmet de Mesa Monocomando Cromado 2281.C DECA [Cuba Kohler];</t>
  </si>
  <si>
    <t>Sco</t>
  </si>
  <si>
    <t>Material + MO - Aglostone Branco Prime</t>
  </si>
  <si>
    <t>Material + MO - Silestone Blanco Maple Levigado</t>
  </si>
  <si>
    <t>Material + MO - Granito Santa Cecília Levigado</t>
  </si>
  <si>
    <t>Espirito santo</t>
  </si>
  <si>
    <t xml:space="preserve">Madeiramento em Telhado a ser feito </t>
  </si>
  <si>
    <t xml:space="preserve">Sco </t>
  </si>
  <si>
    <t>Tip</t>
  </si>
  <si>
    <t>Filtração para pisicina, Dispositivo em inox e Capas</t>
  </si>
  <si>
    <t xml:space="preserve">Argamassa Pastilhas e Mosaicos Interno e Externo Branco 20kg Axton
</t>
  </si>
  <si>
    <t xml:space="preserve">Protetor de Piso 25 metros Salva Piso
</t>
  </si>
  <si>
    <t>Materiais para confeccao de concreto estrutural dosado para uma resistencia caracteristica a compressao (fck) minimo de 25MPa</t>
  </si>
  <si>
    <t>Ampliação em Estr. Metálica + Laje</t>
  </si>
  <si>
    <t>Inidicação Mestre paulo - Maciel</t>
  </si>
  <si>
    <t>Cuba Inox de Semiencaixe simples com grelha/escorredor KOHLER Vault 3943BR-NA</t>
  </si>
  <si>
    <t>Celite</t>
  </si>
  <si>
    <t>Escada Tipo Caracol</t>
  </si>
  <si>
    <t>Escada tipo reta</t>
  </si>
  <si>
    <t>Novum Rio</t>
  </si>
  <si>
    <t>Material + MO - Travertino Levigado Estucado</t>
  </si>
  <si>
    <t>Vidros Translúcidos Portas de Madeira</t>
  </si>
  <si>
    <t>CRUZADA</t>
  </si>
  <si>
    <t>Lavatório Ref: 58004 e Coluna Ref: 58201 Linha Clássica CELITE + Coluna</t>
  </si>
  <si>
    <t>NACIONAL MADEIRAS</t>
  </si>
  <si>
    <t>1 Martelo por profissional</t>
  </si>
  <si>
    <t>01.01.1164</t>
  </si>
  <si>
    <t>01.01.1165</t>
  </si>
  <si>
    <t>01.01.1166</t>
  </si>
  <si>
    <t>01.01.1167</t>
  </si>
  <si>
    <t>RJEPI</t>
  </si>
  <si>
    <t xml:space="preserve">Uniforme - Calça </t>
  </si>
  <si>
    <t>Uniforme -  Camisa</t>
  </si>
  <si>
    <t>D &amp; G Serviços de Engenharia  / Romana - 17000 correção de valor</t>
  </si>
  <si>
    <t>Fran</t>
  </si>
  <si>
    <t>Montele</t>
  </si>
  <si>
    <t>Djony Granitos</t>
  </si>
  <si>
    <t>Cozinha Bancada Ardósia cinza - 3.54 x 0.6</t>
  </si>
  <si>
    <t>Cozinha Bancada Ardósia cinza - 2.25 x 0.6</t>
  </si>
  <si>
    <t>Djony granitos</t>
  </si>
  <si>
    <t>Cozinha Bancada Ardózia Cinza - 7.5 x 0.6</t>
  </si>
  <si>
    <t>Ferragem Portas e Esquadrias La fonte - Ref. Linha Inova Conj. 234 Acabamento CRA</t>
  </si>
  <si>
    <t>Telhados e churrasqueiras</t>
  </si>
  <si>
    <t>Execução de Telhado de Madeira - Material + MO</t>
  </si>
  <si>
    <t>Nacional Madeiras</t>
  </si>
  <si>
    <t>Instalação de Ar condicionado -  Mão de Obra</t>
  </si>
  <si>
    <t>VALOR TOTAL</t>
  </si>
  <si>
    <t>ESQUADRIAS MADEIRA, ALUMÍNIO, VIDROS E FERRAGENS</t>
  </si>
  <si>
    <t>Acerto de Verba</t>
  </si>
  <si>
    <t>Revestimento de parede em placas metálicas</t>
  </si>
  <si>
    <t>Bancada Curva - Copa 01</t>
  </si>
  <si>
    <t>01.01.1168</t>
  </si>
  <si>
    <t>01.01.1169</t>
  </si>
  <si>
    <t>01.01.1170</t>
  </si>
  <si>
    <t>01.01.1171</t>
  </si>
  <si>
    <t>01.01.1172</t>
  </si>
  <si>
    <t>01.01.1173</t>
  </si>
  <si>
    <t>01.01.1174</t>
  </si>
  <si>
    <t>01.01.1175</t>
  </si>
  <si>
    <t>01.01.1176</t>
  </si>
  <si>
    <t>01.01.1177</t>
  </si>
  <si>
    <t>01.01.1178</t>
  </si>
  <si>
    <t>Bancada de Café - Centro de Treinamento</t>
  </si>
  <si>
    <t>Bancada de Café - Sala Reunião 01</t>
  </si>
  <si>
    <t>Bancada de Café - Sala Reunião 03</t>
  </si>
  <si>
    <t>Bancada de Café - Salão 02 Phone booth</t>
  </si>
  <si>
    <t>Inspeção nos elevadores</t>
  </si>
  <si>
    <t>Pintura Externa - Fachada Frontal, Terraços e Varanda</t>
  </si>
  <si>
    <t>Kit Porta PNE</t>
  </si>
  <si>
    <t>Leroy Merlin - inclusive pne 80cm</t>
  </si>
  <si>
    <t>MO - Pintura Epóxi Sobre cerâmica Existente</t>
  </si>
  <si>
    <t xml:space="preserve">Material -  Epóxi Sobre cerâmica Existente -  Brilhante Novacor Epóxi Premium Branco 3,6L Sherwin Williams
</t>
  </si>
  <si>
    <t>Gal 3.6L</t>
  </si>
  <si>
    <t xml:space="preserve">Material -  Tinta Acrílica Fosco Novacor Piso Premium Concreto 18L Sherwin Williams
</t>
  </si>
  <si>
    <t>MO - Pintura de Piso</t>
  </si>
  <si>
    <t>01.01.1179</t>
  </si>
  <si>
    <t>MAT + MO - Grama Decorativa 20mm</t>
  </si>
  <si>
    <t>ART Grama</t>
  </si>
  <si>
    <t>Moldura em volta do vão das esquadrias</t>
  </si>
  <si>
    <t>Com nota</t>
  </si>
  <si>
    <t>Revestimento Parede Branco Eliane Munari - 30x60</t>
  </si>
  <si>
    <t>01.01.1180</t>
  </si>
  <si>
    <t>01.01.1181</t>
  </si>
  <si>
    <t>01.01.1182</t>
  </si>
  <si>
    <t>01.01.1183</t>
  </si>
  <si>
    <t xml:space="preserve">Material -  Esmalte Sintético Fosco Branco 3,6L Luxens
</t>
  </si>
  <si>
    <t xml:space="preserve">MO -  Esmalte Sintético Fosco Branco 3,6L Luxens
</t>
  </si>
  <si>
    <t>fenix</t>
  </si>
  <si>
    <t>Material  + MO - Piso grama Decorativa 20mm</t>
  </si>
  <si>
    <t>Art Grama</t>
  </si>
  <si>
    <t>Porta de Vidro Automatizada -  Vão de 2.80 x 2.40</t>
  </si>
  <si>
    <t>Fechamento em Vidro temperado Phone boot</t>
  </si>
  <si>
    <t>Revestimento em chapa metálica</t>
  </si>
  <si>
    <t>Manoel - GPA</t>
  </si>
  <si>
    <t>Concreto feito na obra</t>
  </si>
  <si>
    <t>Bombeamento de concreto para volumes menores que 20 m²</t>
  </si>
  <si>
    <t>Lançamento de Concreto - MO</t>
  </si>
  <si>
    <t>Aço Médio Material com corte e dobra</t>
  </si>
  <si>
    <t>Lançamento e montagem de armadura - MO</t>
  </si>
  <si>
    <t>01.01.1184</t>
  </si>
  <si>
    <t>01.01.1185</t>
  </si>
  <si>
    <t>01.01.1186</t>
  </si>
  <si>
    <t>01.01.1187</t>
  </si>
  <si>
    <t>01.01.1188</t>
  </si>
  <si>
    <t>01.01.1189</t>
  </si>
  <si>
    <t>Superestrutura</t>
  </si>
  <si>
    <t>10.1.2</t>
  </si>
  <si>
    <t>Consultoria Estrutura</t>
  </si>
  <si>
    <t>01.01.1190</t>
  </si>
  <si>
    <t>01.01.1191</t>
  </si>
  <si>
    <t>01.01.1192</t>
  </si>
  <si>
    <t>01.01.1193</t>
  </si>
  <si>
    <t>01.01.1194</t>
  </si>
  <si>
    <t>01.01.1195</t>
  </si>
  <si>
    <t>01.01.1196</t>
  </si>
  <si>
    <t>01.01.1197</t>
  </si>
  <si>
    <t>01.01.1198</t>
  </si>
  <si>
    <t>01.01.1199</t>
  </si>
  <si>
    <t>Revestimento Parede Porcelanato White Plain Matte 30 x 60 - Portinari</t>
  </si>
  <si>
    <t>Cobogó Tartan Manufatti</t>
  </si>
  <si>
    <t>Revestimento Parede Porcelanato Loft SGR 60 x 120 - Portinari</t>
  </si>
  <si>
    <t>Piso Pasinato Basalto Ferrugem Linha Easystone Linear clássico</t>
  </si>
  <si>
    <t>Piso Porcelanato York WH Acetinado RET 60x60 - Portinari</t>
  </si>
  <si>
    <t>Piso Porcelanato Downtown HD GR 90x90 - Portinari</t>
  </si>
  <si>
    <t>01.01.1200</t>
  </si>
  <si>
    <t>01.01.1201</t>
  </si>
  <si>
    <t>01.01.1202</t>
  </si>
  <si>
    <t>01.01.1203</t>
  </si>
  <si>
    <t>01.01.1204</t>
  </si>
  <si>
    <t>01.01.1205</t>
  </si>
  <si>
    <t>01.01.1206</t>
  </si>
  <si>
    <t>01.01.1207</t>
  </si>
  <si>
    <t>MAT + MO - Bancada banho filhos c/ cuba
esculpida, frontispício 10cm e saia
15cm - 122 x 40</t>
  </si>
  <si>
    <t>MAT + MO - Bancada lavabo c/ cuba esculpida,
frontispício 10cm e saia 15cm - 170x50</t>
  </si>
  <si>
    <t>Revestimentos RJ</t>
  </si>
  <si>
    <t>5% Valor da proposta Glaucio</t>
  </si>
  <si>
    <t>Eventuais de instalações (Bombas, Caixa D'água)</t>
  </si>
  <si>
    <t>01.01.1208</t>
  </si>
  <si>
    <t>01.01.1209</t>
  </si>
  <si>
    <t>01.01.1210</t>
  </si>
  <si>
    <t>01.01.1211</t>
  </si>
  <si>
    <t>01.01.1212</t>
  </si>
  <si>
    <t>01.01.1213</t>
  </si>
  <si>
    <t>01.01.1214</t>
  </si>
  <si>
    <t>01.01.1215</t>
  </si>
  <si>
    <t>01.01.1216</t>
  </si>
  <si>
    <t>01.01.1217</t>
  </si>
  <si>
    <t>01.01.1218</t>
  </si>
  <si>
    <t>Mat + Mo - Porta em Madeira Marcenaria de Giro c/ Face em laca Branca Fosca e Outra em Cumarú Ripada 70x210</t>
  </si>
  <si>
    <t>Mat + Mo - Porta em Madeira Madeira Cedro 70x210</t>
  </si>
  <si>
    <t>Mat + Mo - Espelho Guardian Cristal 6mm Lapidado com Caixa de Iluminação</t>
  </si>
  <si>
    <t>Mat + Mo - Espelho Guardian Cristal 6mm Lapidado SEM Caixa de Iluminação</t>
  </si>
  <si>
    <t>Mat + Mo - Kit de Esquadrias Linha Gold Cor Branca</t>
  </si>
  <si>
    <t>01.01.1219</t>
  </si>
  <si>
    <t>01.01.1220</t>
  </si>
  <si>
    <t>01.01.1221</t>
  </si>
  <si>
    <t>01.01.1222</t>
  </si>
  <si>
    <t>01.01.1223</t>
  </si>
  <si>
    <t>01.01.1224</t>
  </si>
  <si>
    <t>01.01.1225</t>
  </si>
  <si>
    <t>Pç</t>
  </si>
  <si>
    <t>Mat + Mo - Guarda-Corpo em Vidro Laminado Temperado de 16mm com Perfil de Embutir</t>
  </si>
  <si>
    <t>Vilmobrás - 330 (2017)</t>
  </si>
  <si>
    <t>Fênix - Cob. Leonardo Melo</t>
  </si>
  <si>
    <t>Fenix - Cobertura Leonardo M.</t>
  </si>
  <si>
    <t xml:space="preserve">Mat - Execução de textura </t>
  </si>
  <si>
    <t>MO - Execução de Textura</t>
  </si>
  <si>
    <t>Eventuais - Paineis Solares</t>
  </si>
  <si>
    <t>Mat + MO - Impermeabilização com argamassa polimérica</t>
  </si>
  <si>
    <t>01.01.1226</t>
  </si>
  <si>
    <t>01.01.1227</t>
  </si>
  <si>
    <t>01.01.1228</t>
  </si>
  <si>
    <t>01.01.1229</t>
  </si>
  <si>
    <t>01.01.1230</t>
  </si>
  <si>
    <t>01.01.1231</t>
  </si>
  <si>
    <t>Camada Separadora - Bidim</t>
  </si>
  <si>
    <t>Isolante Térmico Poliestireno extrudado</t>
  </si>
  <si>
    <t>Revestimento  Palha de fibra Natural</t>
  </si>
  <si>
    <t>Neves Bambu</t>
  </si>
  <si>
    <t>Tratamento de Estrutura Concreto - Escadas, vigas e Pilares</t>
  </si>
  <si>
    <t>Envernizamento do Madeiramento Existente</t>
  </si>
  <si>
    <t>FRETE FOB Rio Grande do Sul:</t>
  </si>
  <si>
    <t>Pasinato</t>
  </si>
  <si>
    <t>Louças e Metais - DECA</t>
  </si>
  <si>
    <t>Louças e Metais - Continuação -  Ralos Lineares Ocultos, Monocomando, Mekal, entre outros</t>
  </si>
  <si>
    <t>Louças e Metais -</t>
  </si>
  <si>
    <t>M²</t>
  </si>
  <si>
    <t>Andaime Tubular Fachadeiro - 12 x 7</t>
  </si>
  <si>
    <t>Andaime Tubular - 8 x 5</t>
  </si>
  <si>
    <t>Andaime Tubular - 5 x 2</t>
  </si>
  <si>
    <t>01.01.1232</t>
  </si>
  <si>
    <t>01.01.1233</t>
  </si>
  <si>
    <t>01.01.1234</t>
  </si>
  <si>
    <t>01.01.1235</t>
  </si>
  <si>
    <t>01.01.1236</t>
  </si>
  <si>
    <t>Montagem Andaime Fachadeiro</t>
  </si>
  <si>
    <t>VB</t>
  </si>
  <si>
    <t>Desmontagem Adaime Fachadeiro</t>
  </si>
  <si>
    <t>Frete Andaime</t>
  </si>
  <si>
    <t>Mat + Mo - Porta de Madeira Marcenaria com Pintura Branca 70x210</t>
  </si>
  <si>
    <t>Mat + Mo - Porta de Madeira Marcenaria com Pintura Branca 60x210</t>
  </si>
  <si>
    <t>01.01.1237</t>
  </si>
  <si>
    <t>Mat + Mo - Porta de Madeira Marcenaria com Pintura Branca 90x210</t>
  </si>
  <si>
    <t>Mat - Pintura Acrílica Fosca Branco c/ Emassamento</t>
  </si>
  <si>
    <t>MO - Pintura Acrílica Fosca Branco c/ emassamento</t>
  </si>
  <si>
    <t xml:space="preserve">Fênix </t>
  </si>
  <si>
    <t>Ref. Cobertura Guilherme</t>
  </si>
  <si>
    <t>Mônica Fênix</t>
  </si>
  <si>
    <t>Mat - Pintura PVA Fosca Branca c/ emassamento</t>
  </si>
  <si>
    <t>MO - Pintura PVA Fosca Branca  c/ emassamento</t>
  </si>
  <si>
    <t>Pacelo</t>
  </si>
  <si>
    <t>Cuba Mekal Linha CT 60 ESC</t>
  </si>
  <si>
    <t>Cuba Mekal Linha CD50 ESC</t>
  </si>
  <si>
    <t>01.01.1238</t>
  </si>
  <si>
    <t>01.01.1239</t>
  </si>
  <si>
    <t>01.01.1240</t>
  </si>
  <si>
    <t>01.01.1241</t>
  </si>
  <si>
    <t>Tanto Revestimentos.</t>
  </si>
  <si>
    <t>Fretes, mobilização, equipamentos, ferramentas e desmobilização</t>
  </si>
  <si>
    <t>HyperPedras</t>
  </si>
  <si>
    <t>Rodrigo LAER</t>
  </si>
  <si>
    <t>(Decks: Solarium, Piscina, Ducha Spa, Sala de TV, Quarto Flora)Mat + Mo - Madeira Cumarú com réguas 5/2 com Acabamento em Verniz Fosco</t>
  </si>
  <si>
    <t>(Decks: Sala de Jantar e Jardim de Inverno) Mat + Mo Restauro Deck em Cumarú Existente</t>
  </si>
  <si>
    <t>Mat + Mo - Revestimentos em Madeira Cedro, Bancos em Madeira, Ripados Banco e Fachada</t>
  </si>
  <si>
    <t>Pedra Lolinha</t>
  </si>
  <si>
    <t>Blez</t>
  </si>
  <si>
    <t>Mat + MO - Aplicação de primer epóxi</t>
  </si>
  <si>
    <t>Mat + MO - Impermeabilização com epóxi isento de solventes</t>
  </si>
  <si>
    <t>Proteção primária de Piso: Argamassa e Cimento e areia 1:6 + Proteção mecânica dos rodapés: chapisco + tela</t>
  </si>
  <si>
    <t>Material - Fornecimento de pedra moledo c/ Perda de 35%</t>
  </si>
  <si>
    <t>01.01.1242</t>
  </si>
  <si>
    <t>01.01.1243</t>
  </si>
  <si>
    <t>01.01.1244</t>
  </si>
  <si>
    <t>01.01.1245</t>
  </si>
  <si>
    <t>01.01.1246</t>
  </si>
  <si>
    <t>01.01.1247</t>
  </si>
  <si>
    <t>01.01.1248</t>
  </si>
  <si>
    <t>MO - Colocação de Pedra Moledo</t>
  </si>
  <si>
    <t>Pedras Lolinhas</t>
  </si>
  <si>
    <t>Material de Consumo Pedra Moledo - Clarofilito, Areia e Cimento</t>
  </si>
  <si>
    <t>Preparação da Parede para Colocação da Pedra Moledo</t>
  </si>
  <si>
    <t>Frete Pedra Moledo</t>
  </si>
  <si>
    <t>Deca - Robson | Acerto de Quant. | Ralos e Monocomando - Tanto Revestimentos</t>
  </si>
  <si>
    <t>Glass&amp;Co</t>
  </si>
  <si>
    <t xml:space="preserve">Mat + Mo - Pergolado em Alumínio Branco </t>
  </si>
  <si>
    <t>01.01.1249</t>
  </si>
  <si>
    <t>01.01.1250</t>
  </si>
  <si>
    <t>01.01.1251</t>
  </si>
  <si>
    <t>Banho Serviço - Box padrão, com vidro incolor de 8mm, da 
marca Blindex - 85 x 180cm</t>
  </si>
  <si>
    <t>Banho Filhos - Box padrão, com vidro incolor de 8mm, da 
marca Blindex - 133 x 180cm</t>
  </si>
  <si>
    <t>Banho 
Hóspedes - Box do piso teto, com vidro incolor de 10mm, da 
marca Blindex - 112 x 250cm</t>
  </si>
  <si>
    <t>Banho Master - Box do piso teto, com vidro incolor de 10mm, da 
marca Blindex - 175 x 250cm</t>
  </si>
  <si>
    <t>Limpeza e tratamento de superfície primer 
epoxi bicomponente rico em zinco em toda a
estrutura metálica</t>
  </si>
  <si>
    <t>Ferrobran</t>
  </si>
  <si>
    <t>Rohden</t>
  </si>
  <si>
    <t>Espuma de Instalação - Tytan - 473 ml</t>
  </si>
  <si>
    <t>Frete de Entrega no Joá - RJ</t>
  </si>
  <si>
    <t>01.01.1252</t>
  </si>
  <si>
    <t>01.01.1253</t>
  </si>
  <si>
    <t>01.01.1254</t>
  </si>
  <si>
    <t>01.01.1255</t>
  </si>
  <si>
    <t>01.01.1256</t>
  </si>
  <si>
    <t>01.01.1257</t>
  </si>
  <si>
    <t>01.01.1258</t>
  </si>
  <si>
    <t>01.01.1259</t>
  </si>
  <si>
    <t>01.01.1260</t>
  </si>
  <si>
    <t>01.01.1261</t>
  </si>
  <si>
    <t>01.01.1262</t>
  </si>
  <si>
    <t>01.01.1263</t>
  </si>
  <si>
    <t>01.01.1264</t>
  </si>
  <si>
    <t>01.01.1265</t>
  </si>
  <si>
    <t>01.01.1266</t>
  </si>
  <si>
    <t>01.01.1267</t>
  </si>
  <si>
    <t>01.01.1268</t>
  </si>
  <si>
    <t>01.01.1269</t>
  </si>
  <si>
    <t>01.01.1270</t>
  </si>
  <si>
    <t>01.01.1271</t>
  </si>
  <si>
    <t>01.01.1272</t>
  </si>
  <si>
    <t>01.01.1273</t>
  </si>
  <si>
    <t>01.01.1274</t>
  </si>
  <si>
    <t>01.01.1275</t>
  </si>
  <si>
    <t>01.01.1276</t>
  </si>
  <si>
    <t>01.01.1277</t>
  </si>
  <si>
    <t>01.01.1278</t>
  </si>
  <si>
    <t>01.01.1279</t>
  </si>
  <si>
    <t>Dobradiça 4,0" x 3,0" - Com anel - Aço Inox - Escovada + Parafusos de Aço Inox</t>
  </si>
  <si>
    <t>Conj de Fec. Papaiz - Modelo Polara - Latão Cromado - Interna</t>
  </si>
  <si>
    <t>Conj de Fec. Papaiz - Modelo Polara - Latão Cromado - Wc</t>
  </si>
  <si>
    <t>Espelho Guardian cristal de 6mm lapidado, sem 
caixa - Área Gourmet</t>
  </si>
  <si>
    <t>Espelho Guardian cristal de 6mm lapidado, com 
caixa para iluminação - Hóspedes</t>
  </si>
  <si>
    <t>Espelho Guardian cristal de 6mm lapidado, com 
caixa para iluminação - Lavabo SPA</t>
  </si>
  <si>
    <t>Espelho Guardian cristal de 6mm lapidado, com 
caixa para iluminação -  Lavabo Social</t>
  </si>
  <si>
    <t>Espelho Guardian cristal de 6mm lapidado, com 
caixa para iluminação -Banho Filhos</t>
  </si>
  <si>
    <t>Espelho Guardian cristal de 6mm lapidado, com 
caixa para iluminação - Banho Master</t>
  </si>
  <si>
    <t>Espelho Guardian cristal de 6mm lapidado, com 
caixa para iluminação - Closet</t>
  </si>
  <si>
    <t>Eventuais de Impermeabilização e Tratamentos de Paredes - Rodapé Quartzolit 3.6L</t>
  </si>
  <si>
    <t>MAT + MO - Quartzo Branco - Bancada área de serviço  244 x 55</t>
  </si>
  <si>
    <t>MAT + MO - Quartzo Branco-  Bancada área gourmet  550 x 60</t>
  </si>
  <si>
    <t>MAT + MO - Mármore Travertino Tavona - Bancada lavabo social c/ cuba
esculpida - 185 x50</t>
  </si>
  <si>
    <t>MAT + MO - Mármore Branco Prime Nano - Bancada banho master c/ cuba
esculpida - 247 x 55</t>
  </si>
  <si>
    <t>Monica Fenix</t>
  </si>
  <si>
    <t>Mat - Pintura Fachada cor Neve c/ emassamento</t>
  </si>
  <si>
    <t>Mo - Pintura Fachada cor Neve c/ emassamento</t>
  </si>
  <si>
    <t>Mat - Pintura Cor Concreto - Teto</t>
  </si>
  <si>
    <t>Mo - Pintura Cor Concreto - Teto</t>
  </si>
  <si>
    <t>Mat - Pintura Cor Concreto - Piso</t>
  </si>
  <si>
    <t>Mo - Pintura Cor Concreto - Piso</t>
  </si>
  <si>
    <t>Mat - Pintura Branca Portas de Madeira c/ emassamento</t>
  </si>
  <si>
    <t>Mo - Pintura Branca Portas de Madeira c/ emassamento</t>
  </si>
  <si>
    <t>Mat - Pintura Branca sobre superfície Metálica</t>
  </si>
  <si>
    <t>m.L</t>
  </si>
  <si>
    <t>Mo - Pintura Branca sobre superfície Metálica</t>
  </si>
  <si>
    <t>Mat - Envernizamento de Pilares, vigas e Paredes</t>
  </si>
  <si>
    <t>Mo - Envernizamento de Pilares, vigas e Paredes</t>
  </si>
  <si>
    <t>Soleiras, Tentos, Peitoris e Chapins - Mármore Branco Prime Nano</t>
  </si>
  <si>
    <t>MAT + MO - Quartzo Branco - Ilha c/ Ilhargas 311 x 75 (4 lados Fechados)</t>
  </si>
  <si>
    <t>Portas em Alumínio Cor Branca - Áreas Técnicas (CEDAE, Light e Abaixo escada)</t>
  </si>
  <si>
    <t>Vidrix</t>
  </si>
  <si>
    <t>Andaime Fachadeiro Multidirecional Medindo 12m - 7 Altura c/ 2 Níveis de Piso Met + Escada de Acesso + G.Corpo + Rodapé</t>
  </si>
  <si>
    <t>Andaime Fachadeiro Multidirecional Medindo 5.5m - 6.5 Altura c/ 2 Níveis de Piso Met + Escada de Acesso + G.Corpo + Rodapé</t>
  </si>
  <si>
    <t>Torre de Andaime Tubular Móvel Medindo 2x4 c/ nível piso metálico + escada + G. Corpo + Rodapé + Rodízios + Bases Ajust.</t>
  </si>
  <si>
    <t>Montagem Andaime Fachadeiro + Forração + Travamento</t>
  </si>
  <si>
    <t>Desmontagem Andaime Fachadeiro + Forração + Travamento</t>
  </si>
  <si>
    <t>Montagem Plataforma para trabalho na Escada + Forração + Travamento</t>
  </si>
  <si>
    <t>01.01.1280</t>
  </si>
  <si>
    <t>01.01.1281</t>
  </si>
  <si>
    <t>01.01.1282</t>
  </si>
  <si>
    <t>01.01.1283</t>
  </si>
  <si>
    <t>01.01.1284</t>
  </si>
  <si>
    <t>01.01.1285</t>
  </si>
  <si>
    <t>01.01.1286</t>
  </si>
  <si>
    <t>01.01.1287</t>
  </si>
  <si>
    <t>01.01.1288</t>
  </si>
  <si>
    <t>01.01.1289</t>
  </si>
  <si>
    <t>01.01.1290</t>
  </si>
  <si>
    <t>01.01.1291</t>
  </si>
  <si>
    <t>01.01.1292</t>
  </si>
  <si>
    <t>01.01.1293</t>
  </si>
  <si>
    <t>01.01.1294</t>
  </si>
  <si>
    <t>01.01.1295</t>
  </si>
  <si>
    <t>01.01.1296</t>
  </si>
  <si>
    <t>01.01.1297</t>
  </si>
  <si>
    <t>01.01.1298</t>
  </si>
  <si>
    <t>01.01.1299</t>
  </si>
  <si>
    <t>01.01.1300</t>
  </si>
  <si>
    <t>01.01.1301</t>
  </si>
  <si>
    <t>01.01.1302</t>
  </si>
  <si>
    <t>01.01.1303</t>
  </si>
  <si>
    <t>01.01.1304</t>
  </si>
  <si>
    <t>01.01.1305</t>
  </si>
  <si>
    <t>01.01.1306</t>
  </si>
  <si>
    <t>01.01.1307</t>
  </si>
  <si>
    <t>01.01.1308</t>
  </si>
  <si>
    <t>01.01.1309</t>
  </si>
  <si>
    <t>01.01.1310</t>
  </si>
  <si>
    <t>01.01.1311</t>
  </si>
  <si>
    <t>01.01.1312</t>
  </si>
  <si>
    <t>01.01.1313</t>
  </si>
  <si>
    <t>01.01.1314</t>
  </si>
  <si>
    <t>01.01.1315</t>
  </si>
  <si>
    <t>01.01.1316</t>
  </si>
  <si>
    <t>01.01.1317</t>
  </si>
  <si>
    <t>01.01.1318</t>
  </si>
  <si>
    <t>01.01.1319</t>
  </si>
  <si>
    <t>01.01.1320</t>
  </si>
  <si>
    <t>01.01.1321</t>
  </si>
  <si>
    <t>01.01.1322</t>
  </si>
  <si>
    <t>01.01.1323</t>
  </si>
  <si>
    <t>01.01.1324</t>
  </si>
  <si>
    <t>01.01.1325</t>
  </si>
  <si>
    <t>01.01.1326</t>
  </si>
  <si>
    <t>01.01.1327</t>
  </si>
  <si>
    <t>01.01.1328</t>
  </si>
  <si>
    <t>01.01.1329</t>
  </si>
  <si>
    <t>01.01.1330</t>
  </si>
  <si>
    <t>01.01.1331</t>
  </si>
  <si>
    <t>01.01.1332</t>
  </si>
  <si>
    <t>01.01.1333</t>
  </si>
  <si>
    <t>01.01.1334</t>
  </si>
  <si>
    <t>01.01.1335</t>
  </si>
  <si>
    <t>01.01.1336</t>
  </si>
  <si>
    <t>01.01.1337</t>
  </si>
  <si>
    <t>01.01.1338</t>
  </si>
  <si>
    <t>01.01.1339</t>
  </si>
  <si>
    <t>01.01.1340</t>
  </si>
  <si>
    <t>01.01.1341</t>
  </si>
  <si>
    <t>01.01.1342</t>
  </si>
  <si>
    <t>01.01.1343</t>
  </si>
  <si>
    <t>01.01.1344</t>
  </si>
  <si>
    <t>01.01.1345</t>
  </si>
  <si>
    <t>01.01.1346</t>
  </si>
  <si>
    <t>01.01.1347</t>
  </si>
  <si>
    <t>01.01.1348</t>
  </si>
  <si>
    <t>01.01.1349</t>
  </si>
  <si>
    <t>01.01.1350</t>
  </si>
  <si>
    <t>01.01.1351</t>
  </si>
  <si>
    <t>01.01.1352</t>
  </si>
  <si>
    <t>01.01.1353</t>
  </si>
  <si>
    <t>01.01.1354</t>
  </si>
  <si>
    <t>01.01.1355</t>
  </si>
  <si>
    <t>Desmontagem Plataforma para trabalho na Escada + Forração + Travamento</t>
  </si>
  <si>
    <t>Frete de Andaimes</t>
  </si>
  <si>
    <t>Documentações Seg. Andaimes - PCMSO, APR, PPRA</t>
  </si>
  <si>
    <t>Estimativa MO + Lixadeira (com material)</t>
  </si>
  <si>
    <t>Preço de Pedreiro</t>
  </si>
  <si>
    <t>Tratamento de Paredes com umidades - MO</t>
  </si>
  <si>
    <t>Ar condicionado modelo Springer Midea Inverter Tipo Split Hi - wall</t>
  </si>
  <si>
    <t>Mármores Espirito Santo / Acrescentei a área total do solarium</t>
  </si>
  <si>
    <t>Ambientes:   (Suíte Master, Banho Master, Closet) (Mat + Mo - Revestimento de Piso Madeira Cumarú com réguas de 7cm C/ aplicação de Verniz Fosco</t>
  </si>
  <si>
    <t>(Ambientes: Quarto Flora, Quarto Benjamin,Suíte 2, Escadas, Circ. Escrit, Estar Íntimo 3ºPav.),  Mat+MO: Restauração de Piso Existente - Lixamento + Aplicação de Verniz</t>
  </si>
  <si>
    <t>Ambientes: Escritório 1, Escritório 2, Lavabo Social)  (Mat + Mo - Revestimento de Piso Madeira Cumarú com réguas de 20 - Piso Existente C/ aplicação de Verniz Fosco</t>
  </si>
  <si>
    <t>Instalações Prediais: Trocas de Acabamento + Ampliações</t>
  </si>
  <si>
    <t xml:space="preserve"> Área Gourmet - Ar condicionado split hi-wall 33.000 BTU's (equipamento)</t>
  </si>
  <si>
    <t>Suíte Master - Ar condicionado split hi-wall 24.000 BTU's (equipamento)</t>
  </si>
  <si>
    <t>Closet Master - Ar condicionado split hi-wall 9.000 BTU's (equipamento)</t>
  </si>
  <si>
    <t>Instalações Ar condicionado - Mão de Obra e Materiais complementares</t>
  </si>
  <si>
    <t>Proporção Preço total x BTUS totais</t>
  </si>
  <si>
    <t>Instalações Ar condicionado Materiais Compl. + Mão de Obra - 33000 Btus</t>
  </si>
  <si>
    <t>Instalações Ar condicionado Materiais Compl. + Mão de Obra - 9000 Btus</t>
  </si>
  <si>
    <t>Instalações Ar condicionado Materiais Compl. + Mão de Obra - 24000 Btus</t>
  </si>
  <si>
    <t>Glaucio Engemax + 10% Eventuais (Drenos, Esgotos, etc)</t>
  </si>
  <si>
    <t>Instalações Ar condicionado Materiais Compl. + Mão de Obra - 12000 Btus</t>
  </si>
  <si>
    <t>Forro Gesso</t>
  </si>
  <si>
    <t>01.01.1356</t>
  </si>
  <si>
    <t>Execução de forro em Lambri para as varandas</t>
  </si>
  <si>
    <t>08.2</t>
  </si>
  <si>
    <t>Movimento de terra bloco de coroamento/Cinta e Arrasamento estaca</t>
  </si>
  <si>
    <t>Frete Equipamentos Ar Condicionado</t>
  </si>
  <si>
    <t>Instalações Ar Condicionado Materiais Compl. + Mão de Obra</t>
  </si>
  <si>
    <t>Engemax</t>
  </si>
  <si>
    <t>Estrutura Metálica</t>
  </si>
  <si>
    <t>Empresa</t>
  </si>
  <si>
    <t xml:space="preserve">Valor </t>
  </si>
  <si>
    <t>Incluido</t>
  </si>
  <si>
    <t>Profile</t>
  </si>
  <si>
    <t>Fornecimento e montagem</t>
  </si>
  <si>
    <t>Materiais, tratamento de superfície e mão de obra</t>
  </si>
  <si>
    <t>Romana</t>
  </si>
  <si>
    <t>Fornecimento de materiais e mão de obra</t>
  </si>
  <si>
    <t>AMV</t>
  </si>
  <si>
    <t>Fundação - Estacas</t>
  </si>
  <si>
    <t>Valor</t>
  </si>
  <si>
    <t>MAPA</t>
  </si>
  <si>
    <t>Quantidade</t>
  </si>
  <si>
    <t>54 estacas</t>
  </si>
  <si>
    <t>todas com 281mm</t>
  </si>
  <si>
    <t>Observações</t>
  </si>
  <si>
    <t>Esquadrias de Alumínio</t>
  </si>
  <si>
    <t>Ladeira Martins</t>
  </si>
  <si>
    <t>Fornecimento de material e mao de obra</t>
  </si>
  <si>
    <t>Esquadrias de Alumínio - Material + Mão de Obra</t>
  </si>
  <si>
    <t>estacas metálicas tipo trilho TR 45 para até 38 t</t>
  </si>
  <si>
    <t>52 estacas</t>
  </si>
  <si>
    <t>28 com 281mm; 26 com 216mm</t>
  </si>
  <si>
    <t>Mobilização para execução da estaca pré moldada</t>
  </si>
  <si>
    <t>Mapa</t>
  </si>
  <si>
    <t>Blocos de coroamento</t>
  </si>
  <si>
    <t>Concreto - Bloco de coroamento/Cinta/Pilares</t>
  </si>
  <si>
    <t>Aço - Bloco de coroamento/Cinta/Pilares</t>
  </si>
  <si>
    <t>Forma - Bloco de coroamento/Cinta/Pilares</t>
  </si>
  <si>
    <t>Formas - Estrutura de Concreto - Lajes e Vigas</t>
  </si>
  <si>
    <t>Locação de Cuba Atex900</t>
  </si>
  <si>
    <t>Frete Cuba Atex 900</t>
  </si>
  <si>
    <t>Atex</t>
  </si>
  <si>
    <t>08.2.2</t>
  </si>
  <si>
    <t>08.2.3</t>
  </si>
  <si>
    <t>08.2.4</t>
  </si>
  <si>
    <t>Estaca Pré Moldada de Concreto</t>
  </si>
  <si>
    <t>Freiba</t>
  </si>
  <si>
    <t>Proteções Coletivas</t>
  </si>
  <si>
    <t>09.1.5</t>
  </si>
  <si>
    <t>Aço CA60 4,2m - corte e dobra</t>
  </si>
  <si>
    <t>Aço CA60 5mm - corte e dobra</t>
  </si>
  <si>
    <t>Aço CA50 8mm  - corte e dobra</t>
  </si>
  <si>
    <t>Aço CA50 12,5mm - corte e dobra</t>
  </si>
  <si>
    <t>Aço CA50 16mm - corte e dobra</t>
  </si>
  <si>
    <t>Aço CA50 20mm - corte e dobra</t>
  </si>
  <si>
    <t>Aço CA50 25mm - corte e dobra</t>
  </si>
  <si>
    <t>R$/Kg</t>
  </si>
  <si>
    <t>Airmaster</t>
  </si>
  <si>
    <t>Impermeabilização com argamassa polimérica</t>
  </si>
  <si>
    <t>Estaca Pré Moldade de Concreto</t>
  </si>
  <si>
    <t>Térreo descoberto</t>
  </si>
  <si>
    <t>Área do terreno</t>
  </si>
  <si>
    <t>Térreo</t>
  </si>
  <si>
    <t>2º Pavimento</t>
  </si>
  <si>
    <t>Laje descoberta</t>
  </si>
  <si>
    <t>AEQ</t>
  </si>
  <si>
    <t>AEQ (m²)</t>
  </si>
  <si>
    <t>R$</t>
  </si>
  <si>
    <t>ART</t>
  </si>
  <si>
    <t>Engenheiro de produção - part time</t>
  </si>
  <si>
    <t>Mestre - part time</t>
  </si>
  <si>
    <t xml:space="preserve">Encarregado </t>
  </si>
  <si>
    <t>Ajudante</t>
  </si>
  <si>
    <t>Pedreiro</t>
  </si>
  <si>
    <t>Estagiário</t>
  </si>
  <si>
    <t>Técnico de edificações</t>
  </si>
  <si>
    <t>Administrativo</t>
  </si>
  <si>
    <t>Auxiliar de almoxarife</t>
  </si>
  <si>
    <t>Tapume com telha metálica (h=2,20m) - material e mão de obra</t>
  </si>
  <si>
    <t>Meet</t>
  </si>
  <si>
    <t>Compra Meet</t>
  </si>
  <si>
    <t>Refeição (almoço + café)</t>
  </si>
  <si>
    <t>JR</t>
  </si>
  <si>
    <t>viagem</t>
  </si>
  <si>
    <t>Mudança do Barraco de Obra</t>
  </si>
  <si>
    <t>Exame admissional / demissional / períodico</t>
  </si>
  <si>
    <t>RJ EPI</t>
  </si>
  <si>
    <t>Corda de poliamida (50 m)</t>
  </si>
  <si>
    <t>Sistema de alarme com 4 câmeras e sensores</t>
  </si>
  <si>
    <t>Instalação Sistema de alarme com 4 câmeras e sensores</t>
  </si>
  <si>
    <t>Tapume</t>
  </si>
  <si>
    <t>Gabarito</t>
  </si>
  <si>
    <t>Massa</t>
  </si>
  <si>
    <t>Custo p/ m²</t>
  </si>
  <si>
    <t>Área Equivalente (m²)</t>
  </si>
  <si>
    <t>Freiba c/ desconto</t>
  </si>
  <si>
    <t>Material de limpeza e higiene</t>
  </si>
  <si>
    <t>3º Pavimento</t>
  </si>
  <si>
    <t>Área ùtil (m²)</t>
  </si>
  <si>
    <t xml:space="preserve">CUSTO RASO </t>
  </si>
  <si>
    <t>Impemeabilização com Manta Asfáltica  - MAT+MO</t>
  </si>
  <si>
    <t>AC Imper</t>
  </si>
  <si>
    <t>Tratamento de Ralos internos com tela de poliester e epóxi</t>
  </si>
  <si>
    <t>Impermeabilização com argamassa polimérica + regularização  - MAT+MO</t>
  </si>
  <si>
    <t>RASA Loft</t>
  </si>
  <si>
    <t>Locação de compactador de solo - Sapinho</t>
  </si>
  <si>
    <t>Freiba com desconto</t>
  </si>
  <si>
    <t>Acerto de Terreno MO</t>
  </si>
  <si>
    <t>Pintura Cimento Queimado sobre massa acrílica  Mat+MO</t>
  </si>
  <si>
    <t>Parede Verde  MAT + MO</t>
  </si>
  <si>
    <t>Martelete 20 Kg</t>
  </si>
  <si>
    <t>Mão de obra - Execução de emboço interno / externo PD simples</t>
  </si>
  <si>
    <t>RASA GSM</t>
  </si>
  <si>
    <t>Mão de obra - Execução de emboço interno / externo PD Duplo</t>
  </si>
  <si>
    <t>Rasa</t>
  </si>
  <si>
    <t>Bonfim - Meet</t>
  </si>
  <si>
    <t>Betoneira 400L padrão NR18</t>
  </si>
  <si>
    <t>Material - Fornecimento de pedra moledo</t>
  </si>
  <si>
    <t>Revestimentos Naturais</t>
  </si>
  <si>
    <t>Clarofilito (saco 20 kg)</t>
  </si>
  <si>
    <t>Chatuba</t>
  </si>
  <si>
    <t>Pintura PVA Fosca Branca c/ emassamento - MAT+MO</t>
  </si>
  <si>
    <t>Ar condicionado split Springer hi-wall 22.000 BTU's INVERTER (equipamento)</t>
  </si>
  <si>
    <t>Leveros</t>
  </si>
  <si>
    <t>Ar condicionado split hi-wall Gree 32.000 BTU's INVERTER (equipamento)</t>
  </si>
  <si>
    <t>Ar condicionado split Springer hi-wall 18.000 BTU's INVERTER (equipamento)</t>
  </si>
  <si>
    <t>Ar condicionado split Springer hi-wall 9.000 BTU's INVERTER (equipamento)</t>
  </si>
  <si>
    <t>ACImper</t>
  </si>
  <si>
    <t>Instalação de split</t>
  </si>
  <si>
    <t>P09 - Kit Porta Pronta lisa 60x210cm com batente antiruido e alisar 5cm</t>
  </si>
  <si>
    <t>P03 -Kit Porta Pronta lisa 70x210cm com batente antiruido e alisar 5cm</t>
  </si>
  <si>
    <t>P08 - Kit Porta Pronta 70x210cm com veneziana fixa e alisar 5cm</t>
  </si>
  <si>
    <t>MO instalação de Kit Porta Pronta 1 fl.</t>
  </si>
  <si>
    <t>P01 - Painel Fixo em madeira ripada 582x258cm c/ porta pivotante de 110x254cm (conforme projeto)</t>
  </si>
  <si>
    <t>P02 - Painel fixo vazado em madeira ripada 120x258cm c/ porta de abrir ripada vazada 92x210cm</t>
  </si>
  <si>
    <t>P12 - Porta de correr 70x210cm com alizar de 5cm e puxador de embutir branco + Pintura</t>
  </si>
  <si>
    <t>Art Closet</t>
  </si>
  <si>
    <t>P13 - Bandeira de porta com ventilação permanente 70x90cm</t>
  </si>
  <si>
    <t>P04 - Porta de Correr com 3 folhas de vidro incolor e moldura de 7cm em aluminio preto 482x310cm</t>
  </si>
  <si>
    <t>P05 -  Porta de Correr com 3 folhas de vidro incolor e moldura de 7cm em aluminio preto 477x310cm</t>
  </si>
  <si>
    <t>P06 -  Porta de Correr de vidro incolor e moldura de 7cm em aluminio preto 260x310cm</t>
  </si>
  <si>
    <t xml:space="preserve">P07 -  Porta de Correr com 3 folhas de vidro incolor e moldura de 7cm em aluminio preto 385x310cm </t>
  </si>
  <si>
    <t>P10 - Porta de abrir em vidro temperado com puxador tubular 15cm em aço escovado 64x228cm</t>
  </si>
  <si>
    <t>P11 - Porta de abrir em vidro temperado com puxador tubular 15cm em aço escovado 74x228cm</t>
  </si>
  <si>
    <t>J01 - Seteira de abrir com perfis e travas em aluminio branco e vidro incolor  29x258cm</t>
  </si>
  <si>
    <t>J02 - Janela com vidro fixo incolor temperado e perfil de aluminio embutido  180x112cm</t>
  </si>
  <si>
    <t>Estimado</t>
  </si>
  <si>
    <t>J03 - janela de aluminio preto com duas folhas de correr em vidro incolor 140x116cm</t>
  </si>
  <si>
    <t>J04 - esquadria de aluminio preto com 1 pano fixo e 2 folhas guilhotina e vidro incolor 110x262cm</t>
  </si>
  <si>
    <t>J05 - esquadria de aluminio preto com 1 pano fixo e 2 folhas guilhotina e vidro incolor 90x262cm</t>
  </si>
  <si>
    <t>J07 - esquadria de aluminio preto com 1 pano fixo e 2 folhas guilhotina e vidro incolor 115x262cm</t>
  </si>
  <si>
    <t>J08 - esquadria de aluminio preto com 1 pano fixo e 2 folhas de correr e vidro incolor 212x262cm</t>
  </si>
  <si>
    <t>J09 - esquadria de aluminio preto com 1 pano fixo e 2 folhas de correr e vidro incolor 230x262cm</t>
  </si>
  <si>
    <t>J10 - esquadria de aluminio preto com vidro fixo incolor 162x310cm</t>
  </si>
  <si>
    <t>Caco de Pedra São Tomé Branco - paredes (esp aprox. 1,5cm)</t>
  </si>
  <si>
    <t>ITATIBA PEDRAS</t>
  </si>
  <si>
    <t>Cacão de Pedra São Tomé Branco - piso (esp. aprox. 3,5cm)</t>
  </si>
  <si>
    <t>Piso em cimento Queimado Mat+MO</t>
  </si>
  <si>
    <t>RJ Revestimentos</t>
  </si>
  <si>
    <t>Revestimento Atlas Fiji OMD 14952 10x10cm</t>
  </si>
  <si>
    <t>Augusto Rocha (rep. Atlas)</t>
  </si>
  <si>
    <t>Porcelanato Rocca Heros Off White 79,5x79,5cm</t>
  </si>
  <si>
    <t>NKC Representações</t>
  </si>
  <si>
    <t>Ladrilho Hidraulico Ladrillar Hexagonal 17,5cm - preto, off white, azul claro, azul médio, e cinza claro - MAT</t>
  </si>
  <si>
    <t>Ladrilar</t>
  </si>
  <si>
    <t>Porcelanato Portobello Madeira Boreal Mix 20x180cm</t>
  </si>
  <si>
    <t>Portobello Shop</t>
  </si>
  <si>
    <t>Porcelanato Portobello MS Barcelona Cristal 90x90cm</t>
  </si>
  <si>
    <t>Azulejo Tijolo Atlas Branco 5x10cm</t>
  </si>
  <si>
    <t>Ladrilho Hidraulico Ladrillar Hexagonal 17,5cm - preto, off white, azul claro, azul médio, e cinza claro</t>
  </si>
  <si>
    <t>MUSEU DO LADRILHO</t>
  </si>
  <si>
    <t>Porcelanato Portobello Pietra di Firenze OffWhite 90x90cm</t>
  </si>
  <si>
    <t>Rodapé em cumaru pintado de branco  h=13cm</t>
  </si>
  <si>
    <t>Bávaro</t>
  </si>
  <si>
    <t>Perfil metalico L 1x1cm para acabamento de rodape de porcelanato</t>
  </si>
  <si>
    <t>Bancadas e Ilha em Pedra Ultracompact Bianco Nébbia Polido sob medida para Cozinha</t>
  </si>
  <si>
    <t>StoneTec</t>
  </si>
  <si>
    <t>Cuba Montada em Mármore Carrara Góia Sob medida para Lavabo</t>
  </si>
  <si>
    <t>Bancada de Tanque em Granito Branco Aqualux Polido sob medida para Área de Serviço</t>
  </si>
  <si>
    <t>Bancada de Lavatorio em Granito Branco Aqualux sob medida para WC Serviço</t>
  </si>
  <si>
    <t>Cuba Montada em Granito Branco Aqualux Polido Sob medida para Sauna</t>
  </si>
  <si>
    <t>Bancada de Pia em Granito Preto São Gabriel Polido sob medida para Varanda Gourmet</t>
  </si>
  <si>
    <t>Bancada de Forno em Granito Preto São Gabriel sob medida para Varanda Gourmet</t>
  </si>
  <si>
    <t>Bancada em Nano Prime com cuba esculpida sob medida para Banho Meninos</t>
  </si>
  <si>
    <t>Bancada em Nano Prime com cuba esculpida sob medida para Banho Bia</t>
  </si>
  <si>
    <t>Bancada em Nano Prime com cuba esculpida sob medida para Banho 01</t>
  </si>
  <si>
    <t>Bancada em Nano Prime com cuba esculpida sob medida para Banho Master</t>
  </si>
  <si>
    <t xml:space="preserve">Prateteira simples em Mármore Carrara Goía Dimensões 119x25x2cm para Lavabo	</t>
  </si>
  <si>
    <t xml:space="preserve">Prateteira simples em Mármore Carrara Goía Dimensões 27x25x2cm para Lavabo        </t>
  </si>
  <si>
    <t>Rodapé em Granito Preto São Gabriel Polido 295x10cm para Varanda Gourmet</t>
  </si>
  <si>
    <t>Rodapé em Mármore Carrara Gioia 5x256cm para Lavabo</t>
  </si>
  <si>
    <t>Rodapé em Nano Prime 5x538cm para Banho Master</t>
  </si>
  <si>
    <t>Peitoril em "L" em Granito Branco Aqualux para Área de serviço 388x18x2cm</t>
  </si>
  <si>
    <t>Baguete vertical em Granito Branco aqualux Polido para Área de serviço</t>
  </si>
  <si>
    <t>Tento triplo em Granito Branco aqualux Polido 130x8x2cm x2 130x10x2cm para WC de serviço</t>
  </si>
  <si>
    <t>Tento triplo em Granito Branco aqualux Polido 98x8x2cm x2 98x10x2cm para Sauna</t>
  </si>
  <si>
    <t>Tento triplo em Nano Prime 195x8x2cm x2 195x10x2cm para Banho Bia</t>
  </si>
  <si>
    <t>Tento triplo em Nano Prime 195x8x2cm x2 195x10x2cm para Banho Meninos</t>
  </si>
  <si>
    <t>Tento triplo em Nano Prime 130x8x2cm x2 130x10x2cm para Banho 01</t>
  </si>
  <si>
    <t>Requadro de janela em granito branco aqualux 512x16x2cm para Quarto de Serviço</t>
  </si>
  <si>
    <t>Requadro de janela em Granito Branco aqualux Polido 588x16x2cm para Sauna</t>
  </si>
  <si>
    <t>Requadro de janela em granito branco aqualux 984x16x2cm para Suíte Meninos</t>
  </si>
  <si>
    <t>Requadro de janela em granito branco aqualux 704x16x2cm para Banho Meninos</t>
  </si>
  <si>
    <t>Requadro de janela em granito branco aqualux 704x16x2cm para Banho Bia</t>
  </si>
  <si>
    <t>Requadro de janela em granito branco aqualux 948x16x2cm para Suíte Bia</t>
  </si>
  <si>
    <t>Requadro de janela em granito branco aqualux 984x16x2cm para Suíte Master</t>
  </si>
  <si>
    <t>Requadro de janela em granito branco aqualux 754x16x2cm para Banho Master</t>
  </si>
  <si>
    <t>Requadro de janela em granito branco aqualux 754x16x2cm para Escritório</t>
  </si>
  <si>
    <t>Requadro de janela em granito branco aqualux 744x16x2cm para Sala íntima</t>
  </si>
  <si>
    <t>Requadro de janela em granito branco aqualux 744x16x2cm para Banho 01</t>
  </si>
  <si>
    <t>Requadro de janela em granito branco aqualux 984x16x2cm para Brinquedoteca</t>
  </si>
  <si>
    <t>Alisar em granito branco aqualux 984x5x2cm para Suíte Meninos</t>
  </si>
  <si>
    <t>Alisar em granito branco aqualux 704x5x2cm para Banho Meninos</t>
  </si>
  <si>
    <t>Alisar em granito branco aqualux 704x5x2cm para Banho Bia</t>
  </si>
  <si>
    <t>Alisar em granito branco aqualux 948x5x2cm para Suíte Bia</t>
  </si>
  <si>
    <t>Alisar em granito branco aqualux 984x5x2cm para Suíte Master</t>
  </si>
  <si>
    <t>Alisar em granito branco aqualux 754x5x2cm para Banho Master</t>
  </si>
  <si>
    <t>Alisar em granito branco aqualux 754x5x2cm para Escritório</t>
  </si>
  <si>
    <t>Alisar em granito branco aqualux 744x5x2cm para Sala íntima</t>
  </si>
  <si>
    <t>Alisar em granito branco aqualux 744x5x2cm para Banho 01</t>
  </si>
  <si>
    <t>Alisar em granito branco aqualux 984x5x2cm para Brinquedoteca</t>
  </si>
  <si>
    <t>Nicho de box  em Granito Branco aqualux Polido 60x30cm para Sauna</t>
  </si>
  <si>
    <t>Nicho de box em Nano prime 40x40cm para Banho master</t>
  </si>
  <si>
    <t>Nicho de box em Nano prime 145x40cm para Banho master</t>
  </si>
  <si>
    <t>Nicho de box sem fundo em Nano prime 90x40cm para Banho Meninos</t>
  </si>
  <si>
    <t>Nicho de box sem fundo em Nano prime 90x40cm para Banho Bia</t>
  </si>
  <si>
    <t>Ilharga simples em Nano prime 48x79x2cm para Banho 01</t>
  </si>
  <si>
    <t>Ilharga simples em Nano prime 55x79x2cm para Banho Bia</t>
  </si>
  <si>
    <t>Ilharga simples em Nano prime 55x79x2cm para Banho Meninos</t>
  </si>
  <si>
    <t>Requadro de porta P10 em Granito Branco aqualux Polido 538x16x2cm para Sauna</t>
  </si>
  <si>
    <t>Requadro de porta P11 em Granito Branco aqualux Polido 528x16x2cm para Sauna</t>
  </si>
  <si>
    <t>Piso em Granito Branco aqualux Flameado 6,2m² para Prainha</t>
  </si>
  <si>
    <t>Piso de escada em Granito Branco aqualux Flameado 3,41m² para Prainha</t>
  </si>
  <si>
    <t>Espelhos de escada em Granito Branco aqualux Serrado 2,33m² para Prainha</t>
  </si>
  <si>
    <t>Agregados para instalação de mármores e granitos</t>
  </si>
  <si>
    <t>Bacia Convencional Deca Piano Br P.33.17</t>
  </si>
  <si>
    <t>DECA</t>
  </si>
  <si>
    <t>Bacia Convencional Deca Ravena Br P.9.17</t>
  </si>
  <si>
    <t>Cuba D Embutir Franke Presenza Pzx110 Alto Brilho 46X42X22Cm 50121</t>
  </si>
  <si>
    <t>FRANKE</t>
  </si>
  <si>
    <t>Torneira De Parede Deca Polo Black Noir 1179.Bl33.No</t>
  </si>
  <si>
    <t>Monocomando De Mesa Lorenkitchen 2266 C76</t>
  </si>
  <si>
    <t>MAGAZINE LUIZA</t>
  </si>
  <si>
    <t xml:space="preserve">Tubo de ligação com spud </t>
  </si>
  <si>
    <t>BRAS</t>
  </si>
  <si>
    <t>Misturador De Mesa Bica Alta Para Lavatorio Lorenzetti Lorenclub Cromada 1877 C47</t>
  </si>
  <si>
    <t>AMERICANAS.COM</t>
  </si>
  <si>
    <t>Cuba De Embutir Oval Branca Deca L.37.17</t>
  </si>
  <si>
    <t>Torneira De Parede Deca Soul Cromada 1178.C38</t>
  </si>
  <si>
    <t>Misturador Monocomando De Piso Com Ducha Manual Sollux - Jl-02011 Preto Fosco Black</t>
  </si>
  <si>
    <t>acabamentospracasa.com</t>
  </si>
  <si>
    <t>Chuveiro Com Tubo De Parede Decamax Cromado 1977.C.Ct</t>
  </si>
  <si>
    <t>Chuveiro Com Tubo De Parede Deca Aquaplus Cromado 1990.C.Ct</t>
  </si>
  <si>
    <t>Chuveiro Com Tubo De Parede Deca Aspen Cromado 1967.C.Ct</t>
  </si>
  <si>
    <t>Chuveiro Com Tubo De Parede Deca Acqua Plus Black Noir 1990.Bl.Ct.No</t>
  </si>
  <si>
    <t>Ducha Higiênica Polo Black Noir Com Registro E Derivação 1984.Bl33.Act.No</t>
  </si>
  <si>
    <t>Ducha Higiênica Deca Soul Black Noir 1984.Bl38.Act.No</t>
  </si>
  <si>
    <t>Ducha Higiênica Deca Soul Cromada Com Registro E Derivação 1984.C38.Act.Cr</t>
  </si>
  <si>
    <t>Acabamento Para Registro De Pressão Deca Soul Black Noir 4900.Bl38.Pq.No</t>
  </si>
  <si>
    <t>Acabamento Para Registro De Pressão Deca Soul Cromado 4916.C38.Pq</t>
  </si>
  <si>
    <t>Acabamento Para Registro De Pressão Deca Soul Black Noir 4916.Bl38.Pq.No</t>
  </si>
  <si>
    <t>Acabamento Registro De Gaveta Deca Link Cromado 4900.C.Pq.Lnk</t>
  </si>
  <si>
    <t>Acabamento Para Registro De Gaveta Deca Aspen Cromado 4900.C35.Pq</t>
  </si>
  <si>
    <t>Válvula De Descarga Deca Hydra Plus Black Noir 4916.Bl.Pls.No</t>
  </si>
  <si>
    <t>Válvula De Descarga Deca Hydra Max 4900.C.Max</t>
  </si>
  <si>
    <t>Válvula De Descarga Deca Hydra Plus Cromada 2555.C.112</t>
  </si>
  <si>
    <t>Barra Sob Medida Em Aço Inox 41X2X1Cm</t>
  </si>
  <si>
    <t>MULTIMETAIS</t>
  </si>
  <si>
    <t>Barra Sob Medida Em Aço Inox 51X2X1Cm</t>
  </si>
  <si>
    <t>Cabide Deca Clean Black Noir 2060.Bl.Cln.No</t>
  </si>
  <si>
    <t>Cabide Deca Clean Cromado 2060.C.Cln</t>
  </si>
  <si>
    <t>Papeleira Deca Clean Black Noir 2020.Bl.Cln.No</t>
  </si>
  <si>
    <t>Papeleira Deca Clean Cromado 2020.C.Cln</t>
  </si>
  <si>
    <t>Papeleira Deca Pix2020 Cromado 2020.C02</t>
  </si>
  <si>
    <t>Porta Toalha 30Cm Deca Clean Cromado 2040.C.030.Cln</t>
  </si>
  <si>
    <t>Porta Toalha 30Cm Deca Disco Cromado 2040.C.030.Dsc</t>
  </si>
  <si>
    <t>Porta Toalha 50Cm Deca Disco 2040.C.050.Dsc</t>
  </si>
  <si>
    <t>Porta Toalha 60Cm Deca Polo Cromado 2040.C33.060</t>
  </si>
  <si>
    <t>Porta Toalha Deca 2040.Bl.060.Cln.No</t>
  </si>
  <si>
    <t>Porta Toalhas 30Cm Deca Clean Black Noir 2040.Bl.030.Cln.No</t>
  </si>
  <si>
    <t>Prateleira Sob Medida Em Aço Inox 41X2X8Cm</t>
  </si>
  <si>
    <t>Prateleira Sob Medida Em Aço Inox 51X2X8Cm</t>
  </si>
  <si>
    <t>Toalheiro Deca Barra 30Cm Clean Black Noir 2040.Bl.030.Cln.No</t>
  </si>
  <si>
    <t>Ligação Flexivel Com Malha De Aço 30Cm</t>
  </si>
  <si>
    <t>Kit Fixação Para Bacia (Lateral) 1201.C.Kit.P</t>
  </si>
  <si>
    <t>Kit Fixação De Bacia Vertical 1200.C.Kit.P</t>
  </si>
  <si>
    <t>Assento Termofixo Para Deca Piano Ap.336.17</t>
  </si>
  <si>
    <t>Assento Termofixo Para Deca Ravena Ap.165.17</t>
  </si>
  <si>
    <t>Sifão Para Lavatorio Deca 1680.C.100.112</t>
  </si>
  <si>
    <t>Sifão Para Tanque E Cozinha Deca Cromado 1680.C.112</t>
  </si>
  <si>
    <t>Valvula De Escoamento Para Lavatorio Comum</t>
  </si>
  <si>
    <t>Válvula Para Banheira Doka Off Black K13Flpl</t>
  </si>
  <si>
    <t>Tanto Barra</t>
  </si>
  <si>
    <t>Grelha Listras 15X15Cm Invinox Cromada</t>
  </si>
  <si>
    <t>Casa&amp;Arte</t>
  </si>
  <si>
    <t>Grelha Moldenox 10X10Cm Cromada</t>
  </si>
  <si>
    <t>Ralo Square 15X15Cm Pvc Oculto Rsqp 209</t>
  </si>
  <si>
    <t>Mota 3 - Grupo Linear</t>
  </si>
  <si>
    <t>Grelha Linear Listras 80Cm Invinox</t>
  </si>
  <si>
    <t>Ralo Linear 10Cmx620Cm</t>
  </si>
  <si>
    <t>Ralo Linear 10Cmx1120Cm</t>
  </si>
  <si>
    <t>Ralo Linear 10Cmx380Cm</t>
  </si>
  <si>
    <t>Ralo Linear 10Cmx650Cm</t>
  </si>
  <si>
    <t>Ralo Linear 10Cmx230Cm</t>
  </si>
  <si>
    <t>Ralo Linear 10Cmx70Cm</t>
  </si>
  <si>
    <t>Ralo Linear 10Cmx877Cm</t>
  </si>
  <si>
    <t>Ralo Linear 10Cmx700Cm</t>
  </si>
  <si>
    <t>Ralo Linear 10Cmx920Cm</t>
  </si>
  <si>
    <t>Ralo Linear Oculto Royal Seco 90Cm</t>
  </si>
  <si>
    <t>Grupo Linear</t>
  </si>
  <si>
    <t>Ralo Linear Oculto Royal Seco 235Cm</t>
  </si>
  <si>
    <t>Ralo Linear Oculto Royal Seco 80Cm</t>
  </si>
  <si>
    <t>Instalações Prediais Hidrossanitárias, Elétricas, Gás e Especiais</t>
  </si>
  <si>
    <t>Papelão Corrugado - Bobina</t>
  </si>
  <si>
    <t>unid.</t>
  </si>
  <si>
    <t>MO calceteiro de pedra são tomé</t>
  </si>
  <si>
    <t>Marcelo (Contato Celso)</t>
  </si>
  <si>
    <t>Piscina/Hidromassagem - Material</t>
  </si>
  <si>
    <t>Sauna - Material</t>
  </si>
  <si>
    <t>Banheira Jacuzzy Avvio Maya - Material</t>
  </si>
  <si>
    <t>Aqualar</t>
  </si>
  <si>
    <t>Mão de obra Piscina/Hidromassagem/Sauna/Banheira</t>
  </si>
  <si>
    <t>Lançamento Concreto Bombeado - MO</t>
  </si>
  <si>
    <t>Lançamento Concreto Magro - MO</t>
  </si>
  <si>
    <t>Galocha</t>
  </si>
  <si>
    <t>par</t>
  </si>
  <si>
    <t>Capa de chuva</t>
  </si>
  <si>
    <t>Pintura Anti-Raiz  -  MAT+MO</t>
  </si>
  <si>
    <t xml:space="preserve">AC Imper </t>
  </si>
  <si>
    <t xml:space="preserve"> MO Regularização de pisos e paredes</t>
  </si>
  <si>
    <t>MO proteção mecânica em pisos e paredes</t>
  </si>
  <si>
    <t>Tela viveiro plastica flexível  1x50m - MAT</t>
  </si>
  <si>
    <t>Forro em Ripas de Cumaru MAT+MO</t>
  </si>
  <si>
    <t>Estuque de Gesso sobre Concreto MAT+MO</t>
  </si>
  <si>
    <t>MO revestimento cerâmico até 80x80cm Piso e Parede</t>
  </si>
  <si>
    <t>MO revestimento cerâmico - Pastilha - Piso e Parede</t>
  </si>
  <si>
    <t>MO revestimento cerâmico Grandes Formatos Piso e Parede</t>
  </si>
  <si>
    <t>Argamassa colante 20kg  Piscina e Sauna - Cinza Quartzolit 20kg</t>
  </si>
  <si>
    <t>C&amp;C</t>
  </si>
  <si>
    <t>Cimento Branco Estrutural 50kg</t>
  </si>
  <si>
    <t>Lolinha</t>
  </si>
  <si>
    <t>Rejunte Aquaflex Portokoll 4kg</t>
  </si>
  <si>
    <t>Rejunte L-Flex Portokoll 4kg</t>
  </si>
  <si>
    <t>Rejunte P-Flex Portokoll 3kg</t>
  </si>
  <si>
    <t xml:space="preserve">Areia Lavada </t>
  </si>
  <si>
    <t>RASA</t>
  </si>
  <si>
    <t>MO execução de Rodapé ceramico</t>
  </si>
  <si>
    <t>Banheira Contemporânea Estilo Vitoriano Sollux Jl634 1,70m</t>
  </si>
  <si>
    <t>Deck em madeira cumarú com 2 tampas removíveis para acesso de tubulações existentes no terreno - piscina MAT+MO</t>
  </si>
  <si>
    <t>vb.</t>
  </si>
  <si>
    <t xml:space="preserve">Forro em Lambri de Cumaru natural </t>
  </si>
  <si>
    <t>Assoalho Estruturado Tauari Flat White Escovado 9,5x127x1220mm - MAT</t>
  </si>
  <si>
    <t>Parquet Nobre</t>
  </si>
  <si>
    <t>Assoalho Estruturado Tauari Flat White Escovado 9,5x127x1220mm - MO</t>
  </si>
  <si>
    <t>Resina impermeabilizante para ladrilho hidráulico Ladrilar - MAT</t>
  </si>
  <si>
    <t>l</t>
  </si>
  <si>
    <t>Rejunte cores variadas para ladrilho hidráulico Ladrilar - MAT</t>
  </si>
  <si>
    <t>J06 - Esquadria em Alumínio preto com moldura de 7cm e vidro jateado</t>
  </si>
  <si>
    <t>Maçaneta La Fonte 515 com fechadura para banheiro</t>
  </si>
  <si>
    <t>Maçaneta La Fonte 515 com fechadura interna</t>
  </si>
  <si>
    <t>Fechadura para porta P12 com trinco para banheiro</t>
  </si>
  <si>
    <t>Fechadura para porta P12 interna</t>
  </si>
  <si>
    <t>Box em blindex com uma folha fixa e uma de correr. Estrutura de aluminio Branco e vidro incolor. 130x180cm e folha de correr com 65x180cm</t>
  </si>
  <si>
    <t>VCM Alumínio</t>
  </si>
  <si>
    <t xml:space="preserve">Box em blindex com duas folhas fixas e uma de abrir. Estrutura em aluminio branco e vidro incolor. 98x180cm, sendo folha de abrir com 55x180cm e folhas fixas de 21.5x180cm </t>
  </si>
  <si>
    <t>kit box elegance com acabamno cromado e vidro incolor sendo um vidro fixo em "L" apoiado parte sobre uma ilharga h=90cm e parte sobre um tento h=10cm + folha de corer com puxador boleado vazado no vidro. Comprimento do Trllho = 130cm altura do box =200cm transpasse de 5cm. Vidro fixo em "L" 117x53cm apoiado na ilharga e 200x17cm apoiado no tento. Folha de correr  65x200xcm</t>
  </si>
  <si>
    <t>kit box elegance com acabamno cromado e vidro incolor sendo um vidro fixo em "L" apoiado parte sobre uma ilharga h=90cm e parte sobre um tento h=10cm + folha de corer com puxador boleado vazado no vidro. Comprimento do Trllho = 195cm altura do box =200cm transpasse de 5cm. Vidro fixo em "L" 117x55cm apoiado na ilharga e 200x17cm apoiado no tento. Folha de correr  75x200xcm + folha fixa de 2,5x200cm</t>
  </si>
  <si>
    <t>Paraducha com perfil metalico cromado e vidro incolor. 98x210cm</t>
  </si>
  <si>
    <t>Guarda Corpo de vidro com perfis de acabamento em aluminio branco. 13,98x1,40m (paginação do vidro a definir)</t>
  </si>
  <si>
    <t>Espelho Guardian 4mm. 125x190cm</t>
  </si>
  <si>
    <t>Espelho guardian 4mm. 194x102cm</t>
  </si>
  <si>
    <t>Espelho guardian 4mm. 155x102cm</t>
  </si>
  <si>
    <t>Espelho guardian 4mm. 162x102cm</t>
  </si>
  <si>
    <t>Espelho guardian 4mm. 151x102cm</t>
  </si>
  <si>
    <t>Espelho guardian 4mm. 150x180cm</t>
  </si>
  <si>
    <t>Argamassa Branca ACIII super flexível 20kg - MAT</t>
  </si>
  <si>
    <t>Frete Revestimentos</t>
  </si>
  <si>
    <t>Painel de Correr em madeira cumaru ripada (fachada)</t>
  </si>
  <si>
    <t>Frete Ladrilho Hidráulico Ladrilar</t>
  </si>
  <si>
    <t>Ventunove</t>
  </si>
  <si>
    <t>Tranca elétrica Intelbras FX 2000 - MAT</t>
  </si>
  <si>
    <t>Ract Solutions</t>
  </si>
  <si>
    <t>Textura Terracor Stone 101 com emassamento</t>
  </si>
  <si>
    <t>Tecnocimento parede - MAT + MO</t>
  </si>
  <si>
    <t>Kit Videoporteiro IV 7010 HF - MAT</t>
  </si>
  <si>
    <t>Cal hidratada 20kg</t>
  </si>
  <si>
    <t>Hidromassagem</t>
  </si>
  <si>
    <t>Sauna</t>
  </si>
  <si>
    <t>Aquecimento da piscina e hidromassagem</t>
  </si>
  <si>
    <t>Acessórios de Limpeza</t>
  </si>
  <si>
    <t>Mão de obra piscina, hidromassagem e sauna</t>
  </si>
  <si>
    <t>Alisar em granito branco aqualux 588x5x2cm para Sauna</t>
  </si>
  <si>
    <t>Alisar de porta P10 em granito branco aqualux 538x5x2cm para Sauna</t>
  </si>
  <si>
    <t>Alisar de porta P11 em granito branco aqualux 528x5x2cm para Sauna</t>
  </si>
  <si>
    <t>Baguete Vertical em Nano Prime 2,67X0,04cm para Banho Meninos</t>
  </si>
  <si>
    <t>Baguete Vertical em Nano Prime 2,67X0,04cm para Banho Bia</t>
  </si>
  <si>
    <t>01.01.1357</t>
  </si>
  <si>
    <t>01.01.1358</t>
  </si>
  <si>
    <t>01.01.1359</t>
  </si>
  <si>
    <t>01.01.1360</t>
  </si>
  <si>
    <t>01.01.1361</t>
  </si>
  <si>
    <t>01.01.1362</t>
  </si>
  <si>
    <t>01.01.1363</t>
  </si>
  <si>
    <t>01.01.1364</t>
  </si>
  <si>
    <t>01.01.1365</t>
  </si>
  <si>
    <t>01.01.1366</t>
  </si>
  <si>
    <t>01.01.1367</t>
  </si>
  <si>
    <t>01.01.1368</t>
  </si>
  <si>
    <t>01.01.1369</t>
  </si>
  <si>
    <t>01.01.1370</t>
  </si>
  <si>
    <t>01.01.1371</t>
  </si>
  <si>
    <t>01.01.1372</t>
  </si>
  <si>
    <t>01.01.1373</t>
  </si>
  <si>
    <t>01.01.1374</t>
  </si>
  <si>
    <t>01.01.1375</t>
  </si>
  <si>
    <t>01.01.1376</t>
  </si>
  <si>
    <t>01.01.1377</t>
  </si>
  <si>
    <t>01.01.1378</t>
  </si>
  <si>
    <t>01.01.1379</t>
  </si>
  <si>
    <t>01.01.1380</t>
  </si>
  <si>
    <t>01.01.1381</t>
  </si>
  <si>
    <t>01.01.1382</t>
  </si>
  <si>
    <t>01.01.1383</t>
  </si>
  <si>
    <t>01.01.1384</t>
  </si>
  <si>
    <t>01.01.1385</t>
  </si>
  <si>
    <t>01.01.1386</t>
  </si>
  <si>
    <t>01.01.1387</t>
  </si>
  <si>
    <t>01.01.1388</t>
  </si>
  <si>
    <t>01.01.1389</t>
  </si>
  <si>
    <t>01.01.1390</t>
  </si>
  <si>
    <t>01.01.1391</t>
  </si>
  <si>
    <t>01.01.1392</t>
  </si>
  <si>
    <t>01.01.1393</t>
  </si>
  <si>
    <t>01.01.1394</t>
  </si>
  <si>
    <t>01.01.1395</t>
  </si>
  <si>
    <t>01.01.1396</t>
  </si>
  <si>
    <t>01.01.1397</t>
  </si>
  <si>
    <t>01.01.1398</t>
  </si>
  <si>
    <t>01.01.1399</t>
  </si>
  <si>
    <t>01.01.1400</t>
  </si>
  <si>
    <t>01.01.1401</t>
  </si>
  <si>
    <t>01.01.1402</t>
  </si>
  <si>
    <t>01.01.1403</t>
  </si>
  <si>
    <t>01.01.1404</t>
  </si>
  <si>
    <t>01.01.1405</t>
  </si>
  <si>
    <t>01.01.1406</t>
  </si>
  <si>
    <t>01.01.1407</t>
  </si>
  <si>
    <t>01.01.1408</t>
  </si>
  <si>
    <t>01.01.1409</t>
  </si>
  <si>
    <t>01.01.1410</t>
  </si>
  <si>
    <t>01.01.1411</t>
  </si>
  <si>
    <t>01.01.1412</t>
  </si>
  <si>
    <t>01.01.1413</t>
  </si>
  <si>
    <t>01.01.1414</t>
  </si>
  <si>
    <t>01.01.1415</t>
  </si>
  <si>
    <t>01.01.1416</t>
  </si>
  <si>
    <t>01.01.1417</t>
  </si>
  <si>
    <t>01.01.1418</t>
  </si>
  <si>
    <t>01.01.1419</t>
  </si>
  <si>
    <t>01.01.1420</t>
  </si>
  <si>
    <t>01.01.1421</t>
  </si>
  <si>
    <t>01.01.1422</t>
  </si>
  <si>
    <t>01.01.1423</t>
  </si>
  <si>
    <t>01.01.1424</t>
  </si>
  <si>
    <t>01.01.1425</t>
  </si>
  <si>
    <t>01.01.1426</t>
  </si>
  <si>
    <t>01.01.1427</t>
  </si>
  <si>
    <t>01.01.1428</t>
  </si>
  <si>
    <t>01.01.1429</t>
  </si>
  <si>
    <t>01.01.1430</t>
  </si>
  <si>
    <t>01.01.1431</t>
  </si>
  <si>
    <t>01.01.1432</t>
  </si>
  <si>
    <t>01.01.1433</t>
  </si>
  <si>
    <t>01.01.1434</t>
  </si>
  <si>
    <t>01.01.1435</t>
  </si>
  <si>
    <t>01.01.1436</t>
  </si>
  <si>
    <t>01.01.1437</t>
  </si>
  <si>
    <t>01.01.1438</t>
  </si>
  <si>
    <t>01.01.1439</t>
  </si>
  <si>
    <t>01.01.1440</t>
  </si>
  <si>
    <t>01.01.1441</t>
  </si>
  <si>
    <t>01.01.1442</t>
  </si>
  <si>
    <t>01.01.1443</t>
  </si>
  <si>
    <t>01.01.1444</t>
  </si>
  <si>
    <t>01.01.1445</t>
  </si>
  <si>
    <t>01.01.1446</t>
  </si>
  <si>
    <t>01.01.1447</t>
  </si>
  <si>
    <t>01.01.1448</t>
  </si>
  <si>
    <t>01.01.1449</t>
  </si>
  <si>
    <t>01.01.1450</t>
  </si>
  <si>
    <t>01.01.1451</t>
  </si>
  <si>
    <t>01.01.1452</t>
  </si>
  <si>
    <t>01.01.1453</t>
  </si>
  <si>
    <t>01.01.1454</t>
  </si>
  <si>
    <t>01.01.1455</t>
  </si>
  <si>
    <t>01.01.1456</t>
  </si>
  <si>
    <t>01.01.1457</t>
  </si>
  <si>
    <t>01.01.1458</t>
  </si>
  <si>
    <t>01.01.1459</t>
  </si>
  <si>
    <t>01.01.1460</t>
  </si>
  <si>
    <t>01.01.1461</t>
  </si>
  <si>
    <t>01.01.1462</t>
  </si>
  <si>
    <t>01.01.1463</t>
  </si>
  <si>
    <t>01.01.1464</t>
  </si>
  <si>
    <t>01.01.1465</t>
  </si>
  <si>
    <t>01.01.1466</t>
  </si>
  <si>
    <t>01.01.1467</t>
  </si>
  <si>
    <t>01.01.1468</t>
  </si>
  <si>
    <t>01.01.1469</t>
  </si>
  <si>
    <t>01.01.1470</t>
  </si>
  <si>
    <t>01.01.1471</t>
  </si>
  <si>
    <t>01.01.1472</t>
  </si>
  <si>
    <t>01.01.1473</t>
  </si>
  <si>
    <t>01.01.1474</t>
  </si>
  <si>
    <t>01.01.1475</t>
  </si>
  <si>
    <t>01.01.1476</t>
  </si>
  <si>
    <t>01.01.1477</t>
  </si>
  <si>
    <t>01.01.1478</t>
  </si>
  <si>
    <t>01.01.1479</t>
  </si>
  <si>
    <t>01.01.1480</t>
  </si>
  <si>
    <t>01.01.1481</t>
  </si>
  <si>
    <t>01.01.1482</t>
  </si>
  <si>
    <t>01.01.1483</t>
  </si>
  <si>
    <t>01.01.1484</t>
  </si>
  <si>
    <t>01.01.1485</t>
  </si>
  <si>
    <t>01.01.1486</t>
  </si>
  <si>
    <t>01.01.1487</t>
  </si>
  <si>
    <t>01.01.1488</t>
  </si>
  <si>
    <t>01.01.1489</t>
  </si>
  <si>
    <t>01.01.1490</t>
  </si>
  <si>
    <t>01.01.1491</t>
  </si>
  <si>
    <t>01.01.1492</t>
  </si>
  <si>
    <t>01.01.1493</t>
  </si>
  <si>
    <t>01.01.1494</t>
  </si>
  <si>
    <t>01.01.1495</t>
  </si>
  <si>
    <t>01.01.1496</t>
  </si>
  <si>
    <t>01.01.1497</t>
  </si>
  <si>
    <t>01.01.1498</t>
  </si>
  <si>
    <t>01.01.1499</t>
  </si>
  <si>
    <t>01.01.1500</t>
  </si>
  <si>
    <t>01.01.1501</t>
  </si>
  <si>
    <t>01.01.1502</t>
  </si>
  <si>
    <t>01.01.1503</t>
  </si>
  <si>
    <t>01.01.1504</t>
  </si>
  <si>
    <t>01.01.1505</t>
  </si>
  <si>
    <t>01.01.1506</t>
  </si>
  <si>
    <t>01.01.1507</t>
  </si>
  <si>
    <t>01.01.1508</t>
  </si>
  <si>
    <t>01.01.1509</t>
  </si>
  <si>
    <t>01.01.1510</t>
  </si>
  <si>
    <t>01.01.1511</t>
  </si>
  <si>
    <t>01.01.1512</t>
  </si>
  <si>
    <t>01.01.1513</t>
  </si>
  <si>
    <t>01.01.1514</t>
  </si>
  <si>
    <t>01.01.1515</t>
  </si>
  <si>
    <t>01.01.1516</t>
  </si>
  <si>
    <t>01.01.1517</t>
  </si>
  <si>
    <t>01.01.1518</t>
  </si>
  <si>
    <t>01.01.1519</t>
  </si>
  <si>
    <t>01.01.1520</t>
  </si>
  <si>
    <t>01.01.1521</t>
  </si>
  <si>
    <t>01.01.1522</t>
  </si>
  <si>
    <t>01.01.1523</t>
  </si>
  <si>
    <t>01.01.1524</t>
  </si>
  <si>
    <t>01.01.1525</t>
  </si>
  <si>
    <t>01.01.1526</t>
  </si>
  <si>
    <t>01.01.1527</t>
  </si>
  <si>
    <t>01.01.1528</t>
  </si>
  <si>
    <t>01.01.1529</t>
  </si>
  <si>
    <t>01.01.1530</t>
  </si>
  <si>
    <t>01.01.1531</t>
  </si>
  <si>
    <t>01.01.1532</t>
  </si>
  <si>
    <t>01.01.1533</t>
  </si>
  <si>
    <t>01.01.1534</t>
  </si>
  <si>
    <t>01.01.1535</t>
  </si>
  <si>
    <t>01.01.1536</t>
  </si>
  <si>
    <t>01.01.1537</t>
  </si>
  <si>
    <t>01.01.1538</t>
  </si>
  <si>
    <t>01.01.1539</t>
  </si>
  <si>
    <t>01.01.1540</t>
  </si>
  <si>
    <t>01.01.1541</t>
  </si>
  <si>
    <t>01.01.1542</t>
  </si>
  <si>
    <t>01.01.1543</t>
  </si>
  <si>
    <t>01.01.1544</t>
  </si>
  <si>
    <t>01.01.1545</t>
  </si>
  <si>
    <t>01.01.1546</t>
  </si>
  <si>
    <t>01.01.1547</t>
  </si>
  <si>
    <t>01.01.1548</t>
  </si>
  <si>
    <t>01.01.1549</t>
  </si>
  <si>
    <t>01.01.1550</t>
  </si>
  <si>
    <t>01.01.1551</t>
  </si>
  <si>
    <t>01.01.1552</t>
  </si>
  <si>
    <t>01.01.1553</t>
  </si>
  <si>
    <t>01.01.1554</t>
  </si>
  <si>
    <t>01.01.1555</t>
  </si>
  <si>
    <t>01.01.1556</t>
  </si>
  <si>
    <t>01.01.1557</t>
  </si>
  <si>
    <t>01.01.1558</t>
  </si>
  <si>
    <t>01.01.1559</t>
  </si>
  <si>
    <t>01.01.1560</t>
  </si>
  <si>
    <t>01.01.1561</t>
  </si>
  <si>
    <t>01.01.1562</t>
  </si>
  <si>
    <t>01.01.1563</t>
  </si>
  <si>
    <t>01.01.1564</t>
  </si>
  <si>
    <t>01.01.1565</t>
  </si>
  <si>
    <t>01.01.1566</t>
  </si>
  <si>
    <t>01.01.1567</t>
  </si>
  <si>
    <t>01.01.1568</t>
  </si>
  <si>
    <t>01.01.1569</t>
  </si>
  <si>
    <t>01.01.1570</t>
  </si>
  <si>
    <t>01.01.1571</t>
  </si>
  <si>
    <t>01.01.1572</t>
  </si>
  <si>
    <t>01.01.1573</t>
  </si>
  <si>
    <t>01.01.1574</t>
  </si>
  <si>
    <t>01.01.1575</t>
  </si>
  <si>
    <t>01.01.1576</t>
  </si>
  <si>
    <t>01.01.1577</t>
  </si>
  <si>
    <t>01.01.1578</t>
  </si>
  <si>
    <t>01.01.1579</t>
  </si>
  <si>
    <t>01.01.1580</t>
  </si>
  <si>
    <t>01.01.1581</t>
  </si>
  <si>
    <t>01.01.1582</t>
  </si>
  <si>
    <t>01.01.1583</t>
  </si>
  <si>
    <t>01.01.1584</t>
  </si>
  <si>
    <t>01.01.1585</t>
  </si>
  <si>
    <t>01.01.1586</t>
  </si>
  <si>
    <t>01.01.1587</t>
  </si>
  <si>
    <t>01.01.1588</t>
  </si>
  <si>
    <t>01.01.1589</t>
  </si>
  <si>
    <t>01.01.1590</t>
  </si>
  <si>
    <t>01.01.1591</t>
  </si>
  <si>
    <t>01.01.1592</t>
  </si>
  <si>
    <t>01.01.1593</t>
  </si>
  <si>
    <t>01.01.1594</t>
  </si>
  <si>
    <t>01.01.1595</t>
  </si>
  <si>
    <t>01.01.1596</t>
  </si>
  <si>
    <t>01.01.1597</t>
  </si>
  <si>
    <t>01.01.1598</t>
  </si>
  <si>
    <t>01.01.1599</t>
  </si>
  <si>
    <t>01.01.1600</t>
  </si>
  <si>
    <t>01.01.1601</t>
  </si>
  <si>
    <t>01.01.1602</t>
  </si>
  <si>
    <t>01.01.1603</t>
  </si>
  <si>
    <t>01.01.1604</t>
  </si>
  <si>
    <t>01.01.1605</t>
  </si>
  <si>
    <t>01.01.1606</t>
  </si>
  <si>
    <t>01.01.1607</t>
  </si>
  <si>
    <t>01.01.1608</t>
  </si>
  <si>
    <t>01.01.1609</t>
  </si>
  <si>
    <t>01.01.1610</t>
  </si>
  <si>
    <t>01.01.1611</t>
  </si>
  <si>
    <t>01.01.1612</t>
  </si>
  <si>
    <t>01.01.1613</t>
  </si>
  <si>
    <t>01.01.1614</t>
  </si>
  <si>
    <t>01.01.1615</t>
  </si>
  <si>
    <t>01.01.1616</t>
  </si>
  <si>
    <t>01.01.1617</t>
  </si>
  <si>
    <t>01.01.1618</t>
  </si>
  <si>
    <t>01.01.1619</t>
  </si>
  <si>
    <t>SW Gesso</t>
  </si>
  <si>
    <t>Emboço Interno</t>
  </si>
  <si>
    <t>Mão de obra - Execução de emboço interno</t>
  </si>
  <si>
    <t>Mão de obra - Execução de emboço externo</t>
  </si>
  <si>
    <t>Mão de obra - Execução de Contrapiso Armado</t>
  </si>
  <si>
    <t>Estimado Rasa</t>
  </si>
  <si>
    <t>Fornecimento de tela Q138 (4.2 mm)</t>
  </si>
  <si>
    <t>Brita 0</t>
  </si>
  <si>
    <r>
      <t>m</t>
    </r>
    <r>
      <rPr>
        <i/>
        <sz val="9"/>
        <color indexed="8"/>
        <rFont val="Calibri"/>
        <family val="2"/>
      </rPr>
      <t>³</t>
    </r>
  </si>
  <si>
    <t>01.01.1620</t>
  </si>
  <si>
    <t>01.01.1621</t>
  </si>
  <si>
    <t>01.01.1622</t>
  </si>
  <si>
    <t>01.01.1623</t>
  </si>
  <si>
    <t>01.01.1624</t>
  </si>
  <si>
    <t>01.01.1625</t>
  </si>
  <si>
    <t>01.01.1626</t>
  </si>
  <si>
    <t>01.01.1627</t>
  </si>
  <si>
    <t>01.01.1628</t>
  </si>
  <si>
    <t>01.01.1629</t>
  </si>
  <si>
    <t>01.01.1630</t>
  </si>
  <si>
    <t>01.01.1631</t>
  </si>
  <si>
    <t>01.01.1632</t>
  </si>
  <si>
    <t>01.01.1633</t>
  </si>
  <si>
    <t>Pastilha Hijau 10x10cm Palimanan - MAT</t>
  </si>
  <si>
    <t>Pastilha Hijau 10x10cm Palimanan - MO</t>
  </si>
  <si>
    <t>Tanto Revestimentos</t>
  </si>
  <si>
    <t>Sifão Para Lavatório Cromado Deca Fit 1680.C.100.112</t>
  </si>
  <si>
    <t>Assento Poliéster Com Fixação Cromada Deca Vogue Plus Branco AP.51.17</t>
  </si>
  <si>
    <t>Assento Poliester Com Fixacao Cromada Slow Close Deca Piano Branco Gelo   AP.337.GL.RD.17</t>
  </si>
  <si>
    <t>Assento Poliéster Slow Close Deca Link Protekto Branco   AP.237.17</t>
  </si>
  <si>
    <t>Assento Poliéster Slow Close Deca Link Protekto Ébano Fosco   AP.237.94</t>
  </si>
  <si>
    <t>Bacia Convencional Deca Link Branca P.23.17</t>
  </si>
  <si>
    <t>Bacia Convencional Deca Link Ebano Fosco P.23.94</t>
  </si>
  <si>
    <t>Bacia Convencional Deca Piano Branca  P.33.17</t>
  </si>
  <si>
    <t>Bacia Convencional Deca Vogue Plus Branca P.5.17</t>
  </si>
  <si>
    <t>Acabamento Para Registro Gaveta Cromado Deca Dream  4900.C87.PQ</t>
  </si>
  <si>
    <t>Acabamento Para Registro De Gaveta Deca Izy   4900.C24.PQ</t>
  </si>
  <si>
    <t>Acabamento Para Registro De Gaveta  Deca Polo Cromado   4900.C33.PQ</t>
  </si>
  <si>
    <t>Acabamento Para Registro De Gaveta Black Matte Deca Dream   4900.BL87.PQ.MT</t>
  </si>
  <si>
    <t>Acabamento Para Registro De Gaveta Cromado Deca Link  Gr 4900.C17.GD</t>
  </si>
  <si>
    <t>Chuveiro Com Tubo De Teto Quadrado Deca Acqua Plus Quadratta   1990.C.TET.QUA.ARE</t>
  </si>
  <si>
    <t>Cuba Planar - Aço Inoxidável Modelo De Embutir  PPX 110-72-A</t>
  </si>
  <si>
    <t>Cuba Tanque  10948</t>
  </si>
  <si>
    <t>Chuveiro De Parede Aspen 1967.C.CT</t>
  </si>
  <si>
    <t>Cuba De Sobrepor Quadrada Com Mesa L.730.17</t>
  </si>
  <si>
    <t>Ducha Higienica Com Registro E Derivação Deca Dream Black Matte  1984.BL87.ACT.MT</t>
  </si>
  <si>
    <t>Ducha Higienica Com Registro E Derivação Deca Dream Cromada 1984.C87.ACT.CR</t>
  </si>
  <si>
    <t>Torneira De Parede Deca Link   1178.C.LNK</t>
  </si>
  <si>
    <t>Torneira De Parede Para Lavatório Black Matte Deca  Dream  1179.BL87.MT</t>
  </si>
  <si>
    <t xml:space="preserve">Sifão Para Lavatório  </t>
  </si>
  <si>
    <t xml:space="preserve">Anel De Cera Para Bacia </t>
  </si>
  <si>
    <t xml:space="preserve">Kit Fixação Para Bacia E Bidê - Vertical  </t>
  </si>
  <si>
    <t xml:space="preserve">Tubo De Ligação Para Bacia Convencional </t>
  </si>
  <si>
    <t xml:space="preserve">Rabicho Trançado 40Cm </t>
  </si>
  <si>
    <t xml:space="preserve">Grelha 15X15  - Moldenox  </t>
  </si>
  <si>
    <t xml:space="preserve">Grelha Linear  - 60X10Cm </t>
  </si>
  <si>
    <t xml:space="preserve">Sifão De Cozinha </t>
  </si>
  <si>
    <t xml:space="preserve">Sifão De Tanque Esteves </t>
  </si>
  <si>
    <t>01.01.1634</t>
  </si>
  <si>
    <t>01.01.1635</t>
  </si>
  <si>
    <t>01.01.1636</t>
  </si>
  <si>
    <t>01.01.1637</t>
  </si>
  <si>
    <t>01.01.1638</t>
  </si>
  <si>
    <t>01.01.1639</t>
  </si>
  <si>
    <t>01.01.1640</t>
  </si>
  <si>
    <t>01.01.1641</t>
  </si>
  <si>
    <t>01.01.1642</t>
  </si>
  <si>
    <t>01.01.1643</t>
  </si>
  <si>
    <t>01.01.1644</t>
  </si>
  <si>
    <t>01.01.1645</t>
  </si>
  <si>
    <t>01.01.1646</t>
  </si>
  <si>
    <t>01.01.1647</t>
  </si>
  <si>
    <t>01.01.1648</t>
  </si>
  <si>
    <t>01.01.1649</t>
  </si>
  <si>
    <t>01.01.1650</t>
  </si>
  <si>
    <t>01.01.1651</t>
  </si>
  <si>
    <t>01.01.1652</t>
  </si>
  <si>
    <t>01.01.1653</t>
  </si>
  <si>
    <t>01.01.1654</t>
  </si>
  <si>
    <t>01.01.1655</t>
  </si>
  <si>
    <t>01.01.1656</t>
  </si>
  <si>
    <t>01.01.1657</t>
  </si>
  <si>
    <t>01.01.1658</t>
  </si>
  <si>
    <t>01.01.1659</t>
  </si>
  <si>
    <t>01.01.1660</t>
  </si>
  <si>
    <t>01.01.1661</t>
  </si>
  <si>
    <t>01.01.1662</t>
  </si>
  <si>
    <t>01.01.1663</t>
  </si>
  <si>
    <t>01.01.1664</t>
  </si>
  <si>
    <t>01.01.1665</t>
  </si>
  <si>
    <t>01.01.1666</t>
  </si>
  <si>
    <t>01.01.1667</t>
  </si>
  <si>
    <t>01.01.1668</t>
  </si>
  <si>
    <t>01.01.1669</t>
  </si>
  <si>
    <t>01.01.1670</t>
  </si>
  <si>
    <t>01.01.1671</t>
  </si>
  <si>
    <t>01.01.1672</t>
  </si>
  <si>
    <t>01.01.1673</t>
  </si>
  <si>
    <t>01.01.1674</t>
  </si>
  <si>
    <t>01.01.1675</t>
  </si>
  <si>
    <t>01.01.1676</t>
  </si>
  <si>
    <t>01.01.1677</t>
  </si>
  <si>
    <t>01.01.1678</t>
  </si>
  <si>
    <t>01.01.1679</t>
  </si>
  <si>
    <t>01.01.1680</t>
  </si>
  <si>
    <t>01.01.1681</t>
  </si>
  <si>
    <t>01.01.1682</t>
  </si>
  <si>
    <t>01.01.1683</t>
  </si>
  <si>
    <t>01.01.1684</t>
  </si>
  <si>
    <t xml:space="preserve">Bancada Em Mármore Branco Crystal 106X50cm (Saia 10 cm) + Cuba Esculpida </t>
  </si>
  <si>
    <t xml:space="preserve">Bancada Em Mármore Preto Absoluto Flameado 152X50cm Com Saia = 4cm E Front = 20cm </t>
  </si>
  <si>
    <t>Bancada Em Mármore Preto Absoluto Flameado 230X80cm Com Saia = 4cm + Ilharga De 230X90cm E Ilharga De 80X90cm</t>
  </si>
  <si>
    <t xml:space="preserve">Bancada Em Mármore Preto Absoluto Flameado 375X60cm Com Saia = 4cm E Front = 10cm + Ilharga De 90X60cm </t>
  </si>
  <si>
    <t>Bancada Em Mármore Branco Crystal  70X50cm (Saia 10 cm)</t>
  </si>
  <si>
    <t>Forração Em Mármore Preto Absoluto Flameado (Forração Até H=180cm) 5,52m²</t>
  </si>
  <si>
    <t>Bancada Em Mármore Preto Absoluto Flameado  570X80cmCom Saia = 4cm + 2 Ilhargas De 80X90cm</t>
  </si>
  <si>
    <t>Bancada Em Mármore Preto Absoluto Flameado 350X70cm Com Saia = 4cm E Front = 16cm + 2 Ilhargas De 70X90cm</t>
  </si>
  <si>
    <t>Forração Em Mármore Sivec - Paginado 23,5m²</t>
  </si>
  <si>
    <t>Bancada Em Mármore Cinza Absoluto 160X50cm (Saia 15 cm) + Cuba Esculpida</t>
  </si>
  <si>
    <t>Forração Em Mármore Branco Siena 143,04m²</t>
  </si>
  <si>
    <t>Forração Em Mármore Cinza Absoluto Paginado 11,1m²</t>
  </si>
  <si>
    <t xml:space="preserve">Bancada Em Mármore Branco Crystal 140X50cm (Saia 10 cm) Com Cuba Esculpida + Ilharga De 50X86cm </t>
  </si>
  <si>
    <t>Forração Em Mármore Cinza Absoluto Paginado Com Bites Conforme Dam 15,3m²</t>
  </si>
  <si>
    <t>Bancada Em Mármore Cinza Absoluto 234X50M Com Seis Furos Para Metal, Sem Front, Com Saia 10 cm E Com 2 Cubas Esculpidas (47X27cm) E Fundo Solto 45X25cm</t>
  </si>
  <si>
    <t>Bancada Em Mármore Preto Absoluto Flameado 415X60cm Com Saia = 4cm E Front = 20cm</t>
  </si>
  <si>
    <t>Nicho Em Mármore Cinza Absoluto 204X30cm</t>
  </si>
  <si>
    <t>Tento Duplo Em Ll Em Marmore Cinza Absoluto 150X8X2cm 150X10X2cm 90X8X2cm E 90X10X2cm</t>
  </si>
  <si>
    <t>01.01.1685</t>
  </si>
  <si>
    <t>01.01.1686</t>
  </si>
  <si>
    <t>01.01.1687</t>
  </si>
  <si>
    <t>01.01.1688</t>
  </si>
  <si>
    <t>01.01.1689</t>
  </si>
  <si>
    <t>01.01.1690</t>
  </si>
  <si>
    <t>01.01.1691</t>
  </si>
  <si>
    <t>01.01.1692</t>
  </si>
  <si>
    <t>01.01.1693</t>
  </si>
  <si>
    <t>01.01.1694</t>
  </si>
  <si>
    <t>01.01.1695</t>
  </si>
  <si>
    <t>01.01.1696</t>
  </si>
  <si>
    <t>01.01.1697</t>
  </si>
  <si>
    <t>01.01.1698</t>
  </si>
  <si>
    <t>01.01.1699</t>
  </si>
  <si>
    <t>01.01.1700</t>
  </si>
  <si>
    <t>01.01.1701</t>
  </si>
  <si>
    <t>01.01.1702</t>
  </si>
  <si>
    <t>01.01.1703</t>
  </si>
  <si>
    <t>01.01.1704</t>
  </si>
  <si>
    <t>01.01.1705</t>
  </si>
  <si>
    <t>01.01.1706</t>
  </si>
  <si>
    <t>01.01.1707</t>
  </si>
  <si>
    <t>01.01.1708</t>
  </si>
  <si>
    <t>01.01.1709</t>
  </si>
  <si>
    <t>01.01.1710</t>
  </si>
  <si>
    <t>01.01.1711</t>
  </si>
  <si>
    <t>01.01.1712</t>
  </si>
  <si>
    <t>01.01.1713</t>
  </si>
  <si>
    <t>01.01.1714</t>
  </si>
  <si>
    <t>01.01.1715</t>
  </si>
  <si>
    <t>01.01.1716</t>
  </si>
  <si>
    <t>01.01.1717</t>
  </si>
  <si>
    <t>01.01.1718</t>
  </si>
  <si>
    <t>01.01.1719</t>
  </si>
  <si>
    <t>01.01.1720</t>
  </si>
  <si>
    <t>01.01.1721</t>
  </si>
  <si>
    <t>01.01.1722</t>
  </si>
  <si>
    <t>01.01.1723</t>
  </si>
  <si>
    <t>01.01.1724</t>
  </si>
  <si>
    <t>01.01.1725</t>
  </si>
  <si>
    <t>01.01.1726</t>
  </si>
  <si>
    <t>01.01.1727</t>
  </si>
  <si>
    <t>01.01.1728</t>
  </si>
  <si>
    <t>01.01.1729</t>
  </si>
  <si>
    <t>01.01.1730</t>
  </si>
  <si>
    <t>01.01.1731</t>
  </si>
  <si>
    <t>01.01.1732</t>
  </si>
  <si>
    <t>01.01.1733</t>
  </si>
  <si>
    <t>01.01.1734</t>
  </si>
  <si>
    <t>01.01.1735</t>
  </si>
  <si>
    <t>01.01.1736</t>
  </si>
  <si>
    <t>01.01.1737</t>
  </si>
  <si>
    <t>01.01.1738</t>
  </si>
  <si>
    <t>01.01.1739</t>
  </si>
  <si>
    <t>01.01.1740</t>
  </si>
  <si>
    <t>01.01.1741</t>
  </si>
  <si>
    <t>01.01.1742</t>
  </si>
  <si>
    <t>01.01.1743</t>
  </si>
  <si>
    <t>01.01.1744</t>
  </si>
  <si>
    <t>01.01.1745</t>
  </si>
  <si>
    <t>01.01.1746</t>
  </si>
  <si>
    <t>01.01.1747</t>
  </si>
  <si>
    <t>01.01.1748</t>
  </si>
  <si>
    <t>01.01.1749</t>
  </si>
  <si>
    <t>01.01.1750</t>
  </si>
  <si>
    <t>01.01.1751</t>
  </si>
  <si>
    <t>01.01.1752</t>
  </si>
  <si>
    <t>01.01.1753</t>
  </si>
  <si>
    <t>01.01.1754</t>
  </si>
  <si>
    <t>01.01.1755</t>
  </si>
  <si>
    <t>01.01.1756</t>
  </si>
  <si>
    <t>01.01.1757</t>
  </si>
  <si>
    <t>01.01.1758</t>
  </si>
  <si>
    <t>01.01.1759</t>
  </si>
  <si>
    <t>01.01.1760</t>
  </si>
  <si>
    <t>01.01.1761</t>
  </si>
  <si>
    <t>01.01.1762</t>
  </si>
  <si>
    <t>01.01.1763</t>
  </si>
  <si>
    <t>01.01.1764</t>
  </si>
  <si>
    <t>01.01.1765</t>
  </si>
  <si>
    <t>01.01.1766</t>
  </si>
  <si>
    <t>01.01.1767</t>
  </si>
  <si>
    <t>01.01.1768</t>
  </si>
  <si>
    <t>01.01.1769</t>
  </si>
  <si>
    <t>01.01.1770</t>
  </si>
  <si>
    <t>01.01.1771</t>
  </si>
  <si>
    <t>01.01.1772</t>
  </si>
  <si>
    <t>01.01.1773</t>
  </si>
  <si>
    <t>01.01.1774</t>
  </si>
  <si>
    <t>01.01.1775</t>
  </si>
  <si>
    <t>01.01.1776</t>
  </si>
  <si>
    <t>01.01.1777</t>
  </si>
  <si>
    <t>01.01.1778</t>
  </si>
  <si>
    <t>01.01.1779</t>
  </si>
  <si>
    <t>01.01.1780</t>
  </si>
  <si>
    <t>01.01.1781</t>
  </si>
  <si>
    <t>01.01.1782</t>
  </si>
  <si>
    <t>01.01.1783</t>
  </si>
  <si>
    <t>01.01.1784</t>
  </si>
  <si>
    <t>01.01.1785</t>
  </si>
  <si>
    <t>01.01.1786</t>
  </si>
  <si>
    <t>01.01.1787</t>
  </si>
  <si>
    <t>01.01.1788</t>
  </si>
  <si>
    <t>01.01.1789</t>
  </si>
  <si>
    <t>01.01.1790</t>
  </si>
  <si>
    <t>01.01.1791</t>
  </si>
  <si>
    <t>01.01.1792</t>
  </si>
  <si>
    <t>01.01.1793</t>
  </si>
  <si>
    <t>01.01.1794</t>
  </si>
  <si>
    <t>01.01.1795</t>
  </si>
  <si>
    <t>01.01.1796</t>
  </si>
  <si>
    <t>01.01.1797</t>
  </si>
  <si>
    <t>01.01.1798</t>
  </si>
  <si>
    <t>01.01.1799</t>
  </si>
  <si>
    <t>01.01.1800</t>
  </si>
  <si>
    <t>01.01.1801</t>
  </si>
  <si>
    <t>01.01.1802</t>
  </si>
  <si>
    <t>01.01.1803</t>
  </si>
  <si>
    <t>01.01.1804</t>
  </si>
  <si>
    <t>01.01.1805</t>
  </si>
  <si>
    <t>01.01.1806</t>
  </si>
  <si>
    <t>01.01.1807</t>
  </si>
  <si>
    <t>01.01.1808</t>
  </si>
  <si>
    <t>01.01.1809</t>
  </si>
  <si>
    <t>01.01.1810</t>
  </si>
  <si>
    <t>01.01.1811</t>
  </si>
  <si>
    <t>01.01.1812</t>
  </si>
  <si>
    <t>01.01.1813</t>
  </si>
  <si>
    <t>01.01.1814</t>
  </si>
  <si>
    <t>01.01.1815</t>
  </si>
  <si>
    <t>01.01.1816</t>
  </si>
  <si>
    <t>01.01.1817</t>
  </si>
  <si>
    <t>01.01.1818</t>
  </si>
  <si>
    <t>01.01.1819</t>
  </si>
  <si>
    <t>01.01.1820</t>
  </si>
  <si>
    <t>01.01.1821</t>
  </si>
  <si>
    <t>01.01.1822</t>
  </si>
  <si>
    <t>01.01.1823</t>
  </si>
  <si>
    <t>01.01.1824</t>
  </si>
  <si>
    <t>01.01.1825</t>
  </si>
  <si>
    <t>01.01.1826</t>
  </si>
  <si>
    <t>01.01.1827</t>
  </si>
  <si>
    <t>01.01.1828</t>
  </si>
  <si>
    <t>01.01.1829</t>
  </si>
  <si>
    <t>01.01.1830</t>
  </si>
  <si>
    <t>01.01.1831</t>
  </si>
  <si>
    <t>01.01.1832</t>
  </si>
  <si>
    <t>01.01.1833</t>
  </si>
  <si>
    <t>01.01.1834</t>
  </si>
  <si>
    <t>01.01.1835</t>
  </si>
  <si>
    <t>01.01.1836</t>
  </si>
  <si>
    <t>01.01.1837</t>
  </si>
  <si>
    <t>01.01.1838</t>
  </si>
  <si>
    <t>01.01.1839</t>
  </si>
  <si>
    <t>01.01.1840</t>
  </si>
  <si>
    <t>01.01.1841</t>
  </si>
  <si>
    <t>01.01.1842</t>
  </si>
  <si>
    <t>01.01.1843</t>
  </si>
  <si>
    <t>01.01.1844</t>
  </si>
  <si>
    <t>01.01.1845</t>
  </si>
  <si>
    <t>01.01.1846</t>
  </si>
  <si>
    <t>01.01.1847</t>
  </si>
  <si>
    <t>01.01.1848</t>
  </si>
  <si>
    <t>01.01.1849</t>
  </si>
  <si>
    <t>01.01.1850</t>
  </si>
  <si>
    <t>01.01.1851</t>
  </si>
  <si>
    <t>01.01.1852</t>
  </si>
  <si>
    <t>01.01.1853</t>
  </si>
  <si>
    <t>01.01.1854</t>
  </si>
  <si>
    <t>01.01.1855</t>
  </si>
  <si>
    <t>01.01.1856</t>
  </si>
  <si>
    <t>01.01.1857</t>
  </si>
  <si>
    <t>01.01.1858</t>
  </si>
  <si>
    <t>01.01.1859</t>
  </si>
  <si>
    <t>01.01.1860</t>
  </si>
  <si>
    <t>01.01.1861</t>
  </si>
  <si>
    <t>01.01.1862</t>
  </si>
  <si>
    <t>01.01.1863</t>
  </si>
  <si>
    <t>01.01.1864</t>
  </si>
  <si>
    <t>01.01.1865</t>
  </si>
  <si>
    <t>01.01.1866</t>
  </si>
  <si>
    <t>01.01.1867</t>
  </si>
  <si>
    <t>01.01.1868</t>
  </si>
  <si>
    <t>01.01.1869</t>
  </si>
  <si>
    <t>01.01.1870</t>
  </si>
  <si>
    <t>01.01.1871</t>
  </si>
  <si>
    <t>01.01.1872</t>
  </si>
  <si>
    <t>01.01.1873</t>
  </si>
  <si>
    <t>01.01.1874</t>
  </si>
  <si>
    <t>01.01.1875</t>
  </si>
  <si>
    <t>01.01.1876</t>
  </si>
  <si>
    <t>01.01.1877</t>
  </si>
  <si>
    <t>01.01.1878</t>
  </si>
  <si>
    <t>01.01.1879</t>
  </si>
  <si>
    <t>01.01.1880</t>
  </si>
  <si>
    <t>01.01.1881</t>
  </si>
  <si>
    <t>01.01.1882</t>
  </si>
  <si>
    <t>01.01.1883</t>
  </si>
  <si>
    <t>01.01.1884</t>
  </si>
  <si>
    <t>Ref RASA</t>
  </si>
  <si>
    <t>Mão de obra - Assentamento até 60x60cm</t>
  </si>
  <si>
    <t>Mão de obra - Assentamento de pastilha</t>
  </si>
  <si>
    <t>Mão de obra - Assentamento grandes formatos (acima 60x60)</t>
  </si>
  <si>
    <t>Argamassa colante 20kg ACIII Cinza 20kg</t>
  </si>
  <si>
    <t>Argamassa colante 20kg ACIII Branco 20kg</t>
  </si>
  <si>
    <t>Argamassa colante 20kg ACII Cinza 20kg</t>
  </si>
  <si>
    <t>Argacola Argario 20kg para revestimentos especiais Hijau e Hitam</t>
  </si>
  <si>
    <t>50 pcs</t>
  </si>
  <si>
    <t>Espaçador - Cunha</t>
  </si>
  <si>
    <t>Espaçador - Nivelador</t>
  </si>
  <si>
    <t>Espaçador comum</t>
  </si>
  <si>
    <t>Ref Rasa</t>
  </si>
  <si>
    <t>Piso em madeira cumaru - MAT</t>
  </si>
  <si>
    <t>Piso em madeira cumaru - MO</t>
  </si>
  <si>
    <t>Deck em madeira cumaru sobre piso - MAT + MO</t>
  </si>
  <si>
    <t>Piso Porcelanato Portinari Momento Sbe Hard 100X100Cm</t>
  </si>
  <si>
    <t>Piso Porcelanato Portinari Momento Sbe Natural 100X100Cm</t>
  </si>
  <si>
    <t>VCM</t>
  </si>
  <si>
    <t>Sifão Para Lavatório Black Matte Deca 1680.BL.100.112.MT</t>
  </si>
  <si>
    <t>Ducha Higiênica Deca Izy  1984.C37.ACT.BR</t>
  </si>
  <si>
    <t>Ducha Higienica Com Registro E Derivação Deca  Polo   1984.C33.ACT.CR</t>
  </si>
  <si>
    <t>Ducha Manual Deca Bell 4889.C</t>
  </si>
  <si>
    <t>Misturador Bancada Bica Alta Deca Dream   1877.C87</t>
  </si>
  <si>
    <t xml:space="preserve">Monocomando Para Cozinha Focus M41 - 31815000  </t>
  </si>
  <si>
    <t>Misturador De Bancada - Bica Alta Deca Izy Plus  1877.C24</t>
  </si>
  <si>
    <t>Misturador De Mesa Bica Alta Deca Polo   1877.C33</t>
  </si>
  <si>
    <t>Válvula De Descarga   Hydra Plus - Cromada   2555.C.112</t>
  </si>
  <si>
    <t>Válvula De Descarga Black Matte   Hydra Plus   2555.C.112</t>
  </si>
  <si>
    <t>Válvula De Descarga Hydra Max – Dec 2550.C.112</t>
  </si>
  <si>
    <t>BRÁS66</t>
  </si>
  <si>
    <t>BRAS66/MULTIMETAIS</t>
  </si>
  <si>
    <t>Acimper</t>
  </si>
  <si>
    <t>Impermeabilização com manta asfáltica</t>
  </si>
  <si>
    <t>ACimper</t>
  </si>
  <si>
    <t>Proteção com acabamento vassourado para impermeabilização com manta</t>
  </si>
  <si>
    <t>Tratamento de Ralos</t>
  </si>
  <si>
    <t>P05 - Porta pivotante 1,6x3m - MAT + MO</t>
  </si>
  <si>
    <t>P07 - Porta de abrir 1,4x3m - MAT + MO</t>
  </si>
  <si>
    <t>P10 - Porta de correr 2,2x3m - MAT + MO</t>
  </si>
  <si>
    <t>P22 - Porta de correr 1,2x3m - MAT + MO</t>
  </si>
  <si>
    <t>P23 - Porta de correr 0,8x3m - MAT + MO</t>
  </si>
  <si>
    <t>Ekko Revestimentos</t>
  </si>
  <si>
    <t>Condec Acabamentos</t>
  </si>
  <si>
    <t>Multimetais</t>
  </si>
  <si>
    <t>Soleira em mármore cinza absoluto 150x15x2cm</t>
  </si>
  <si>
    <t>Soleira em mármore cinza absoluto 300x15x2cm</t>
  </si>
  <si>
    <t>Castelo em mármore cinza absoluto 150x4x2,5cm</t>
  </si>
  <si>
    <t>Soleira em mármore sivec 100x15x2cm</t>
  </si>
  <si>
    <t>Filete em mármore sivec 60x3x2cm</t>
  </si>
  <si>
    <t>Filete em mármore cinza absoluto 70x3x2cm</t>
  </si>
  <si>
    <t>Soleira em mármore cinza absoluto 475x15x2cm</t>
  </si>
  <si>
    <t>Soleira em mármore cinza absoluto 1023x15x2cm</t>
  </si>
  <si>
    <t>Soleira em mármore cinza absoluto 400x15x2cm</t>
  </si>
  <si>
    <t>Soleira em mármore cinza absoluto 743x15x2cm</t>
  </si>
  <si>
    <t>Castelo em mármore cinza absoluto 1023x4x2,5cm</t>
  </si>
  <si>
    <t>Castelo em mármore cinza absoluto 743x4x2,5cm</t>
  </si>
  <si>
    <t>Filete em mármore cinza absoluto 80x3x2cm</t>
  </si>
  <si>
    <t>Filete em mármore branco crystal 100x3x2cm</t>
  </si>
  <si>
    <t>Filete em mármore branco crystal 70x3x2cm</t>
  </si>
  <si>
    <t>Castelo em mármore cinza absoluto 475x4x2,5cm</t>
  </si>
  <si>
    <t>Soleira em mármore cinza absoluto 435x15x2cm</t>
  </si>
  <si>
    <t>Castelo em mármore cinza absoluto 435x4x2,5cm</t>
  </si>
  <si>
    <t>Castelo em mármore cinza absoluto 400x4x2,5cm</t>
  </si>
  <si>
    <t>Soleira em mármore cinza absoluto 495x15x2cm</t>
  </si>
  <si>
    <t>Castelo em mármore cinza absoluto 495x4x2,5cm</t>
  </si>
  <si>
    <t>Soleira em mármore cinza absoluto 380x15x2cm</t>
  </si>
  <si>
    <t>Castelo em mármore cinza absoluto 380x4x2,5cm</t>
  </si>
  <si>
    <t>Soleira em mármore cinza absoluto 584x15x2cm</t>
  </si>
  <si>
    <t>Castelo em mármore cinza absoluto 584x4x2,5cm</t>
  </si>
  <si>
    <t>Soleira em mármore cinza absoluto 160x15x2cm</t>
  </si>
  <si>
    <t>Peitoril em material a definir 150x15x2cm</t>
  </si>
  <si>
    <t>Peitoril em material a definir 265x15x2cm</t>
  </si>
  <si>
    <t>Peitoril em material a definir 70x15x2cm</t>
  </si>
  <si>
    <t>Peitoril em material a definir 140x15x2cm</t>
  </si>
  <si>
    <t>Peitoril em material a definir 180x15x2cm</t>
  </si>
  <si>
    <t>Peitoril em material a definir 190x15x2cm</t>
  </si>
  <si>
    <t>Peitoril em material a definir 135x15x2cm</t>
  </si>
  <si>
    <t>Peitoril em material a definir 100x15x2cm</t>
  </si>
  <si>
    <t>08.2.1</t>
  </si>
  <si>
    <t>Kit Porta com Batente 7,5cm Colmeia Primer 210x80x35 Direito Eucatex
 - Material + MO</t>
  </si>
  <si>
    <t>Pedras Lolinha</t>
  </si>
  <si>
    <t>Pedra madeira amarela aberta - MO</t>
  </si>
  <si>
    <t>Pedra madeira amarela aberta - Preparação de parede</t>
  </si>
  <si>
    <t>Pedra madeira amarela aberta - Insumos</t>
  </si>
  <si>
    <t>Silicone estrutural</t>
  </si>
  <si>
    <t>Conjunto Fechadura La Fonte 515 WC ST2-55 ROS327IN CRA</t>
  </si>
  <si>
    <t>Conjunto Fechadura La Fonte 515 INT ST2-55 ROS327IN CRA</t>
  </si>
  <si>
    <t>Conjunto Fechadura La Fonte 515 EXT ST2-55 ROS327IN CRA</t>
  </si>
  <si>
    <t>Cerâmica Eliane Unity White 45X45Cm (Cargo Plus White)</t>
  </si>
  <si>
    <t>Bancadas Cozinha em Granito Preto Absoluto</t>
  </si>
  <si>
    <t>Bancadas Área Gourmet em Granito Preto Absoluto</t>
  </si>
  <si>
    <t>Bancadas Lavanderia em Granito Preto Absoluto</t>
  </si>
  <si>
    <t>Bordas Piscina em Granito Branco Siena Escovado</t>
  </si>
  <si>
    <t>Revestimento Paredes Sauna em Granito Sivec</t>
  </si>
  <si>
    <t>Soleira da Sauna em Mármore Sivec</t>
  </si>
  <si>
    <t>Filete da Sauna em Mármore Sivec</t>
  </si>
  <si>
    <t>Bancada Banho Master em Mármore Branco Crystal</t>
  </si>
  <si>
    <t>Bancada Banho 01 em Mármore Branco Crystal</t>
  </si>
  <si>
    <t>Bancada Banho 02 em Mármore Branco Crystal</t>
  </si>
  <si>
    <t>Bancada Banho 03 em Mármore Branco Crystal</t>
  </si>
  <si>
    <t>Bancada Banho Escritório em Mármore Branco Crystal</t>
  </si>
  <si>
    <t>Bancada Banho Serviço em Mármore Branco Crystal</t>
  </si>
  <si>
    <t>Filetes Banho Serviço, Canil e Máquinas em Mármore Branco Crystal</t>
  </si>
  <si>
    <t>Tento Duplo Banho Master em Mármore Cinza Absoluto</t>
  </si>
  <si>
    <t>Filete Banho Masterem Mármore Cinza Absoluto</t>
  </si>
  <si>
    <t>Peitoril Banho Master em Mármore Cinza Absoluto</t>
  </si>
  <si>
    <t>Nicho Banho Master (10Cm) em Mármore Cinza Absoluto</t>
  </si>
  <si>
    <t>Tento Duplo Banho 01 em Mármore Cinza Absoluto</t>
  </si>
  <si>
    <t>Filete Banho 01 e Mármore Cinza Absoluto</t>
  </si>
  <si>
    <t>Revestimento Parede Banho 01 em Mármore Cinza Absoluto</t>
  </si>
  <si>
    <t>Nicho Banho 01 (10Cm) em Mármore Cinza Absoluto</t>
  </si>
  <si>
    <t>Tento Duplo Banho 02 em Mármore Cinza Absoluto</t>
  </si>
  <si>
    <t>Filete Banho 02 em Mármore Cinza Absoluto</t>
  </si>
  <si>
    <t>Revestimento Parede Banho 02 em Mármore Cinza Absoluto</t>
  </si>
  <si>
    <t>Peitoril Banho 02 em Mármore Cinza Absoluto</t>
  </si>
  <si>
    <t>Nicho Banho 02 (10Cm) em Mármore Cinza Absoluto</t>
  </si>
  <si>
    <t>Tento Duplo Banho 03 em Mármore Cinza Absoluto</t>
  </si>
  <si>
    <t>Filete Banho 03 em Mármore Cinza Absoluto</t>
  </si>
  <si>
    <t>Revestimento Parede Banho 03 em Mármore Cinza Absoluto</t>
  </si>
  <si>
    <t>Peitoril Banho 03 em Mármore Cinza Absoluto</t>
  </si>
  <si>
    <t>Nicho Banho 03 (10Cm) em Mármore Cinza Absoluto</t>
  </si>
  <si>
    <t>Tento Duplo Banho Escritório em Mármore Cinza Absoluto</t>
  </si>
  <si>
    <t>Filete Banho Escritório em Mármore Cinza Absoluto</t>
  </si>
  <si>
    <t>Nicho Banho Escritório (10Cm) em Mármore Cinza Absoluto</t>
  </si>
  <si>
    <t>Tento Duplo Banho Serviço em Mármore Cinza Absoluto</t>
  </si>
  <si>
    <t>Filete Banho Serviço em Mármore Cinza Absoluto</t>
  </si>
  <si>
    <t>Peitoril Banho Serviço em Mármore Cinza Absoluto</t>
  </si>
  <si>
    <t>Nicho Banho Serviço (10Cm) em Mármore Cinza Absoluto</t>
  </si>
  <si>
    <t>Tento Duplo Banho Externo em Mármore Cinza Absoluto</t>
  </si>
  <si>
    <t>Filete Banho Externo em Mármore Cinza Absoluto</t>
  </si>
  <si>
    <t>Nicho 01 Banho Externo em Mármore Cinza Absoluto</t>
  </si>
  <si>
    <t>Nicho 02 Banho Externo em Mármore Cinza Absoluto</t>
  </si>
  <si>
    <t>Revestimento Parede Banho Escritório em Mármore Cinza Absoluto</t>
  </si>
  <si>
    <t>Revestimento Parede Banho Master em Mármore Cinza Absoluto</t>
  </si>
  <si>
    <t>Soleiras, filetes e castelos em Mármore Cinza Absoluto</t>
  </si>
  <si>
    <t>Peitoris em Mármore Cinza Absoluto</t>
  </si>
  <si>
    <t>Colocação Mármores e Granitos</t>
  </si>
  <si>
    <t>Piso Pasinato Quadrado Irregular Vulcano QC014</t>
  </si>
  <si>
    <t>P06 - Porta de abrir 112x240cm - Ripado de alumínio com pintura madeira</t>
  </si>
  <si>
    <t>P08 - Porta de correr 1024x300cm - Aluminio com pintura preta</t>
  </si>
  <si>
    <t>P09 - Porta de correr 744x300cm - Alumínio com pintura preta</t>
  </si>
  <si>
    <t>P11 - Porta de correr 475x300cm - Alumínio com pintura preta</t>
  </si>
  <si>
    <t>P13 - Porta de correr 300x300cm - Alumínio com pintura preta</t>
  </si>
  <si>
    <t>P14 - Porta de correr 150x300cm - Alumínio com pintura preta</t>
  </si>
  <si>
    <t>P15 - Esquadria fixa 110x250cm - Alumínio com pintura preta</t>
  </si>
  <si>
    <t>P17 - Porta de correr 80x300cm - Alumínio com pintura preta</t>
  </si>
  <si>
    <t>P18 - Porta de correr 189x300cm - Alumínio com pintura preta</t>
  </si>
  <si>
    <t>P19 - Porta de abrir 100x300cm - Ripado em alumínio com pintura madeira</t>
  </si>
  <si>
    <t>P20 - Porta de abrir 90x210cm - Alumínio com pintura preta</t>
  </si>
  <si>
    <t>P21 - Porta de correr 400x300cm - Alumínio com pintura preta</t>
  </si>
  <si>
    <t>P24 - Porta de correr 584x300cm - Alumínio com pintura preta</t>
  </si>
  <si>
    <t>P25 - Porta de correr 380x300cm - Alumínio com pintura preta</t>
  </si>
  <si>
    <t>P26 - Porta de correr 495x300cm - Alumínio com pintura preta</t>
  </si>
  <si>
    <t>P27 - Porta de correr 160x300cm - Alumínio com pintura preta</t>
  </si>
  <si>
    <t>P28 - Porta de correr 400x300cm - Alumínio com pintura preta</t>
  </si>
  <si>
    <t>P29 - Porta de correr 435x300cm - Alumínio com pintura preta</t>
  </si>
  <si>
    <t>J01 - Janela de correr 140x100cm - Alumínio com pintura preta</t>
  </si>
  <si>
    <t>J02 - Janela de correr 142x50cm - Alumínio com pintura preta</t>
  </si>
  <si>
    <t>J02A - Janela báscula 70x50cm - Alumínio com pintura preta</t>
  </si>
  <si>
    <t>J03 - Janela de correr 317x50cm - Alumínio com pintura preta</t>
  </si>
  <si>
    <t>J05 - Janela de correr 150x100cm - Alumínio com pintura preta</t>
  </si>
  <si>
    <t>J04 - Janela de correr 265x100cm - Alumínio com pintura preta</t>
  </si>
  <si>
    <t>J06- Janela de correr 190x50cm - Alumínio com pintura preta</t>
  </si>
  <si>
    <t>J07 - Janela de correr 135x50cm - Alumínio com pintura preta</t>
  </si>
  <si>
    <t>J08 - Janela de correr 95x50cm - Alumínio com pintura preta</t>
  </si>
  <si>
    <t>J09 - Janela de correr 140x50cm - Alumínio com pintura preta</t>
  </si>
  <si>
    <t>J10 - Janela de correr 100x50cm - Alumínio com pintura preta</t>
  </si>
  <si>
    <t>P16 - Porta de abrir vidro temperado incolor 60x250cm</t>
  </si>
  <si>
    <t>PE1 - Pergolado 844x330cm - Alumínio com pintura preta</t>
  </si>
  <si>
    <t>PE2 - Pergolado 1570x193cm - Alumínio com pintura preta</t>
  </si>
  <si>
    <t>PE3 - Pergolado 930x132cm - Alumínio com pintura preta</t>
  </si>
  <si>
    <t>PO1 - Portão de  correr 835x275cm</t>
  </si>
  <si>
    <t>B01 - Painel em brise com porta pivotante 1015x275cm - Alumínio com pintura madeira</t>
  </si>
  <si>
    <t>B02 - Brise fixo 240x275cm - Alumínio com pintura madeira</t>
  </si>
  <si>
    <t>B03 - Brise fixo 720x300cm - Alumínio com pintura madeira</t>
  </si>
  <si>
    <t>B06 - Brise de correr 1868x300cm - Alumínio com pintura madeira</t>
  </si>
  <si>
    <t>B07 - Brise fixo 180x300cm - Alumínio com pintura madeira</t>
  </si>
  <si>
    <t>B08 - Brise fixo 215x300cm - Alumínio com pintura madeira</t>
  </si>
  <si>
    <t>B09 - Brise fixo 354x300cm - Alumínio com pintura madeira</t>
  </si>
  <si>
    <t>B10 - Brise fixo220x300cm - Alumínio com pintura madeira</t>
  </si>
  <si>
    <t>B11 - Brise fixo215x300cm - Alumínio com pintura madeira</t>
  </si>
  <si>
    <t>G01 - Guarda corpo 1868x110cm - Vidro temperado liso incolor</t>
  </si>
  <si>
    <t>P01 - Porta de abrir 0,9x2,1m - MAT + MO</t>
  </si>
  <si>
    <t>P02 - Porta de abrir 0,8x2,1m - MAT + MO</t>
  </si>
  <si>
    <t>P03 - Porta de abrir 0,7x2,1m - MAT + MO</t>
  </si>
  <si>
    <t>P04 - Porta de abrir 0,6x2,1m - MAT + MO</t>
  </si>
  <si>
    <t>Alvenaria Bloco Cerâmico 09x19x39</t>
  </si>
  <si>
    <t>Mão de obra assentamento piso pasinato</t>
  </si>
  <si>
    <t>Pintura Epóxi sobre massa acrílica - MAT + MO</t>
  </si>
  <si>
    <t>ESQUADRIAS EM ALUMÍNIO E MADEIRA</t>
  </si>
  <si>
    <t>Bancada Cozinha em Granito Preto São Gabriel</t>
  </si>
  <si>
    <t>Bancada Área Gourmet em Granito Preto São Gabriel</t>
  </si>
  <si>
    <t>Bancada Lavanderia em Granito Preto São Gabriel</t>
  </si>
  <si>
    <t>Bordas Piscina em Granito Branco Siena Escovado</t>
  </si>
  <si>
    <t>Revestimento Sauna em Mármore Aglostone Branco Prime</t>
  </si>
  <si>
    <t>Soleira em Mármore Aglostone Branco Prime</t>
  </si>
  <si>
    <t>Filete em Mármore Aglostone Branco Prime</t>
  </si>
  <si>
    <t>Soleiras, Filetes e Castelos em Mármore Cinza Absoluto</t>
  </si>
  <si>
    <t>Peitoris em Mármore Cinza Absoluto</t>
  </si>
  <si>
    <t>01.01.1885</t>
  </si>
  <si>
    <t>01.01.1886</t>
  </si>
  <si>
    <t>01.01.1887</t>
  </si>
  <si>
    <t>01.01.1888</t>
  </si>
  <si>
    <t>01.01.1889</t>
  </si>
  <si>
    <t>01.01.1890</t>
  </si>
  <si>
    <t>01.01.1891</t>
  </si>
  <si>
    <t>01.01.1892</t>
  </si>
  <si>
    <t>01.01.1893</t>
  </si>
  <si>
    <t>01.01.1894</t>
  </si>
  <si>
    <t>01.01.1895</t>
  </si>
  <si>
    <t>01.01.1896</t>
  </si>
  <si>
    <t>01.01.1897</t>
  </si>
  <si>
    <t>01.01.1898</t>
  </si>
  <si>
    <t>01.01.1899</t>
  </si>
  <si>
    <t>01.01.1900</t>
  </si>
  <si>
    <t>01.01.1901</t>
  </si>
  <si>
    <t>01.01.1902</t>
  </si>
  <si>
    <t>01.01.1903</t>
  </si>
  <si>
    <t>01.01.1904</t>
  </si>
  <si>
    <t>01.01.1905</t>
  </si>
  <si>
    <t>01.01.1906</t>
  </si>
  <si>
    <t>01.01.1907</t>
  </si>
  <si>
    <t>01.01.1908</t>
  </si>
  <si>
    <t>01.01.1909</t>
  </si>
  <si>
    <t>01.01.1910</t>
  </si>
  <si>
    <t>01.01.1911</t>
  </si>
  <si>
    <t>01.01.1912</t>
  </si>
  <si>
    <t>01.01.1913</t>
  </si>
  <si>
    <t>01.01.1914</t>
  </si>
  <si>
    <t>01.01.1915</t>
  </si>
  <si>
    <t>01.01.1916</t>
  </si>
  <si>
    <t>01.01.1917</t>
  </si>
  <si>
    <t>01.01.1918</t>
  </si>
  <si>
    <t>01.01.1919</t>
  </si>
  <si>
    <t>01.01.1920</t>
  </si>
  <si>
    <t>01.01.1921</t>
  </si>
  <si>
    <t>01.01.1922</t>
  </si>
  <si>
    <t>01.01.1923</t>
  </si>
  <si>
    <t>01.01.1924</t>
  </si>
  <si>
    <t>01.01.1925</t>
  </si>
  <si>
    <t>01.01.1926</t>
  </si>
  <si>
    <t>01.01.1927</t>
  </si>
  <si>
    <t>01.01.1928</t>
  </si>
  <si>
    <t>01.01.1929</t>
  </si>
  <si>
    <t>01.01.1930</t>
  </si>
  <si>
    <t>01.01.1931</t>
  </si>
  <si>
    <t>01.01.1932</t>
  </si>
  <si>
    <t>01.01.1933</t>
  </si>
  <si>
    <t>01.01.1934</t>
  </si>
  <si>
    <t>01.01.1935</t>
  </si>
  <si>
    <t>01.01.1936</t>
  </si>
  <si>
    <t>01.01.1937</t>
  </si>
  <si>
    <t>01.01.1938</t>
  </si>
  <si>
    <t>01.01.1939</t>
  </si>
  <si>
    <t>01.01.1940</t>
  </si>
  <si>
    <t>01.01.1941</t>
  </si>
  <si>
    <t>01.01.1942</t>
  </si>
  <si>
    <t>01.01.1943</t>
  </si>
  <si>
    <t>01.01.1944</t>
  </si>
  <si>
    <t>01.01.1945</t>
  </si>
  <si>
    <t>01.01.1946</t>
  </si>
  <si>
    <t>01.01.1947</t>
  </si>
  <si>
    <t>01.01.1948</t>
  </si>
  <si>
    <t>01.01.1949</t>
  </si>
  <si>
    <t>01.01.1950</t>
  </si>
  <si>
    <t>01.01.1951</t>
  </si>
  <si>
    <t>01.01.1952</t>
  </si>
  <si>
    <t>01.01.1953</t>
  </si>
  <si>
    <t>01.01.1954</t>
  </si>
  <si>
    <t>01.01.1955</t>
  </si>
  <si>
    <t>01.01.1956</t>
  </si>
  <si>
    <t>01.01.1957</t>
  </si>
  <si>
    <t>01.01.1958</t>
  </si>
  <si>
    <t>01.01.1959</t>
  </si>
  <si>
    <t>01.01.1960</t>
  </si>
  <si>
    <t>01.01.1961</t>
  </si>
  <si>
    <t>01.01.1962</t>
  </si>
  <si>
    <t>01.01.1963</t>
  </si>
  <si>
    <t>01.01.1964</t>
  </si>
  <si>
    <t>01.01.1965</t>
  </si>
  <si>
    <t>01.01.1966</t>
  </si>
  <si>
    <t>01.01.1967</t>
  </si>
  <si>
    <t>01.01.1968</t>
  </si>
  <si>
    <t>01.01.1969</t>
  </si>
  <si>
    <t>01.01.1970</t>
  </si>
  <si>
    <t>01.01.1971</t>
  </si>
  <si>
    <t>01.01.1972</t>
  </si>
  <si>
    <t>01.01.1973</t>
  </si>
  <si>
    <t>01.01.1974</t>
  </si>
  <si>
    <t>01.01.1975</t>
  </si>
  <si>
    <t>01.01.1976</t>
  </si>
  <si>
    <t>01.01.1977</t>
  </si>
  <si>
    <t>01.01.1978</t>
  </si>
  <si>
    <t>01.01.1979</t>
  </si>
  <si>
    <t>01.01.1980</t>
  </si>
  <si>
    <t>01.01.1981</t>
  </si>
  <si>
    <t>01.01.1982</t>
  </si>
  <si>
    <t>01.01.1983</t>
  </si>
  <si>
    <t>01.01.1984</t>
  </si>
  <si>
    <t>01.01.1985</t>
  </si>
  <si>
    <t>01.01.1986</t>
  </si>
  <si>
    <t>Instalações Piscina, Sauna e Espelho d'água</t>
  </si>
  <si>
    <t>PO1 - Portão de  correr 835x275cm - Arkowood espaçamento 50mm</t>
  </si>
  <si>
    <t>B01 - Painel em brise com porta pivotante 1015x275cm - Arkowood espaçamento 50mm</t>
  </si>
  <si>
    <t>B02 - Brise fixo 240x275cm - Arkowood espaçamento 50mm</t>
  </si>
  <si>
    <t>B03 - Brise fixo 720x300cm - Arkowood espaçamento 50mm</t>
  </si>
  <si>
    <t>B06 - Brise de correr 1868x300cm - Arkowood espaçamento 50mm</t>
  </si>
  <si>
    <t>B07 - Brise fixo 180x300cm - Arkowood espaçamento 50mm</t>
  </si>
  <si>
    <t>B08 - Brise fixo 215x300cm - Arkowood espaçamento 50mm</t>
  </si>
  <si>
    <t>B09 - Brise fixo 354x300cm - Arkowood espaçamento 50mm</t>
  </si>
  <si>
    <t>B10 - Brise fixo220x300cm - Arkowood espaçamento 50mm</t>
  </si>
  <si>
    <t>B11 - Brise fixo215x300cm - Arkowood espaçamento 50mm</t>
  </si>
  <si>
    <t>P06 - Porta de abrir 112x240cm - Arkowood espaçamento 30mm</t>
  </si>
  <si>
    <t>P19 - Porta de abrir 100x300cm - Arkowood espaçamento 30mm</t>
  </si>
  <si>
    <t>P06 - Porta de abrir 112x240cm - Arkowood espaçamento 50mm</t>
  </si>
  <si>
    <t>P19 - Porta de abrir 100x300cm - Arkowood espaçamento 50mm</t>
  </si>
  <si>
    <t>Arkowood</t>
  </si>
  <si>
    <t>Tanto</t>
  </si>
  <si>
    <t>Piso Vinílico - MAT</t>
  </si>
  <si>
    <t>Piso Vinílico - MO</t>
  </si>
  <si>
    <t>Rasa - Meet</t>
  </si>
  <si>
    <t>Forro em Lambri 10cm de largura - MAT + MO</t>
  </si>
  <si>
    <t>Forro em lambri de peroba mica 4cm de largura - MAT + MO</t>
  </si>
  <si>
    <t>Ferragens Portas de Madeira</t>
  </si>
  <si>
    <t>PO1 - Portão de  correr 835x275cm - Arkowood espaçamento 20mm</t>
  </si>
  <si>
    <t>B01 - Painel em brise com porta pivotante 1015x275cm - Arkowood espaçamento 20mm</t>
  </si>
  <si>
    <t>B02 - Brise fixo 240x275cm - Arkowood espaçamento 20mm</t>
  </si>
  <si>
    <t>B03 - Brise fixo 720x300cm - Arkowood espaçamento 20mm</t>
  </si>
  <si>
    <t>B06 - Brise de correr 1868x300cm - Arkowood espaçamento 20mm</t>
  </si>
  <si>
    <t>B07 - Brise fixo 180x300cm - Arkowood espaçamento 20mm</t>
  </si>
  <si>
    <t>B08 - Brise fixo 215x300cm - Arkowood espaçamento 20mm</t>
  </si>
  <si>
    <t>B09 - Brise fixo 354x300cm - Arkowood espaçamento 20mm</t>
  </si>
  <si>
    <t>B10 - Brise fixo220x300cm - Arkowood espaçamento 20mm</t>
  </si>
  <si>
    <t>B11 - Brise fixo215x300cm - Arkowood espaçamento 20mm</t>
  </si>
  <si>
    <t>Cuba de semiencaixe retangular com mesa e válvula oculta branca L873.17 - Deca</t>
  </si>
  <si>
    <t>Cuba de sobrepor retangular com mesa e válvula oculta branca L.870.17 - Deca</t>
  </si>
  <si>
    <t>Bancada Banho Master em Mármore Aglostone Branco Prime</t>
  </si>
  <si>
    <t>Bancada Banho 01 em Mármore Aglostone Branco Prime</t>
  </si>
  <si>
    <t>Bancada Banho 02 em Mármore Aglostone Branco Prime</t>
  </si>
  <si>
    <t>Bancada Banho 03 em Mármore Aglostone Branco Prime</t>
  </si>
  <si>
    <t>Bancada Banho Escritório em Mármore Aglostone Branco Prime</t>
  </si>
  <si>
    <t>Bancada Banho Serviço em Mármore Aglostone Branco Prime</t>
  </si>
  <si>
    <t>Filete em Mármore Aglostone Branco Prime</t>
  </si>
  <si>
    <t>Nicho 02 banho externo em Mármore Cinza Absoluto</t>
  </si>
  <si>
    <t>Tento duplo banho master em Mármore Cinza Absoluto</t>
  </si>
  <si>
    <t>Filete banho master em Mármore Cinza Absoluto</t>
  </si>
  <si>
    <t>Revestimento parede banho 
master em Mármore Cinza Absoluto</t>
  </si>
  <si>
    <t>Peitoril banho master em Mármore Cinza Absoluto</t>
  </si>
  <si>
    <t>Nicho banho master (10cm) em Mármore Cinza Absoluto</t>
  </si>
  <si>
    <t>Tento duplo banho 01 em Mármore Cinza Absoluto</t>
  </si>
  <si>
    <t>Filete banho 01 em Mármore Cinza Absoluto</t>
  </si>
  <si>
    <t>Revestimento parede banho 01 em Mármore Cinza Absoluto</t>
  </si>
  <si>
    <t>Nicho banho 01 (10cm) em Mármore Cinza Absoluto</t>
  </si>
  <si>
    <t>Tento duplo banho 02 em Mármore Cinza Absoluto</t>
  </si>
  <si>
    <t>Filete banho 02 em Mármore Cinza Absoluto</t>
  </si>
  <si>
    <t>Revestimento parede banho 02 em Mármore Cinza Absoluto</t>
  </si>
  <si>
    <t>Peitoril banho 02 em Mármore Cinza Absoluto</t>
  </si>
  <si>
    <t>Nicho banho 02 (10cm) em Mármore Cinza Absoluto</t>
  </si>
  <si>
    <t>Tento duplo banho 03 em Mármore Cinza Absoluto</t>
  </si>
  <si>
    <t>Filete banho 03 em Mármore Cinza Absoluto</t>
  </si>
  <si>
    <t>Revestimento parede banho 03 em Mármore Cinza Absoluto</t>
  </si>
  <si>
    <t>Peitoril banho 03 em Mármore Cinza Absoluto</t>
  </si>
  <si>
    <t>Nicho banho 03 (10cm) em Mármore Cinza Absoluto</t>
  </si>
  <si>
    <t>Tento duplo banho escritório em Mármore Cinza Absoluto</t>
  </si>
  <si>
    <t>Filete banho escritório em Mármore Cinza Absoluto</t>
  </si>
  <si>
    <t>Revestimento parede banho 
escritório em Mármore Cinza Absoluto</t>
  </si>
  <si>
    <t>Nicho banho escritório (10cm) em Mármore Cinza Absoluto</t>
  </si>
  <si>
    <t>Tento duplo banho serviço em Mármore Cinza Absoluto</t>
  </si>
  <si>
    <t>Filete banho serviço em Mármore Cinza Absoluto</t>
  </si>
  <si>
    <t>Peitoril banho serviço em Mármore Cinza Absoluto</t>
  </si>
  <si>
    <t>Nicho banho serviço (10cm) em Mármore Cinza Absoluto</t>
  </si>
  <si>
    <t>Tento duplo banho externo em Mármore Cinza Absoluto</t>
  </si>
  <si>
    <t>Filete banho externo em Mármore Cinza Absoluto</t>
  </si>
  <si>
    <t>Nicho 01 banho externo em Mármore Cinza Absoluto</t>
  </si>
  <si>
    <t>Revestimentos de Varanda Lateral, Varanda Frontal, Acesso e Espelho d'água</t>
  </si>
  <si>
    <t>Bacia Convencional Deca Piano Preta  P.33.94</t>
  </si>
  <si>
    <t>Fornecimento e instalação de boiler com aquecimento solar 600L</t>
  </si>
  <si>
    <t>Fornecimento e instalação de gerador a gás de 20 kW</t>
  </si>
  <si>
    <t>Equipamentos Ar Condicionado (17 unidades) Inverter AmbientAir</t>
  </si>
  <si>
    <t>Assoalho estruturado Cumaru - MAT</t>
  </si>
  <si>
    <t>Assoalho estruturado Cumaru - MO</t>
  </si>
  <si>
    <t>Área útil (m²)</t>
  </si>
  <si>
    <t>Reduções</t>
  </si>
  <si>
    <t>Mármores e Granitos</t>
  </si>
  <si>
    <t>Porcelanato Munari</t>
  </si>
  <si>
    <t>Forro em Lambri 10 cm</t>
  </si>
  <si>
    <t>Custo Total 15/01/2021</t>
  </si>
  <si>
    <t>Custo Total Reduzido</t>
  </si>
  <si>
    <t>Adições</t>
  </si>
  <si>
    <t>Gerador</t>
  </si>
  <si>
    <t>Boiler</t>
  </si>
  <si>
    <t>Piscina, Sauna e Espelho d'água</t>
  </si>
  <si>
    <t>Muros Laterais e Fundos</t>
  </si>
  <si>
    <t>Diversos</t>
  </si>
  <si>
    <t>Custo Total 04/02/2021</t>
  </si>
  <si>
    <t>Mão de obra - execução de rodapé</t>
  </si>
  <si>
    <t>Fita dupla face Santa Luzia 12mmx10m</t>
  </si>
  <si>
    <t>Estimado - Internet</t>
  </si>
  <si>
    <t>Estimado - Espírito Santo Casa Daniel</t>
  </si>
  <si>
    <t>Porta de abrir Suíte Casal</t>
  </si>
  <si>
    <t>Porta de abrir Closet</t>
  </si>
  <si>
    <t>Porta de abrir Banho Casal</t>
  </si>
  <si>
    <t>Porta de abrir Sauna</t>
  </si>
  <si>
    <t>Porta de abrir Reservado 1</t>
  </si>
  <si>
    <t>Porta de abrir Reservado 2</t>
  </si>
  <si>
    <t>Estimado - Nacional Madeiras Casa Cláudio</t>
  </si>
  <si>
    <t>Pergolado Sala de Jogos/Garagem</t>
  </si>
  <si>
    <t>Pergolado Piscina</t>
  </si>
  <si>
    <t>Estimado - Casa Daniel</t>
  </si>
  <si>
    <t>Vidro fixo Sala de Jogos</t>
  </si>
  <si>
    <t>Porta de correr de 3 folhas Sala de Jogos/Área externa</t>
  </si>
  <si>
    <t>Porta de correr de 2 folhas Sala de Jogos/Área externa</t>
  </si>
  <si>
    <t>Porta de correr de 4 folhas Suíte Casal/Varanda</t>
  </si>
  <si>
    <t>Vidro fixo Sauna</t>
  </si>
  <si>
    <t>Estimado - Raphis Arch Casa Daniel</t>
  </si>
  <si>
    <t>Sifão Para Lavatório Black Matte Deca</t>
  </si>
  <si>
    <t>Sifão Cozinha</t>
  </si>
  <si>
    <t>Bacia Convencional Deca Piano Preta</t>
  </si>
  <si>
    <t>Cuba De Sobrepor Quadrada Com Mesa</t>
  </si>
  <si>
    <t>Misturador de mesa bica alta para lavatório</t>
  </si>
  <si>
    <t>Monocomando Para Cozinha Focus</t>
  </si>
  <si>
    <t>Ligação flexível</t>
  </si>
  <si>
    <t>Kit instalação bacia</t>
  </si>
  <si>
    <t>Válvula De Descarga Black Matte Hydra Plus</t>
  </si>
  <si>
    <t>Válvula escoamento</t>
  </si>
  <si>
    <t>Tubo ligação bacia convencional</t>
  </si>
  <si>
    <t>Acabamento Para Registro De Gaveta Black Matte Deca Dream</t>
  </si>
  <si>
    <t>Acabamento Para Registro De Pressão Black Noir Deca Soul</t>
  </si>
  <si>
    <t>Assento Poliéster Slow Close Deca Link Protekto Ébano Fosco</t>
  </si>
  <si>
    <t>Ducha Higienica Com Registro E Derivação Deca Dream Black Matte</t>
  </si>
  <si>
    <t>Grelha 15x15 Moldenox</t>
  </si>
  <si>
    <t>01.01.1987</t>
  </si>
  <si>
    <t>01.01.1988</t>
  </si>
  <si>
    <t>01.01.1989</t>
  </si>
  <si>
    <t>01.01.1990</t>
  </si>
  <si>
    <t>01.01.1991</t>
  </si>
  <si>
    <t>01.01.1992</t>
  </si>
  <si>
    <t>01.01.1993</t>
  </si>
  <si>
    <t>01.01.1994</t>
  </si>
  <si>
    <t>01.01.1995</t>
  </si>
  <si>
    <t>01.01.1996</t>
  </si>
  <si>
    <t>01.01.1997</t>
  </si>
  <si>
    <t>01.01.1998</t>
  </si>
  <si>
    <t>01.01.1999</t>
  </si>
  <si>
    <t>01.01.2000</t>
  </si>
  <si>
    <t>01.01.2001</t>
  </si>
  <si>
    <t>01.01.2002</t>
  </si>
  <si>
    <t>01.01.2003</t>
  </si>
  <si>
    <t>01.01.2004</t>
  </si>
  <si>
    <t>01.01.2005</t>
  </si>
  <si>
    <t>01.01.2006</t>
  </si>
  <si>
    <t>01.01.2007</t>
  </si>
  <si>
    <t>01.01.2008</t>
  </si>
  <si>
    <t>01.01.2009</t>
  </si>
  <si>
    <t>01.01.2010</t>
  </si>
  <si>
    <t>01.01.2011</t>
  </si>
  <si>
    <t>01.01.2012</t>
  </si>
  <si>
    <t>01.01.2013</t>
  </si>
  <si>
    <t>01.01.2014</t>
  </si>
  <si>
    <t>01.01.2015</t>
  </si>
  <si>
    <t>01.01.2016</t>
  </si>
  <si>
    <t>01.01.2017</t>
  </si>
  <si>
    <t>01.01.2018</t>
  </si>
  <si>
    <t>01.01.2019</t>
  </si>
  <si>
    <t>01.01.2020</t>
  </si>
  <si>
    <t>01.01.2021</t>
  </si>
  <si>
    <t>01.01.2022</t>
  </si>
  <si>
    <t>01.01.2023</t>
  </si>
  <si>
    <t>01.01.2024</t>
  </si>
  <si>
    <t>01.01.2025</t>
  </si>
  <si>
    <t>01.01.2026</t>
  </si>
  <si>
    <t>01.01.2027</t>
  </si>
  <si>
    <t>01.01.2028</t>
  </si>
  <si>
    <t>01.01.2029</t>
  </si>
  <si>
    <t>01.01.2030</t>
  </si>
  <si>
    <t>01.01.2031</t>
  </si>
  <si>
    <t>01.01.2032</t>
  </si>
  <si>
    <t>01.01.2033</t>
  </si>
  <si>
    <t>01.01.2034</t>
  </si>
  <si>
    <t>01.01.2035</t>
  </si>
  <si>
    <t>01.01.2036</t>
  </si>
  <si>
    <t>01.01.2037</t>
  </si>
  <si>
    <t>01.01.2038</t>
  </si>
  <si>
    <t>01.01.2039</t>
  </si>
  <si>
    <t>01.01.2040</t>
  </si>
  <si>
    <t>01.01.2041</t>
  </si>
  <si>
    <t>01.01.2042</t>
  </si>
  <si>
    <t>01.01.2043</t>
  </si>
  <si>
    <t>01.01.2044</t>
  </si>
  <si>
    <t>01.01.2045</t>
  </si>
  <si>
    <t>01.01.2046</t>
  </si>
  <si>
    <t>01.01.2047</t>
  </si>
  <si>
    <t>01.01.2048</t>
  </si>
  <si>
    <t>01.01.2049</t>
  </si>
  <si>
    <t>01.01.2050</t>
  </si>
  <si>
    <t>01.01.2051</t>
  </si>
  <si>
    <t>01.01.2052</t>
  </si>
  <si>
    <t>01.01.2053</t>
  </si>
  <si>
    <t>01.01.2054</t>
  </si>
  <si>
    <t>01.01.2055</t>
  </si>
  <si>
    <t>01.01.2056</t>
  </si>
  <si>
    <t>01.01.2057</t>
  </si>
  <si>
    <t>01.01.2058</t>
  </si>
  <si>
    <t>01.01.2059</t>
  </si>
  <si>
    <t>01.01.2060</t>
  </si>
  <si>
    <t>01.01.2061</t>
  </si>
  <si>
    <t>01.01.2062</t>
  </si>
  <si>
    <t>01.01.2063</t>
  </si>
  <si>
    <t>01.01.2064</t>
  </si>
  <si>
    <t>01.01.2065</t>
  </si>
  <si>
    <t>01.01.2066</t>
  </si>
  <si>
    <t>01.01.2067</t>
  </si>
  <si>
    <t>Deca - Casa Daniel</t>
  </si>
  <si>
    <t xml:space="preserve"> Concreto - Estrutura de Concreto - Lajes e Vigas</t>
  </si>
  <si>
    <t>Aço - Estrutura de Concreto - Lajes e Vigas</t>
  </si>
  <si>
    <t>Esquadrias de Madeira</t>
  </si>
  <si>
    <t>Estimativa - Casa Daniel</t>
  </si>
  <si>
    <t>Estimado Leroy Merlin</t>
  </si>
  <si>
    <t>Rodapé Munari Cimento Eliane 14,5cm</t>
  </si>
  <si>
    <t>Fornecimento Estaca Pré Moldada de concreto (281mm)</t>
  </si>
  <si>
    <t>Cravação Estaca Pré Moldada de concreto (281mm)</t>
  </si>
  <si>
    <t>Materiais Diversos para reforço</t>
  </si>
  <si>
    <t>Sikagrout tixotrópico 25kg</t>
  </si>
  <si>
    <t>Acréscimo de Telhado</t>
  </si>
  <si>
    <t>Verba para acréscimo de telhado - estimativa</t>
  </si>
  <si>
    <t>Telhado Verde - excluso</t>
  </si>
  <si>
    <t>Guarda-corpo varanda suíte master</t>
  </si>
  <si>
    <t>Porcelanato Munari Cimento 90x90 Acetinado - Eliane</t>
  </si>
  <si>
    <t>Bancada área gourmet em Granito preto S. Gabriel</t>
  </si>
  <si>
    <t>Ilha área gourmet em Granito preto S. Gabriel</t>
  </si>
  <si>
    <t>Bancada banho casal em Mármore cinza absoluto</t>
  </si>
  <si>
    <t>Bancada circulação em Granito preto S. Gabriel</t>
  </si>
  <si>
    <t>Bancada sala de jogos em Mármore cinza absoluto</t>
  </si>
  <si>
    <t>Ilha sala de jogos em Mármore cinza absoluto</t>
  </si>
  <si>
    <t>Revestimento parede área gourmet em Granito preto S. Gabriel</t>
  </si>
  <si>
    <t>Revestimento paredes sauna em Aglostone Branco Prime</t>
  </si>
  <si>
    <t>Guarda-corpo varanda suíte casal</t>
  </si>
  <si>
    <t>Guarda-corpo varanda suíte 04</t>
  </si>
  <si>
    <t>Guarda-corpo varanda suítes 02 e 03</t>
  </si>
  <si>
    <t>Revestimento banheira banho casal em Mármore cinza absoluto</t>
  </si>
  <si>
    <t>Tento box banho casal</t>
  </si>
  <si>
    <t>Revestimento bancos e piso sauna em Aglostone Branco Prime</t>
  </si>
  <si>
    <t>Porta de correr de 2 folhas Sala de Jantar/Área Gourmet</t>
  </si>
  <si>
    <t>Pintura Tetos</t>
  </si>
  <si>
    <t>Porcelanato Portobello Superquadra Concreto Natural Ret. 90x90cm</t>
  </si>
  <si>
    <t>Revestimento Portobello Brit Sidewalk Matte 6,5x23cm</t>
  </si>
  <si>
    <t>MO Alvenaria Grauteada</t>
  </si>
  <si>
    <t>Contra Parede em Drywall Estruturado</t>
  </si>
  <si>
    <t>Execução de Gesso Liso em Paredes com mestra</t>
  </si>
  <si>
    <t>Montagem de Forro em Drywall estruturado ST - MAT + MO (faixas)</t>
  </si>
  <si>
    <t>Montagem de Forro Liso em Drywall estruturado ST - MAT + MO</t>
  </si>
  <si>
    <t>Montagem de Forro Tabicado em Drywall estruturado ST - MAT + MO</t>
  </si>
  <si>
    <t>Revestimento Portobello Liverpool Azul Indigo 7x25cm</t>
  </si>
  <si>
    <t>Rodapé em poliestireno Santa Luzia Moderna 457 10x240cm</t>
  </si>
  <si>
    <t>MO assentamento de Revestimento Cerâmico até 45x45cm</t>
  </si>
  <si>
    <t>Construcola</t>
  </si>
  <si>
    <t>Argamassa Colante II Construcola  Cinza 20Kg</t>
  </si>
  <si>
    <t>Rejunte Portokoll P-Flex 20kg</t>
  </si>
  <si>
    <t>Portobello Shop Tijuca</t>
  </si>
  <si>
    <t>Porcelanato Portobello Cetim Bianco Ret Ac 30x60cm (a confirmar)</t>
  </si>
  <si>
    <t>Rasa GSM</t>
  </si>
  <si>
    <t>Amoedo Shop</t>
  </si>
  <si>
    <t xml:space="preserve">Cola para rodapé Santa Luzia </t>
  </si>
  <si>
    <t>MO colocação de Bancadas, Soleiras e Peitoris em Marmores e Granitos</t>
  </si>
  <si>
    <t>MO colocação de Esquadrias de madeira</t>
  </si>
  <si>
    <t>Porta de correr em melamina Carvalho Siena Preto Fosco 80x210cm alisar de 5cm</t>
  </si>
  <si>
    <t>Porta de correr em melamina Carvalho Siena Preto Fosco 120x210cm alisar de 5cm</t>
  </si>
  <si>
    <t>Porta Camarão em madeira pintada 60x210cm alisar de 5cm</t>
  </si>
  <si>
    <t>Porta de correr em melamina Branco Fosco 71x210cm alisar de 5cm</t>
  </si>
  <si>
    <t>Porta de correr em melamina Branco Fosco 70x210cm alisar de 5cm</t>
  </si>
  <si>
    <t>Porta de Abrir em melamina Branco Fosco 80x210cm alisar de 5cm</t>
  </si>
  <si>
    <t>Porta de Abrir em melamina Branco Fosco 64x210cm alisar de 4cm</t>
  </si>
  <si>
    <t>Porta de Abrir em melamina Branco Fosco 60x210cm alisar de 5cm</t>
  </si>
  <si>
    <t>Esquadrias em Alumínio, Espelhos e Vidro Temperado</t>
  </si>
  <si>
    <t xml:space="preserve">Porta de Abrir em vidro temperado 70x210cm </t>
  </si>
  <si>
    <t xml:space="preserve">Porta de Abrir em vidro temperado 80x210cm </t>
  </si>
  <si>
    <t>Janela de correr em Aluminio com pintura eletrostatica cor preta 275x175cm com folhas em vidro temperado 8mm e alisar de 5cm conforme projeto</t>
  </si>
  <si>
    <t>MO instalação de Esquadrias de Alumínio, Vidros e Espelhos</t>
  </si>
  <si>
    <t>Textura Cimento Queimado</t>
  </si>
  <si>
    <t>Pintura Acrilica Branco Neve Sobre Massa Acrílica  tetos  Paredes - Mat + MO</t>
  </si>
  <si>
    <t>Textura Acrílica Cimento Queimado Sobre Laje Regularizada  Mat + MO</t>
  </si>
  <si>
    <t>Tratamento de Ralos e Pontos de Bacia com Epoxi e tela de Poliester Mat+MO</t>
  </si>
  <si>
    <t>Arquiplan</t>
  </si>
  <si>
    <t>Argamassa Baritada Barimix saco25kg</t>
  </si>
  <si>
    <t>Montagem de Contra Parede de Drywall  ST  com montante 70mm e recheio de lã de Pet - Mat+MO</t>
  </si>
  <si>
    <t>Montagem de Contra Parede de Drywall  RU  com montante 70mm e recheio de lã de Pet - Mat+MO</t>
  </si>
  <si>
    <t xml:space="preserve">Montagem de Conta-Parede de Drywall  ST esp. 70mm e recheio de lã de Pet- Mat+MO  </t>
  </si>
  <si>
    <t>Montagem de Contra-Parede de Drywall  RU esp. 70mm e recheio de lã de Pet - Mat+MO</t>
  </si>
  <si>
    <t xml:space="preserve">Montagem de Parede de Drywall  ST esp. 70mm e recheio de lã de Pet- Mat+MO  </t>
  </si>
  <si>
    <t>Montagem de Parede de Drywall  RU esp. 70mm e recheio de lã de Pet - Mat+MO</t>
  </si>
  <si>
    <t>Execução de Estuque de Gesso Liso em paredes  -  Mat+MO</t>
  </si>
  <si>
    <t>Montagem de Forro Liso em Drywall estruturado ST - faixas - MAT + MO</t>
  </si>
  <si>
    <t>ION Industrial</t>
  </si>
  <si>
    <t>Porta Radiológica o de Abrir com Visor de vidro blindado 72x210cm com alisar de 5cm e acabamento em Primer branco fosco</t>
  </si>
  <si>
    <t>Bancada em Granito Preto São Gabriel escovado 0,80x0,55m com furo para tanque de sobrepor em aço inox, tira americana de 0,04x0,80m e font de 1,90x0,10m - DLM</t>
  </si>
  <si>
    <t>Bancada em Granito Preto São Gabriel escovado 1,43x0,55m com furos para cuba e misturador, saia de 2,53x0,26m e front (tipo baguete) 1,43x0,02m conforme projeto WC FUNCIONÁRIOS + WC PRIVATIVO</t>
  </si>
  <si>
    <t>Guandu mármores</t>
  </si>
  <si>
    <t>Bancada de pia em Quartzo Branco Polido  1,88x0,56m e área molhada de 0,80x0,56m com furos para cuba redonda inox e misturador, tira colada de 2,46x0,04 m, front de 1,88x0,10m e Ilharga em meia esquadria de 0,90x0,56m e saia de 0,90x0,04m conforme projeto SL. DESCOMPRESSÃO</t>
  </si>
  <si>
    <t>Bancada de pia em Quartzo Branco Polido  2,45x0,55m e área molhada de 1,79x0,55m com furos para cuba redonda inox e misturador, tira colada de 3,00x0,04 m, front de 2,45x0,10m e Ilharga em meia esquadria de 0,90x0,55m e saia de 0,90x0,04m conforme projeto - CONSULTÓRIO</t>
  </si>
  <si>
    <t>Peitoril em quartzo Branco Polido 1,94x0,15m com pingadeira conforme medidas in loco</t>
  </si>
  <si>
    <t>Bancada em "L" em Quartzo Branco 1,76 x 0,65m e 0,65x0,55m com furo para cuba redonda e tira americana de 1,95x0,04m e front de 4,32x0,10m conforme projeto  - SL. ESTERILIZAÇÃO</t>
  </si>
  <si>
    <t>Peitoril e m quartzo Branco Polido 2,77x0,15m com pingadeira conforme medidas in loco</t>
  </si>
  <si>
    <t>Soleira em Quartzo Cinza Polido 0,75x0,15m</t>
  </si>
  <si>
    <t>Soleira em Quartzo Cinza Polido 0,85x0,15m</t>
  </si>
  <si>
    <t>Bancada em Quartzo Branco polido de  1,00x0,50m com cuba esculpida 0,50x0,30m e fundo falso de 0,46x0,26m e furos para misturador. Saia de 0,30x 2,00m e front (tipo baguete) de 1,00 x 0,02m conforme projeto.WC CLIENTES</t>
  </si>
  <si>
    <t xml:space="preserve">Peitoril em Quartzo Branco polido com 1,18x0,20m e pingadeira conforme medidas in loco </t>
  </si>
  <si>
    <t xml:space="preserve">Peitoril em Quartzo Branco polido com 7,88x0,20m e pingadeira conforme medidas in loco </t>
  </si>
  <si>
    <t>Lençol de Chumbo 2,1x2,1x0,005m</t>
  </si>
  <si>
    <t>Cimento Portland CPIII sc. 50kg  - varejo</t>
  </si>
  <si>
    <t>Areia Lavada (granel 20kg) pequenas quantidades</t>
  </si>
  <si>
    <t>Cinco Amigos</t>
  </si>
  <si>
    <t>Brita nº0  -  pequenas quantidades</t>
  </si>
  <si>
    <t>Brita nº1  -  pequenas quantidades</t>
  </si>
  <si>
    <t>Gesso Rapido 40kg  - pequenas quantidades</t>
  </si>
  <si>
    <t>Argamassa multiuso RioMix 50kg - varejo</t>
  </si>
  <si>
    <t>Papelão Corrugado - Bobina 1,20x40m</t>
  </si>
  <si>
    <t>01.01.2068</t>
  </si>
  <si>
    <t>01.01.2069</t>
  </si>
  <si>
    <t>01.01.2070</t>
  </si>
  <si>
    <t>01.01.2071</t>
  </si>
  <si>
    <t>01.01.2072</t>
  </si>
  <si>
    <t>01.01.2073</t>
  </si>
  <si>
    <t>01.01.2074</t>
  </si>
  <si>
    <t>01.01.2075</t>
  </si>
  <si>
    <t>01.01.2076</t>
  </si>
  <si>
    <t>01.01.2077</t>
  </si>
  <si>
    <t>01.01.2078</t>
  </si>
  <si>
    <t>01.01.2079</t>
  </si>
  <si>
    <t>01.01.2080</t>
  </si>
  <si>
    <t>01.01.2081</t>
  </si>
  <si>
    <t>01.01.2082</t>
  </si>
  <si>
    <t>01.01.2083</t>
  </si>
  <si>
    <t>01.01.2084</t>
  </si>
  <si>
    <t>01.01.2085</t>
  </si>
  <si>
    <t>01.01.2086</t>
  </si>
  <si>
    <t>01.01.2087</t>
  </si>
  <si>
    <t>01.01.2088</t>
  </si>
  <si>
    <t>01.01.2089</t>
  </si>
  <si>
    <t>01.01.2090</t>
  </si>
  <si>
    <t>01.01.2091</t>
  </si>
  <si>
    <t>01.01.2092</t>
  </si>
  <si>
    <t>01.01.2093</t>
  </si>
  <si>
    <t>01.01.2094</t>
  </si>
  <si>
    <t>01.01.2095</t>
  </si>
  <si>
    <t>01.01.2096</t>
  </si>
  <si>
    <t>01.01.2097</t>
  </si>
  <si>
    <t>01.01.2098</t>
  </si>
  <si>
    <t>01.01.2099</t>
  </si>
  <si>
    <t>01.01.2100</t>
  </si>
  <si>
    <t>Aplicação de Lençol de chumbo em Forro de Drywall - MO</t>
  </si>
  <si>
    <t>Pintura Acrilica Branco Neve Sobre Massa PVA  tetos  Paredes - Mat + MO</t>
  </si>
  <si>
    <t>Cola para Rodapes Santa Luzia 1Kg</t>
  </si>
  <si>
    <t>Bacia Convencional Monte Carlo P.8.17</t>
  </si>
  <si>
    <t>Acabamento para registro de gaveta até 1" e pressão 1/2" e 3/4"  4900.C.PQ.LNK</t>
  </si>
  <si>
    <t>Tanque de Encaixe Tramontina Hera 23L  Aço Inox Acetinado 40x40 cm  94403107</t>
  </si>
  <si>
    <t>Torneira de parede para Jardim Link  1159.C</t>
  </si>
  <si>
    <t>Acabamento para registro de gaveta de 1 1/4" e 1 1/2"  4900.C.GD.LN</t>
  </si>
  <si>
    <t>Cuba de embutir Tramontina Luna 35 BL em Aço Inox Acetinado 35 cm  94012102</t>
  </si>
  <si>
    <t>Torneira de Parede jardim c/ Adapt. Mangueira Link Cr  1153.C.LNK</t>
  </si>
  <si>
    <t>Bras66</t>
  </si>
  <si>
    <t>Cuba de Sobrepor Quadrada Deca L170</t>
  </si>
  <si>
    <t>Valvula de Escoamento Para Lavatório</t>
  </si>
  <si>
    <t>Kit de Fixação para Bacia e Bidê</t>
  </si>
  <si>
    <t>Grelha e Caixilho para ralo 10x10cm Moldenox</t>
  </si>
  <si>
    <t>Sifão para Lavatorio metalico</t>
  </si>
  <si>
    <t>Sifão para cozinha  metálico</t>
  </si>
  <si>
    <t>Valvula de Descarga Hydra Plus Deca  2555.C.112</t>
  </si>
  <si>
    <t>Pormade Madeiras</t>
  </si>
  <si>
    <t>estimado</t>
  </si>
  <si>
    <t xml:space="preserve">Valvula americana para cuba de cozinha e tanque inox </t>
  </si>
  <si>
    <t>Cuba de Embutir Cerâmica Quadrada L701.17 18x41x41 cm Branca Deca</t>
  </si>
  <si>
    <t xml:space="preserve">Proterad </t>
  </si>
  <si>
    <t>Projeto Específico para Sala Radiológica  -  Cálculo de Blindagem</t>
  </si>
  <si>
    <t xml:space="preserve">Gustavo </t>
  </si>
  <si>
    <t>Licenças e Consultorias Especificas para Sala Radiológicas</t>
  </si>
  <si>
    <t>Ar Condicionado e Exaustão</t>
  </si>
  <si>
    <t>Aplicação de Massa  Acrilica sobre Laje de concreto  - Mat + MO</t>
  </si>
  <si>
    <t>Padovanni</t>
  </si>
  <si>
    <t>Certiva metais</t>
  </si>
  <si>
    <t>Torneira com Sensor Bivolt ou Pilhas Nacional Arej Artic bica alta</t>
  </si>
  <si>
    <t>Espelho Cristal com borda simples 4mm 0,90x1,43m com suporte tipo cantoneira simples em aluminio branco</t>
  </si>
  <si>
    <t>Espelho Cristal com borda simples 4mm 0,90x1m com suporte tipo cantoneira simples em aluminio branco</t>
  </si>
  <si>
    <t>MARTELETE (SDS PLUS) 220VOLTS BIF</t>
  </si>
  <si>
    <t>Lona Terreiro 4 x 100m 12kg</t>
  </si>
  <si>
    <t>Madeirite Resinado 1,1 x 2,2m</t>
  </si>
  <si>
    <t>Demolição - Forro Existete</t>
  </si>
  <si>
    <t>Demolição - Contra piso existente</t>
  </si>
  <si>
    <t>Demolição - Fachada Existente</t>
  </si>
  <si>
    <t>Maxicomp</t>
  </si>
  <si>
    <t>Parafuso autobrocante 12mm x 3" (6,3 mm X 76mm)</t>
  </si>
  <si>
    <t>Frete de Transposte</t>
  </si>
  <si>
    <t>Painel Wall - 1,20 x 2,50 m de 40mm</t>
  </si>
  <si>
    <t>Argamassa Multiuso Contrapiso - 50 kgs</t>
  </si>
  <si>
    <t>Vedacit Selante PU 40</t>
  </si>
  <si>
    <t>E1 - ST - MS 70 40/40 - BA ( com requadro para televisão de 42")</t>
  </si>
  <si>
    <t>01.01.2101</t>
  </si>
  <si>
    <t>01.01.2102</t>
  </si>
  <si>
    <t xml:space="preserve">P11 - ST/ST - MS  70 60/60 - BA </t>
  </si>
  <si>
    <t>01.01.2103</t>
  </si>
  <si>
    <t xml:space="preserve">P11 - RU/RU - MS  70 60/60 - BA </t>
  </si>
  <si>
    <t>PORCELANATO ESMALTADO, ACAB. ACETINADO, COR CARVALHO NATURAL, 26x106cm, FABR. BIANCOGRES</t>
  </si>
  <si>
    <t>PORCELANATO NATURAL, LINHA ARAUCÁRIA, COR CLARA, 20x120cm, FABR. PORTOBELLO</t>
  </si>
  <si>
    <t>PORCELANATO, MODELO LEGNO MASO, LINHA WOOD, COR MARROM, 26X106CM, FABR. BIANCOGRES</t>
  </si>
  <si>
    <t>PORCELANATO ESMALTADO, ACAB. ACETINADO, COR ABSOLUT BRANCO, 90X90CM, FABR. DECORTILES</t>
  </si>
  <si>
    <t>PORCELANATO RETIFICADO NATURAL, LINHA LIVING, COR FOGGY BIANCO, 80X80CM, FABR. PORTOBELLO</t>
  </si>
  <si>
    <t>PORCELANATO, ACAB. ACETINADO, LINHA MUNARI, COR BRANCO, 90X90CM, FABR. ELIANE</t>
  </si>
  <si>
    <t>01.01.2104</t>
  </si>
  <si>
    <t>01.01.2105</t>
  </si>
  <si>
    <t>01.01.2106</t>
  </si>
  <si>
    <t>01.01.2107</t>
  </si>
  <si>
    <t>01.01.2108</t>
  </si>
  <si>
    <t>01.01.2109</t>
  </si>
  <si>
    <t>OPÇÃO 1: PAPEL DE PAREDE VINÍLICO, LINHA MELVIN, COR 1017.20, FABR. VESCOM</t>
  </si>
  <si>
    <t>Seba</t>
  </si>
  <si>
    <t>01.01.2110</t>
  </si>
  <si>
    <t>Refoço de luminária</t>
  </si>
  <si>
    <t>01.01.2111</t>
  </si>
  <si>
    <t>ACABAMENTO P/ REGISTRO 1/2, 3/4 E 1 PQ STANDARD-CROMADO - 4900.C39.PQ</t>
  </si>
  <si>
    <t>CUBA DE EMBUTIR QUADRADA 350MM - BRANCO GELO - L.415.17</t>
  </si>
  <si>
    <t>LIGACAO FLEXIVEL MALHA DE ACO  40CM-CROMADO - 4607.C.040</t>
  </si>
  <si>
    <t>VALVULA ESCOAMENTO P/ LAVATORIO/CUBA/BIDE COM TAMPA PLASTICA-CROMADO - 1602.C.PLA</t>
  </si>
  <si>
    <t>TORNEIRA P/ LAVATORIO MESA BICA ALTA FECHAMENTO AUTOMATICO DN15 DECAMATIC ECO-CROMADO - 1175.C</t>
  </si>
  <si>
    <t>01.01.2112</t>
  </si>
  <si>
    <t>01.01.2113</t>
  </si>
  <si>
    <t>01.01.2114</t>
  </si>
  <si>
    <t>01.01.2115</t>
  </si>
  <si>
    <t>01.01.2116</t>
  </si>
  <si>
    <t>01.01.2117</t>
  </si>
  <si>
    <t>01.01.2118</t>
  </si>
  <si>
    <t>01.01.2119</t>
  </si>
  <si>
    <t>01.01.2120</t>
  </si>
  <si>
    <t>01.01.2121</t>
  </si>
  <si>
    <t>Bell - JRB Pinturas</t>
  </si>
  <si>
    <t>Pintura de Rodapé</t>
  </si>
  <si>
    <t>01.01.2122</t>
  </si>
  <si>
    <t>01.01.2123</t>
  </si>
  <si>
    <t>Letreiro externo em acm com letras para letreiro externo sendo em aço galvanizadas com pintura automotiva + portal em acm, com iluminação</t>
  </si>
  <si>
    <t>Mirabilis - Soluções Graficas</t>
  </si>
  <si>
    <t>01.01.2124</t>
  </si>
  <si>
    <t>01.01.2125</t>
  </si>
  <si>
    <t>01.01.2126</t>
  </si>
  <si>
    <t>01.01.2127</t>
  </si>
  <si>
    <t>01.01.2128</t>
  </si>
  <si>
    <t>01.01.2129</t>
  </si>
  <si>
    <t>01.01.2130</t>
  </si>
  <si>
    <t>01.01.2131</t>
  </si>
  <si>
    <t>01.01.2132</t>
  </si>
  <si>
    <t>01.01.2133</t>
  </si>
  <si>
    <t>01.01.2134</t>
  </si>
  <si>
    <t>01.01.2135</t>
  </si>
  <si>
    <t>01.01.2136</t>
  </si>
  <si>
    <t>Letreiro interno sendo letras em pvc expandido, com pintura automotiva</t>
  </si>
  <si>
    <t>22.2.2</t>
  </si>
  <si>
    <t>22.2.3</t>
  </si>
  <si>
    <t xml:space="preserve">MO + MAT -  Porta de Rolar Automática - 3,41 X 4,00 </t>
  </si>
  <si>
    <t>Kan</t>
  </si>
  <si>
    <t>Escada com Rodapé, patamar e escada em Granito Cinza Andorinha</t>
  </si>
  <si>
    <t>Bancada em Quartzo Branco 1,20 x 50 m com 1 furo para torneira, 1171.C, FABR. DECA, e um 1 furo para cuba quadrada, DECA REF.L.415.17. Front e saia com 1,20 x 0,05 m.</t>
  </si>
  <si>
    <t>Bancada em granito Cinza Andorinha 1,00 x 52 m com 1 furo para torneira, 1171.C, FABR. DECA, e 1 furo para cuba quadrada, DECA REF.L.415.17. Front e saia com 1,00 x 0,05 m.</t>
  </si>
  <si>
    <t>Leroy Merlin - Site</t>
  </si>
  <si>
    <t>Argamassa ACIII AC III SUPERFLEX SC 20KG</t>
  </si>
  <si>
    <t>Portokoll</t>
  </si>
  <si>
    <t>Rejunte P Flex  20kg</t>
  </si>
  <si>
    <t>MO + MAT - Rodapé LEV151 branco de poliestireno com 150mm de altura Santa Luzia</t>
  </si>
  <si>
    <t>Gilvan</t>
  </si>
  <si>
    <t>Soleira Branco Ceara  - 3,51 x 0,15 m</t>
  </si>
  <si>
    <t>MO - Assentamento</t>
  </si>
  <si>
    <t>FAT DIRETO</t>
  </si>
  <si>
    <t>BDI EM INCC</t>
  </si>
  <si>
    <t>CUSTO RASO + BDI + IMPOSTOS</t>
  </si>
  <si>
    <t>Conferência Despesa Indireto</t>
  </si>
  <si>
    <t>D.D Linha</t>
  </si>
  <si>
    <t>Conferência Despesa Direto</t>
  </si>
  <si>
    <t>D.I Linha</t>
  </si>
  <si>
    <t>Conferência Custo Total</t>
  </si>
  <si>
    <t>Total Linha</t>
  </si>
  <si>
    <t>Diferença</t>
  </si>
  <si>
    <t>01.01.2143</t>
  </si>
  <si>
    <t xml:space="preserve">Fita crepe 48x50m </t>
  </si>
  <si>
    <t>Papelão ondulado 1,2m largura</t>
  </si>
  <si>
    <t>Angi Home</t>
  </si>
  <si>
    <t>ITENS DIVERSOS</t>
  </si>
  <si>
    <t>Gravador MHDX 3116</t>
  </si>
  <si>
    <t>HD 4tb Purple western</t>
  </si>
  <si>
    <t>Cabo UTP 4P CAT5e</t>
  </si>
  <si>
    <t>Mão de obra para instalação e configuração</t>
  </si>
  <si>
    <t>Dantech Engenharia</t>
  </si>
  <si>
    <t>01.01.2137</t>
  </si>
  <si>
    <t>01.01.2138</t>
  </si>
  <si>
    <t>01.01.2139</t>
  </si>
  <si>
    <t>01.01.2140</t>
  </si>
  <si>
    <t>01.01.2141</t>
  </si>
  <si>
    <t>01.01.2142</t>
  </si>
  <si>
    <t>Modulo RJ45</t>
  </si>
  <si>
    <t>Patch Panel 24 portas CAT5e</t>
  </si>
  <si>
    <t>Rack 12U padrão 19"</t>
  </si>
  <si>
    <t>Regua de tomadas 8 pontos 2P+T padrão 19"</t>
  </si>
  <si>
    <t>Cabo coaxial 95% de malha</t>
  </si>
  <si>
    <t>Canector RG6 Macho</t>
  </si>
  <si>
    <t>Acoplador 4 saídas</t>
  </si>
  <si>
    <t>01.01.2144</t>
  </si>
  <si>
    <t>01.01.2145</t>
  </si>
  <si>
    <t>01.01.2146</t>
  </si>
  <si>
    <t>01.01.2147</t>
  </si>
  <si>
    <t>01.01.2148</t>
  </si>
  <si>
    <t>01.01.2149</t>
  </si>
  <si>
    <t>01.01.2150</t>
  </si>
  <si>
    <t>01.01.2151</t>
  </si>
  <si>
    <t>01.01.2152</t>
  </si>
  <si>
    <t>Radio sintonizador RC7000 Borne - USB FM</t>
  </si>
  <si>
    <t>Alto Falante tipo arandela</t>
  </si>
  <si>
    <t>Cabo de sonorização polarizado 1mm²</t>
  </si>
  <si>
    <t>01.01.2153</t>
  </si>
  <si>
    <t>01.01.2154</t>
  </si>
  <si>
    <t>01.01.2155</t>
  </si>
  <si>
    <t>01.01.2156</t>
  </si>
  <si>
    <t>01.01.2157</t>
  </si>
  <si>
    <t>01.01.2158</t>
  </si>
  <si>
    <t>01.01.2159</t>
  </si>
  <si>
    <t>Cabo Coaxial flexivel 4mm² bipolar</t>
  </si>
  <si>
    <t>Câmera VHD 3020D</t>
  </si>
  <si>
    <t>Conector Tipo BNC macho</t>
  </si>
  <si>
    <t>Conector P4 Macho</t>
  </si>
  <si>
    <t>Fonte 12v 5A</t>
  </si>
  <si>
    <t>Guia de cabos 1U</t>
  </si>
  <si>
    <t>Roteador Archer C20</t>
  </si>
  <si>
    <t>Detector de fumaça standalone</t>
  </si>
  <si>
    <t>01.01.2160</t>
  </si>
  <si>
    <t>01.01.2161</t>
  </si>
  <si>
    <t>01.01.2162</t>
  </si>
  <si>
    <t>Tela Estuque 1,00 X 50 m</t>
  </si>
  <si>
    <t>Rolo</t>
  </si>
  <si>
    <t>Telasa</t>
  </si>
  <si>
    <t>Andaime tubular 1,00 x 1,50m  com 3m de altura, plataforma metalica e rodízio</t>
  </si>
  <si>
    <t>CJ</t>
  </si>
  <si>
    <t>Farimaq</t>
  </si>
  <si>
    <t>01.01.2163</t>
  </si>
  <si>
    <t>01.01.2164</t>
  </si>
  <si>
    <t>01.01.2165</t>
  </si>
  <si>
    <t>01.01.2166</t>
  </si>
  <si>
    <t>01.01.2167</t>
  </si>
  <si>
    <t>01.01.2168</t>
  </si>
  <si>
    <t>01.01.2169</t>
  </si>
  <si>
    <t>01.01.2170</t>
  </si>
  <si>
    <t>01.01.2171</t>
  </si>
  <si>
    <t>01.01.2172</t>
  </si>
  <si>
    <t>01.01.2173</t>
  </si>
  <si>
    <t>01.01.2174</t>
  </si>
  <si>
    <t>Porta de correr com ,88 + ,90 por 2,10 m com folhas e guarnição em madeira maciça com pintura esmalte acetinada, acabamento fosco, cor Forró (P267),fabricante Suvinil Alisar com 0,06 cm.</t>
  </si>
  <si>
    <t>Porta de correr com ,80 + ,88 por 2,10 m com folhas e guarnição em madeira maciça com pintura esmalte acetinada, acabamento fosco, cor Forró (P267),fabricante Suvinil Alisar com 0,06 cm.</t>
  </si>
  <si>
    <t xml:space="preserve">Porta de 0,70 x 2,00 m com alisar de 0,05 m com folhas e guarnição em madeira maciça com pintura esmalte acetinada, acabamento fosco, cor Forró (P267),fabricante Suvinil </t>
  </si>
  <si>
    <t>Wando</t>
  </si>
  <si>
    <t xml:space="preserve">MAT + MO - Porta automática com vidro laminado duas folhas fixas, com rodapé  em alumínio anodizado fosco, e duas folhas moveis. </t>
  </si>
  <si>
    <t>Preço de Internet</t>
  </si>
  <si>
    <t>Sifão Para Lavatório Regulável Europa 1 X1 1/2 - Esteves</t>
  </si>
  <si>
    <t>Cuba de Embutir Básica para Cozinha 40x34cm Polida - Cód: 917524</t>
  </si>
  <si>
    <t>C&amp;C Site</t>
  </si>
  <si>
    <t>Torneira para Cozinha de Mesa Bica Móvel MV133 Cromada</t>
  </si>
  <si>
    <t>Tanque para Área de Serviço 20 Litros Branco</t>
  </si>
  <si>
    <t>01.01.2175</t>
  </si>
  <si>
    <t>01.01.2176</t>
  </si>
  <si>
    <t>01.01.2177</t>
  </si>
  <si>
    <t>01.01.2178</t>
  </si>
  <si>
    <t>Leroy Internet</t>
  </si>
  <si>
    <t>Torneira para Parede de Tanque Bica Baixa Cromado DocolPrimor Docol - Cód. 90111483</t>
  </si>
  <si>
    <t>Pintura das Esquadrias de Madeira</t>
  </si>
  <si>
    <t>MAT + MO - Pintura de Porta pintura esmalte acetinada, acabamento fosco, cor Forró (P267),fabricante Suvinil</t>
  </si>
  <si>
    <t>MO - Instalação de porta de madeira de abrir</t>
  </si>
  <si>
    <t>MO - Instalação de porta de madeira de correr</t>
  </si>
  <si>
    <t>MAT + MO - Pintura de rodapé com tinta acrílica, acabamento fosco, cor Forró (P267), fabricante Suvinil</t>
  </si>
  <si>
    <t>acimper</t>
  </si>
  <si>
    <t>Demolição - Paredes</t>
  </si>
  <si>
    <t>MAT + MO - P22 - ST + ST - 12,5 - MD 90 40/40 - BA</t>
  </si>
  <si>
    <t xml:space="preserve">MAT + MO - P11 - ST/ST - 12,5 - MS  70 60/60 - BA </t>
  </si>
  <si>
    <t>MAT + MO - E1 - ST- 12,5 -MS 70 40/40 - BA</t>
  </si>
  <si>
    <t xml:space="preserve">MAT + MO - P11 - ST/RU - 12,5 - MS  70 60/60 - BA </t>
  </si>
  <si>
    <t>MAT + MO - E1 - RU - 12,5 -MS 70 40/40 - BA</t>
  </si>
  <si>
    <t>01.01.2179</t>
  </si>
  <si>
    <t>01.01.2180</t>
  </si>
  <si>
    <t>01.01.2181</t>
  </si>
  <si>
    <t>01.01.2182</t>
  </si>
  <si>
    <t>01.01.2183</t>
  </si>
  <si>
    <t>01.01.2184</t>
  </si>
  <si>
    <t>MAT + MO - Refoço na Parede</t>
  </si>
  <si>
    <t>01.01.2185</t>
  </si>
  <si>
    <t>01.01.2186</t>
  </si>
  <si>
    <t>01.01.2187</t>
  </si>
  <si>
    <t>01.01.2188</t>
  </si>
  <si>
    <t>01.01.2189</t>
  </si>
  <si>
    <t>01.01.2190</t>
  </si>
  <si>
    <t>01.01.2191</t>
  </si>
  <si>
    <t>01.01.2192</t>
  </si>
  <si>
    <t>01.01.2193</t>
  </si>
  <si>
    <t>01.01.2194</t>
  </si>
  <si>
    <t>01.01.2195</t>
  </si>
  <si>
    <t>01.01.2196</t>
  </si>
  <si>
    <t>Bancada em Quartzo Branco 1,80 x 50 m com 1 furo para torneira, 1171.C, FABR. DECA, e 1 furo cuba quadrada, DECA REF.L.415.17. Front e saia com 1,80 x 0,05 m.</t>
  </si>
  <si>
    <t>Bancada em granito Cinza Andorinha 1,45 x 52 m e1 furo para cuba em aço inox de  ,43 x 47. Front e saia com 1,45 x 0,05 m.</t>
  </si>
  <si>
    <t>Bancada em Quartzo Branco ,60 x 40 m com 1 furo para torneira, e 1 furo cuba quadrada, DECA REF.L.415.17. Front e saia com 1,20 x 0,05 m.</t>
  </si>
  <si>
    <t>Espirito Santo</t>
  </si>
  <si>
    <t xml:space="preserve">Porta de 0,70 x 2,10 m com alisar de 0,06 m com folhas e guarnição em madeira maciça com pintura esmalte acetinada, acabamento fosco, cor Forró (P267),fabricante Suvinil </t>
  </si>
  <si>
    <t xml:space="preserve">Porta de 0,80 x 2,10 m com alisar de 0,06 m com folhas e guarnição em madeira maciça com pintura esmalte acetinada, acabamento fosco, cor Forró (P267),fabricante Suvinil </t>
  </si>
  <si>
    <t xml:space="preserve">Porta de 0,90 x 2,10 m com alisar de 0,05 m com folhas e guarnição em madeira maciça com pintura esmalte acetinada, acabamento fosco, cor Forró (P267),fabricante Suvinil </t>
  </si>
  <si>
    <t>Acabamento para registro de gaveta até 1" e pressão 1/2" e 3/4" e 4900.C39.PQ</t>
  </si>
  <si>
    <t>ASSENTO TERMOFIXO COM EASYCLEAN E SLOW CLOSE - MONTE CARLO BRANCO GELO</t>
  </si>
  <si>
    <t>Bacia para caixa acoplada, modeloP.808.17, Monte Carlo, cor Branco, fabricante Deca</t>
  </si>
  <si>
    <t>Barra de apoio 40cm 2310.I.040.POL</t>
  </si>
  <si>
    <t>Barra de apoio 70cm  2310.I.070.POL</t>
  </si>
  <si>
    <t>Barra de apoio 80cm 2310.I.080.POL</t>
  </si>
  <si>
    <t>Caixa acoplada com acionamento Duo - CD.01F.17</t>
  </si>
  <si>
    <t>Cuba de embutir quadrada, modelo L.415.17, cor Branco, 15,5(a)x35(c)x35(l)cm, fabricante Deca</t>
  </si>
  <si>
    <t>Kit de instalação para bacia com caixa com fixação lateral - 1201.C.KIT.PCD</t>
  </si>
  <si>
    <t>Rabicho</t>
  </si>
  <si>
    <t>Ralo com tampa escamoteável, em aço inox, com fixação de encaixe, 15x15cm, acab. cromado, fabr. Clarinox ou Similar</t>
  </si>
  <si>
    <t>Sifão para cozinha e tanque 1 1/2 1680.C.112</t>
  </si>
  <si>
    <t>Sifão para lavatório 1684.C.100.112</t>
  </si>
  <si>
    <t>Torneira de mesa bica baixa para lavatório 1198.C43</t>
  </si>
  <si>
    <t>Torneira de mesa com fechamento automárico, acab. cromado, Decamatic Eco 1175.C, fabr.Deca</t>
  </si>
  <si>
    <t>Torneira de parede para cozinha 1159.C37</t>
  </si>
  <si>
    <t>Válvula de escoamento com tampa plástica para lavatório cuba e bidê 1602.C.PLA</t>
  </si>
  <si>
    <t>01.01.2197</t>
  </si>
  <si>
    <t>01.01.2198</t>
  </si>
  <si>
    <t>01.01.2199</t>
  </si>
  <si>
    <t>01.01.2200</t>
  </si>
  <si>
    <t>01.01.2201</t>
  </si>
  <si>
    <t>01.01.2202</t>
  </si>
  <si>
    <t>01.01.2203</t>
  </si>
  <si>
    <t>01.01.2204</t>
  </si>
  <si>
    <t>01.01.2205</t>
  </si>
  <si>
    <t>01.01.2206</t>
  </si>
  <si>
    <t>01.01.2207</t>
  </si>
  <si>
    <t>Lavatório de Canto Suspenso Redondo 32,5x39,5cm Branco - Cód: 320889</t>
  </si>
  <si>
    <t>CEC</t>
  </si>
  <si>
    <t>01.01.2208</t>
  </si>
  <si>
    <t>Marcenaria conforme prancha 8, 10, 11, 12, 13 e 14 (excluso vidro)</t>
  </si>
  <si>
    <t>Rio de Janeiro</t>
  </si>
  <si>
    <t>01.01.2209</t>
  </si>
  <si>
    <t>Içamento de Materais - Transporte Vertical</t>
  </si>
  <si>
    <t>01.01.2210</t>
  </si>
  <si>
    <t>Lançamento Concreto Convencional - Material e Mão de Obra</t>
  </si>
  <si>
    <t>Alvenaria Bloco Cerâmico 14x19x39</t>
  </si>
  <si>
    <t>01.01.2211</t>
  </si>
  <si>
    <t>01.01.2212</t>
  </si>
  <si>
    <t>01.01.2213</t>
  </si>
  <si>
    <t>01.01.2214</t>
  </si>
  <si>
    <t>01.01.2215</t>
  </si>
  <si>
    <t>01.01.2216</t>
  </si>
  <si>
    <t>01.01.2217</t>
  </si>
  <si>
    <t>01.01.2218</t>
  </si>
  <si>
    <t>01.01.2219</t>
  </si>
  <si>
    <t>01.01.2220</t>
  </si>
  <si>
    <t>01.01.2221</t>
  </si>
  <si>
    <t>REVESTIMENTO EM MADEIRA AUTHENTIC COLLECTION HONEST CLASSICAL BRUSHED</t>
  </si>
  <si>
    <t>Rejunte Aditivado Flexível TIPO II 5 kg</t>
  </si>
  <si>
    <t>RODAPÉ INVERTIDO, COM ACABAMENTO EM PERFIL DE ALUMÍNIO BRANCO 2x2cm</t>
  </si>
  <si>
    <t>MO - RODAPÉ INVERTIDO, COM ACABAMENTO EM PERFIL DE ALUMÍNIO BRANCO 2x2cm</t>
  </si>
  <si>
    <t>MO - Rodapé a definir</t>
  </si>
  <si>
    <t>MAT + MO - Tabica Metálica</t>
  </si>
  <si>
    <t>MAT + MO - Tabica Gesso</t>
  </si>
  <si>
    <t>SW - Seba</t>
  </si>
  <si>
    <t>Forro em Madeira</t>
  </si>
  <si>
    <t>MAT+MO -  Forro de gesso drywall RU</t>
  </si>
  <si>
    <t>01.01.2222</t>
  </si>
  <si>
    <t>01.01.2223</t>
  </si>
  <si>
    <t>01.01.2224</t>
  </si>
  <si>
    <t>01.01.2225</t>
  </si>
  <si>
    <t>01.01.2226</t>
  </si>
  <si>
    <t>01.01.2227</t>
  </si>
  <si>
    <t>01.01.2228</t>
  </si>
  <si>
    <t>01.01.2229</t>
  </si>
  <si>
    <t>MAT + MO - Sanca de Gesso Acartonado 2 FX - RU</t>
  </si>
  <si>
    <t>Demolição - Laje</t>
  </si>
  <si>
    <t>Requadro de Janelas e Portas</t>
  </si>
  <si>
    <t>Requadro de vão do rodapé</t>
  </si>
  <si>
    <t xml:space="preserve"> MO - Requadro de vão de porta, caixilho e etc.</t>
  </si>
  <si>
    <t>MAT + MO - Treliças Pré-laje</t>
  </si>
  <si>
    <t>Frete</t>
  </si>
  <si>
    <t>Manú Pre-moldados</t>
  </si>
  <si>
    <t>01.01.2230</t>
  </si>
  <si>
    <t>01.01.2231</t>
  </si>
  <si>
    <t>01.01.2232</t>
  </si>
  <si>
    <t>01.01.2233</t>
  </si>
  <si>
    <t>01.01.2234</t>
  </si>
  <si>
    <t xml:space="preserve">Demolição - Rasgo para Rodapé </t>
  </si>
  <si>
    <t>Demolição - Revestimento existente</t>
  </si>
  <si>
    <t>Recuperação de Fachada</t>
  </si>
  <si>
    <t>MAT - Treliças Pré-laje - S=250 kg/m²</t>
  </si>
  <si>
    <t>MAT - Treliças Pré-laje - S=400 kg/m²</t>
  </si>
  <si>
    <t>MAT - Treliças Pré-laje - S=1000 kg/m²</t>
  </si>
  <si>
    <t>Pré Laje</t>
  </si>
  <si>
    <t xml:space="preserve">Lançamento Concreto Convencional </t>
  </si>
  <si>
    <t>Concreto Convencional</t>
  </si>
  <si>
    <t>Corte e Dobra de Aço - MO</t>
  </si>
  <si>
    <t>01.01.2235</t>
  </si>
  <si>
    <t>01.01.2236</t>
  </si>
  <si>
    <t>01.01.2237</t>
  </si>
  <si>
    <t>01.01.2238</t>
  </si>
  <si>
    <t>01.01.2239</t>
  </si>
  <si>
    <t>01.01.2240</t>
  </si>
  <si>
    <t>MAT + MO - Execução de Isolamento Térmico</t>
  </si>
  <si>
    <t>Guincho 500 kgs</t>
  </si>
  <si>
    <t>MAT - Aparalixo secundário e forração com 9 linhas de pranchões e 2m</t>
  </si>
  <si>
    <t>Jirau</t>
  </si>
  <si>
    <t>MAT - Aparalixo com 99m² com suporte ajustável para VJ forração com piso de 165m de pranchão (5 linhas), forração para a bandeija de 132m de pranchão (4 linhas) com amarração por estroncamento (quadro, tubo e sapata)</t>
  </si>
  <si>
    <t>MAT - Fachadeiro com 264m² com forração de 33m de piso metálico com rodapé (2 níveis) e amarração por estrocamento ( quadro, tubo e sapata)</t>
  </si>
  <si>
    <t>Frete - Material</t>
  </si>
  <si>
    <t>01.01.2241</t>
  </si>
  <si>
    <t>01.01.2242</t>
  </si>
  <si>
    <t>01.01.2243</t>
  </si>
  <si>
    <t>JFB</t>
  </si>
  <si>
    <t>01.01.2244</t>
  </si>
  <si>
    <t>01.01.2245</t>
  </si>
  <si>
    <t>01.01.2246</t>
  </si>
  <si>
    <t>01.01.2247</t>
  </si>
  <si>
    <t>01.01.2248</t>
  </si>
  <si>
    <t>MO - Montagem de aparalixo com 99m² com suporte ajustável para VJ forração com piso de 165m de pranchão (5 linhas), forração para a bandeija de 132m de pranchão (4 linhas) com amarração por estroncamento (quadro, tubo e sapata)</t>
  </si>
  <si>
    <t>MO - Montagem aparalixo secundário e forração com 9 linhas de pranchões e 2m</t>
  </si>
  <si>
    <t>MO - Montagem de fachadeiro com 264m² com forração de 33m de piso metálico com rodapé (2 níveis) e amarração por estrocamento ( quadro, tubo e sapata)</t>
  </si>
  <si>
    <t>MO - Desmontagem aparalixo secundário e forração com 9 linhas de pranchões e 2m</t>
  </si>
  <si>
    <t>MO - Desmontagem de aparalixo com 99m² com suporte ajustável para VJ forração com piso de 165m de pranchão (5 linhas), forração para a bandeija de 132m de pranchão (4 linhas) com amarração por estroncamento (quadro, tubo e sapata)</t>
  </si>
  <si>
    <t>MO - Desmontagem de fachadeiro com 264m² com forração de 33m de piso metálico com rodapé (2 níveis) e amarração por estrocamento ( quadro, tubo e sapata)</t>
  </si>
  <si>
    <t>Aparalixo</t>
  </si>
  <si>
    <t xml:space="preserve">Andaime Fachadeiro </t>
  </si>
  <si>
    <t>01.01.2249</t>
  </si>
  <si>
    <t>01.01.2250</t>
  </si>
  <si>
    <t>01.01.2251</t>
  </si>
  <si>
    <t>01.01.2252</t>
  </si>
  <si>
    <t>01.01.2253</t>
  </si>
  <si>
    <t>01.01.2254</t>
  </si>
  <si>
    <t>01.01.2255</t>
  </si>
  <si>
    <t>01.01.2256</t>
  </si>
  <si>
    <t>Demolição - Armário</t>
  </si>
  <si>
    <t>10.1.4</t>
  </si>
  <si>
    <t>Pintura de Paredes e Forro</t>
  </si>
  <si>
    <t>MAT + MO - Pintura com tinta acrílica, acabamento fosco, cor Branco ( em laje )</t>
  </si>
  <si>
    <t>MAT + MO - Pintura patinada em Tijolinho na cor branca.</t>
  </si>
  <si>
    <t>MAT - RODAPÉ INVERTIDO, COM ACABAMENTO EM PERFIL DE ALUMÍNIO BRANCO 2x2cm</t>
  </si>
  <si>
    <t>Internet</t>
  </si>
  <si>
    <t>RODAPÉ DE POLIESTIRENO SANTA LUZIA 15 CM, COR BRANCO - CÓDIGO 3533</t>
  </si>
  <si>
    <t>01.01.2257</t>
  </si>
  <si>
    <t>01.01.2258</t>
  </si>
  <si>
    <t>01.01.2259</t>
  </si>
  <si>
    <t>01.01.2260</t>
  </si>
  <si>
    <t>01.01.2261</t>
  </si>
  <si>
    <t>01.01.2262</t>
  </si>
  <si>
    <t>01.01.2263</t>
  </si>
  <si>
    <t>01.01.2264</t>
  </si>
  <si>
    <t>01.01.2265</t>
  </si>
  <si>
    <t>01.01.2266</t>
  </si>
  <si>
    <t>01.01.2267</t>
  </si>
  <si>
    <t>01.01.2268</t>
  </si>
  <si>
    <t>01.01.2269</t>
  </si>
  <si>
    <t>01.01.2270</t>
  </si>
  <si>
    <t>01.01.2271</t>
  </si>
  <si>
    <t>01.01.2272</t>
  </si>
  <si>
    <t>01.01.2273</t>
  </si>
  <si>
    <t>01.01.2274</t>
  </si>
  <si>
    <t>01.01.2275</t>
  </si>
  <si>
    <t>01.01.2276</t>
  </si>
  <si>
    <t>01.01.2277</t>
  </si>
  <si>
    <t>01.01.2278</t>
  </si>
  <si>
    <t>01.01.2279</t>
  </si>
  <si>
    <t>01.01.2280</t>
  </si>
  <si>
    <t>01.01.2281</t>
  </si>
  <si>
    <t>01.01.2282</t>
  </si>
  <si>
    <t>01.01.2283</t>
  </si>
  <si>
    <t>01.01.2284</t>
  </si>
  <si>
    <t>01.01.2285</t>
  </si>
  <si>
    <t>01.01.2286</t>
  </si>
  <si>
    <t>01.01.2287</t>
  </si>
  <si>
    <t>01.01.2288</t>
  </si>
  <si>
    <t>01.01.2289</t>
  </si>
  <si>
    <t>01.01.2290</t>
  </si>
  <si>
    <t>01.01.2291</t>
  </si>
  <si>
    <t>01.01.2292</t>
  </si>
  <si>
    <t>01.01.2293</t>
  </si>
  <si>
    <t>01.01.2294</t>
  </si>
  <si>
    <t>01.01.2295</t>
  </si>
  <si>
    <t>01.01.2296</t>
  </si>
  <si>
    <t>01.01.2297</t>
  </si>
  <si>
    <t>01.01.2298</t>
  </si>
  <si>
    <t>01.01.2299</t>
  </si>
  <si>
    <t>01.01.2300</t>
  </si>
  <si>
    <t>01.01.2301</t>
  </si>
  <si>
    <t>01.01.2302</t>
  </si>
  <si>
    <t>01.01.2303</t>
  </si>
  <si>
    <t>01.01.2304</t>
  </si>
  <si>
    <t>01.01.2305</t>
  </si>
  <si>
    <t>01.01.2306</t>
  </si>
  <si>
    <t>01.01.2307</t>
  </si>
  <si>
    <t>01.01.2308</t>
  </si>
  <si>
    <t>01.01.2309</t>
  </si>
  <si>
    <t>01.01.2310</t>
  </si>
  <si>
    <t>01.01.2311</t>
  </si>
  <si>
    <t>01.01.2312</t>
  </si>
  <si>
    <t>01.01.2313</t>
  </si>
  <si>
    <t>01.01.2314</t>
  </si>
  <si>
    <t>01.01.2315</t>
  </si>
  <si>
    <t>01.01.2316</t>
  </si>
  <si>
    <t>01.01.2317</t>
  </si>
  <si>
    <t>01.01.2318</t>
  </si>
  <si>
    <t>01.01.2319</t>
  </si>
  <si>
    <t>01.01.2320</t>
  </si>
  <si>
    <t>01.01.2321</t>
  </si>
  <si>
    <t>01.01.2322</t>
  </si>
  <si>
    <t>01.01.2323</t>
  </si>
  <si>
    <t>01.01.2324</t>
  </si>
  <si>
    <t>01.01.2325</t>
  </si>
  <si>
    <t>01.01.2326</t>
  </si>
  <si>
    <t>01.01.2327</t>
  </si>
  <si>
    <t>01.01.2328</t>
  </si>
  <si>
    <t>01.01.2329</t>
  </si>
  <si>
    <t>01.01.2330</t>
  </si>
  <si>
    <t>01.01.2331</t>
  </si>
  <si>
    <t>01.01.2332</t>
  </si>
  <si>
    <t>01.01.2333</t>
  </si>
  <si>
    <t>01.01.2334</t>
  </si>
  <si>
    <t>01.01.2335</t>
  </si>
  <si>
    <t>01.01.2336</t>
  </si>
  <si>
    <t>01.01.2337</t>
  </si>
  <si>
    <t>01.01.2338</t>
  </si>
  <si>
    <t>01.01.2339</t>
  </si>
  <si>
    <t>01.01.2340</t>
  </si>
  <si>
    <t>01.01.2341</t>
  </si>
  <si>
    <t>01.01.2342</t>
  </si>
  <si>
    <t>01.01.2343</t>
  </si>
  <si>
    <t>01.01.2344</t>
  </si>
  <si>
    <t>01.01.2345</t>
  </si>
  <si>
    <t>01.01.2346</t>
  </si>
  <si>
    <t>01.01.2347</t>
  </si>
  <si>
    <t>01.01.2348</t>
  </si>
  <si>
    <t>01.01.2349</t>
  </si>
  <si>
    <t>01.01.2350</t>
  </si>
  <si>
    <t>01.01.2351</t>
  </si>
  <si>
    <t>01.01.2352</t>
  </si>
  <si>
    <t>Bancada em linear c/ área molhada e seca, duas ilhargas de 4cm, recorte para cooktop, cuba de embutir e monocomando de mesa. Frontispício de 10cm e acabamento em meia esquadria. Dimensões: 161cm x 60cm x 4cm de saia (bancada molhada) + 210cm x 60cm x 4cm de saia (bancada seca) + 138.5x60x10cm (bancada refeições); Ilhargas com H=90cm; Frontispício de 511cm x 10cm x2cm + 138.5cm x 3.5cm x 2cm. Acabamento em Quartzo White</t>
  </si>
  <si>
    <t>Peitoril para janela com pingadeira e balanço de 2cm. Dimensões: 74.50cm x 32cm x 2cm. Acabamento em Mármore Branco Intermediário</t>
  </si>
  <si>
    <t>Soleira em Mármore branco intermediário - Dimensões: 74cm x 14cm</t>
  </si>
  <si>
    <t>Bancada com área molhada, frontispício de 30cm e recorte para tanque de embutir. Acabamento em meia esquadria. Dimensões: 60cm x 196.25cm x 4cm. Acabamento em Granito Itaunas</t>
  </si>
  <si>
    <t>Tento simples em Nanoprime Dimensões: 120cm x 2cm x 10cm</t>
  </si>
  <si>
    <t xml:space="preserve">Peitoril para janela com pingadeira e balanço de 2cm. Dimensões: 74.5cm x 19cm x 2cm. Acabamento em Mármore Branco Intermediário </t>
  </si>
  <si>
    <t>Bancada, saia de 5 cm. Dimensões: da Bancada 140cm x 55cm x 2cm. Acabamento Nano Prime</t>
  </si>
  <si>
    <t>Soleira da porta de correr em pedra similar ao piso da varanda ,80 x ,15 em Bege Bahia</t>
  </si>
  <si>
    <t>Tento triplo em Nanoprime (Aprovação mediante amostra). Dimensões: 160cm x 2cm x 6cm + 160cm x 2cm x 4cm + 160cm x 2cm x 4cm</t>
  </si>
  <si>
    <t>Peitoril para janela com pingadeira e balanço de 2cm. Dimensões: 57cm x 24.5cm x 2cm. Acabamento em
Mármore Branco Intermediário. Acabamento em Nanoprime</t>
  </si>
  <si>
    <t>Bancada em linear c/ área seca, duas ilhargas de 4cm. Frontispício de 10cm e acabamento em meia esquadria. Dimensões: 143cm x 60cm x 4cm; Ilhargas com H=90cm; Frontispício de 10cm.Acabamento em Quartzo White</t>
  </si>
  <si>
    <t>MO + MAT - Polimento de Bege Bahia</t>
  </si>
  <si>
    <t>P06 - QTO. SUÍTE / QTO ALICE / QTO 01 - Porta de abrir em madeira lisa com acabamento em pintura branca</t>
  </si>
  <si>
    <t>P08 - BANHO SOCIAL BANHO MASTER - Porta de abrir em madeira lisa com acabamento em pintura branca</t>
  </si>
  <si>
    <t>P09 - HALL SERVIÇO / QUARTO DE SERVIÇO - Porta de abrir em madeira lisa com acabamento em pintura branca</t>
  </si>
  <si>
    <t xml:space="preserve">P11 - BANHO SOCIAL / BANHO MASTER - Porta de abrir em madeira lisa com acabamento em pintura branca </t>
  </si>
  <si>
    <t>P02 - SALA DE ESTAR/ VARANDA - Esquadria com 04 Portas de correr em esquadria de alumínio na cor marrom e vidro incolor. Considerar linha existente para execução  - 6 mm</t>
  </si>
  <si>
    <t>P07 - QTO. SUÍTE /  VARANDA - Esquadria com 02 Portas de correr  na cor marrom e vidro incolor - 6 mm</t>
  </si>
  <si>
    <t>P10 - ÁREA SERVIÇO - Porta de correr em blindex leitoso branco e ferragens pretas - 6 mm</t>
  </si>
  <si>
    <t>J1 - BANHO MASTER - Janela nova tipo báscula em vidro incolor - 6 mm</t>
  </si>
  <si>
    <t>J2 - BANHO MASTER - Janela nova tipo báscula em vidro incolor - 6 mm</t>
  </si>
  <si>
    <t>J3 - BANHO SOCIAL - Janela nova tipo báscula em vidro incolor - 6 mm</t>
  </si>
  <si>
    <t>J5 - COZINHA - Janela nova em esquadria de alumínio branco com 1 báscula superior, 0.725m x 0.28m, e 1 folha fixa , 0.725m x 0.505m,com vidro incolor - 6 mm</t>
  </si>
  <si>
    <t>J6 - ÁREA SERVIÇO - Janela nova em esquadria de alumínio branco com 2 básculas superiores, 2 folhas de correr + 2 básculas (permanentemente abertas - considerar altura da báscula com 35cm) - 6 mm</t>
  </si>
  <si>
    <t>J7 - BANHO SERVIÇO - Janela nova tipo báscula em vidro incolor e ferragens brancas - 6 mm</t>
  </si>
  <si>
    <t xml:space="preserve">E3 - BANHEIRO 1 - ESPELHO </t>
  </si>
  <si>
    <t>E4 - BANHEIRO MASTER - ESPELHO</t>
  </si>
  <si>
    <t>E5 - BANHEIRO DE SERVIÇO - ESPELHO</t>
  </si>
  <si>
    <t>B1 - Banheiro 1 - Box com 1 folha fixa, 1 folha de correr.  Dimensões: 70cm x 200cm + 80cm
x200cm</t>
  </si>
  <si>
    <t>B2 - BANHEIRO MASTER - Box com 2 folhas fixa, 1 folha de correr. Ferragens cromadas. Dimensões: 30cm x 200cm (2un) + 60cm x200cm</t>
  </si>
  <si>
    <t>B3 - BANHEIRO DE SERVIÇO - Box com 1 folha fixa, 1 folha de abrir.  Dimensões: 60cm x 200cm + 60cm x200cm</t>
  </si>
  <si>
    <t>E1 - SALA DE ESTAR - ESPELHO</t>
  </si>
  <si>
    <t>Acabamento para registro de gaveta até 1" e pressão 1/2" e 3/4" - 4900.C35.PQ</t>
  </si>
  <si>
    <t>Bacia convencional Linha Piano, Branco –  Deca, Ref.: P.33.17 + Assento Termofixo</t>
  </si>
  <si>
    <t>Bacia Convencional Nuova Suspensa P.132.17</t>
  </si>
  <si>
    <t>Bell BCX 120 35 35 Aço inox</t>
  </si>
  <si>
    <t>Cabide Linha Clean, Cromado - Deca, Ref.: 2060.C.CLN</t>
  </si>
  <si>
    <t>Cabide Linha Disco, Cromado Deca, Ref . 2060.C.DSC (2un)</t>
  </si>
  <si>
    <t>Chuveiro 1990.C.TET.QUA</t>
  </si>
  <si>
    <t>Chuveiro de Teto Linha Max, Cromado – Deca, Ref.: 1977.C.CT</t>
  </si>
  <si>
    <t>CUBA DECA DE APOIO REDONDA BRANCA L.55.17</t>
  </si>
  <si>
    <t>DOCOL DE APOIO RETANGULAR 500X400X130</t>
  </si>
  <si>
    <t>Ducha higiênica com registro e derivação, Linha Disco, Cromado – Deca, Ref.: 1984.C.DSC.ACT.CR</t>
  </si>
  <si>
    <t>Ducha higiênica com registro e derivação, Linha Polo, Cromado - Deca, Ref.: 1984.C33.ACT.CR</t>
  </si>
  <si>
    <t>KIT DE COMPLETO COM  DESVIADOR E DUCHA MANUAL – 1990.C.STD.KIT</t>
  </si>
  <si>
    <t>Lavatório Linha Izy , Branco Deca, Ref.: L.915.17</t>
  </si>
  <si>
    <t>Linha Hydra Max, Cromado – Deca, Ref.: 4900.C.PRO</t>
  </si>
  <si>
    <t>Misturador de mesa bica alta para lavatório, Linha Polo, Cromado – Deca, Ref.: 1877.C33</t>
  </si>
  <si>
    <t>Misturador de Parede para Lavatório, Linha Polo, Cromado – Deca, Ref.: 1878.C33</t>
  </si>
  <si>
    <t>Papeleira Linha Clean, Cromado - Deca Ref.: 2020.C.CLN</t>
  </si>
  <si>
    <t>Papeleira Linha Disco, Cromado Deca, Ref . 2020.C.DSC</t>
  </si>
  <si>
    <t>Porta toalha 30cm Linha Clean, Cromado – Deca Ref.: 2040.C.030.CLN</t>
  </si>
  <si>
    <t>Porta toalha 60cm Linha Clean, Cromado – Deca Ref.: 2040.C.060.CLN</t>
  </si>
  <si>
    <t>Ralo EXCELLENCE MOLDENOX - 10 x 10</t>
  </si>
  <si>
    <t>Ralo linear Grelha tampa inox, 90cm</t>
  </si>
  <si>
    <t>Ralo Oculto 15 x 15</t>
  </si>
  <si>
    <t>Ralo Quadrado Excellence Moldenox 10X10Ralo</t>
  </si>
  <si>
    <t>Ralo Quadrado Excellence Moldenox 15X15 Ralo</t>
  </si>
  <si>
    <t>Registro de pressão Linha Polo, Cromado - Deca Ref.: 4916.C33.PQ</t>
  </si>
  <si>
    <t>SIFÃO DECA 1680.C.112</t>
  </si>
  <si>
    <t>Sifão para lavatório – Deca, Ref.: 1682.C.100.112</t>
  </si>
  <si>
    <t>Sifão para Tanque e Cozinha, Cromado Deca, Ref.: 1680.C.114</t>
  </si>
  <si>
    <t>Torneira 2264.C Monocomando, com água quente e fria.</t>
  </si>
  <si>
    <t>Torneira de parede com chapa para lavatório 1179.C33</t>
  </si>
  <si>
    <t>Torneira para mesa de Cozinha, bica alta, linha Link, Cromado, Deca Ref.:1167.C.LNK</t>
  </si>
  <si>
    <t>Válvula de descarga Slim, Cromado Deca, Ref.: 2553.C.114</t>
  </si>
  <si>
    <t>Assento Plastico com Slowclose e Easy clean Izy/Ravena/Studio - Branco - AP.165.17</t>
  </si>
  <si>
    <t>Assento Poliester com Slowclose AP.237.17</t>
  </si>
  <si>
    <t>Assento Termofixo SlowClose e Easy Clean Piano/ Quadra - Branco AP.336.17</t>
  </si>
  <si>
    <t>Canopla para Bacia com Saida Horizental - Branco Gelo - CH.01.17</t>
  </si>
  <si>
    <t>Estabilizador para Lavatório - SP.9.01</t>
  </si>
  <si>
    <t>Fixação para Bacia/Bide Supenso SP.132.01</t>
  </si>
  <si>
    <t>Kit de Instalação para Bacia Convencional Fixação Lateral - Cromado 1201.C.KIT.P</t>
  </si>
  <si>
    <t>Linha Ravena, Branca – Deca, Ref.: P.90.17</t>
  </si>
  <si>
    <t>Parafuso para Fiaxação de Lavatorio e Coluna - SP.7.01</t>
  </si>
  <si>
    <t>Torneira p/ Lavatorio Mesa Bica Alta DN15 Aspen Cromado 1196.C35</t>
  </si>
  <si>
    <t>Ligação Flexivel Malha de Aço 40 cm - cromado - 4607.C.040</t>
  </si>
  <si>
    <t>E2 - LAVABO - Espelho com 90cm de diâmetro (excluso marcenaria)</t>
  </si>
  <si>
    <t>wando</t>
  </si>
  <si>
    <t>MAT - Porcelnato Pietra di firenze Portobello 90 x 90 Off White</t>
  </si>
  <si>
    <t>MAT - Revestimento Eliane Metro White 10x20</t>
  </si>
  <si>
    <t>MAT - Porcelanato Absolut Prosecco Decortilles 60 x 60</t>
  </si>
  <si>
    <t>MAT - Porcelnato York white 90 x 90</t>
  </si>
  <si>
    <t>REVESTIMENTO  PORCELANATO YORK WHITE 90 X 90</t>
  </si>
  <si>
    <t>REVESTIMENTO ELIANE METRO WHITE 10 X 20</t>
  </si>
  <si>
    <t>REVESTIMENTO PORCELANATO ABSOLUT PROSECCO DECORTILLES 60 X 60</t>
  </si>
  <si>
    <t>Material - Execução da Cerâmica  AC 10x20</t>
  </si>
  <si>
    <t>MO  - Execução cerâmica metro White 10 x 20</t>
  </si>
  <si>
    <t>REVESTIMENTO  PORCELANATO DI FIRENZE PORTOBELLO 90 X 90 OFF  WHITE</t>
  </si>
  <si>
    <t xml:space="preserve">MAT + MO - Troca do Vidro da Varanda em  Laminado incolor de 8mm </t>
  </si>
  <si>
    <t xml:space="preserve">RECUPERAÇÃO DO PISO DE MADEIRA JÁ EXISTENTE </t>
  </si>
  <si>
    <t>MAT + MO - Execução de Sinteco Bona</t>
  </si>
  <si>
    <t>MAT + MO - Execução de Clareamento do Piso</t>
  </si>
  <si>
    <t>MAT + MO - Recomposição do Piso</t>
  </si>
  <si>
    <t>Giovan</t>
  </si>
  <si>
    <t>MAT + MO - Rodapé Santa Luzia branco - 2,40 x 0,15 m</t>
  </si>
  <si>
    <t>Argamassa AC III SUPERFLEX SC 20KG</t>
  </si>
  <si>
    <t>Cuba de Embutir Retangular Deca Branco – 2un Ref. L.1061.17</t>
  </si>
  <si>
    <t>Valvula Escoamento P/ Lavatorio/ Cuba/Bide - Cromado - 1602.C</t>
  </si>
  <si>
    <t>Alex</t>
  </si>
  <si>
    <t>casa mimosa</t>
  </si>
  <si>
    <t>Toca Obra</t>
  </si>
  <si>
    <t>Site Padovani</t>
  </si>
  <si>
    <t>Obra Facil</t>
  </si>
  <si>
    <t>Liven casa</t>
  </si>
  <si>
    <t>MAT + MO - Assoalho em Tauari com aplicação de sinteco bona</t>
  </si>
  <si>
    <t>MO - Demolição de revestimento em madeira</t>
  </si>
  <si>
    <t>rasa</t>
  </si>
  <si>
    <t>Nacional Madeiras + Lafonte</t>
  </si>
  <si>
    <t>Nacional Madeiras + Lafonte + Papaiz</t>
  </si>
  <si>
    <t>Nacional Madeiras + Lafonte + Mercado Livre</t>
  </si>
  <si>
    <t>Requadro para Porta de correr P13. Todos os encontros em meia esquadria. Dimensões: 15cm x 210cm x 2cm (x2un) x 15cm x 80cm x 2cm (1un). Acabamento em Quartzo White</t>
  </si>
  <si>
    <t>Peitoril para janela com pingadeira e balanço de 2cm. Dimensões: 196.25cm x 19cm x 2cm. Acabamento em Granito Aqualux</t>
  </si>
  <si>
    <t>Tento triplo em formato de L, acabamento meia esquadria. Dimensões: 96cm x 2cm x 4cm + 96cm x 2cm x 6cm + 96m x 2cm x 6cm e 47cm x 2cm x 4cm + 47cm x 2cm x 4cm + 47m x 2cm x 4cm Acabamento em Mármore Nanoprime</t>
  </si>
  <si>
    <t>Peitoril para janela com pingadeira e balanço de 2cm. Dimensões: 74cm x 19cm x 2cm. Acabamento em Mármore Branco Intermediário</t>
  </si>
  <si>
    <t>Bancada 80cm x 55cm x 2cm com 3 furos para torneira e 1 furo para cuba de embutir. Saia com acabamento meia esquadria 1,35 x 0,20. Acabamento em Nanoprime</t>
  </si>
  <si>
    <t>J4 - QUARTO ALICE / QUARTO 01 - Janela nova em esquadria de alumínio branco com duas folhas de correr em vidro incolor  e persina embutida com acionamento manual - 6 mm</t>
  </si>
  <si>
    <t>Designrevestt</t>
  </si>
  <si>
    <t>Piso em Madeira</t>
  </si>
  <si>
    <t>PISO DE MADEIRA</t>
  </si>
  <si>
    <t>Masterlimp</t>
  </si>
  <si>
    <t>Exaustor tipo ventokit, embutido no forro - MAT + MO</t>
  </si>
  <si>
    <t>Instalações de Ar condicionado - MAT + MO</t>
  </si>
  <si>
    <t>Ar Condicionado - Equipamentos</t>
  </si>
  <si>
    <t>Ar condicionado split inverter hi-wall 12.000 BTU's (equipamento)</t>
  </si>
  <si>
    <t>Ar condicionado split Springer hi-wall 18.000 BTU's  (equipamento)</t>
  </si>
  <si>
    <t>Tratamento Forro em Madeira em Lambri (Varanda) - MAT + MO</t>
  </si>
  <si>
    <t>Recomposição de Forro em Madeira em Lambri (Varanda) - MAT + MO</t>
  </si>
  <si>
    <t>Polimento e Recomposição Mármore da Varanda em acabamento Bege Bahia</t>
  </si>
  <si>
    <t>MO + MAT - Recomposição de marmore em Bege Bahia</t>
  </si>
  <si>
    <t>15.3.3</t>
  </si>
  <si>
    <t>01.01.2353</t>
  </si>
  <si>
    <t>01.01.2354</t>
  </si>
  <si>
    <t>01.01.2355</t>
  </si>
  <si>
    <t>01.01.2356</t>
  </si>
  <si>
    <t>01.01.2357</t>
  </si>
  <si>
    <t>01.01.2358</t>
  </si>
  <si>
    <t>01.01.2359</t>
  </si>
  <si>
    <t>01.01.2360</t>
  </si>
  <si>
    <t>01.01.2361</t>
  </si>
  <si>
    <t>01.01.2362</t>
  </si>
  <si>
    <t>01.01.2363</t>
  </si>
  <si>
    <t>01.01.2364</t>
  </si>
  <si>
    <t>01.01.2365</t>
  </si>
  <si>
    <t>01.01.2366</t>
  </si>
  <si>
    <t>REQUADRO EM GRANITO AMARELO FLORENÇA 2,42 + 1,20 + 2,67 + 1,20  + 2,20 + 2,42 + 1,20 + 2,67 + 1,20 X 0,20 COM MEIA ESQUADRIA</t>
  </si>
  <si>
    <t>PEITORIL EM GRANITO AMARELO FLORENÇA 2,40 + 2,20  + 2,40 + 2,20  X 0,20  COM MEIA ESQUADRIA</t>
  </si>
  <si>
    <t>PEITORIL EM GRANITO AMARELO FLORENÇA 3,00 + 2,20 + 3,00 + 2,20  X 0,20 COM MEIA ESQUADRIA</t>
  </si>
  <si>
    <t>RUFO  EM GRANITO AMARELO FLORENÇA 10,52 + 2,85 + 1,38 + 2,60 + 9,62  X 0, 18 COM MEIA ESQUADRIA E PINGADEIRA</t>
  </si>
  <si>
    <t>BANCADA EM BRANCO PRIME COM 0,62 X 0,45 COM SAIA 0,60 + 0,45 X 0,15 E 2 FUROS</t>
  </si>
  <si>
    <t xml:space="preserve">VP1 -  - PORTA DE GIRO VENEZIANA EM ALUMINIO ANODIZADO ACABAMENTO BRONZE ALIZAR DE 4 CM - </t>
  </si>
  <si>
    <t xml:space="preserve">VP2 -  - PORTAS DE GIRO VENEZIANA EM ALUMINIO ANODIZADO ACABAMENTO BRONZE ALIZAR DE 4 CM - </t>
  </si>
  <si>
    <t xml:space="preserve">VJ1 -  - ESQUADRIA EM ALUMINIO ANODIZADO ACABAMENTO BRONZE COMPOSTA POR 2 PAINEIS DE CORRER E 2 FIXOS ALIZAR DE 4 CM - </t>
  </si>
  <si>
    <t xml:space="preserve">VJ2 -  - ESQUADRIA EM ALUMINIO ANODIZADO ACABAMENTO BRONZE COMPOSTA POR 4 PAINEIS FIXOS ALIZAR DE 4 CM - </t>
  </si>
  <si>
    <t xml:space="preserve">VJ3 -  - ESQUADRIA EM ALUMINIO ANODIZADO ACABAMENTO BRONZE COMPOSTA POR 4 PAINEIS FIXOS ALIZAR DE 4 CM - </t>
  </si>
  <si>
    <t xml:space="preserve">VJ4 -  - ESQUADRIA EM ALUMINIO ANODIZADO ACABAMENTO BRONZE COMPOSTA POR 2 PAINEIS FIXOS ALIZAR DE 4 CM - </t>
  </si>
  <si>
    <t xml:space="preserve">VJ5 -  - ESQUADRIA EM ALUMINIO ANODIZADO ACABAMENTO BRONZE COMPOSTA POR 4 PAINEIS FIXOS ALIZAR DE 4 CM - </t>
  </si>
  <si>
    <t xml:space="preserve">VJ6 -  - ESQUADRIA EM ALUMINIO ANODIZADO ACABAMENTO BRONZE COMPOSTA POR 2 PAINEIS FIXOS ALIZAR DE 4 CM - </t>
  </si>
  <si>
    <t xml:space="preserve">VJ7 -  - ESQUADRIA EM ALUMINIO ANODIZADO ACABAMENTO BRONZE COMPOSTA POR 4 PAINEIS FIXOS ALIZAR DE 4 CM - </t>
  </si>
  <si>
    <t>01.01.2367</t>
  </si>
  <si>
    <t>01.01.2368</t>
  </si>
  <si>
    <t>01.01.2369</t>
  </si>
  <si>
    <t>01.01.2370</t>
  </si>
  <si>
    <t>01.01.2371</t>
  </si>
  <si>
    <t>01.01.2372</t>
  </si>
  <si>
    <t>01.01.2373</t>
  </si>
  <si>
    <t>01.01.2374</t>
  </si>
  <si>
    <t>01.01.2375</t>
  </si>
  <si>
    <t>01.01.2376</t>
  </si>
  <si>
    <t>01.01.2377</t>
  </si>
  <si>
    <t>01.01.2378</t>
  </si>
  <si>
    <t>01.01.2379</t>
  </si>
  <si>
    <t>01.01.2380</t>
  </si>
  <si>
    <t>01.01.2381</t>
  </si>
  <si>
    <t>01.01.2382</t>
  </si>
  <si>
    <t>01.01.2383</t>
  </si>
  <si>
    <t>01.01.2384</t>
  </si>
  <si>
    <t>01.01.2385</t>
  </si>
  <si>
    <t>01.01.2386</t>
  </si>
  <si>
    <t>01.01.2387</t>
  </si>
  <si>
    <t>01.01.2388</t>
  </si>
  <si>
    <t>01.01.2389</t>
  </si>
  <si>
    <t>Lançamento Isopor Térmico XPS 50mm - MO</t>
  </si>
  <si>
    <t>Isomil</t>
  </si>
  <si>
    <t>Massa PVA, Tinta Acrílica Cinza Espacial Super Lavável Fosca - MAT + MO</t>
  </si>
  <si>
    <t>Massa PVA, Tinta Acrílica Tiramisu Super Lavável Fosca - MAT + MO</t>
  </si>
  <si>
    <t>Massa PVA, Tinta Acrílica Branco Neve Lavável Super Lavável Fosca - MAT + MO</t>
  </si>
  <si>
    <t>Massa PVA  Tinta PVA Branco Neve Fosca - MAT + MO</t>
  </si>
  <si>
    <t>Bacia para caixa aclopada, Link p23017 GE17</t>
  </si>
  <si>
    <t>Cuba de apoio redonda 360mm branca L14617</t>
  </si>
  <si>
    <t>Ligação Flex 40 cm</t>
  </si>
  <si>
    <t>Sifão Lavatório Cromado 1680C</t>
  </si>
  <si>
    <t>Torneira Mesa Alta 1198Clnk Cromado</t>
  </si>
  <si>
    <t>Valvula Esc. Lavatório/Cuba - 1602C - Croamdo</t>
  </si>
  <si>
    <t>PORCELANATO PORTINARI/ CECRISA YORK BE HARD EXTERNO BOLD 60X60 - MAT</t>
  </si>
  <si>
    <t>PORCELANATO PORTOBELLO DECK PEROBA ENV. CAT. EXTERNO BOLD 60X60 - MAT</t>
  </si>
  <si>
    <t>PORCELANATO PORTOBELLO ESMALTADO BORDA BOLD ALL BRICKS GEORGIAN RED 7X26 - MAT</t>
  </si>
  <si>
    <t>REVESTIMENTO CERÂMICO ELIANE METRÔ - COR BRANCO - MAT</t>
  </si>
  <si>
    <t>PISO VINILICO ALTO DESEMPENHO TARKETT - MAT + MO</t>
  </si>
  <si>
    <t>RODAPÉ RHODES RP100 BOLEADO 100x13x2400m - MAT</t>
  </si>
  <si>
    <t>Peça</t>
  </si>
  <si>
    <t>ABC da construção</t>
  </si>
  <si>
    <t>Copper Representações</t>
  </si>
  <si>
    <t>Isopor térmico EPS Tipo 7 -  50mm - MAT</t>
  </si>
  <si>
    <t>Argamassa Cimentcola Flexível Interno e Externo AC3 20kgs Cinza Quartzolit</t>
  </si>
  <si>
    <t>saco</t>
  </si>
  <si>
    <t>ABC da construção - Obra Piraque</t>
  </si>
  <si>
    <t>Rejunte Flexível 5kgs Branco, Quartzolit</t>
  </si>
  <si>
    <t>ABC da Construção - Obra Piraque</t>
  </si>
  <si>
    <t>Amoedo - Internet</t>
  </si>
  <si>
    <t>https://www.amoedo.com.br/rodape-3611-boleado-100x13x2400mm-branco-rhodes.html</t>
  </si>
  <si>
    <t>Isotermica</t>
  </si>
  <si>
    <t>Infra para Instalação Cassete - MAT + MO</t>
  </si>
  <si>
    <t>Demolição - Pilares</t>
  </si>
  <si>
    <t>Mauricio</t>
  </si>
  <si>
    <t>SOLEIRA EM GRANITO AMARELO FLORENÇA 0,60 X 0,20</t>
  </si>
  <si>
    <t>SOLEIRA EM GRANITO AMARELO FLORENÇA 3,00 X 0,20</t>
  </si>
  <si>
    <t>SOLEIRA  EM GRANITO AMARELO FLORENÇA 0,80 X 0,20</t>
  </si>
  <si>
    <t xml:space="preserve">Estrutura Metálica mais telhas termo acústicas com EPS 30mm. -  MO + MAT </t>
  </si>
  <si>
    <t>Demolição Diversos - MO</t>
  </si>
  <si>
    <t>Demolição - Esquadrias</t>
  </si>
  <si>
    <t>01.01.2390</t>
  </si>
  <si>
    <t>Concreto Convencional para prenchimento dos blocos</t>
  </si>
  <si>
    <t>Lançamento Concreto Convencional  para preenchimento dos blocos</t>
  </si>
  <si>
    <t>01.01.2391</t>
  </si>
  <si>
    <t>Parede em Drywall Estruturado</t>
  </si>
  <si>
    <t>01.01.2392</t>
  </si>
  <si>
    <t>Reforço de Madeira Tratada -  MO + MAT</t>
  </si>
  <si>
    <t>01.01.2393</t>
  </si>
  <si>
    <t>01.01.2394</t>
  </si>
  <si>
    <t>01.01.2395</t>
  </si>
  <si>
    <t>01.01.2396</t>
  </si>
  <si>
    <t>01.01.2397</t>
  </si>
  <si>
    <t>01.01.2398</t>
  </si>
  <si>
    <t>01.01.2399</t>
  </si>
  <si>
    <t>01.01.2400</t>
  </si>
  <si>
    <t>01.01.2401</t>
  </si>
  <si>
    <t>01.01.2402</t>
  </si>
  <si>
    <t>01.01.2403</t>
  </si>
  <si>
    <t>01.01.2404</t>
  </si>
  <si>
    <t>01.01.2405</t>
  </si>
  <si>
    <t>01.01.2406</t>
  </si>
  <si>
    <t>01.01.2407</t>
  </si>
  <si>
    <t>01.01.2408</t>
  </si>
  <si>
    <t>01.01.2409</t>
  </si>
  <si>
    <t>01.01.2410</t>
  </si>
  <si>
    <t>01.01.2411</t>
  </si>
  <si>
    <t>REJUNTE ACRÍLICO COR BRANCO 1KG</t>
  </si>
  <si>
    <t>CERÂMICA BORDA BOLD BRILHO 24x7cm PORTOBELLO LIVERPOOL  BLEU ST TROPEZ BRILHO - MAT</t>
  </si>
  <si>
    <t>CERÂMICA BORDA BOLD BRILHO 24x7cm PORTOBELLO LIVERPOOL  ACQUAMARINE BRILHO - MAT</t>
  </si>
  <si>
    <t>CERÂMICA BORDA BOLD BRILHO 24x7cm PORTOBELLO LIVERPOOL  NUDE BRILHO - MAT</t>
  </si>
  <si>
    <t>CERÂMICA BORDA BOLD BRILHO 24x7cm PORTOBELLO LIVERPOOL  WHITE BRILHO - MAT</t>
  </si>
  <si>
    <t>PORCELANATO  RETIFICADO  120x120cm PORTOBELLO DANSK CEMENT WHITE NATURAL</t>
  </si>
  <si>
    <t>REJUNTE ACRÍLICO COR CINZA PLATINA 1 KG</t>
  </si>
  <si>
    <t>PORCELANATO  RETIFICADO  120x20cm PORTOBELLO ARAUCARIA CLARA TOUCH  NATURAL</t>
  </si>
  <si>
    <t>REJUNTE ACRÍLICO COR PÁTINA CHOCOLATE 1 kg</t>
  </si>
  <si>
    <t>Bancada em granito Branco Siena de 1,88 x 0,43 m com saia de 2,31 x 0,20 com meia esquadria e front de 1,88 x 0,20 m. Com três buracos para torneiras, 3 para cubas de apoio e 2 para lixo.</t>
  </si>
  <si>
    <t>Filete em marmore Branco Prime 2,13 X 0,02 m</t>
  </si>
  <si>
    <t>Filete em marmore Branco Prime 2,40 X 0,02 m</t>
  </si>
  <si>
    <t>Filete em marmore Branco Prime 3,00 X 0,02 m</t>
  </si>
  <si>
    <t>Divisória em granito Branco Siena 1,40 x 1,01 x 0,02 m</t>
  </si>
  <si>
    <t>Divisória de acabamento entre portas em granito Branco Siena 1,60 x 029 x 0,02 m</t>
  </si>
  <si>
    <t>Divisória de acabamento entre portas em granito Branco Siena 1,60 x 032 x 0,02 m</t>
  </si>
  <si>
    <t>Divisória de acabamento entre portas em granito Branco Siena 1,60 x 037 x 0,02 m</t>
  </si>
  <si>
    <t>Divisória de acabamento entre portas em granito Branco Siena 1,60 x 0,10 x 0,02 m</t>
  </si>
  <si>
    <t>Soleira em Branito Branco Siena com 2,73 x 0,10 x 0,02 m com uma das suas bordas rampadas</t>
  </si>
  <si>
    <t>Soleira em Branito Branco Siena com 1,20 x 0,20 x 0,02 m</t>
  </si>
  <si>
    <t>Soleira em Branito Branco Siena com 0,80 x 0,15 x 0,02 m</t>
  </si>
  <si>
    <t>Tira em marmore branco prime 3,08 + 2,25 x 0,02 m</t>
  </si>
  <si>
    <t>01.01.2412</t>
  </si>
  <si>
    <t>01.01.2413</t>
  </si>
  <si>
    <t>01.01.2414</t>
  </si>
  <si>
    <t>01.01.2415</t>
  </si>
  <si>
    <t>01.01.2416</t>
  </si>
  <si>
    <t>01.01.2417</t>
  </si>
  <si>
    <t>Assentamento - MO</t>
  </si>
  <si>
    <t>Pedra Portuguesa branca e preta MG - MAT</t>
  </si>
  <si>
    <t>Pedra Portuguesa branca e preta MG - MO</t>
  </si>
  <si>
    <t>Esquadrias em Inox</t>
  </si>
  <si>
    <t>Guarda corpos aço inox tipo 304 com  corrimãos duplos de 1.1/2", colunas a cada 1,25 metros. - MAT + MO</t>
  </si>
  <si>
    <t>Adesivo Nina Moraes Design Deradê  Azul - MAT</t>
  </si>
  <si>
    <t>Adesivo Nina Moraes Design Tema mar - MAT</t>
  </si>
  <si>
    <t>01.01.2418</t>
  </si>
  <si>
    <t>01.01.2419</t>
  </si>
  <si>
    <t>01.01.2420</t>
  </si>
  <si>
    <t>01.01.2421</t>
  </si>
  <si>
    <t>01.01.2422</t>
  </si>
  <si>
    <t>01.01.2423</t>
  </si>
  <si>
    <t>01.01.2424</t>
  </si>
  <si>
    <t>Mão de Obra</t>
  </si>
  <si>
    <t>ANEL DE VEDACAO PARA  BACIA - DECANEL - AV.90.01</t>
  </si>
  <si>
    <t>01.01.2425</t>
  </si>
  <si>
    <t>01.01.2426</t>
  </si>
  <si>
    <t>01.01.2427</t>
  </si>
  <si>
    <t>01.01.2428</t>
  </si>
  <si>
    <t>01.01.2429</t>
  </si>
  <si>
    <t>01.01.2430</t>
  </si>
  <si>
    <t>01.01.2431</t>
  </si>
  <si>
    <t>01.01.2432</t>
  </si>
  <si>
    <t>01.01.2433</t>
  </si>
  <si>
    <t>01.01.2434</t>
  </si>
  <si>
    <t>01.01.2435</t>
  </si>
  <si>
    <t>01.01.2436</t>
  </si>
  <si>
    <t>01.01.2437</t>
  </si>
  <si>
    <t>01.01.2438</t>
  </si>
  <si>
    <t>01.01.2439</t>
  </si>
  <si>
    <t>ASSENTO TERMOFIXO COM EASY CLEAN E SLOW CLOSE STUDIO KIDS - BRANCO GELO - API.166.17</t>
  </si>
  <si>
    <t>BACIA SANITARIA DE CERAMICA CONVENCIONAL STUDIO KIDS - BRANCO - PI.16.17</t>
  </si>
  <si>
    <t>BARRA DE APOIO 70CM CONFORTO - AÇO INOX POLIDO - 2310.I.070.POL</t>
  </si>
  <si>
    <t>BARRA DESLIZANTE CILINDRICA - CROMADO - 1980.C.CIL</t>
  </si>
  <si>
    <t>CUBA DE APOIO REDONDA 300MM - BRANCO GELO - NW - L.460.17</t>
  </si>
  <si>
    <t>DUCHA MANUAL COMPETITIVA - CR - 4889.C</t>
  </si>
  <si>
    <t>DUCHA HIGIENICA COM REGISTRO E DERIVACAO GATILHO CROMADO DISCO - CROMADO - 1984.C.DSC.ACT.CR</t>
  </si>
  <si>
    <t>KIT FLEXIVEL REDONDO COM SUPORTE PARA DUCHA MANUAL 1,70M - CROMADO - 4605.C.170</t>
  </si>
  <si>
    <t>MISTURADOR TERMOSTATO DECATERM 3/4 DN20-CROMADO -2430.C.034</t>
  </si>
  <si>
    <t>PARAFUSOS PARA FIXACAO DE BACIAS E BIDES - CROMADO - SP.13.01</t>
  </si>
  <si>
    <t>TORNEIRA LAVATÓRIO MESA  BICA ALTA DN15 TUBE - CR - 1198.C.TUB</t>
  </si>
  <si>
    <t>TUBO DE LIGACAO SPUD PARA BACIA INFANTIL - CROMADO - 1968.C.KID</t>
  </si>
  <si>
    <t>VALVULA DE DESCARGA 1 1/2 DN40 HYDRA DUO-CROMADO - 2545.C.112</t>
  </si>
  <si>
    <t>01.01.2440</t>
  </si>
  <si>
    <t>BANCO RETRATIL EM INOX CONFORME NBR 9050</t>
  </si>
  <si>
    <t>Banco Articulado Para Banho Aço Inox 70 X 45 Conforme A Norma Nbr 9050 em Promoção | Ofertas na Americanas</t>
  </si>
  <si>
    <t>Americanas internet</t>
  </si>
  <si>
    <t>Pintura de Paredes</t>
  </si>
  <si>
    <t>Pintura Tetos e Forro</t>
  </si>
  <si>
    <t>01.01.2441</t>
  </si>
  <si>
    <t>01.01.2442</t>
  </si>
  <si>
    <t>01.01.2443</t>
  </si>
  <si>
    <t>01.01.2444</t>
  </si>
  <si>
    <t>01.01.2445</t>
  </si>
  <si>
    <t>01.01.2446</t>
  </si>
  <si>
    <t>01.01.2447</t>
  </si>
  <si>
    <t>PINTURA ACRÍLICA ACETINADA ALGODÃO EGÍPCIO SUVINIL CÓDIGO  F100 - MAT + MO</t>
  </si>
  <si>
    <t>PINTURA ACRÍLICA ACETINADA EM DEGRADÊ ROSA SUVINIL CÓDIGOS - MAT + MO</t>
  </si>
  <si>
    <t>PINTURA ACRÍLICA FOSCA  BRANCO NEVE  SUVINIL - MAT + MO</t>
  </si>
  <si>
    <t>01.01.2448</t>
  </si>
  <si>
    <t>01.01.2449</t>
  </si>
  <si>
    <t>01.01.2450</t>
  </si>
  <si>
    <t>01.01.2451</t>
  </si>
  <si>
    <t>01.01.2452</t>
  </si>
  <si>
    <t>01.01.2453</t>
  </si>
  <si>
    <t>01.01.2454</t>
  </si>
  <si>
    <t>Ralo Rotativo De Inox 15x15cm Com Caixilho 1415 Meber - ABC da Construção (abcdaconstrucao.com.br)</t>
  </si>
  <si>
    <t>ABC da Construção - Internet</t>
  </si>
  <si>
    <t>RALO COM GRELHA</t>
  </si>
  <si>
    <t>Rejunte Acríclico Portokoll  - 1kg</t>
  </si>
  <si>
    <t>C&amp;C - Internet</t>
  </si>
  <si>
    <t xml:space="preserve">COBOGÓ CERÂMICO PORTOBELLO 26x26cm STUDIO CRAFT </t>
  </si>
  <si>
    <t>Portoshop</t>
  </si>
  <si>
    <t>Segunda Casa</t>
  </si>
  <si>
    <t>Marcenaria composta por: Banco com MDF resistente a água (3,14 + 1,33 x 0,40 x 0,50 + 0,30)e com assento com 0,05 de espessura; Balcão de apoio para penteadeira (2,08 x 0,20 x 0,25) com MDF resistente a água; 6 nichos laqueados com cores diferentes (0,50 x 0,59 x 0,31) engrossados com 0,03; Móvel com nicho para bebedouro com MDF resistente e água (0,45 x 1,12 x 0,45) com 1 nicho, 1 gaveta e 1 gavetão para lixeira;Nuvens em MDF - 2 (1,02 x 0,52) e 3 (0,91 x 0,63); Peça em marcenaria para foco de iluminação direta com MDF resistente a água e peças no topo (2,08 + 3,14 + 1,33 + 1,58 x 0,19 x 0,25); 2 Portas vazadas de abrir (1,03 x 1,00); Porta de madeira maciça (0,80 x 2,10 x 0,035) - Padrão Naval; Trocador com MDF resistente a água (1,58 x 0,90 x 0,45) com testa de embutir perfil em LED; 2 Banquetas (0,15 x 0,33).</t>
  </si>
  <si>
    <t>Argamassa Superglass Branco Neve - 20 kg Portokoll</t>
  </si>
  <si>
    <t>Porta de abrir em vidro temperado 8mm  0,50 x 1,50 m pintado em cores  conforme projeto. - MAT + MO</t>
  </si>
  <si>
    <t>Porta de abrir em vidro temperado 8mm 0,70 x 1,50 m pintado em cores  conforme projeto. - MAT + MO</t>
  </si>
  <si>
    <t>01.01.2455</t>
  </si>
  <si>
    <t>01.01.2456</t>
  </si>
  <si>
    <t>01.01.2457</t>
  </si>
  <si>
    <t>01.01.2458</t>
  </si>
  <si>
    <t>01.01.2459</t>
  </si>
  <si>
    <t>01.01.2460</t>
  </si>
  <si>
    <t>01.01.2461</t>
  </si>
  <si>
    <t>01.01.2462</t>
  </si>
  <si>
    <t>01.01.2463</t>
  </si>
  <si>
    <t>01.01.2464</t>
  </si>
  <si>
    <t>01.01.2465</t>
  </si>
  <si>
    <t>01.01.2466</t>
  </si>
  <si>
    <t>Areia Lavada Saco Grande (16 kgs) - pequenas quantidades</t>
  </si>
  <si>
    <t>Brita nº1 Saco Grande  (16 kgs) - pequenas quantidades</t>
  </si>
  <si>
    <t>Cimento CP3 CSN 50 kgs</t>
  </si>
  <si>
    <t>RALO LINEAR 70CM COM GRELHA</t>
  </si>
  <si>
    <t>Diba695 - Internet</t>
  </si>
  <si>
    <t>ralo linear 70cm com grelha areia 27265260 - 14662*|0 - Diba 695</t>
  </si>
  <si>
    <t>Consultoria de Estrutura</t>
  </si>
  <si>
    <t>Consultoria de Esquadria de Aluminio e Vidro</t>
  </si>
  <si>
    <t>DEMOLIÇÃO E ACERTOS</t>
  </si>
  <si>
    <t>Movimentação de terra</t>
  </si>
  <si>
    <t>Mobilização terraplenagem</t>
  </si>
  <si>
    <t>Escavação mecânica</t>
  </si>
  <si>
    <t>Aterro compactado</t>
  </si>
  <si>
    <t>Carga e bota fora</t>
  </si>
  <si>
    <t>LIMPEZA TERRENO E MOVIMENTAÇÃO DE TERRA</t>
  </si>
  <si>
    <t>07.2</t>
  </si>
  <si>
    <t>07.2.1</t>
  </si>
  <si>
    <t>01.01.2467</t>
  </si>
  <si>
    <t>01.01.2468</t>
  </si>
  <si>
    <t>01.01.2469</t>
  </si>
  <si>
    <t>01.01.2470</t>
  </si>
  <si>
    <t>01.01.2471</t>
  </si>
  <si>
    <t>01.01.2472</t>
  </si>
  <si>
    <t>01.01.2473</t>
  </si>
  <si>
    <t>01.01.2474</t>
  </si>
  <si>
    <t>01.01.2475</t>
  </si>
  <si>
    <t>01.01.2476</t>
  </si>
  <si>
    <t>01.01.2477</t>
  </si>
  <si>
    <t>01.01.2478</t>
  </si>
  <si>
    <t>01.01.2479</t>
  </si>
  <si>
    <t>01.01.2480</t>
  </si>
  <si>
    <t>01.01.2481</t>
  </si>
  <si>
    <t>01.01.2482</t>
  </si>
  <si>
    <t>01.01.2483</t>
  </si>
  <si>
    <t>01.01.2484</t>
  </si>
  <si>
    <t>01.01.2485</t>
  </si>
  <si>
    <t>01.01.2486</t>
  </si>
  <si>
    <t>01.01.2487</t>
  </si>
  <si>
    <t>01.01.2488</t>
  </si>
  <si>
    <t>01.01.2489</t>
  </si>
  <si>
    <t>01.01.2490</t>
  </si>
  <si>
    <t>01.01.2491</t>
  </si>
  <si>
    <t>01.01.2492</t>
  </si>
  <si>
    <t>01.01.2493</t>
  </si>
  <si>
    <t>01.01.2494</t>
  </si>
  <si>
    <t>01.01.2495</t>
  </si>
  <si>
    <t>01.01.2496</t>
  </si>
  <si>
    <t>01.01.2497</t>
  </si>
  <si>
    <t>01.01.2498</t>
  </si>
  <si>
    <t>01.01.2499</t>
  </si>
  <si>
    <t>01.01.2500</t>
  </si>
  <si>
    <t>01.01.2501</t>
  </si>
  <si>
    <t>01.01.2502</t>
  </si>
  <si>
    <t>01.01.2503</t>
  </si>
  <si>
    <t>01.01.2504</t>
  </si>
  <si>
    <t>01.01.2505</t>
  </si>
  <si>
    <t>01.01.2506</t>
  </si>
  <si>
    <t>01.01.2507</t>
  </si>
  <si>
    <t>01.01.2508</t>
  </si>
  <si>
    <t>01.01.2509</t>
  </si>
  <si>
    <t>01.01.2510</t>
  </si>
  <si>
    <t>01.01.2511</t>
  </si>
  <si>
    <t>01.01.2512</t>
  </si>
  <si>
    <t>01.01.2513</t>
  </si>
  <si>
    <t>01.01.2514</t>
  </si>
  <si>
    <t>01.01.2515</t>
  </si>
  <si>
    <t>01.01.2516</t>
  </si>
  <si>
    <t>01.01.2517</t>
  </si>
  <si>
    <t>01.01.2518</t>
  </si>
  <si>
    <t>01.01.2519</t>
  </si>
  <si>
    <t>01.01.2520</t>
  </si>
  <si>
    <t>01.01.2521</t>
  </si>
  <si>
    <t>01.01.2522</t>
  </si>
  <si>
    <t>01.01.2523</t>
  </si>
  <si>
    <t>01.01.2524</t>
  </si>
  <si>
    <t>01.01.2525</t>
  </si>
  <si>
    <t>01.01.2526</t>
  </si>
  <si>
    <t>01.01.2527</t>
  </si>
  <si>
    <t>01.01.2528</t>
  </si>
  <si>
    <t>01.01.2529</t>
  </si>
  <si>
    <t>01.01.2530</t>
  </si>
  <si>
    <t>01.01.2531</t>
  </si>
  <si>
    <t>01.01.2532</t>
  </si>
  <si>
    <t>01.01.2533</t>
  </si>
  <si>
    <t>01.01.2534</t>
  </si>
  <si>
    <t>01.01.2535</t>
  </si>
  <si>
    <t>01.01.2536</t>
  </si>
  <si>
    <t>01.01.2537</t>
  </si>
  <si>
    <t>01.01.2538</t>
  </si>
  <si>
    <t>01.01.2539</t>
  </si>
  <si>
    <t>01.01.2540</t>
  </si>
  <si>
    <t>01.01.2541</t>
  </si>
  <si>
    <t>01.01.2542</t>
  </si>
  <si>
    <t>01.01.2543</t>
  </si>
  <si>
    <t>01.01.2544</t>
  </si>
  <si>
    <t>01.01.2545</t>
  </si>
  <si>
    <t>01.01.2546</t>
  </si>
  <si>
    <t>01.01.2547</t>
  </si>
  <si>
    <t>01.01.2548</t>
  </si>
  <si>
    <t>01.01.2549</t>
  </si>
  <si>
    <t>01.01.2550</t>
  </si>
  <si>
    <t>01.01.2551</t>
  </si>
  <si>
    <t>01.01.2552</t>
  </si>
  <si>
    <t>01.01.2553</t>
  </si>
  <si>
    <t>01.01.2554</t>
  </si>
  <si>
    <t>01.01.2555</t>
  </si>
  <si>
    <t>01.01.2556</t>
  </si>
  <si>
    <t>01.01.2557</t>
  </si>
  <si>
    <t>01.01.2558</t>
  </si>
  <si>
    <t>01.01.2559</t>
  </si>
  <si>
    <t>01.01.2560</t>
  </si>
  <si>
    <t>01.01.2561</t>
  </si>
  <si>
    <t>01.01.2562</t>
  </si>
  <si>
    <t>01.01.2563</t>
  </si>
  <si>
    <t>01.01.2564</t>
  </si>
  <si>
    <t>01.01.2565</t>
  </si>
  <si>
    <t>01.01.2566</t>
  </si>
  <si>
    <t>01.01.2567</t>
  </si>
  <si>
    <t>01.01.2568</t>
  </si>
  <si>
    <t>01.01.2569</t>
  </si>
  <si>
    <t>01.01.2570</t>
  </si>
  <si>
    <t>01.01.2571</t>
  </si>
  <si>
    <t>01.01.2572</t>
  </si>
  <si>
    <t>01.01.2573</t>
  </si>
  <si>
    <t>01.01.2574</t>
  </si>
  <si>
    <t>01.01.2575</t>
  </si>
  <si>
    <t>01.01.2576</t>
  </si>
  <si>
    <t>01.01.2577</t>
  </si>
  <si>
    <t>01.01.2578</t>
  </si>
  <si>
    <t>01.01.2579</t>
  </si>
  <si>
    <t>01.01.2580</t>
  </si>
  <si>
    <t>01.01.2581</t>
  </si>
  <si>
    <t>01.01.2582</t>
  </si>
  <si>
    <t>01.01.2583</t>
  </si>
  <si>
    <t>01.01.2584</t>
  </si>
  <si>
    <t>01.01.2585</t>
  </si>
  <si>
    <t>01.01.2586</t>
  </si>
  <si>
    <t>01.01.2587</t>
  </si>
  <si>
    <t>01.01.2588</t>
  </si>
  <si>
    <t>01.01.2589</t>
  </si>
  <si>
    <t>01.01.2590</t>
  </si>
  <si>
    <t>01.01.2591</t>
  </si>
  <si>
    <t>01.01.2592</t>
  </si>
  <si>
    <t>01.01.2593</t>
  </si>
  <si>
    <t>01.01.2594</t>
  </si>
  <si>
    <t>01.01.2595</t>
  </si>
  <si>
    <t>01.01.2596</t>
  </si>
  <si>
    <t>01.01.2597</t>
  </si>
  <si>
    <t>01.01.2598</t>
  </si>
  <si>
    <t>01.01.2599</t>
  </si>
  <si>
    <t>01.01.2600</t>
  </si>
  <si>
    <t>01.01.2601</t>
  </si>
  <si>
    <t>01.01.2602</t>
  </si>
  <si>
    <t>01.01.2603</t>
  </si>
  <si>
    <t>01.01.2604</t>
  </si>
  <si>
    <t>01.01.2605</t>
  </si>
  <si>
    <t>01.01.2606</t>
  </si>
  <si>
    <t>01.01.2607</t>
  </si>
  <si>
    <t>01.01.2608</t>
  </si>
  <si>
    <t>01.01.2609</t>
  </si>
  <si>
    <t>01.01.2610</t>
  </si>
  <si>
    <t>01.01.2611</t>
  </si>
  <si>
    <t>01.01.2612</t>
  </si>
  <si>
    <t>01.01.2613</t>
  </si>
  <si>
    <t>01.01.2614</t>
  </si>
  <si>
    <t>01.01.2615</t>
  </si>
  <si>
    <t>01.01.2616</t>
  </si>
  <si>
    <t>01.01.2617</t>
  </si>
  <si>
    <t>01.01.2618</t>
  </si>
  <si>
    <t>01.01.2619</t>
  </si>
  <si>
    <t>01.01.2620</t>
  </si>
  <si>
    <t>01.01.2621</t>
  </si>
  <si>
    <t>01.01.2622</t>
  </si>
  <si>
    <t>01.01.2623</t>
  </si>
  <si>
    <t>01.01.2624</t>
  </si>
  <si>
    <t>01.01.2625</t>
  </si>
  <si>
    <t>01.01.2626</t>
  </si>
  <si>
    <t>01.01.2627</t>
  </si>
  <si>
    <t>01.01.2628</t>
  </si>
  <si>
    <t>01.01.2629</t>
  </si>
  <si>
    <t>01.01.2630</t>
  </si>
  <si>
    <t>01.01.2631</t>
  </si>
  <si>
    <t>01.01.2632</t>
  </si>
  <si>
    <t>01.01.2633</t>
  </si>
  <si>
    <t>01.01.2634</t>
  </si>
  <si>
    <t>01.01.2635</t>
  </si>
  <si>
    <t>01.01.2636</t>
  </si>
  <si>
    <t>01.01.2637</t>
  </si>
  <si>
    <t>01.01.2638</t>
  </si>
  <si>
    <t>01.01.2639</t>
  </si>
  <si>
    <t>01.01.2640</t>
  </si>
  <si>
    <t>01.01.2641</t>
  </si>
  <si>
    <t>01.01.2642</t>
  </si>
  <si>
    <t>01.01.2643</t>
  </si>
  <si>
    <t>01.01.2644</t>
  </si>
  <si>
    <t>01.01.2645</t>
  </si>
  <si>
    <t>01.01.2646</t>
  </si>
  <si>
    <t>01.01.2647</t>
  </si>
  <si>
    <t>01.01.2648</t>
  </si>
  <si>
    <t>01.01.2649</t>
  </si>
  <si>
    <t>01.01.2650</t>
  </si>
  <si>
    <t>01.01.2651</t>
  </si>
  <si>
    <t>01.01.2652</t>
  </si>
  <si>
    <t>01.01.2653</t>
  </si>
  <si>
    <t>01.01.2654</t>
  </si>
  <si>
    <t>01.01.2655</t>
  </si>
  <si>
    <t>01.01.2656</t>
  </si>
  <si>
    <t>01.01.2657</t>
  </si>
  <si>
    <t>01.01.2658</t>
  </si>
  <si>
    <t>01.01.2659</t>
  </si>
  <si>
    <t>01.01.2660</t>
  </si>
  <si>
    <t>Mão de obra de apoio para execução de estaca raiz</t>
  </si>
  <si>
    <t xml:space="preserve">Mobilização de equipamento </t>
  </si>
  <si>
    <t>Execução de estaca raiz com diâmetro de 25 no solo</t>
  </si>
  <si>
    <t>Execução de estaca raiz com diâmetro de 25 na rocha</t>
  </si>
  <si>
    <t>Execução de estaca raiz com diâmetro de 41 no solo</t>
  </si>
  <si>
    <t>Execução de estaca raiz com diâmetro de 41 na rocha</t>
  </si>
  <si>
    <t>Execução de estaca raiz com diâmetro de 50 no solo</t>
  </si>
  <si>
    <t>Execução de estaca raiz com diâmetro de 50 na rocha</t>
  </si>
  <si>
    <t>Cimento CPII (saco de 50 Kg)</t>
  </si>
  <si>
    <t>Pergolado executado com 2 perfis U aço a36</t>
  </si>
  <si>
    <t>Escoramento da Laje - MAT + MO</t>
  </si>
  <si>
    <t>Parede de Cimenticia  - MAT + MO</t>
  </si>
  <si>
    <t>10.1.6</t>
  </si>
  <si>
    <t>Verga e contra verga</t>
  </si>
  <si>
    <t>Verga e Contra verga - MAT + MO</t>
  </si>
  <si>
    <t>Rasa Estimativa</t>
  </si>
  <si>
    <t>Ar-Condicionado Split HW Inverter Springer Midea 33.000 BTUs Quente/Frio 220V - MAT</t>
  </si>
  <si>
    <t>Ar-Condicionado Split HW Inverter Springer Midea Xtreme Save Connect 18.000 BTUs Só Frio 220V - MAT</t>
  </si>
  <si>
    <t>Ar-Condicionado Split HW Inverter Springer Midea Xtreme Save 12.000 BTUs Só Frio 220V</t>
  </si>
  <si>
    <t>Infra para Instalação Split - MAT + MO</t>
  </si>
  <si>
    <t>Aquecimento da Piscina - MAT</t>
  </si>
  <si>
    <t>Iluminação Piscina - MAT</t>
  </si>
  <si>
    <t>Filtração Piscina - MAT</t>
  </si>
  <si>
    <t>Capa Termica - MAT</t>
  </si>
  <si>
    <t>Trantamento de Água (sem cloro) - MAT</t>
  </si>
  <si>
    <t>ITENS DIVEROS</t>
  </si>
  <si>
    <t>Deck em madeira Cumaru comercial, tendo a área estimada em 8 m² em peças de 10 x 2 cm e estrutura em maçaranduba de 6 x 3,5 cm com aplicação de verniz / stain. - MAT + MO</t>
  </si>
  <si>
    <t>Sistema de Aquecimento – Solar com apoio Elétrico - MAT</t>
  </si>
  <si>
    <t xml:space="preserve">M Metálica </t>
  </si>
  <si>
    <t>Aceimper</t>
  </si>
  <si>
    <t>Aplicação de Impermeabilizante Denver Prime na fundação - MAT + MO</t>
  </si>
  <si>
    <t>Forro de gesso drywall - ST MAT+MO</t>
  </si>
  <si>
    <t>Sanca de Gesso Acartonado 2 FX - ST - MAT + MO</t>
  </si>
  <si>
    <t>Abertura de furos para Luminária - MAT + MO</t>
  </si>
  <si>
    <t>Revestimento de Parede 100 x 100 a definir - MAT</t>
  </si>
  <si>
    <t>Revestimento de Parede 15 x 15 a definir - MAT</t>
  </si>
  <si>
    <t>Revestimento de Parede 15 x 15 com dois padrões de cores a definir - MAT</t>
  </si>
  <si>
    <t>Revestimento de Parede 15 x 15 da piscina a definir - MAT</t>
  </si>
  <si>
    <t>Revestimento de Piso 100 x 100 a definir - MAT</t>
  </si>
  <si>
    <t>Revestimento de Piso a definir - MAT</t>
  </si>
  <si>
    <t>Rodapé em MDF Branco h 12 cm - MAT + MO</t>
  </si>
  <si>
    <t>Rodapé em Pedra Lucerna h 05 cm  - MAT + MO</t>
  </si>
  <si>
    <t>Projeto Executivo de Filtração, Iluminação e Aquecimento da piscina e água de Banho ( Hibritec )</t>
  </si>
  <si>
    <t>Fornecimento de Banheira Cielo Dupla 1,72 x 1,05 x 0,44 m com aquecedor - MAT</t>
  </si>
  <si>
    <t>Material para Instalação da Piscina - MAT</t>
  </si>
  <si>
    <t>Mão de obra para instalação da Piscina - MO</t>
  </si>
  <si>
    <t>PM01 - - Porta de abrir de madeira na cor da branca - sem acessórios - MAT + MO</t>
  </si>
  <si>
    <t>PM02 -  - Porta de abrir de madeira na cor da branca - sem acessórios - MAT + MO</t>
  </si>
  <si>
    <t>PM03 -  - Porta de abrir de madeira na cor da branca - sem acessórios - MAT + MO</t>
  </si>
  <si>
    <t>PM04 -  - Porta de abrir de madeira na cor da branca - sem acessórios - MAT + MO</t>
  </si>
  <si>
    <t>PM05 - - Porta de Abrir Mimetizada em Painel de Marcenaria na cor Branca - sem acessórios - MAT + MO</t>
  </si>
  <si>
    <t>PM06 -  - Porta de Abrir Mimetizada em Painel de Marcenaria na cor Branca - sem acessórios - MAT + MO</t>
  </si>
  <si>
    <t>Rasa - Estimativa</t>
  </si>
  <si>
    <t>PA 01 -  - Porta de Abrir de Alumínio na cor branca - MAT + MO</t>
  </si>
  <si>
    <t>PA 02 -  - Porta de Abrir de Aluminio Anodizado cor Preta + 1 Folha Fixa com Vidro Temperado Incolor Translúcido - MAT + MO</t>
  </si>
  <si>
    <t>PA 03 -  - Porta de Corre 4 Folhas de Alumínio Anodizado Cor Preta + 5 Flhas Fixas com Vidro Temperado Incolor Translúcido - MAT + MO</t>
  </si>
  <si>
    <t>PA 04 -  - Porta de Corre 4 Folhas de Alumínio Anodizado Cor Preta + 5 Flhas Fixas com Vidro Temperado Incolor Translúcido - MAT + MO</t>
  </si>
  <si>
    <t>PA 05 -  - Porta de Corre 4 Folhas de Alumínio Anodizado Cor Preta + 5 Flhas Fixas com Vidro Temperado Incolor Translúcido - MAT + MO</t>
  </si>
  <si>
    <t>PA 06 -  - Porta de Abrir de Alumínio com Veneziana Sem Ventilação Branca - MAT + MO</t>
  </si>
  <si>
    <t>PA 07 -  - Porta de Abrir 2 folhas de Alumínio com Veneziana com Ventição Branca - MAT + MO</t>
  </si>
  <si>
    <t>PA 08 -  - Porta de Abrir 2 folhas de Alumínio com Veneziana com Ventição Branca - MAT + MO</t>
  </si>
  <si>
    <t>PA 09 -  - Porta de Correr com 1 Filha de Aluminio Anodizado na Cor Preta de Correr mais 1 folha fixa com Vidro temperado Incolor Translúcido - MAT + MO</t>
  </si>
  <si>
    <t>PA 10 -  - Porta de Abrir em Veneziana  Ventilada com Pintura Eletrostática Preta - MAT + MO</t>
  </si>
  <si>
    <t>PA 11 -  - Porta de Abrir em Veneziana Ventilada com Pintura Eletrostática Preta - MAT + MO</t>
  </si>
  <si>
    <t>JA 01 -  - Janela de Alumínio Anodizado Preto Tipo Báscula com Vidro Temperado Incolor Translúcido - MAT + MO</t>
  </si>
  <si>
    <t>JA 02 -  - Janela de Alumínio Anodizado Preto Tipo Báscula com Vidro Temperado Incolor Translúcido - MAT + MO</t>
  </si>
  <si>
    <t>JA 03 -  - Janela de Alumínio Anodizado Preto Tipo Báscula com Vidro Temperado Incolor Translúcido - MAT + MO</t>
  </si>
  <si>
    <t>JA 04 -  - Janela de Alumínio Anodizado Preto Tipo Báscula com Vidro Temperado Incolor Translúcido - MAT + MO</t>
  </si>
  <si>
    <t>JA 05 -  - Janela c/ 2 folhas de Correr de Alumínio Anodizado Preto + 2 F. Fixas com Vidro Temperado Incolor Translúcido - MAT + MO</t>
  </si>
  <si>
    <t>JA 06 -  - Janela c/ 2 folhas de Correr de Alumínio Anodizado Preto + 2 F. Fixas com Vidro Temperado Incolor Translúcido - MAT + MO</t>
  </si>
  <si>
    <t>JA 07 -  - Janela c/ 2 folhas de Correr de Alumínio Anodizado Preto + 1 F. Fixas com Vidro Temperado Incolor Translúcido - MAT + MO</t>
  </si>
  <si>
    <t>JA 08 -  - Janela c/ 2 Básculas de Alumínio Andizada Preto com Vidro Temperado Incolor Translúcido mais 1 folha fixa com vidro temperado incolor translúcido e película aplicada a meia altura - MAT + MO</t>
  </si>
  <si>
    <t>JA 09 -  - Janela de Alumínio Anodizado tipo Báscula com Vidro Temperado ncolor Translúcida - MAT + MO</t>
  </si>
  <si>
    <t>JF 01 -  - Janela de Alumínio Anodizado Preto Fixa com Vidro Temperado Incolor Translúcido - MAT + MO</t>
  </si>
  <si>
    <t>JF 02 -  - Janela de Alumínio Anodizado Preto Fixa com Vidro Temperado Incolor Translúcido - MAT + MO</t>
  </si>
  <si>
    <t>JF 03 -  - Janela de Alumínio Anodizado Preto Fixa com Vidro Temperado Incolor Translúcido - MAT + MO</t>
  </si>
  <si>
    <t>JF 04 -  - Janela de Alumínio Anodizado Preto Fixa com Vidro Temperado Incolor Translúcido - MAT + MO</t>
  </si>
  <si>
    <t>JF 05 -  - Janela de Alumínio Anodizado Preto Fixa com Vidro Temperado Incolor Translúcido - MAT + MO</t>
  </si>
  <si>
    <t>GR 1 -  - Portão de Correr em Alumínio na cor branca - MAT + MO</t>
  </si>
  <si>
    <t>GR 2 -  - Guarda-Corpo em Alúminio  Anodizado Preto e Tela Quadriculada com Porta para acesso ao Jardim de Vazos; - MAT + MO</t>
  </si>
  <si>
    <t>GR 3 -  - Guarda-Corpo em Alúminio Anodizado Preto e Tela Quadriculada; - MAT + MO</t>
  </si>
  <si>
    <t>GR 5 -  - Corrimão em Barra Chata 50x10mm em Alúminio Natural Escovado - MAT + MO</t>
  </si>
  <si>
    <t>Área de Serviço - Peitoril - Peitoril em Granito Lucerna  1,79 x 0,075 m - MAT</t>
  </si>
  <si>
    <t>Área de Serviço - Peitoril - Peitoril em Quartzo Branco  1,79 x 0,075 m - MAT</t>
  </si>
  <si>
    <t>Lavabo 1 - Peitoril - Peitoril em Granito Lucerna  1,44 x 0,075 m - MAT</t>
  </si>
  <si>
    <t>Lavabo 1 - Peitoril - Peitoril em Quartzo Branco  1,44 x 0,075 m - MAT</t>
  </si>
  <si>
    <t>Lavabo 2 - Peitoril - Peitoril em Granito Cinza Castelo 0,57 x 0,075 m - MAT</t>
  </si>
  <si>
    <t>Lavabo 2 - Peitoril - Peitoril em Quartzo Branco  0,57 x 0,075 - MAT</t>
  </si>
  <si>
    <t>Estúdio - Peitoril - Peitoril em Granito Cinza Castelo 1,74  x 0,075 m - MAT</t>
  </si>
  <si>
    <t>Estúdio - Peitoril - Peitoril em Quartzo Branco  1,74 x 0,075 m - MAT</t>
  </si>
  <si>
    <t>Suíte - Peitoril - Peitoril em Granito Cinza Castelo 2,37  x 0,075 m - MAT</t>
  </si>
  <si>
    <t>Suíte - Peitoril - Peitoril em Quartzo Branco  2,37 x 0,075 m - MAT</t>
  </si>
  <si>
    <t>Closet - Peitoril - Peitoril em Granito Cinza Castelo 1,24  x 0,075 m - MAT</t>
  </si>
  <si>
    <t>Closet - Peitoril - Peitoril em Quartzo Branco  1,24 x 0,075 m - MAT</t>
  </si>
  <si>
    <t>Banheiro Súite - Peitoril - Peitoril em Granito Cinza Castelo 2,92  x 0,075 m - MAT</t>
  </si>
  <si>
    <t>Banheiro Suíte - Peitoril - Peitoril em Quartzo Branco  2,92 x 0,075 m - MAT</t>
  </si>
  <si>
    <t>Banheiro Súite - Peitoril - Peitoril em Granito Cinza Castelo 1,84  x 0,075 m - MAT</t>
  </si>
  <si>
    <t>Banheiro Suíte - Peitoril - Peitoril em Quartzo Branco  1,84 x 0,075 m - MAT</t>
  </si>
  <si>
    <t>Escritório - Peitoril - Peitoril em Granito Cinza Castelo 4,52  x 0,075 m - MAT</t>
  </si>
  <si>
    <t>Escritório - Peitoril - Peitoril em Quartzo Branco  4,52 x 0,075 m - MAT</t>
  </si>
  <si>
    <t>Quarto 1 - Peitoril - Peitoril em Granito Cinza Castelo 1,84  x 0,075 m - MAT</t>
  </si>
  <si>
    <t>Quarto 1 - Peitoril - Peitoril em Quartzo Branco  1,84 x 0,075 m - MAT</t>
  </si>
  <si>
    <t>Quarto 2 - Peitoril - Peitoril em Granito Cinza Castelo 0,54  x 0,075 m - MAT</t>
  </si>
  <si>
    <t>Quarto 2 - Peitoril - Peitoril em Quartzo Branco  0,54 x 0,075 m - MAT</t>
  </si>
  <si>
    <t>Banheiro 1 - Peitoril - Peitoril em Granito Cinza Castelo 1,64  x 0,075 m - MAT</t>
  </si>
  <si>
    <t>Banheiro 1 - Peitoril - Peitoril em Quartzo Branco  1,64 x 0,075 m - MAT</t>
  </si>
  <si>
    <t>Soleira - Varanda - Soleira em Granito Cinza Castelo 3,20 x 0,15 m - MAT</t>
  </si>
  <si>
    <t>Cobertura - Chapim - Chapim em Granito Cinza Castelo 43,76 x 0,15 m - MAT</t>
  </si>
  <si>
    <t>Cozinha - Bancada - Bancada Quarto Branco  com 3,46 x  0,80 m  com área molhada e seca e 3 furos. - MAT</t>
  </si>
  <si>
    <t>Cozinha - Bancada  - Bancada Quarto Branco  com 2,75 x  0,90 m com 2 ilhargas de 0,90 x 0,85 m - MAT</t>
  </si>
  <si>
    <t>Área de Serviço - Bancada - Bancada Quarto Branco  com 1,85 x  0,60 m com 1 furo. - MAT</t>
  </si>
  <si>
    <t>Lavabo 2 - Bancada - Bancada Quarto Branco  com 1,30 x  0,60 m com 3 furos. - MAT</t>
  </si>
  <si>
    <t>Banheiro Súite - Bancada - Bancada Quarto Branco  com 2,07 x  0,60 m com 8 furos. - MAT</t>
  </si>
  <si>
    <t>Banheiro Súite - Bancada - Bancada Quarto Branco  com 0,88 x  0,50 m com 8 furos. - MAT</t>
  </si>
  <si>
    <t>Banheiro - Bancada - Bancada Quarto Branco  com 1,00 x  0,60 m com 4 furos. - MAT</t>
  </si>
  <si>
    <t>Diversos de Mármores e Granitos</t>
  </si>
  <si>
    <t>Massa e Tinta Acrílica, acabamento fosco, cor Branco Neve - MAT + MO</t>
  </si>
  <si>
    <t>Massa e Tinta PVA, acabamento fosco, cor Branco Neve Fosco - MAT + MO</t>
  </si>
  <si>
    <t>Parede em cimento queimado - MAT + MO (estimativa)</t>
  </si>
  <si>
    <t>Guandu</t>
  </si>
  <si>
    <t>Fornecimento de Sistema de Aquecimento - Solar com apoio Elétrico : Reservatório térmico Horizontal Soria 400 litro / Aço Inox 316L - Alta pressão 40mca - MAT + MO</t>
  </si>
  <si>
    <t>Sistema de recirculação de água quente - MAT + MO</t>
  </si>
  <si>
    <t>Sistema de Pressurização - MAT + MO</t>
  </si>
  <si>
    <t>Despachante - Aprovação de Projeto na Light</t>
  </si>
  <si>
    <t>Despachante - Aprovação de Projeto na Naturgy</t>
  </si>
  <si>
    <t>Despachante - Aprovação de Projeto na Cedae</t>
  </si>
  <si>
    <t>Limpeza do terreno</t>
  </si>
  <si>
    <t>NHJ</t>
  </si>
  <si>
    <t>Piso Cimentotec, Pietra Revestimentos, - MAT</t>
  </si>
  <si>
    <t>Piso Cimentotec, Pietra Revestimentos, - MO</t>
  </si>
  <si>
    <t>Pietra Revestimentos</t>
  </si>
  <si>
    <t xml:space="preserve"> Textura Acrílica padrão cimento queimado em ripas de 10 x 120cm , Pietra Revestimentos, - MAT</t>
  </si>
  <si>
    <t xml:space="preserve"> Textura Acrílica padrão cimento queimado em ripas de 10 x 120cm , Pietra Revestimentos - MO</t>
  </si>
  <si>
    <t>Parede Cimentotec, Pietra Revestimentos, - MAT</t>
  </si>
  <si>
    <t>Parede Cimentotec, Pietra Revestimentos, - MO</t>
  </si>
  <si>
    <t>10.1.7</t>
  </si>
  <si>
    <t>GGP</t>
  </si>
  <si>
    <t>GR 6 -  - Guarda-Corpo em Alúminio Anodizado Preto; - MAT + MO</t>
  </si>
  <si>
    <t>GR 7 -  - Guarda-Corpo em Alúminio Anodizado Preto - MAT + MO</t>
  </si>
  <si>
    <t>GR 4 -  - Guarda-Corpo em Alúminio Preto - MAT + MO</t>
  </si>
  <si>
    <t>Pintura Suvinil Fundo Branco Epóxi + Suvinil pisos cor Amarela - MAT + MO</t>
  </si>
  <si>
    <t>Diveros de Estaca</t>
  </si>
  <si>
    <t xml:space="preserve">Rasa - Meet </t>
  </si>
  <si>
    <t>Cyrella</t>
  </si>
  <si>
    <t xml:space="preserve">Transmater </t>
  </si>
  <si>
    <t xml:space="preserve">Locação Miniescavadeira </t>
  </si>
  <si>
    <t>hr</t>
  </si>
  <si>
    <t>Mini escavadeira</t>
  </si>
  <si>
    <t>Diversos de Instalações</t>
  </si>
  <si>
    <t>Instalação Peitoris, Soleiras e Chapins - MO + MAT</t>
  </si>
  <si>
    <t>Ferragens para esquadriass de madeira (fechadura + drobradiça)</t>
  </si>
  <si>
    <t>Cobertura - Chapim - Chapim em Granito Cinza Castelo 15,25 x 0,15 m - MAT</t>
  </si>
  <si>
    <t>Guando - Estimativa</t>
  </si>
  <si>
    <t>Guarda corpo com 44  cabos de aço 5/8, piso laje, com 3 metros cada - MAT + MO</t>
  </si>
  <si>
    <t>Reforços no forro - MAT + MO</t>
  </si>
  <si>
    <t>CB1 -  - Clarabóia em alumínio em alumínio preto tudo retangular de 6x2 com vidro laminado de 8mm e silicone estrutural e acabamento com silicone neutro. - MAT + MO</t>
  </si>
  <si>
    <t>01.2.4</t>
  </si>
  <si>
    <t>Projeto de Instalações e Combate a Incêndio</t>
  </si>
  <si>
    <t>Base Rodrigo</t>
  </si>
  <si>
    <t>Projeto de Exaustão Mecânica e Ar Condicionado</t>
  </si>
  <si>
    <t>Consultoria e Gerenciamento de Resíduos</t>
  </si>
  <si>
    <t>Despachantes</t>
  </si>
  <si>
    <t>Ensaios Tecnológicos</t>
  </si>
  <si>
    <t>Ensaio PDM</t>
  </si>
  <si>
    <t>Ensaios Gradil</t>
  </si>
  <si>
    <t>Ensaio de Arrancamento</t>
  </si>
  <si>
    <t>Execução de Sondagem</t>
  </si>
  <si>
    <t>Serviços de ligações provisórias de energia</t>
  </si>
  <si>
    <t>Instalações Provisórias - MAT + MO</t>
  </si>
  <si>
    <t>Instalações - Aprovação de Esgoto Provisório</t>
  </si>
  <si>
    <t>Laudo de Vistoria de Vizinhos</t>
  </si>
  <si>
    <t>Laudo de Aterramento</t>
  </si>
  <si>
    <t>01.2.5</t>
  </si>
  <si>
    <t>Confecção de Barracão - MAT + MO</t>
  </si>
  <si>
    <t>Mobiliário para Áreas de Vivência</t>
  </si>
  <si>
    <t>Transição das áreas de vivência para interior da obra</t>
  </si>
  <si>
    <t>Manutenção canteiro</t>
  </si>
  <si>
    <t>02.1.4</t>
  </si>
  <si>
    <t>Rodrigo, planilha</t>
  </si>
  <si>
    <t>Monitoramento Sistema de Segurança</t>
  </si>
  <si>
    <t>05.3.2</t>
  </si>
  <si>
    <t>Material para instalações provisórias</t>
  </si>
  <si>
    <t>Tubo Coletor de Entulho Intermediário</t>
  </si>
  <si>
    <t>Tubo Coletor de Etulho Superior</t>
  </si>
  <si>
    <t>Tubo Coletor de Entulho Reto</t>
  </si>
  <si>
    <t>Estrutura de Apoio (EA)</t>
  </si>
  <si>
    <t>Avaliação de Agente Químico (Poeira)</t>
  </si>
  <si>
    <t>Avaliação de Podeira Respirável</t>
  </si>
  <si>
    <t>Avaliação de Calor</t>
  </si>
  <si>
    <t>Avaliação de Vibração</t>
  </si>
  <si>
    <t>Exame de Dosimetria de Ruído</t>
  </si>
  <si>
    <t>Laudo Egonômico - NR 17</t>
  </si>
  <si>
    <t>Elaboração de PPP</t>
  </si>
  <si>
    <t>Proteção de Piso</t>
  </si>
  <si>
    <t>Proteção de Piso de Poliet. Audo Ades RL625 x 200MM</t>
  </si>
  <si>
    <t>02.1.5</t>
  </si>
  <si>
    <t>Elevador Tipo Cremalheira Simples</t>
  </si>
  <si>
    <t>Cremalheira - Montagem e Desmontagem Cremalheira</t>
  </si>
  <si>
    <t>Cremalheira - Frete</t>
  </si>
  <si>
    <t>Consultoria para Cremalheira Simples</t>
  </si>
  <si>
    <t>Minigrua - Aluguel</t>
  </si>
  <si>
    <t>Minigrua - Mobilização e Desmobilização</t>
  </si>
  <si>
    <t>04.1.3</t>
  </si>
  <si>
    <t>Andaime Suspenso Leve</t>
  </si>
  <si>
    <t>04.1.4</t>
  </si>
  <si>
    <t>Andaime Suspenso Leve - Aluguel</t>
  </si>
  <si>
    <t>Andaime Suspenso Leve - Frete</t>
  </si>
  <si>
    <t>Andaime Suspenso Leve - Desmontagem</t>
  </si>
  <si>
    <t>Andaime Suspenso Leve - Montagem</t>
  </si>
  <si>
    <t>cj</t>
  </si>
  <si>
    <t>Andaime Tubular Fachadeiro - Montagem</t>
  </si>
  <si>
    <t>Andaime Tubular Fachadeiro - Desmontagem</t>
  </si>
  <si>
    <t>Andaime Tubular Fachadeiro - Frete</t>
  </si>
  <si>
    <t>Sistema de Ancoragem</t>
  </si>
  <si>
    <t>Ancoragem - MAT + MO</t>
  </si>
  <si>
    <t>Compra de Equipamentos</t>
  </si>
  <si>
    <t>Manutenção de Equipamentos</t>
  </si>
  <si>
    <t>Compra de Ferramentas</t>
  </si>
  <si>
    <t>Equipamentos de Informática</t>
  </si>
  <si>
    <t>Locação de Impressora</t>
  </si>
  <si>
    <t>04.1.7</t>
  </si>
  <si>
    <t>06.1.2</t>
  </si>
  <si>
    <t>05.1.2</t>
  </si>
  <si>
    <t>01.01.2661</t>
  </si>
  <si>
    <t>01.01.2662</t>
  </si>
  <si>
    <t>01.01.2663</t>
  </si>
  <si>
    <t>01.01.2664</t>
  </si>
  <si>
    <t>01.01.2665</t>
  </si>
  <si>
    <t>01.01.2666</t>
  </si>
  <si>
    <t>01.01.2667</t>
  </si>
  <si>
    <t>01.01.2668</t>
  </si>
  <si>
    <t>01.01.2669</t>
  </si>
  <si>
    <t>01.01.2670</t>
  </si>
  <si>
    <t>01.01.2671</t>
  </si>
  <si>
    <t>01.01.2672</t>
  </si>
  <si>
    <t>01.01.2673</t>
  </si>
  <si>
    <t>01.01.2674</t>
  </si>
  <si>
    <t>01.01.2675</t>
  </si>
  <si>
    <t>01.01.2676</t>
  </si>
  <si>
    <t>01.01.2677</t>
  </si>
  <si>
    <t>01.01.2678</t>
  </si>
  <si>
    <t>01.01.2679</t>
  </si>
  <si>
    <t>01.01.2680</t>
  </si>
  <si>
    <t>01.01.2681</t>
  </si>
  <si>
    <t>01.01.2682</t>
  </si>
  <si>
    <t>01.01.2683</t>
  </si>
  <si>
    <t>01.01.2684</t>
  </si>
  <si>
    <t>01.01.2685</t>
  </si>
  <si>
    <t>01.01.2686</t>
  </si>
  <si>
    <t>01.01.2687</t>
  </si>
  <si>
    <t>01.01.2688</t>
  </si>
  <si>
    <t>01.01.2689</t>
  </si>
  <si>
    <t>Agente Especial</t>
  </si>
  <si>
    <t>Auxiliar de Portaria</t>
  </si>
  <si>
    <t>Serviços de Limpeza</t>
  </si>
  <si>
    <t>05.4.1</t>
  </si>
  <si>
    <t>5.5.</t>
  </si>
  <si>
    <t>05.5.1</t>
  </si>
  <si>
    <t>Consumo de Luz</t>
  </si>
  <si>
    <t>Consumo de Água</t>
  </si>
  <si>
    <t>Consumo de Telefone</t>
  </si>
  <si>
    <t>Provedor de Internet</t>
  </si>
  <si>
    <t>Uniforme</t>
  </si>
  <si>
    <t>EPI</t>
  </si>
  <si>
    <t>Limpeza da Caixa D'água de Barracão</t>
  </si>
  <si>
    <t>Dedetização, Desintização e Desratização</t>
  </si>
  <si>
    <t>Gabarito - Material + Mão de Obra</t>
  </si>
  <si>
    <t>Levantamento Topográfico</t>
  </si>
  <si>
    <t>Locação da Obra</t>
  </si>
  <si>
    <t>Escavação Mecânica - Mão de obra</t>
  </si>
  <si>
    <t>Escavação Manual ( Acerto de Terreno ) - Mão de Obra</t>
  </si>
  <si>
    <t>Escavação Manual - Blocos e Cintas - Mão de Obra</t>
  </si>
  <si>
    <t>Reaterro Manual - Blocos e Cintas - Mão de Obra</t>
  </si>
  <si>
    <t>Concreto Magro Usinado</t>
  </si>
  <si>
    <t>Lona Plastica ESP. 80 Micras</t>
  </si>
  <si>
    <t>Lançamento de Concreto Magro - Mão de Obra</t>
  </si>
  <si>
    <t>Forma - Material e Mão de obra</t>
  </si>
  <si>
    <t>Lançamento de Concreto - Mão de Obra</t>
  </si>
  <si>
    <t>01.01.2690</t>
  </si>
  <si>
    <t>01.01.2691</t>
  </si>
  <si>
    <t>01.01.2692</t>
  </si>
  <si>
    <t>01.01.2693</t>
  </si>
  <si>
    <t>01.01.2694</t>
  </si>
  <si>
    <t>01.01.2695</t>
  </si>
  <si>
    <t>01.01.2696</t>
  </si>
  <si>
    <t>01.01.2697</t>
  </si>
  <si>
    <t>01.01.2698</t>
  </si>
  <si>
    <t>01.01.2699</t>
  </si>
  <si>
    <t>01.01.2700</t>
  </si>
  <si>
    <t>01.01.2701</t>
  </si>
  <si>
    <t>01.01.2702</t>
  </si>
  <si>
    <t>01.01.2703</t>
  </si>
  <si>
    <t>01.01.2704</t>
  </si>
  <si>
    <t>01.01.2705</t>
  </si>
  <si>
    <t>01.01.2706</t>
  </si>
  <si>
    <t>01.01.2707</t>
  </si>
  <si>
    <t>01.01.2708</t>
  </si>
  <si>
    <t>01.01.2709</t>
  </si>
  <si>
    <t>01.01.2710</t>
  </si>
  <si>
    <t>01.01.2711</t>
  </si>
  <si>
    <t>01.01.2712</t>
  </si>
  <si>
    <t>01.01.2713</t>
  </si>
  <si>
    <t>01.01.2714</t>
  </si>
  <si>
    <t>01.01.2715</t>
  </si>
  <si>
    <t>01.01.2716</t>
  </si>
  <si>
    <t>01.01.2717</t>
  </si>
  <si>
    <t>01.01.2718</t>
  </si>
  <si>
    <t>01.01.2719</t>
  </si>
  <si>
    <t>01.01.2720</t>
  </si>
  <si>
    <t>01.01.2721</t>
  </si>
  <si>
    <t>01.01.2722</t>
  </si>
  <si>
    <t>01.01.2723</t>
  </si>
  <si>
    <t>01.01.2724</t>
  </si>
  <si>
    <t>01.01.2725</t>
  </si>
  <si>
    <t>01.01.2726</t>
  </si>
  <si>
    <t>01.01.2727</t>
  </si>
  <si>
    <t>01.01.2728</t>
  </si>
  <si>
    <t>01.01.2729</t>
  </si>
  <si>
    <t>01.01.2730</t>
  </si>
  <si>
    <t>01.01.2731</t>
  </si>
  <si>
    <t>01.01.2732</t>
  </si>
  <si>
    <t>01.01.2733</t>
  </si>
  <si>
    <t>01.01.2734</t>
  </si>
  <si>
    <t>01.01.2735</t>
  </si>
  <si>
    <t>01.01.2736</t>
  </si>
  <si>
    <t>01.01.2737</t>
  </si>
  <si>
    <t>01.01.2738</t>
  </si>
  <si>
    <t>01.01.2739</t>
  </si>
  <si>
    <t>01.01.2740</t>
  </si>
  <si>
    <t>01.01.2741</t>
  </si>
  <si>
    <t>01.01.2742</t>
  </si>
  <si>
    <t>01.01.2743</t>
  </si>
  <si>
    <t>01.01.2744</t>
  </si>
  <si>
    <t>01.01.2745</t>
  </si>
  <si>
    <t>01.01.2746</t>
  </si>
  <si>
    <t>01.01.2747</t>
  </si>
  <si>
    <t>01.01.2748</t>
  </si>
  <si>
    <t>01.01.2749</t>
  </si>
  <si>
    <t>01.01.2750</t>
  </si>
  <si>
    <t>01.01.2751</t>
  </si>
  <si>
    <t>01.01.2752</t>
  </si>
  <si>
    <t>01.01.2753</t>
  </si>
  <si>
    <t>01.01.2754</t>
  </si>
  <si>
    <t>01.01.2755</t>
  </si>
  <si>
    <t>01.01.2756</t>
  </si>
  <si>
    <t>01.01.2757</t>
  </si>
  <si>
    <t>01.01.2758</t>
  </si>
  <si>
    <t>01.01.2759</t>
  </si>
  <si>
    <t>01.01.2760</t>
  </si>
  <si>
    <t>01.01.2761</t>
  </si>
  <si>
    <t>01.01.2762</t>
  </si>
  <si>
    <t>01.01.2763</t>
  </si>
  <si>
    <t>01.01.2764</t>
  </si>
  <si>
    <t>01.01.2765</t>
  </si>
  <si>
    <t>01.01.2766</t>
  </si>
  <si>
    <t>01.01.2767</t>
  </si>
  <si>
    <t>01.01.2768</t>
  </si>
  <si>
    <t>01.01.2769</t>
  </si>
  <si>
    <t>01.01.2770</t>
  </si>
  <si>
    <t>01.01.2771</t>
  </si>
  <si>
    <t>01.01.2772</t>
  </si>
  <si>
    <t>01.01.2773</t>
  </si>
  <si>
    <t>01.01.2774</t>
  </si>
  <si>
    <t>01.01.2775</t>
  </si>
  <si>
    <t>01.01.2776</t>
  </si>
  <si>
    <t>01.01.2777</t>
  </si>
  <si>
    <t>01.01.2778</t>
  </si>
  <si>
    <t>01.01.2779</t>
  </si>
  <si>
    <t>01.01.2780</t>
  </si>
  <si>
    <t>01.01.2781</t>
  </si>
  <si>
    <t>01.01.2782</t>
  </si>
  <si>
    <t>01.01.2783</t>
  </si>
  <si>
    <t>01.01.2784</t>
  </si>
  <si>
    <t>01.01.2785</t>
  </si>
  <si>
    <t>01.01.2786</t>
  </si>
  <si>
    <t>01.01.2787</t>
  </si>
  <si>
    <t>01.01.2788</t>
  </si>
  <si>
    <t>01.01.2789</t>
  </si>
  <si>
    <t>01.01.2790</t>
  </si>
  <si>
    <t>01.01.2791</t>
  </si>
  <si>
    <t>01.01.2792</t>
  </si>
  <si>
    <t>01.01.2793</t>
  </si>
  <si>
    <t>01.01.2794</t>
  </si>
  <si>
    <t>01.01.2795</t>
  </si>
  <si>
    <t>01.01.2796</t>
  </si>
  <si>
    <t>01.01.2797</t>
  </si>
  <si>
    <t>01.01.2798</t>
  </si>
  <si>
    <t>01.01.2799</t>
  </si>
  <si>
    <t>01.01.2800</t>
  </si>
  <si>
    <t>01.01.2801</t>
  </si>
  <si>
    <t>01.01.2802</t>
  </si>
  <si>
    <t>01.01.2803</t>
  </si>
  <si>
    <t>01.01.2804</t>
  </si>
  <si>
    <t>01.01.2805</t>
  </si>
  <si>
    <t>01.01.2806</t>
  </si>
  <si>
    <t>01.01.2807</t>
  </si>
  <si>
    <t>01.01.2808</t>
  </si>
  <si>
    <t>01.01.2809</t>
  </si>
  <si>
    <t>01.01.2810</t>
  </si>
  <si>
    <t>01.01.2811</t>
  </si>
  <si>
    <t>01.01.2812</t>
  </si>
  <si>
    <t>01.01.2813</t>
  </si>
  <si>
    <t>01.01.2814</t>
  </si>
  <si>
    <t>01.01.2815</t>
  </si>
  <si>
    <t>01.01.2816</t>
  </si>
  <si>
    <t>01.01.2817</t>
  </si>
  <si>
    <t>01.01.2818</t>
  </si>
  <si>
    <t>01.01.2819</t>
  </si>
  <si>
    <t>01.01.2820</t>
  </si>
  <si>
    <t>01.01.2821</t>
  </si>
  <si>
    <t>01.01.2822</t>
  </si>
  <si>
    <t>01.01.2823</t>
  </si>
  <si>
    <t>01.01.2824</t>
  </si>
  <si>
    <t>01.01.2825</t>
  </si>
  <si>
    <t>01.01.2826</t>
  </si>
  <si>
    <t>01.01.2827</t>
  </si>
  <si>
    <t>01.01.2828</t>
  </si>
  <si>
    <t>01.01.2829</t>
  </si>
  <si>
    <t>01.01.2830</t>
  </si>
  <si>
    <t>01.01.2831</t>
  </si>
  <si>
    <t>01.01.2832</t>
  </si>
  <si>
    <t>01.01.2833</t>
  </si>
  <si>
    <t>01.01.2834</t>
  </si>
  <si>
    <t>01.01.2835</t>
  </si>
  <si>
    <t>01.01.2836</t>
  </si>
  <si>
    <t>01.01.2837</t>
  </si>
  <si>
    <t>01.01.2838</t>
  </si>
  <si>
    <t>01.01.2839</t>
  </si>
  <si>
    <t>01.01.2840</t>
  </si>
  <si>
    <t>01.01.2841</t>
  </si>
  <si>
    <t>01.01.2842</t>
  </si>
  <si>
    <t>01.01.2843</t>
  </si>
  <si>
    <t>01.01.2844</t>
  </si>
  <si>
    <t>01.01.2845</t>
  </si>
  <si>
    <t>01.01.2846</t>
  </si>
  <si>
    <t>01.01.2847</t>
  </si>
  <si>
    <t>01.01.2848</t>
  </si>
  <si>
    <t>01.01.2849</t>
  </si>
  <si>
    <t>01.01.2850</t>
  </si>
  <si>
    <t>01.01.2851</t>
  </si>
  <si>
    <t>01.01.2852</t>
  </si>
  <si>
    <t>01.01.2853</t>
  </si>
  <si>
    <t>01.01.2854</t>
  </si>
  <si>
    <t>01.01.2855</t>
  </si>
  <si>
    <t>01.01.2856</t>
  </si>
  <si>
    <t>01.01.2857</t>
  </si>
  <si>
    <t>01.01.2858</t>
  </si>
  <si>
    <t>01.01.2859</t>
  </si>
  <si>
    <t>01.01.2860</t>
  </si>
  <si>
    <t>01.01.2861</t>
  </si>
  <si>
    <t>01.01.2862</t>
  </si>
  <si>
    <t>01.01.2863</t>
  </si>
  <si>
    <t>01.01.2864</t>
  </si>
  <si>
    <t>01.01.2865</t>
  </si>
  <si>
    <t>01.01.2866</t>
  </si>
  <si>
    <t>01.01.2867</t>
  </si>
  <si>
    <t>01.01.2868</t>
  </si>
  <si>
    <t>01.01.2869</t>
  </si>
  <si>
    <t>01.01.2870</t>
  </si>
  <si>
    <t>01.01.2871</t>
  </si>
  <si>
    <t>01.01.2872</t>
  </si>
  <si>
    <t>01.01.2873</t>
  </si>
  <si>
    <t>01.01.2874</t>
  </si>
  <si>
    <t>01.01.2875</t>
  </si>
  <si>
    <t>01.01.2876</t>
  </si>
  <si>
    <t>01.01.2877</t>
  </si>
  <si>
    <t>01.01.2878</t>
  </si>
  <si>
    <t>01.01.2879</t>
  </si>
  <si>
    <t>01.01.2880</t>
  </si>
  <si>
    <t>01.01.2881</t>
  </si>
  <si>
    <t>01.01.2882</t>
  </si>
  <si>
    <t>01.01.2883</t>
  </si>
  <si>
    <t>01.01.2884</t>
  </si>
  <si>
    <t>01.01.2885</t>
  </si>
  <si>
    <t>01.01.2886</t>
  </si>
  <si>
    <t>01.01.2887</t>
  </si>
  <si>
    <t>01.01.2888</t>
  </si>
  <si>
    <t>01.01.2889</t>
  </si>
  <si>
    <t>01.01.2890</t>
  </si>
  <si>
    <t>01.01.2891</t>
  </si>
  <si>
    <t>01.01.2892</t>
  </si>
  <si>
    <t>01.01.2893</t>
  </si>
  <si>
    <t>01.01.2894</t>
  </si>
  <si>
    <t>01.01.2895</t>
  </si>
  <si>
    <t>01.01.2896</t>
  </si>
  <si>
    <t>01.01.2897</t>
  </si>
  <si>
    <t>01.01.2898</t>
  </si>
  <si>
    <t>01.01.2899</t>
  </si>
  <si>
    <t>01.01.2900</t>
  </si>
  <si>
    <t>01.01.2901</t>
  </si>
  <si>
    <t>01.01.2902</t>
  </si>
  <si>
    <t>01.01.2903</t>
  </si>
  <si>
    <t>01.01.2904</t>
  </si>
  <si>
    <t>01.01.2905</t>
  </si>
  <si>
    <t>01.01.2906</t>
  </si>
  <si>
    <t>01.01.2907</t>
  </si>
  <si>
    <t>01.01.2908</t>
  </si>
  <si>
    <t>01.01.2909</t>
  </si>
  <si>
    <t>01.01.2910</t>
  </si>
  <si>
    <t>01.01.2911</t>
  </si>
  <si>
    <t>01.01.2912</t>
  </si>
  <si>
    <t>01.01.2913</t>
  </si>
  <si>
    <t>01.01.2914</t>
  </si>
  <si>
    <t>01.01.2915</t>
  </si>
  <si>
    <t>01.01.2916</t>
  </si>
  <si>
    <t>01.01.2917</t>
  </si>
  <si>
    <t>01.01.2918</t>
  </si>
  <si>
    <t>01.01.2919</t>
  </si>
  <si>
    <t>01.01.2920</t>
  </si>
  <si>
    <t>01.01.2921</t>
  </si>
  <si>
    <t>01.01.2922</t>
  </si>
  <si>
    <t>01.01.2923</t>
  </si>
  <si>
    <t>01.01.2924</t>
  </si>
  <si>
    <t>01.01.2925</t>
  </si>
  <si>
    <t>01.01.2926</t>
  </si>
  <si>
    <t>01.01.2927</t>
  </si>
  <si>
    <t>01.01.2928</t>
  </si>
  <si>
    <t>01.01.2929</t>
  </si>
  <si>
    <t>01.01.2930</t>
  </si>
  <si>
    <t>01.01.2931</t>
  </si>
  <si>
    <t>01.01.2932</t>
  </si>
  <si>
    <t>01.01.2933</t>
  </si>
  <si>
    <t>01.01.2934</t>
  </si>
  <si>
    <t>01.01.2935</t>
  </si>
  <si>
    <t>01.01.2936</t>
  </si>
  <si>
    <t>01.01.2937</t>
  </si>
  <si>
    <t>01.01.2938</t>
  </si>
  <si>
    <t>01.01.2939</t>
  </si>
  <si>
    <t>01.01.2940</t>
  </si>
  <si>
    <t>01.01.2941</t>
  </si>
  <si>
    <t>01.01.2942</t>
  </si>
  <si>
    <t>01.01.2943</t>
  </si>
  <si>
    <t>01.01.2944</t>
  </si>
  <si>
    <t>01.01.2945</t>
  </si>
  <si>
    <t>01.01.2946</t>
  </si>
  <si>
    <t>01.01.2947</t>
  </si>
  <si>
    <t>01.01.2948</t>
  </si>
  <si>
    <t>01.01.2949</t>
  </si>
  <si>
    <t>01.01.2950</t>
  </si>
  <si>
    <t>01.01.2951</t>
  </si>
  <si>
    <t>01.01.2952</t>
  </si>
  <si>
    <t>01.01.2953</t>
  </si>
  <si>
    <t>01.01.2954</t>
  </si>
  <si>
    <t>01.01.2955</t>
  </si>
  <si>
    <t>01.01.2956</t>
  </si>
  <si>
    <t>01.01.2957</t>
  </si>
  <si>
    <t>01.01.2958</t>
  </si>
  <si>
    <t>01.01.2959</t>
  </si>
  <si>
    <t>01.01.2960</t>
  </si>
  <si>
    <t>01.01.2961</t>
  </si>
  <si>
    <t>01.01.2962</t>
  </si>
  <si>
    <t>01.01.2963</t>
  </si>
  <si>
    <t>01.01.2964</t>
  </si>
  <si>
    <t>01.01.2965</t>
  </si>
  <si>
    <t>01.01.2966</t>
  </si>
  <si>
    <t>01.01.2967</t>
  </si>
  <si>
    <t>01.01.2968</t>
  </si>
  <si>
    <t>01.01.2969</t>
  </si>
  <si>
    <t>01.01.2970</t>
  </si>
  <si>
    <t>01.01.2971</t>
  </si>
  <si>
    <t>01.01.2972</t>
  </si>
  <si>
    <t>01.01.2973</t>
  </si>
  <si>
    <t>01.01.2974</t>
  </si>
  <si>
    <t>01.01.2975</t>
  </si>
  <si>
    <t>01.01.2976</t>
  </si>
  <si>
    <t>01.01.2977</t>
  </si>
  <si>
    <t>01.01.2978</t>
  </si>
  <si>
    <t>01.01.2979</t>
  </si>
  <si>
    <t>01.01.2980</t>
  </si>
  <si>
    <t>01.01.2981</t>
  </si>
  <si>
    <t>01.01.2982</t>
  </si>
  <si>
    <t>01.01.2983</t>
  </si>
  <si>
    <t>01.01.2984</t>
  </si>
  <si>
    <t>01.01.2985</t>
  </si>
  <si>
    <t>01.01.2986</t>
  </si>
  <si>
    <t>01.01.2987</t>
  </si>
  <si>
    <t>01.01.2988</t>
  </si>
  <si>
    <t>01.01.2989</t>
  </si>
  <si>
    <t>01.01.2990</t>
  </si>
  <si>
    <t>01.01.2991</t>
  </si>
  <si>
    <t>01.01.2992</t>
  </si>
  <si>
    <t>01.01.2993</t>
  </si>
  <si>
    <t>01.01.2994</t>
  </si>
  <si>
    <t>01.01.2995</t>
  </si>
  <si>
    <t>01.01.2996</t>
  </si>
  <si>
    <t>01.01.2997</t>
  </si>
  <si>
    <t>01.01.2998</t>
  </si>
  <si>
    <t>01.01.2999</t>
  </si>
  <si>
    <t>01.01.3000</t>
  </si>
  <si>
    <t>01.01.3001</t>
  </si>
  <si>
    <t>01.01.3002</t>
  </si>
  <si>
    <t>01.01.3003</t>
  </si>
  <si>
    <t>01.01.3004</t>
  </si>
  <si>
    <t>01.01.3005</t>
  </si>
  <si>
    <t>01.01.3006</t>
  </si>
  <si>
    <t>01.01.3007</t>
  </si>
  <si>
    <t>01.01.3008</t>
  </si>
  <si>
    <t>01.01.3009</t>
  </si>
  <si>
    <t>01.01.3010</t>
  </si>
  <si>
    <t>01.01.3011</t>
  </si>
  <si>
    <t>01.01.3012</t>
  </si>
  <si>
    <t>01.01.3013</t>
  </si>
  <si>
    <t>01.01.3014</t>
  </si>
  <si>
    <t>01.01.3015</t>
  </si>
  <si>
    <t>01.01.3016</t>
  </si>
  <si>
    <t>01.01.3017</t>
  </si>
  <si>
    <t>01.01.3018</t>
  </si>
  <si>
    <t>01.01.3019</t>
  </si>
  <si>
    <t>01.01.3020</t>
  </si>
  <si>
    <t>01.01.3021</t>
  </si>
  <si>
    <t>01.01.3022</t>
  </si>
  <si>
    <t>01.01.3023</t>
  </si>
  <si>
    <t>01.01.3024</t>
  </si>
  <si>
    <t>01.01.3025</t>
  </si>
  <si>
    <t>01.01.3026</t>
  </si>
  <si>
    <t>01.01.3027</t>
  </si>
  <si>
    <t>01.01.3028</t>
  </si>
  <si>
    <t>01.01.3029</t>
  </si>
  <si>
    <t>01.01.3030</t>
  </si>
  <si>
    <t>01.01.3031</t>
  </si>
  <si>
    <t>01.01.3032</t>
  </si>
  <si>
    <t>01.01.3033</t>
  </si>
  <si>
    <t>01.01.3034</t>
  </si>
  <si>
    <t>01.01.3035</t>
  </si>
  <si>
    <t>01.01.3036</t>
  </si>
  <si>
    <t>01.01.3037</t>
  </si>
  <si>
    <t>01.01.3038</t>
  </si>
  <si>
    <t>01.01.3039</t>
  </si>
  <si>
    <t>01.01.3040</t>
  </si>
  <si>
    <t>01.01.3041</t>
  </si>
  <si>
    <t>01.01.3042</t>
  </si>
  <si>
    <t>01.01.3043</t>
  </si>
  <si>
    <t>01.01.3044</t>
  </si>
  <si>
    <t>01.01.3045</t>
  </si>
  <si>
    <t>01.01.3046</t>
  </si>
  <si>
    <t>01.01.3047</t>
  </si>
  <si>
    <t>01.01.3048</t>
  </si>
  <si>
    <t>01.01.3049</t>
  </si>
  <si>
    <t>01.01.3050</t>
  </si>
  <si>
    <t>01.01.3051</t>
  </si>
  <si>
    <t>01.01.3052</t>
  </si>
  <si>
    <t>01.01.3053</t>
  </si>
  <si>
    <t>01.01.3054</t>
  </si>
  <si>
    <t>01.01.3055</t>
  </si>
  <si>
    <t>01.01.3056</t>
  </si>
  <si>
    <t>01.01.3057</t>
  </si>
  <si>
    <t>01.01.3058</t>
  </si>
  <si>
    <t>01.01.3059</t>
  </si>
  <si>
    <t>01.01.3060</t>
  </si>
  <si>
    <t>01.01.3061</t>
  </si>
  <si>
    <t>01.01.3062</t>
  </si>
  <si>
    <t>01.01.3063</t>
  </si>
  <si>
    <t>01.01.3064</t>
  </si>
  <si>
    <t>01.01.3065</t>
  </si>
  <si>
    <t>01.01.3066</t>
  </si>
  <si>
    <t>01.01.3067</t>
  </si>
  <si>
    <t>01.01.3068</t>
  </si>
  <si>
    <t>01.01.3069</t>
  </si>
  <si>
    <t>01.01.3070</t>
  </si>
  <si>
    <t>01.01.3071</t>
  </si>
  <si>
    <t>01.01.3072</t>
  </si>
  <si>
    <t>01.01.3073</t>
  </si>
  <si>
    <t>01.01.3074</t>
  </si>
  <si>
    <t>01.01.3075</t>
  </si>
  <si>
    <t>01.01.3076</t>
  </si>
  <si>
    <t>01.01.3077</t>
  </si>
  <si>
    <t>01.01.3078</t>
  </si>
  <si>
    <t>01.01.3079</t>
  </si>
  <si>
    <t>01.01.3080</t>
  </si>
  <si>
    <t>01.01.3081</t>
  </si>
  <si>
    <t>01.01.3082</t>
  </si>
  <si>
    <t>01.01.3083</t>
  </si>
  <si>
    <t>01.01.3084</t>
  </si>
  <si>
    <t>01.01.3085</t>
  </si>
  <si>
    <t>01.01.3086</t>
  </si>
  <si>
    <t>01.01.3087</t>
  </si>
  <si>
    <t>01.01.3088</t>
  </si>
  <si>
    <t>01.01.3089</t>
  </si>
  <si>
    <t>01.01.3090</t>
  </si>
  <si>
    <t>01.01.3091</t>
  </si>
  <si>
    <t>01.01.3092</t>
  </si>
  <si>
    <t>01.01.3093</t>
  </si>
  <si>
    <t>01.01.3094</t>
  </si>
  <si>
    <t>01.01.3095</t>
  </si>
  <si>
    <t>01.01.3096</t>
  </si>
  <si>
    <t>01.01.3097</t>
  </si>
  <si>
    <t>01.01.3098</t>
  </si>
  <si>
    <t>01.01.3099</t>
  </si>
  <si>
    <t>01.01.3100</t>
  </si>
  <si>
    <t>01.01.3101</t>
  </si>
  <si>
    <t>01.01.3102</t>
  </si>
  <si>
    <t>01.01.3103</t>
  </si>
  <si>
    <t>01.01.3104</t>
  </si>
  <si>
    <t>01.01.3105</t>
  </si>
  <si>
    <t>01.01.3106</t>
  </si>
  <si>
    <t>01.01.3107</t>
  </si>
  <si>
    <t>01.01.3108</t>
  </si>
  <si>
    <t>01.01.3109</t>
  </si>
  <si>
    <t>01.01.3110</t>
  </si>
  <si>
    <t>01.01.3111</t>
  </si>
  <si>
    <t>01.01.3112</t>
  </si>
  <si>
    <t>Manufaturamento do Aço</t>
  </si>
  <si>
    <t>Arame Galv. 18</t>
  </si>
  <si>
    <t>Espaçadore Genérico</t>
  </si>
  <si>
    <t>Agente de Cura 42 Hagen do BR</t>
  </si>
  <si>
    <t>Alvenaria Bloco de Cerâmico 14x19x39</t>
  </si>
  <si>
    <t>Alvenaria Bloco de Cerâmico 19x19x39</t>
  </si>
  <si>
    <t>Diversos de Alvenaria</t>
  </si>
  <si>
    <t>Tela de Arame Soldado Malha 15 Fio 1,65 MM ( Pç c/ 12,0 x 50 cm )</t>
  </si>
  <si>
    <t>Kit porta Pronta 0,72 x 2,10 - Material</t>
  </si>
  <si>
    <t>Kit porta Pronta 0,82 x 2,10 - Material</t>
  </si>
  <si>
    <t>Instalação Kit porta Pronta - Mão de Obra</t>
  </si>
  <si>
    <t>Chumbação de Esquadrias de Alumínio</t>
  </si>
  <si>
    <t>Esquadrias de Alumínio - Material e Mão de Obra</t>
  </si>
  <si>
    <t>Cimento Portland CPIII 40 RS 50 KGs</t>
  </si>
  <si>
    <t>Areia Media Lavada</t>
  </si>
  <si>
    <t>Super Grout SC 25 KGs</t>
  </si>
  <si>
    <t>Selante Dow Corning 791, Bisnaga 300g</t>
  </si>
  <si>
    <t>bng</t>
  </si>
  <si>
    <t>Esquadria de Ferro</t>
  </si>
  <si>
    <t>Corrimão em Ferro Escada Enclausurada - Material e Mão de Obra</t>
  </si>
  <si>
    <t>Caixa de Embutir Incêncio - Material e Mão de Obra</t>
  </si>
  <si>
    <t>Chumbação Porta do Elevador - Material e Mão de Obra</t>
  </si>
  <si>
    <t>Chumbação de Porta Corta Fogo - Mão de Obra</t>
  </si>
  <si>
    <t>Porta Corta Fogo 0,90 x 2,10</t>
  </si>
  <si>
    <t>und</t>
  </si>
  <si>
    <t>Vidros Planos</t>
  </si>
  <si>
    <t>Vidro Incolor 4mm</t>
  </si>
  <si>
    <t>Vidros Laminados</t>
  </si>
  <si>
    <t>Vidro Laminado Incolor 8mm</t>
  </si>
  <si>
    <t>Impermeabilização com Epoxi</t>
  </si>
  <si>
    <t>Impermeabilização com argamassa polimérica - Material e Mão de obra</t>
  </si>
  <si>
    <t>Impermeabilização com Epoxi - Material Mão de Obra</t>
  </si>
  <si>
    <t>Impermeabilização com Isol. Térmico e Manta tipo III 3 mm - Material e Mão de Obra</t>
  </si>
  <si>
    <t>Chapisco</t>
  </si>
  <si>
    <t>Chapisco Interno -Mão de obra</t>
  </si>
  <si>
    <t>Aditivo Base PVA Wonderbond AM712 ( Barrica 55 KG's )</t>
  </si>
  <si>
    <t>br</t>
  </si>
  <si>
    <t>Emboço Externo</t>
  </si>
  <si>
    <t>Emboço Paulista Interno - Mão de Obra</t>
  </si>
  <si>
    <t>Cerâmica Padrão para Talistacamento - Material</t>
  </si>
  <si>
    <t>Cal Hidratada CH-1 Saco c/ 20 Kg</t>
  </si>
  <si>
    <t>Estuque de Gesso em Parede - Material e Mão de Obra</t>
  </si>
  <si>
    <t>Estuque de Gesso em Teto - Material e Mão de Obra</t>
  </si>
  <si>
    <t>Forro em Gesso Plaquinha - Material e Mão de Obra</t>
  </si>
  <si>
    <t>Revestimento de Parede - Mão de Obra</t>
  </si>
  <si>
    <r>
      <t>m</t>
    </r>
    <r>
      <rPr>
        <b/>
        <sz val="9"/>
        <color theme="1"/>
        <rFont val="Calibri"/>
        <family val="2"/>
        <scheme val="minor"/>
      </rPr>
      <t>²</t>
    </r>
  </si>
  <si>
    <t>Cerâmica Biancogres, Classic Branco Acetinado Bold, 33 x 61 cm</t>
  </si>
  <si>
    <t>Argamassa Colante AC-II Quartzolit - Saco c/20 KGs</t>
  </si>
  <si>
    <t>Rejunte para Pisos e Azulejos</t>
  </si>
  <si>
    <t>Pastilha Atlas, Guarujá 5 x 5, Ref .: SG8441</t>
  </si>
  <si>
    <t>Revestimento de Parede( pastilha ) - Mão de Obra</t>
  </si>
  <si>
    <t>Argamassa Pastifix  - Saco com 20 Kgs</t>
  </si>
  <si>
    <t>Rejunte Flexível para Piscina - Saco com 20 KGs</t>
  </si>
  <si>
    <t>Fachada</t>
  </si>
  <si>
    <t>FACHADA</t>
  </si>
  <si>
    <t>Chapisco Externo</t>
  </si>
  <si>
    <t>Chapisco Externo - Mão de obra</t>
  </si>
  <si>
    <t>Emboço Paulista Externo - Mão de Obra</t>
  </si>
  <si>
    <t>Tela Estruturante 20 cm x 50 M</t>
  </si>
  <si>
    <t>rl</t>
  </si>
  <si>
    <t>Revestimento de Parede  - Mão de Obra</t>
  </si>
  <si>
    <t>Pintura Externa</t>
  </si>
  <si>
    <t>Massa e Tinta PVA - Material e Mão de Obra</t>
  </si>
  <si>
    <t>Pintura Oleo Sobre Tubulações Aparentes - Material e Mão de Obra</t>
  </si>
  <si>
    <t>Pintura Oleo sobre Corrimão</t>
  </si>
  <si>
    <t>Pintura Oleo Sobre Corrimão - Material e Mão de Obra</t>
  </si>
  <si>
    <t>Pintura Barra Lisa - Material e Mão de Obra</t>
  </si>
  <si>
    <t>Pintura de Esquadria PCF</t>
  </si>
  <si>
    <t>Pintura PCF - Material e Mão de Obra</t>
  </si>
  <si>
    <t>20.1.7</t>
  </si>
  <si>
    <t>20.1.8</t>
  </si>
  <si>
    <t>20.1.9</t>
  </si>
  <si>
    <t>Pintura Demarcação de Vagas</t>
  </si>
  <si>
    <t>Pintura Barra Zebrada Estacionamentos - Material e Mão de Obra</t>
  </si>
  <si>
    <t>Pintura demarcação de vagas - Material e Mão de Obra</t>
  </si>
  <si>
    <t>Contrapiso - Mão de Obra</t>
  </si>
  <si>
    <t>Cerâmica Biancogres, Classic Branco Acetinado Bold, 60 x 60 cm</t>
  </si>
  <si>
    <t>Revestimento de Piso - Mão de Obra</t>
  </si>
  <si>
    <t>Porcelanato Portobello, linha Arsty, Arsty Cement Externo 60 x 60 CM</t>
  </si>
  <si>
    <t>Revestimento de Porcelanato - Mão de Obra</t>
  </si>
  <si>
    <t>Rodapé Cerâmico - Mão de Obra</t>
  </si>
  <si>
    <t>Rodapé Cimentado - Mão de Obra</t>
  </si>
  <si>
    <t>Piso Cimentado - Mão de Obra</t>
  </si>
  <si>
    <t>Revestimento em Piso Cimentado</t>
  </si>
  <si>
    <t>Revestimento em Ardósia - Mão de Obra</t>
  </si>
  <si>
    <t>Revestimento em Ardósia - Material</t>
  </si>
  <si>
    <t>pav</t>
  </si>
  <si>
    <t>PEDRAS NATURAIS E SINTÉTICAS</t>
  </si>
  <si>
    <t>16.2</t>
  </si>
  <si>
    <t>16.2.1</t>
  </si>
  <si>
    <t>16.2.2</t>
  </si>
  <si>
    <t>Pedra Ardósia ( escada )</t>
  </si>
  <si>
    <t>Piso intertravado, sobre laje - Material e Mão de Obra</t>
  </si>
  <si>
    <t>16.2.3</t>
  </si>
  <si>
    <t>Meio fio em Concreto Pré Moldado</t>
  </si>
  <si>
    <t>Meio fio em concreto armado - Material e Mão de Obra</t>
  </si>
  <si>
    <t>DECA, REF. TQ.03.17 (40 LITROS) + COLUNA, REF. CT.25.17</t>
  </si>
  <si>
    <t>STRAKE, CUBA EM AÇO INOX RETANGULAR, REF. 302ST, 56X34CM</t>
  </si>
  <si>
    <t>DOCOL, LINHA NOVA PERTUTTI, TORNEIRA PARA JARDIM COM CANOPLA 1130, CÓD. 0090376</t>
  </si>
  <si>
    <t>DOCOL, LINHA NOVA PERTUTTI, MISTURADOR PARA COZINHA BICA ALTA, CÓD. 00902706 (COM AREJADOR)</t>
  </si>
  <si>
    <t>DOCOL, LINHA NOVA PERTUTTI, CÓD. 00904206</t>
  </si>
  <si>
    <t>CONJUNTO DE FIXAÇÃO PARA COLUNA DE TANQUE</t>
  </si>
  <si>
    <t>SIFÃO PIA/TANQUE</t>
  </si>
  <si>
    <t>VÁLVULA TANQUE</t>
  </si>
  <si>
    <t>VÁLVULA PIA</t>
  </si>
  <si>
    <t>DECA, LINHA MONTE CARLO, BACIA PARA CAIXA ACOPLADA, REF. P.808.17</t>
  </si>
  <si>
    <t>CAIXA ACOPLADA COM ACIONAMENTO DUO, REF. CD.01F.17</t>
  </si>
  <si>
    <t>DECA, CUBA DE EMBUTIR OVAL, REF. L.37.17</t>
  </si>
  <si>
    <t>DOCOL, LINHA TRIPLUS, MISTURADOR PARA BANHEIRO 90º, CÓD. 0082206 (COM AREJADOR)</t>
  </si>
  <si>
    <t>DOCOL, LINHA TRIPLUS, CÓD. 00872906</t>
  </si>
  <si>
    <t>DOCOL, CHUVEIRO EDEN 150CROMADO, CÓD. 00985706</t>
  </si>
  <si>
    <t>DOCOL, LINHA TRIPLUS, DUCHA HIGIÊNICA COM REGISTRO E DERIVAÇÃO COM GATILHO TRPLUS, CÓD. 00872806</t>
  </si>
  <si>
    <t>CONJUNTO DE FIXAÇÃO PARA VASO SANITÁRIO</t>
  </si>
  <si>
    <t>Poço Inglês</t>
  </si>
  <si>
    <t>Bombas Hidráulicas - Material</t>
  </si>
  <si>
    <t xml:space="preserve">Luminárias </t>
  </si>
  <si>
    <t>Instalações de Elevadores - Material e Mão de Obra</t>
  </si>
  <si>
    <t>Banca Verde Ubatuba Polido 1,50 X 0,60 - Material</t>
  </si>
  <si>
    <t>Banca Verde Ubatuba Polido 1,50 X 0,60 - Mão de Obra</t>
  </si>
  <si>
    <t>Bancada Braco Itaúnas Polido - 1,65 x 0,48 - Material</t>
  </si>
  <si>
    <t>Soleiras</t>
  </si>
  <si>
    <t>Soleira - Mão de Obra</t>
  </si>
  <si>
    <t>Soleira Castelo em Marmore Branco Nacional Polido -Material</t>
  </si>
  <si>
    <t>Peitoril</t>
  </si>
  <si>
    <t>Peitoril - Mão de Obra</t>
  </si>
  <si>
    <t>Chapim</t>
  </si>
  <si>
    <t>Chapim - Mão de Obra</t>
  </si>
  <si>
    <t>Tento - Mão de Obra</t>
  </si>
  <si>
    <t>Tento</t>
  </si>
  <si>
    <t>Aduelas e Alisares</t>
  </si>
  <si>
    <t>Aduela e Alisares - Mão de Obra</t>
  </si>
  <si>
    <t>Limpeza de Obra</t>
  </si>
  <si>
    <t>23.1.2</t>
  </si>
  <si>
    <t>Limpeza Geral obra</t>
  </si>
  <si>
    <t>Limpeza Final obra</t>
  </si>
  <si>
    <t>Limpeza Final</t>
  </si>
  <si>
    <t>Dedetização e Desratização para entrega</t>
  </si>
  <si>
    <t>Limpeza de Caixa D'água e Cisterna</t>
  </si>
  <si>
    <t>Limpeza de Caixa D'água - Mão de Obra</t>
  </si>
  <si>
    <t>Limpeza de Cisterna - Mão de Obra</t>
  </si>
  <si>
    <t>Exaustão Mecânica</t>
  </si>
  <si>
    <t>Pressurização</t>
  </si>
  <si>
    <t xml:space="preserve">Pressurização das Escadas </t>
  </si>
  <si>
    <t>Instalação de Exaustão Mecânica</t>
  </si>
  <si>
    <t>Proteções Gerais</t>
  </si>
  <si>
    <t>Proteções Diveras - Mão de Obra</t>
  </si>
  <si>
    <t>Proteções Diversas - Empreitada</t>
  </si>
  <si>
    <t>Proteções Diversas - Material</t>
  </si>
  <si>
    <t>Projeto Executivo de Arquitetura</t>
  </si>
  <si>
    <t>Caminhão - Apoio bota fora estaca hélice</t>
  </si>
  <si>
    <t>Levantamento topográfico</t>
  </si>
  <si>
    <t>Aço CA50 12,5mm - Manufaturado</t>
  </si>
  <si>
    <t>Rodrigo, planilha - 0,5 % do grupo</t>
  </si>
  <si>
    <t>Pintura externa tipo Grafiato - Material e Mão de Obra</t>
  </si>
  <si>
    <t>Eventuais</t>
  </si>
  <si>
    <t>Área Coberta - Fechada</t>
  </si>
  <si>
    <t>Área Coberta - Aberta</t>
  </si>
  <si>
    <t>QUADRO DE AREAS EQUIVALENTES</t>
  </si>
  <si>
    <t>Rodrigo, planilha - Ensaio</t>
  </si>
  <si>
    <t>Execução de telhado em Fribrocimento - Material e Mão de Obra</t>
  </si>
  <si>
    <t>Execução de Rufo Metálico - Material e Mão de Obra</t>
  </si>
  <si>
    <t>Regina</t>
  </si>
  <si>
    <t>Im, Dist Areia</t>
  </si>
  <si>
    <t>Acerlor Mital</t>
  </si>
  <si>
    <t>Polimix</t>
  </si>
  <si>
    <t>Multifamiliar</t>
  </si>
  <si>
    <t>TOTAL GERAL:</t>
  </si>
  <si>
    <t>BLOCO 01</t>
  </si>
  <si>
    <t>10.1.3</t>
  </si>
  <si>
    <t>10.1.5</t>
  </si>
  <si>
    <t>Alvenaria Bloco de Cerâmico 09x19x39</t>
  </si>
  <si>
    <t>Alvenaria Bloco de Concreto 09x19x39</t>
  </si>
  <si>
    <t>Alvenaria Bloco de Concreto 14x19x39</t>
  </si>
  <si>
    <t>Alvenaria Bloco de Concreto 19x19x39</t>
  </si>
  <si>
    <t>Alvenaria Bloco de Concreto 21x19x39</t>
  </si>
  <si>
    <t>Bloco de concreto 09x19x39cm - Grandes Quantidades ( acima 1944 blocos )</t>
  </si>
  <si>
    <t>Multiblocos</t>
  </si>
  <si>
    <t>ALVENARIA</t>
  </si>
  <si>
    <t>Bloco cerâmico 09x19x39 - Grandes Quantidades</t>
  </si>
  <si>
    <t>Bloco cerâmico 14x19x39 - Grandes Quantidades</t>
  </si>
  <si>
    <t>Bloco cerâmico 14x19x19 - Grandes Quantidades</t>
  </si>
  <si>
    <t>Bloco cerâmico 19x19x39 - Grandes Quantidades</t>
  </si>
  <si>
    <t>Bloco cerâmico 19x19x39 - Pequenas Quantidades</t>
  </si>
  <si>
    <t>Bloco de concreto 09x19x39cm - Pequenas Quantidades</t>
  </si>
  <si>
    <t>Bloco de concreto 09x19x19cm - Grandes Quantidades ( acima 1944 blocos )</t>
  </si>
  <si>
    <t>Bloco de concreto 09x19x19cm - Pequenas Quantidades</t>
  </si>
  <si>
    <t>Bloco de concreto de 14x19x39 - Grandes Quantidades ( acima 1512 blocos )</t>
  </si>
  <si>
    <t>Bloco de concreto de 14x19x39 - Pequenas Quantidades</t>
  </si>
  <si>
    <t>Bloco de concreto de 14x19x19 - Grandes Quantidades ( acima 1512 blocos )</t>
  </si>
  <si>
    <t>Bloco de concreto de 14x19x19 - Pequenas Quantidades</t>
  </si>
  <si>
    <t>Bloco de concreto 19x19x39cm - Grandes Quantidades ( acima 1134 blocos )</t>
  </si>
  <si>
    <t>Bloco de concreto 19x19x39cm - Pequenas Quantidades</t>
  </si>
  <si>
    <t>Bloco de concreto 19x19x19cm - Grandes Quantidades ( acima 1134 blocos )</t>
  </si>
  <si>
    <t>Bloco de concreto 19x19x19cm - Pequenas Quantidades</t>
  </si>
  <si>
    <t>Bloco cerâmico 09x19x39 - Pequenas Quantidades</t>
  </si>
  <si>
    <t>Bloco cerâmico 09x19x19 - Grandes Quantidades</t>
  </si>
  <si>
    <t>Bloco cerâmico 09x19x19 - Pequenas Quantidades</t>
  </si>
  <si>
    <t>Bloco cerâmico 14x19x39 - Pequenas Quantidades</t>
  </si>
  <si>
    <t>Bloco cerâmico 14x19x19 - Pequenas Quantidades</t>
  </si>
  <si>
    <t>Bloco cerâmico 19x19x19 - Grandes Quantidades</t>
  </si>
  <si>
    <t>Bloco cerâmico 19x19x19 - Pequenas Quantidades</t>
  </si>
  <si>
    <t>Argamassa multiuso 50kg - Grandes Quantidade ( acima de 240 )</t>
  </si>
  <si>
    <t>ARGAMASSA</t>
  </si>
  <si>
    <t>Argamassa multiuso 50kg - Pequenas Quantidades</t>
  </si>
  <si>
    <t>Cimento CPII (saco de 50 Kg) - Grandes Quantidades ( acima de 40 )</t>
  </si>
  <si>
    <t>CIMENTO</t>
  </si>
  <si>
    <t>Cimento CPII (saco de 50 Kg) - Pequenas Quantidades</t>
  </si>
  <si>
    <t>Aço CA60 5,0 mm, vergalhão - Grandes Quantidades ( acima 12t )</t>
  </si>
  <si>
    <t>ArcelorMittal</t>
  </si>
  <si>
    <t>AÇO</t>
  </si>
  <si>
    <t xml:space="preserve">Aço CA60 5,0 mm, vergalhão - Pequenas Quantidades </t>
  </si>
  <si>
    <t>Aço CA50 6,3 mm,  vergalhão  - Grandes Quantidades ( acima 12t )</t>
  </si>
  <si>
    <t xml:space="preserve">Aço CA50 6,3 mm, vergalhão - Pequenas Quantidades </t>
  </si>
  <si>
    <t>Aço CA50 8 mm, vergalhão - Grandes Quantidades ( acima 12t )</t>
  </si>
  <si>
    <t xml:space="preserve">Aço CA50 8 mm, vergalhão - Pequenas Quantidades </t>
  </si>
  <si>
    <t>Aço CA50 10 mm, vergalhão - Grandes Quantidades ( acima 12t )</t>
  </si>
  <si>
    <t xml:space="preserve">Aço CA50 10 mm, vergalhão - Pequenas Quantidades </t>
  </si>
  <si>
    <t>Aço CA50 12,5 mm, vergalhão - Grandes Quantidades ( acima 12t )</t>
  </si>
  <si>
    <t xml:space="preserve">Aço CA50 12,5 mm, vergalhão - Pequenas Quantidades </t>
  </si>
  <si>
    <t xml:space="preserve">Aço CA50 16,0 mm, vergalhão - Pequenas Quantidades </t>
  </si>
  <si>
    <t>Arame Recozido 1,24 mm 40 kgs - Grandes Quantidades</t>
  </si>
  <si>
    <t>Arame Recozido 1,24 mm 40 kgs - Pequenas Quantidades</t>
  </si>
  <si>
    <t>Areia Granel</t>
  </si>
  <si>
    <t>IM Transminerais</t>
  </si>
  <si>
    <t>AGREGADOS</t>
  </si>
  <si>
    <t>Areia Lavada Saco Grande (20 kgs) - pequenas quantidades</t>
  </si>
  <si>
    <t>Brita nº 0 Granel</t>
  </si>
  <si>
    <t>Brita nº0 Saco Grande  (20 kgs) - pequenas quantidades</t>
  </si>
  <si>
    <t>Brita nº 1 Granel</t>
  </si>
  <si>
    <t>Brita nº1 Saco Grande  (20 kgs) - pequenas quantidades</t>
  </si>
  <si>
    <t>Concreto Usinado 30 FCK para estacas - Grandes Quantidades</t>
  </si>
  <si>
    <t>CONCRETO</t>
  </si>
  <si>
    <t>Concreto Usinado 30 FCK - Grandes Quantidades</t>
  </si>
  <si>
    <t>Concreto Magro - Grandes Quantidades</t>
  </si>
  <si>
    <t>Bombeamento de concreto - ( acima 40m³ )</t>
  </si>
  <si>
    <t>10.1.8</t>
  </si>
  <si>
    <t>10.1.9</t>
  </si>
  <si>
    <t>Complemento da cortina dos fundos - Material e Mão de Obra</t>
  </si>
  <si>
    <t>Soloteste, estimativa</t>
  </si>
  <si>
    <t>Cortina Lateral Direita - Material e Mão de Obra</t>
  </si>
  <si>
    <t>Sistema de Drenagem - Material e Mão de Obra</t>
  </si>
  <si>
    <t>Escavação de Solo - Material e Mã de Obra</t>
  </si>
  <si>
    <t>Escavação em Rocha - Material e Mão de Obra</t>
  </si>
  <si>
    <t>E1 - RU - 12,5 - MS  70 60/60 - MAT + MO</t>
  </si>
  <si>
    <t>Revestimento Cerâmico Eliane, Forma Branco Acetinado, 33,5 x 60 cm - 8039580 - Material</t>
  </si>
  <si>
    <t>Revestimento Cerâmico Eliane, Blend Plus Grey Acetinado, 60 x 60 cm - 8042068 - Material</t>
  </si>
  <si>
    <t>Revestimento Cerâmico Eliane, Noronha Agua Mesh Br, 7,5 x 7,5 cm - 8040054 ( Parede Piscina )</t>
  </si>
  <si>
    <t>Revestimento Cerâmico Eliane, Noronha Agua Mesh Br, 7,5 x 7,5 cm - 8040054 - Material</t>
  </si>
  <si>
    <t>Revestimento Cerâmico Eliane, Forma Branco Acetinado, 33,5 x 60 cm - 8039581 - Material</t>
  </si>
  <si>
    <t>Cerâmica de Piso Eliane, Habitat Cimento Acetinado, 45 x 45 cm - 8040855 - Material</t>
  </si>
  <si>
    <t>Porcelanato Eliane, Munari Cimento Acetinado, 60 x 60 cm - 8031913 - Material</t>
  </si>
  <si>
    <t>Cerâmica de Piso Eliane, Forma Branco Acetinado, 30 x 40 - 8039383 - Material</t>
  </si>
  <si>
    <t>Porcelanato Eliane, Park Camel Natural, 19,7 x 120 cm - 804600 - Material</t>
  </si>
  <si>
    <t>Porcelanato Eliane, Minimum Cimento Natural, 60 x 60 cm - 8021651 - Material</t>
  </si>
  <si>
    <t>Porcelanato Eliane, Park Camel Natural, 19,7 x 120 cm - 804600 - ( Piso Salão de Festas + Academia )</t>
  </si>
  <si>
    <t>Rodapé Cimentado Liso</t>
  </si>
  <si>
    <t>Rodapé Santa Luzia 454 20232 - 2400 x 100 x 13 mm - Material</t>
  </si>
  <si>
    <t>Rodapé Santa Luzia 454 20232 - 2400 x 100 x 13 mm - Mão de Obra</t>
  </si>
  <si>
    <t>Chapim em Marmore Branco Siena - Material</t>
  </si>
  <si>
    <t>Peitoril em Marmore Branco Siena - Material</t>
  </si>
  <si>
    <t>Soleira em  Marmore Branco Siena - Material</t>
  </si>
  <si>
    <t>Soleira Castelo em Marmore Branco Siena -Material</t>
  </si>
  <si>
    <t>Cancela</t>
  </si>
  <si>
    <t>Kit porta Pronta 0,72 x 2,10 - Mão de Obra</t>
  </si>
  <si>
    <t>Kit porta Pronta 0,82 x 2,10 - Mão de Obra</t>
  </si>
  <si>
    <t>Kit porta Pronta 0,60 x 2,10 - Material</t>
  </si>
  <si>
    <t>Kit porta Pronta 0,60 x 2,10 - Mão de Obra</t>
  </si>
  <si>
    <t>Kit porta Pronta 1,40 x 2,10 - Material</t>
  </si>
  <si>
    <t>Kit porta Pronta 1,40 x 2,10 - Mão de Obra</t>
  </si>
  <si>
    <t>P4 - Terreo TIPO - Aluminio - Porta Pivotante com palheta ventilada - VIDRO Ñ</t>
  </si>
  <si>
    <t>P5 - Terreo TIPO - Cortina de Vidro + Porta - Cortina de Vidro com porta pivotante de folha dupla ( 2,40 x 2,20) - VIDRO A DEFINIR</t>
  </si>
  <si>
    <t>CRA - Terreo TIPO - Aluminio - Corremão Aluminio com 1,10 h - VIDRO Ñ</t>
  </si>
  <si>
    <t>PM 1001 - Terreo TIPO - Aluminio - Porta de Medidor com palheta ventilada - VIDRO Ñ</t>
  </si>
  <si>
    <t>PA 1001 - Terreo TIPO - Aluminio - Porta de aluminio com folha pivotante - VIDRO Ñ</t>
  </si>
  <si>
    <t>PV 1001 - Terreo TIPO - Vidro - Porta de Vidro com uma folha fixa e uma pivotante - VIDRO A DEFINIR</t>
  </si>
  <si>
    <t>PG 1001 - Terreo TIPO - Aluminio - Portão de Garagem tipo Basculante - VIDRO Ñ</t>
  </si>
  <si>
    <t>PG 1002 - Terreo TIPO - Aluminio - Portão de Garagem tipo Basculante - VIDRO Ñ</t>
  </si>
  <si>
    <t>CRA - Jirau TIPO - Aluminio - Corremão Aluminio com 1,10 h - VIDRO A DEFINIR</t>
  </si>
  <si>
    <t>P4 - PUC TIPO - Aluminio - Porta de de Aluminio com 2 folhas de Correr - VIDRO Ñ</t>
  </si>
  <si>
    <t>J1 - PUC TIPO - Aluminio - Janela de Aluminio tipo Guilhotina - VIDRO A DEFINIR</t>
  </si>
  <si>
    <t>J2 - PUC TIPO - Aluminio - Janela de Aluminio com 2 folhas fixas e 2 de correr - VIDRO A DEFINIR</t>
  </si>
  <si>
    <t>J003 - PUC TIPO - Aluminio - Janela de Aluminio com folhas a definir - VIDRO A DEFINIR</t>
  </si>
  <si>
    <t>P4 - Coluna 1 - 2 ao 8 PAV TIPO - Aluminio - Porta de Aluminio com 1 folha fixa e 1 folha de correr - VIDRO A DEFINIR</t>
  </si>
  <si>
    <t>P5 - Coluna 1 - 2 ao 8 PAV TIPO - Aluminio - Porta de Aluminio com 3 folhas de correr - VIDRO A DEFINIR</t>
  </si>
  <si>
    <t>J1 - Coluna 1 - 2 ao 8 PAV TIPO - Aluminio - Janela Maxiar - VIDRO A DEFINIR</t>
  </si>
  <si>
    <t>J2 - Coluna 1 - 2 ao 8 PAV TIPO - Aluminio - Janela com 2 folhas de Correr - VIDRO A DEFINIR</t>
  </si>
  <si>
    <t>GA - Coluna 1 - 2 ao 8 PAV TIPO - Aluminio - Guarda Corpo de Aluminio com Vidro - VIDRO A DEFINIR</t>
  </si>
  <si>
    <t>P5 - Coluna 2 - 2 ao 8 PAV TIPO - Aluminio - Porta de Aluminio com 3 folhas de correr - VIDRO A DEFINIR</t>
  </si>
  <si>
    <t>J2 - Coluna 2 - 2 ao 8 PAV TIPO - Aluminio - Janela com 2 folhas de Correr - VIDRO A DEFINIR</t>
  </si>
  <si>
    <t>GA - Coluna 2 - 2 ao 8 PAV TIPO - Aluminio - Guarda Corpo de Aluminio com Vidro - VIDRO A DEFINIR</t>
  </si>
  <si>
    <t>P5 - Coluna 3 - 2 ao 8 PAV TIPO - Aluminio - Porta de Aluminio com 3 folhas de correr - VIDRO A DEFINIR</t>
  </si>
  <si>
    <t>J1 - Coluna 3 - 2 ao 8 PAV TIPO - Aluminio - Janela Maxiar - VIDRO A DEFINIR</t>
  </si>
  <si>
    <t>J2 - Coluna 3 - 2 ao 8 PAV TIPO - Aluminio - Janela com 2 folhas de Correr - VIDRO A DEFINIR</t>
  </si>
  <si>
    <t>GA - Coluna 3 - 2 ao 8 PAV TIPO - Aluminio - Guarda Corpo de Aluminio com Vidro - VIDRO A DEFINIR</t>
  </si>
  <si>
    <t>P5 - Coluna 4 - 2 ao 8 PAV TIPO - Aluminio - Porta de Aluminio com 3 folhas de correr - VIDRO A DEFINIR</t>
  </si>
  <si>
    <t>J2 - Coluna 4 - 2 ao 8 PAV TIPO - Aluminio - Janela com 2 folhas de Correr - VIDRO A DEFINIR</t>
  </si>
  <si>
    <t>GA - Coluna 4 - 2 ao 8 PAV TIPO - Aluminio - Guarda Corpo de Aluminio com Vidro - VIDRO A DEFINIR</t>
  </si>
  <si>
    <t>P5 - Coluna 5 - 2 PAV TIPO - Aluminio - Porta de Aluminio com 3 folhas de correr - VIDRO A DEFINIR</t>
  </si>
  <si>
    <t>J1 - Coluna 5 - 2 PAV TIPO - Aluminio - Janela Maxiar - VIDRO A DEFINIR</t>
  </si>
  <si>
    <t>J2 - Coluna 5 - 2 PAV TIPO - Aluminio - Janela com 2 folhas de Correr - VIDRO A DEFINIR</t>
  </si>
  <si>
    <t>GA - Coluna 5 - 2 PAV TIPO - Aluminio - Guarda Corpo de Aluminio com Vidro - VIDRO A DEFINIR</t>
  </si>
  <si>
    <t>P5 - Coluna 5 - 3 PAV TIPO - Aluminio - Porta de Aluminio com 3 folhas de correr - VIDRO A DEFINIR</t>
  </si>
  <si>
    <t>J2 - Coluna 5 - 3 PAV TIPO - Aluminio - Janela com 2 folhas de Correr - VIDRO A DEFINIR</t>
  </si>
  <si>
    <t>GA - Coluna 5 - 3 PAV TIPO - Aluminio - Guarda Corpo de Aluminio com Vidro - VIDRO A DEFINIR</t>
  </si>
  <si>
    <t>P4 - Coluna 5 - 4 até 8 PAV TIPO - Aluminio - Porta de Aluminio com 1 folha fixa e 1 folha de correr - VIDRO A DEFINIR</t>
  </si>
  <si>
    <t>P5 - Coluna 5 - 4 até 8 PAV TIPO - Aluminio - Porta de Aluminio com 3 folhas de correr - VIDRO A DEFINIR</t>
  </si>
  <si>
    <t>GA - Coluna 5 - 4 até 8 PAV TIPO - Aluminio - Guarda Corpo de Aluminio com Vidro - VIDRO A DEFINIR</t>
  </si>
  <si>
    <t>P5 - Coluna 6 - 3 PAV TIPO - Aluminio - Porta de Aluminio com 3 folhas de correr - VIDRO A DEFINIR</t>
  </si>
  <si>
    <t>J1 - Coluna 6 - 3 PAV TIPO - Aluminio - Janela Maxiar - VIDRO A DEFINIR</t>
  </si>
  <si>
    <t>GA - Coluna 6 - 3 PAV TIPO - Aluminio - Guarda Corpo de Aluminio com Vidro - VIDRO A DEFINIR</t>
  </si>
  <si>
    <t>P4 - Coluna 6 - 4 até 8 PAV TIPO - Aluminio - Porta de Aluminio com 1 folha fixa e 1 folha de correr - VIDRO A DEFINIR</t>
  </si>
  <si>
    <t>P5 - Coluna 6 - 4 até 8 PAV TIPO - Aluminio - Porta de Aluminio com 3 folhas de correr - VIDRO A DEFINIR</t>
  </si>
  <si>
    <t>J1 - Coluna 6 - 4 até 8 PAV TIPO - Aluminio - Janela Maxiar - VIDRO A DEFINIR</t>
  </si>
  <si>
    <t>J2 - Coluna 6 - 4 até 8 PAV TIPO - Aluminio - Janela com 2 folhas de Correr - VIDRO A DEFINIR</t>
  </si>
  <si>
    <t>J3 - Coluna 6 - 4 até 8 PAV TIPO - Aluminio - Janela com 2 folhas de Correr - VIDRO A DEFINIR</t>
  </si>
  <si>
    <t>GA - Coluna 6 - 4 até 8 PAV TIPO - Aluminio - Guarda Corpo de Aluminio com Vidro - VIDRO A DEFINIR</t>
  </si>
  <si>
    <t>P5 - Coluna 1 a 6 - Dependencia PAV TIPO - Aluminio - Porta de Aluminio com 3 folhas de correr - VIDRO A DEFINIR</t>
  </si>
  <si>
    <t>J1 - Coluna 1 a 6 - Dependencia PAV TIPO - Aluminio - Janela Maxiar - VIDRO A DEFINIR</t>
  </si>
  <si>
    <t>J4 - Coluna 1 a 6 - Dependencia PAV TIPO - Aluminio - Porta de Aluminio com 3 folhas de correr - VIDRO A DEFINIR</t>
  </si>
  <si>
    <t>GA - Coluna 1 a 6 - Dependencia PAV TIPO - Aluminio - Guarda Corpo de Aluminio com Vidro - VIDRO A DEFINIR</t>
  </si>
  <si>
    <t>J1 - 2 à Cobertura TIPO - Aluminio - Janela Maxiar - VIDRO A DEFINIR</t>
  </si>
  <si>
    <t>Alumirio</t>
  </si>
  <si>
    <t>Cores Rio</t>
  </si>
  <si>
    <t>Textura - Material e Mão de Obra</t>
  </si>
  <si>
    <t>Pintura sobre piso</t>
  </si>
  <si>
    <t>Pintura Epoxi - Material e Mão de Obra</t>
  </si>
  <si>
    <t>Pintura Piso da Escada - Material e Mão de Obra</t>
  </si>
  <si>
    <t>Chuveiro Bonnaducha CR - 00232606</t>
  </si>
  <si>
    <t>Docol</t>
  </si>
  <si>
    <t>Mist. Chuv. DB. Ceram (DBC) 1/2 Volta G 1/2 - 00394200</t>
  </si>
  <si>
    <t>Vsa Universal Lav Tampa Metal 1" Luxo - 00444306</t>
  </si>
  <si>
    <t>Acab. Db 3/4 Loggica CR - 00494106</t>
  </si>
  <si>
    <t>Ligação Flexivel Malha Aço Inox 40 cm - 00607200</t>
  </si>
  <si>
    <t>Base Mist. Mono Ban ou Chuve 1/2" e 3/4" - 00545800</t>
  </si>
  <si>
    <t>Sifão para Lavatório 7/8" CR - 00660806</t>
  </si>
  <si>
    <t>Sifão para Cozinha 1.1/2" CR - 00661006</t>
  </si>
  <si>
    <t>Acab. DB 3/4 Gali CR - 00800006</t>
  </si>
  <si>
    <t>Ducha Higienica Com Registro Gali CR - 00800806</t>
  </si>
  <si>
    <t>Acab. DB 3/4 Lift CR - 00804706</t>
  </si>
  <si>
    <t>Aca. Mon Chu e Du HiG Lift CR - 00804906</t>
  </si>
  <si>
    <t>Mist Lav Me Docol Stillo CR - 00820406</t>
  </si>
  <si>
    <t>Mist Mono Coz Gali CR - 00934606</t>
  </si>
  <si>
    <t>Mist Mono Me Lav Gali - 00934406</t>
  </si>
  <si>
    <t>Acab Mono Chu e Ducha Ducha Hig Chess/Gali - 00935006</t>
  </si>
  <si>
    <t>Barra de Apoio Reta 70 cm - Inox Esc - 00963616</t>
  </si>
  <si>
    <t>Tor Lav Me BB Nova Loggica CR - 01106406</t>
  </si>
  <si>
    <t>Bacia Acop SV Sif Loggica WH/CR - 00969166</t>
  </si>
  <si>
    <t>Cuba Apoio QD2-Mesa-410x410x145 WH - 00970026</t>
  </si>
  <si>
    <t>Cuba SE QD3-Mesa-410x410x145 WH - 00970126</t>
  </si>
  <si>
    <t>CS2 56x34x18 06 304 VSA 4,5" BEM AB - 016993CH</t>
  </si>
  <si>
    <t>RG Docol Base 1/2 - 25130500</t>
  </si>
  <si>
    <t>Artenve</t>
  </si>
  <si>
    <t>Infra para Ar Condicionado Tipo Split - Equipamentos, Insumos e Mão de Obra</t>
  </si>
  <si>
    <t>Sistema de Renovação de Ar - Material e Mão de Obra</t>
  </si>
  <si>
    <t>Filtração Piscina - Equipamentos</t>
  </si>
  <si>
    <t>Aquecimento - Equipamentos</t>
  </si>
  <si>
    <t>Mão de Obra para Instalação</t>
  </si>
  <si>
    <t>Material para Instalação</t>
  </si>
  <si>
    <t>Área Descoberta - Aberta</t>
  </si>
  <si>
    <t>TELHADO</t>
  </si>
  <si>
    <t>TERREO</t>
  </si>
  <si>
    <t>COBERTURA</t>
  </si>
  <si>
    <t>Rejunte Ligamax Gold Total Branco Plus SA 20 Kgs</t>
  </si>
  <si>
    <t>Sistema de aquecimento 1000 Litros - Material e Mão de obra</t>
  </si>
  <si>
    <t>AG Porto</t>
  </si>
  <si>
    <t>Regularização com argamassa de cimento portland e areia, traço volumétrico 1:3, com acabamento áspero, desempenado fino, isento de quaisquer aditivos, consistência - Material e mão de obra</t>
  </si>
  <si>
    <t>Impermeabilização com Manta 3mm Tipo II aderida com maçarico - Material e Mão de Obra</t>
  </si>
  <si>
    <t>Preparo de Substrato - Mão de Obra</t>
  </si>
  <si>
    <t>Rodrigo, planilha + INCC</t>
  </si>
  <si>
    <t>Execução Alvenaria  - Bloco Concreto</t>
  </si>
  <si>
    <t>Execução Alvenaria  - Bloco Cerâmico</t>
  </si>
  <si>
    <t>Instalações Prediais (elétricas, hidraulicas, esgoto sanitário e gás ) - Fogão Elétrico / Aquecimento Central ou Chuveiro Elétrico</t>
  </si>
  <si>
    <t>Proteção Mecânica de manta com Argamassa de cimento e Areia com acabamento vassourado no piso. -  Mão de Obra</t>
  </si>
  <si>
    <t>Meet +INCC</t>
  </si>
  <si>
    <t>Rodrigo, planilha - Ensaio + INCC</t>
  </si>
  <si>
    <t>Argamassa AC II Ligamax Gold Extra 20 Kgs</t>
  </si>
  <si>
    <t>Porcelanato Eliane, Minimum Cimento Natural, 60 x 60 cm - 8021651 - ( Piso PUC )</t>
  </si>
  <si>
    <t>Porcelanato Eliane, Munari Marfim Acetinado, 59 x 59 cm - 8033789 - ( Piso Apartamentos + Escada )</t>
  </si>
  <si>
    <t>Porcelanato Eliane, Munari Marfim Acetinado, 59 x 59 cm - 8033789 - Material</t>
  </si>
  <si>
    <t>Rodapé Cerâmico ou Porcelanato</t>
  </si>
  <si>
    <t>Tento em Marmore Branco Itaúnas Polido - Material</t>
  </si>
  <si>
    <t>Tento em Marmore Branco Siena - Material</t>
  </si>
  <si>
    <t>Tento, Soleira, Filite e Peitoril - Mão de Obra</t>
  </si>
  <si>
    <t>Referencia Chapim</t>
  </si>
  <si>
    <t>Bancadas</t>
  </si>
  <si>
    <t>Corrimão + gradil em Ferro Escada Enclausurada - Material e Mão de Obra</t>
  </si>
  <si>
    <t>Rodrigo, planilha+INCC</t>
  </si>
  <si>
    <t>05.1.3</t>
  </si>
  <si>
    <t>Encargos Sociais</t>
  </si>
  <si>
    <t>Base Rodrigo + incc</t>
  </si>
  <si>
    <t>Base Rodrigo + INCC</t>
  </si>
  <si>
    <t>02.1.6</t>
  </si>
  <si>
    <t>Rodrigo planilha + incc</t>
  </si>
  <si>
    <t>Área Coberta - Fechada -  Garagem</t>
  </si>
  <si>
    <t>= 11,55+ 6,796+2,056+( 4,65*2,2 )+1,647+ 4,07+3,372 )*13,31</t>
  </si>
  <si>
    <t>Homem de Melo + INCC</t>
  </si>
  <si>
    <t>Escavação</t>
  </si>
  <si>
    <t>Área Coberta - Fechada - Caixas + DML + Gerador + A. Cam. + Casa de Maq</t>
  </si>
  <si>
    <t>Área Privativa (m²)</t>
  </si>
  <si>
    <t>QUADRO DE AREAS PRIVATIVAS</t>
  </si>
  <si>
    <t>Execução de estaca raiz com diâmetro de 31 no solo</t>
  </si>
  <si>
    <t>Execução de estaca raiz com diâmetro de 31 na rocha</t>
  </si>
  <si>
    <t>Aço CA50 6,3mm  - vergalhão</t>
  </si>
  <si>
    <t>Aço CA50 16,0mm - vergalhão</t>
  </si>
  <si>
    <t>Pré montagem de armadura</t>
  </si>
  <si>
    <t>Estrutura de Concreto - Laje Pré Moldada</t>
  </si>
  <si>
    <t>m2</t>
  </si>
  <si>
    <t>Montagem Pré - Laje</t>
  </si>
  <si>
    <t>Impermeabilização com Membrana de Poliuretano</t>
  </si>
  <si>
    <t>201 a 401</t>
  </si>
  <si>
    <t>202 a 402</t>
  </si>
  <si>
    <t>Área Descoberta - Aberta - Terraço</t>
  </si>
  <si>
    <t>1º PAVIMENTO</t>
  </si>
  <si>
    <t xml:space="preserve">2 ao 4º PAVIMENTO </t>
  </si>
  <si>
    <t>6º PAVIMENTO</t>
  </si>
  <si>
    <t>5º PAVIMENTO</t>
  </si>
  <si>
    <t>Área Descoberta -  Aberta</t>
  </si>
  <si>
    <t>Estuque em Gesso</t>
  </si>
  <si>
    <t>14.1.3</t>
  </si>
  <si>
    <t>Revestimento Porcelanato Portobello, Gap White BR Retificado, 30 x 60 cm - Cod. 202220E</t>
  </si>
  <si>
    <t>Revestimento Porcelanato Portobello, ST Martin Polido Retificado, 90 x 90 cm - Cod. 28927E</t>
  </si>
  <si>
    <t>Revestimento Porcelanato Portobello, Simplesmente Branco Natural, 90 x 90 cm - Cod. 99522E</t>
  </si>
  <si>
    <t>Revestimento Acústico em Forrovid</t>
  </si>
  <si>
    <t>Porcelanato Portobello, Bianco Covelano Natural Retificado, 90 x 90 cm - Cod. 24486E</t>
  </si>
  <si>
    <t>Porcelanato Portobello, Nord RIS Externo Retificado, 90 x 90 cm - Cod. 27027E</t>
  </si>
  <si>
    <t>Pedra Portuguesa</t>
  </si>
  <si>
    <t>Consultoria de Planejamento e Orçamento da Obra</t>
  </si>
  <si>
    <t>Desmobilização Barracão</t>
  </si>
  <si>
    <t>06.3.4</t>
  </si>
  <si>
    <t>Despesas com Vizinhos</t>
  </si>
  <si>
    <t>Kit Porta Pronta 1 Folha - Mão de Obra</t>
  </si>
  <si>
    <t>Instalações de Combate a Incêndio</t>
  </si>
  <si>
    <t>01.2.6</t>
  </si>
  <si>
    <t>01.2.7</t>
  </si>
  <si>
    <t>Manual do Proprietário</t>
  </si>
  <si>
    <t>Banheiro Químico</t>
  </si>
  <si>
    <t>PGR por fase da obra</t>
  </si>
  <si>
    <t>Revisão PGR</t>
  </si>
  <si>
    <t>Mett+INCC</t>
  </si>
  <si>
    <t>Montagem Guincho 500 kgs</t>
  </si>
  <si>
    <t>Moisés, planilha</t>
  </si>
  <si>
    <t>05.1.4</t>
  </si>
  <si>
    <t>Horas Extras</t>
  </si>
  <si>
    <t>Técnico de Segurança</t>
  </si>
  <si>
    <t>Mão de obra de Apoio / Engenharia - PJ</t>
  </si>
  <si>
    <t>Seguro de Vida</t>
  </si>
  <si>
    <t>Arcelo mital</t>
  </si>
  <si>
    <t>Cimento Tupi</t>
  </si>
  <si>
    <t>SPW3</t>
  </si>
  <si>
    <t>Trelicon</t>
  </si>
  <si>
    <t>ArqRio</t>
  </si>
  <si>
    <t>Tecnocon</t>
  </si>
  <si>
    <t>Dramm</t>
  </si>
  <si>
    <t>Luminária retangular plafon de sobrepor com luz de led 120x15cm + sensor de presença</t>
  </si>
  <si>
    <t xml:space="preserve">Plafon de sobrepor redondo com difusor em acrílico - cor Preta - Cod. RK.02128 </t>
  </si>
  <si>
    <t>Luminária de emergência de teto com ponto elétrico embutido</t>
  </si>
  <si>
    <t>Fita de led 4,15m - iluminação lateral na sanca</t>
  </si>
  <si>
    <t>Spot redondo de embutir com lâmpada de led + sensor de presença</t>
  </si>
  <si>
    <t>Fita de led 4,20m - iluminação lateral na sanca</t>
  </si>
  <si>
    <t>Luminária de emergência de parede + tomada alta</t>
  </si>
  <si>
    <t>Arandela tartaruga branca com lâmpada de led</t>
  </si>
  <si>
    <t>Reka</t>
  </si>
  <si>
    <t>Composer</t>
  </si>
  <si>
    <t>Fita de led 7,50m</t>
  </si>
  <si>
    <t>Impermeabilização com argamassa polimérica,consumo2kg/m2 - Material e Mão de Obra</t>
  </si>
  <si>
    <t>Tratamento de Ralo - Epoxi</t>
  </si>
  <si>
    <t>Preparo de Superfície</t>
  </si>
  <si>
    <t>Revestimento Impermeável - Resina Termoplástica + Proteção Anti-Corrosiva do Teto</t>
  </si>
  <si>
    <t>Skalla</t>
  </si>
  <si>
    <t>Forro em ACM - Material e Mão de Obra</t>
  </si>
  <si>
    <t>LS Lira</t>
  </si>
  <si>
    <t>Revestimento Porcelanato Portobello, Cetim Bianco Retificado, 30 x 60 cm - Cod. 26110E - Material</t>
  </si>
  <si>
    <t>Revestimento Porcelanato Portobello, Gap White BR Retificado, 30 x 60 cm - Cod. 202220E - Material</t>
  </si>
  <si>
    <t>Revestimento Porcelanato Portobello, ST Martin Polido Retificado, 90 x 90 cm - Cod. 28927E - Material</t>
  </si>
  <si>
    <t>Revestimento Porcelanato Portobello, Simplesmente Branco Natural, 90 x 90 cm - Cod. 99522E - Material</t>
  </si>
  <si>
    <t>Santa Luiza</t>
  </si>
  <si>
    <t>Porcelanato Portobello, ST Martin Natural Retificado, 90 x 90 cm - Cod. 28928E - Material</t>
  </si>
  <si>
    <t>Porcelanato Portobello, Bianco Covelano Natural Retificado, 90 x 90 cm - Cod. 24486E - Material</t>
  </si>
  <si>
    <t>Porcelanato Portobello, Nord RIS Externo Retificado, 90 x 90 cm - Cod. 27027E - Material</t>
  </si>
  <si>
    <t>pc</t>
  </si>
  <si>
    <t>Marpedras</t>
  </si>
  <si>
    <t>Escada em granito Branco Siena - Material</t>
  </si>
  <si>
    <t>Escada em granito Branco Siena - Mão de Obra</t>
  </si>
  <si>
    <t>Filete</t>
  </si>
  <si>
    <t>Soleira em  Marmore Cinza Corumbá - Material</t>
  </si>
  <si>
    <t>Pintura Acrílica Externa na cor Branca</t>
  </si>
  <si>
    <t>Louças</t>
  </si>
  <si>
    <t>Metais</t>
  </si>
  <si>
    <t>Placa Cimentícia 8mm com insert metálico</t>
  </si>
  <si>
    <t>Brasilit</t>
  </si>
  <si>
    <t>Cuba Apoio Rd2-(0)320X130 Wh - 00970726</t>
  </si>
  <si>
    <t>Acab Db 3/4" Invicta Cr - 00723106</t>
  </si>
  <si>
    <t>Mist Mono Lav Mesa Lift Cr - 00795906</t>
  </si>
  <si>
    <t>Sifao Para Lavatorio 7/8" Cr - 00660806</t>
  </si>
  <si>
    <t>Tor 1158 Longa Cr - 00534606</t>
  </si>
  <si>
    <t>Mist Mono Coz Mangiare Cr - 00506306</t>
  </si>
  <si>
    <t>Sifao Para Cozinha 1.1/2 Cr - 00661006</t>
  </si>
  <si>
    <t>Tor Esfera P/ Maquina De Lavar Cr - 00784006</t>
  </si>
  <si>
    <t>Chuveiro Eden (0)150 Cr - 00985706</t>
  </si>
  <si>
    <t>Ducha Hi Reg Der Mix&amp;Match Cr - 00931606</t>
  </si>
  <si>
    <t>Tor Lav Me Ba Lift Cr - 00872006</t>
  </si>
  <si>
    <t>Chuveiro Docolheaven Q200 Graf Esc - 00888270</t>
  </si>
  <si>
    <t>Tor 1130 Jardim Cr - 00534406</t>
  </si>
  <si>
    <t>Acab Mono Chu Dh (De) Edge Graf Esc - 01003270</t>
  </si>
  <si>
    <t>Tanque Encaixe Aco Inox 50X40 Ac</t>
  </si>
  <si>
    <t>01.01.3113</t>
  </si>
  <si>
    <t>01.01.3114</t>
  </si>
  <si>
    <t>01.01.3115</t>
  </si>
  <si>
    <t>01.01.3116</t>
  </si>
  <si>
    <t>01.01.3117</t>
  </si>
  <si>
    <t>01.01.3118</t>
  </si>
  <si>
    <t>Cuba Retang Aco Inox Maxi 50X40 Ac</t>
  </si>
  <si>
    <t>Valv Escoamento Cozinha 4 1/2 - Cr Deca</t>
  </si>
  <si>
    <t>Impermeabilização da Fundação</t>
  </si>
  <si>
    <t>Instalação de Gerador e Acessórios</t>
  </si>
  <si>
    <t>Instalação de Fechadura Biométrica</t>
  </si>
  <si>
    <t>Ensaio PDA</t>
  </si>
  <si>
    <t>Argamassa de Regularização Impermeabilização</t>
  </si>
  <si>
    <t>Metálica</t>
  </si>
  <si>
    <t>Textura Emalux com Resina</t>
  </si>
  <si>
    <t>Pintura Oleo sobre Escada Marinheiro</t>
  </si>
  <si>
    <t>Pintura Oleo sobre Escada Marinheiro - Material e Mão de Obra</t>
  </si>
  <si>
    <t>Mão Francesa para bancada</t>
  </si>
  <si>
    <t>01.01.3119</t>
  </si>
  <si>
    <t>01.01.3120</t>
  </si>
  <si>
    <t>01.01.3121</t>
  </si>
  <si>
    <t>01.01.3122</t>
  </si>
  <si>
    <t>01.01.3123</t>
  </si>
  <si>
    <t>01.01.3124</t>
  </si>
  <si>
    <t>01.01.3125</t>
  </si>
  <si>
    <t>01.01.3126</t>
  </si>
  <si>
    <t>01.01.3127</t>
  </si>
  <si>
    <t>01.01.3128</t>
  </si>
  <si>
    <t>01.01.3129</t>
  </si>
  <si>
    <t>Parafuso com bucha N10</t>
  </si>
  <si>
    <t>Tela Fachadeira - Material e Mão de Obra</t>
  </si>
  <si>
    <t>Silicone Branco</t>
  </si>
  <si>
    <t>bis</t>
  </si>
  <si>
    <t>Viga Metálica para Elevador</t>
  </si>
  <si>
    <t>Proteção Piso</t>
  </si>
  <si>
    <t>05.3.3</t>
  </si>
  <si>
    <t>06.4.1</t>
  </si>
  <si>
    <t>Isolamento Térmico com Poliestireno Extrudado</t>
  </si>
  <si>
    <t>Base Externa</t>
  </si>
  <si>
    <t>23.2.2</t>
  </si>
  <si>
    <t>AR CONDICIONADO E EXAUSTÃO</t>
  </si>
  <si>
    <t>EQUIPAMENTOS ESPECIAIS</t>
  </si>
  <si>
    <t>Equipamentos Especiais</t>
  </si>
  <si>
    <t>Tratamento do poço do elevador</t>
  </si>
  <si>
    <t>4º Pavimento</t>
  </si>
  <si>
    <t>5º Pavimento</t>
  </si>
  <si>
    <t>Telhado</t>
  </si>
  <si>
    <t>Laje coberta</t>
  </si>
  <si>
    <t>Rodapé Santa Luzia 451 - 2400 x 70 x 13 mm - Material</t>
  </si>
  <si>
    <t>Locação Minicarregadeira</t>
  </si>
  <si>
    <t>Frete de equipamentos</t>
  </si>
  <si>
    <t>Aço CA50 12,5mm - Vergalhão</t>
  </si>
  <si>
    <t>CERAMICA REX</t>
  </si>
  <si>
    <t>Impermeabilização com argamassa polimérica, consumo3kg/m2 - Material e Mão de Obra</t>
  </si>
  <si>
    <t>Forro em placa de gesso - Material e Mão de Obra</t>
  </si>
  <si>
    <t>Revestimento Cerâmico</t>
  </si>
  <si>
    <t>Piso Porcelanato</t>
  </si>
  <si>
    <t>01.01.3130</t>
  </si>
  <si>
    <t>01.01.3131</t>
  </si>
  <si>
    <t>01.01.3132</t>
  </si>
  <si>
    <t>01.01.3133</t>
  </si>
  <si>
    <t>01.01.3134</t>
  </si>
  <si>
    <t>01.01.3135</t>
  </si>
  <si>
    <t>01.01.3136</t>
  </si>
  <si>
    <t>01.01.3137</t>
  </si>
  <si>
    <t>01.01.3138</t>
  </si>
  <si>
    <t>Esquadria  de Alumínio</t>
  </si>
  <si>
    <t>01.01.3139</t>
  </si>
  <si>
    <t>01.01.3140</t>
  </si>
  <si>
    <t>01.01.3141</t>
  </si>
  <si>
    <t>01.01.3142</t>
  </si>
  <si>
    <t>01.01.3143</t>
  </si>
  <si>
    <t>01.01.3144</t>
  </si>
  <si>
    <t>01.01.3145</t>
  </si>
  <si>
    <t>01.01.3146</t>
  </si>
  <si>
    <t>01.01.3147</t>
  </si>
  <si>
    <t>01.01.3148</t>
  </si>
  <si>
    <t>01.01.3149</t>
  </si>
  <si>
    <t>01.01.3150</t>
  </si>
  <si>
    <t>01.01.3151</t>
  </si>
  <si>
    <t>01.01.3152</t>
  </si>
  <si>
    <t>01.01.3153</t>
  </si>
  <si>
    <t>01.01.3154</t>
  </si>
  <si>
    <t>01.01.3155</t>
  </si>
  <si>
    <t>PM06  - Kit Porta Pronta Lisa 2 folhas semi-oca 1,50 x 2,07 - Material</t>
  </si>
  <si>
    <t>PM07  - Kit Porta Pronta Lisa 3 folas semi-oca 2,45 x 2,07 - Material</t>
  </si>
  <si>
    <t>Kit Porta Pronta 2 Folha - Mão de Obra</t>
  </si>
  <si>
    <t>Kit Porta Pronta 3 Folha - Mão de Obra</t>
  </si>
  <si>
    <t>Licença CET-RIO</t>
  </si>
  <si>
    <t>Piso 2023</t>
  </si>
  <si>
    <t>Varanda descoberta</t>
  </si>
  <si>
    <t>1º Pavimento</t>
  </si>
  <si>
    <t>Terraço descoberto</t>
  </si>
  <si>
    <t>Ar Condicionado</t>
  </si>
  <si>
    <t>Piso Elevador em granito - Mão de Obra</t>
  </si>
  <si>
    <t>Aduela em Marmore Branco Itaúnas - Material</t>
  </si>
  <si>
    <t>Pranchão de madeira emperelhada 25x5 cm</t>
  </si>
  <si>
    <t>Andaime Tubular Fachadeiro - Aluguel</t>
  </si>
  <si>
    <t>05.2.2</t>
  </si>
  <si>
    <t>Alimentação Assiduidade</t>
  </si>
  <si>
    <t>Alimentação - Assiduidade</t>
  </si>
  <si>
    <t>Mão de obra de Apoio / Engenharia - CLT</t>
  </si>
  <si>
    <t>Demolição - Casa</t>
  </si>
  <si>
    <t>Emboço Paulista Externo</t>
  </si>
  <si>
    <t>Cronograma Financeiro</t>
  </si>
  <si>
    <t>Escada Provisória Metálica</t>
  </si>
  <si>
    <t>Argamassa revestimento externo 50kg</t>
  </si>
  <si>
    <t>Votorantim</t>
  </si>
  <si>
    <t>Porta existente - restauro</t>
  </si>
  <si>
    <t>Piso Existente a ser Restaurado - Polimento Pedra</t>
  </si>
  <si>
    <t>bd</t>
  </si>
  <si>
    <t>Nivelador de piso - Clips</t>
  </si>
  <si>
    <t>Nivelador de piso - Cunha</t>
  </si>
  <si>
    <t>Forro Gesso - Sanca</t>
  </si>
  <si>
    <t>Vigas e pilaretes</t>
  </si>
  <si>
    <t>Cantoneira de alumínio cor branca</t>
  </si>
  <si>
    <t>Chapa OSB 10mm</t>
  </si>
  <si>
    <t>Descupinização</t>
  </si>
  <si>
    <t>Descupinização para entrega</t>
  </si>
  <si>
    <t>01.01.3156</t>
  </si>
  <si>
    <t>01.01.3157</t>
  </si>
  <si>
    <t>01.01.3158</t>
  </si>
  <si>
    <t>01.01.3159</t>
  </si>
  <si>
    <t>01.01.3160</t>
  </si>
  <si>
    <t>01.01.3161</t>
  </si>
  <si>
    <t>01.01.3162</t>
  </si>
  <si>
    <t>01.01.3163</t>
  </si>
  <si>
    <t>01.01.3164</t>
  </si>
  <si>
    <t>01.01.3165</t>
  </si>
  <si>
    <t>Máquinas e Equipamentos Diversos</t>
  </si>
  <si>
    <t>05.2.3</t>
  </si>
  <si>
    <t>Transporte</t>
  </si>
  <si>
    <t>Rodapé Porcelanato Karts Off White Nat Ret 7x90cm Cod. 25111E - Portobello</t>
  </si>
  <si>
    <t>Rodapé Ladrilho Hidráulico 10x20cm Cor 05 - Ladrilhos Petrópolis</t>
  </si>
  <si>
    <t>Sistema de Aquecimento Central</t>
  </si>
  <si>
    <t>Piso Mármores - mat</t>
  </si>
  <si>
    <t>Piso Mármores - mo</t>
  </si>
  <si>
    <t>Manta Acústica 10mm - Isolamento PEBD</t>
  </si>
  <si>
    <t>Cerâmica Cetim Bianco 30x60cm Cod.  204315E - Portobello</t>
  </si>
  <si>
    <t>Cerâmica Botanique Camellia 20x30cm Cod.  204315E - Portobello</t>
  </si>
  <si>
    <t>Cerâmica Liverpool Matt White 07x24 Cod. 26027E - Portobello</t>
  </si>
  <si>
    <t>01.01.3166</t>
  </si>
  <si>
    <t>01.01.3167</t>
  </si>
  <si>
    <t>01.01.3168</t>
  </si>
  <si>
    <t>01.01.3169</t>
  </si>
  <si>
    <t>01.01.3170</t>
  </si>
  <si>
    <t>01.01.3171</t>
  </si>
  <si>
    <t>Textura Terracor Velvet</t>
  </si>
  <si>
    <t>Textura Terracor Predial 200</t>
  </si>
  <si>
    <t>Ladrilho Hidráulico 14X07 Ladrilar</t>
  </si>
  <si>
    <t>Porcelanato Violin BE 9,82X40,0 Nat Bold Variação De Cor 70% BE/ 30% BW</t>
  </si>
  <si>
    <t>01.01.3172</t>
  </si>
  <si>
    <t>01.01.3173</t>
  </si>
  <si>
    <t>01.01.3174</t>
  </si>
  <si>
    <t>01.01.3175</t>
  </si>
  <si>
    <t>01.01.3176</t>
  </si>
  <si>
    <t>01.01.3177</t>
  </si>
  <si>
    <t>01.01.3178</t>
  </si>
  <si>
    <t>01.01.3179</t>
  </si>
  <si>
    <t>01.01.3180</t>
  </si>
  <si>
    <t>01.01.3181</t>
  </si>
  <si>
    <t>01.01.3182</t>
  </si>
  <si>
    <t>Porcelanato Bianco Covelano 60x60cm Cod. 24486E - Portobello</t>
  </si>
  <si>
    <t>Porcelanato Portobello MS. Barcelona Antracita 60X120</t>
  </si>
  <si>
    <t>Ladrilho Hidráulico 20X20 Ladrilar</t>
  </si>
  <si>
    <t>Licença Água e Esgoto</t>
  </si>
  <si>
    <t>Engenheiro de produção - Part time - Pré Obra</t>
  </si>
  <si>
    <t>PJ</t>
  </si>
  <si>
    <t>Recuperação Estrutural</t>
  </si>
  <si>
    <t>Corte de Árvore</t>
  </si>
  <si>
    <t>ESQUADRIAS EM ALUMÍNIO, FERRO E MADEIRA</t>
  </si>
  <si>
    <t>Mão de obra de Apoio / Engenharia - TEMPORÁRIO</t>
  </si>
  <si>
    <t>Reforço Estrutural Metálico</t>
  </si>
  <si>
    <t>Reforço Estrutural Alvenaria (Incluso escoramento)</t>
  </si>
  <si>
    <t>Piso Existente Retirada - Taco</t>
  </si>
  <si>
    <t>Piso Existente Recolocação - Taco</t>
  </si>
  <si>
    <t>Elementos Decorativos da Fachada</t>
  </si>
  <si>
    <t>Reforço de fundação - Casa</t>
  </si>
  <si>
    <t>01.01.3183</t>
  </si>
  <si>
    <t>01.01.3184</t>
  </si>
  <si>
    <t>01.01.3185</t>
  </si>
  <si>
    <t>01.01.3186</t>
  </si>
  <si>
    <t>01.01.3187</t>
  </si>
  <si>
    <t>01.01.3188</t>
  </si>
  <si>
    <t>01.01.3189</t>
  </si>
  <si>
    <t>Revisão das esquadrias de ferro existente - casa</t>
  </si>
  <si>
    <t>Guarda corpo das varandas - Prédio anexo</t>
  </si>
  <si>
    <t>andar</t>
  </si>
  <si>
    <t>Vidro Laminado Escada - Casa</t>
  </si>
  <si>
    <t>Carpinteiro - Temporário</t>
  </si>
  <si>
    <t>Servente - Temporário</t>
  </si>
  <si>
    <t>LEOPOLDO MIGUEL 10</t>
  </si>
  <si>
    <t>Base m2 - Raro</t>
  </si>
  <si>
    <t>08.2.5</t>
  </si>
  <si>
    <t>08.2.6</t>
  </si>
  <si>
    <t>08.2.7</t>
  </si>
  <si>
    <t>08.2.8</t>
  </si>
  <si>
    <t>Espaçador tipo Rolete</t>
  </si>
  <si>
    <t>Instalações Prediais (elétricas, especiais, hidraulicas, esgoto sanitário, incêndio e gás)</t>
  </si>
  <si>
    <t>Concreto Usinado 45 Mpa, fator AC 0,45</t>
  </si>
  <si>
    <t>Perfil Metálico - Corte</t>
  </si>
  <si>
    <t>Retroescavadeira - Apoio hélice</t>
  </si>
  <si>
    <t>01.01.3190</t>
  </si>
  <si>
    <t>01.01.3191</t>
  </si>
  <si>
    <t>01.01.3192</t>
  </si>
  <si>
    <t>01.01.3193</t>
  </si>
  <si>
    <t>01.01.3194</t>
  </si>
  <si>
    <t>01.01.3195</t>
  </si>
  <si>
    <t>01.01.3196</t>
  </si>
  <si>
    <t>01.01.3197</t>
  </si>
  <si>
    <t>01.01.3198</t>
  </si>
  <si>
    <t>01.01.3199</t>
  </si>
  <si>
    <t>01.01.3200</t>
  </si>
  <si>
    <t>01.01.3201</t>
  </si>
  <si>
    <t>01.01.3202</t>
  </si>
  <si>
    <t>01.01.3203</t>
  </si>
  <si>
    <t>01.01.3204</t>
  </si>
  <si>
    <t>Cerâmica Neutra Clássico branco mate 30x60 ret</t>
  </si>
  <si>
    <t>Porcelanato Bloomy Off white nat 120x60 ret, Portobello</t>
  </si>
  <si>
    <t>Pastilha Atlhas Nereu 10X10 OMD14878 Branco</t>
  </si>
  <si>
    <t>Arqplace</t>
  </si>
  <si>
    <t>Porcelanato Hangar Toronto nat 60x60 bold – Portobello</t>
  </si>
  <si>
    <t>Porcelanato Avantgarde Clair Portobello 20x120cm</t>
  </si>
  <si>
    <t>Porcelanato Bloomy Off White nat 90x90 Ret, Portobello</t>
  </si>
  <si>
    <t>Porcelanato Portobello Ipanema Posto 10 Nat. Ret. 90x90</t>
  </si>
  <si>
    <t>Porcelanato Portobello Ipanema Posto 10 Nat. Ret. 120x120</t>
  </si>
  <si>
    <t>Porcelanato Portobello Ipanema Posto 10 Ext. Ret. 120x120</t>
  </si>
  <si>
    <t>Rodapé Inverso Santa Luzia Neo alumínio 30x3000 branco - Material</t>
  </si>
  <si>
    <t>Rodapé Porcelanato Portobello Ipanema Posto 10 Ext. Ret. 10x120</t>
  </si>
  <si>
    <t>Rodapé Porcelanato Bloomy Off White nat 10x90 Ret, Portobello</t>
  </si>
  <si>
    <t>Porcelanato Portobello Mineral Off White NAT</t>
  </si>
  <si>
    <t>Porcelanato Portobello Oh! Take Cliff NAT</t>
  </si>
  <si>
    <t>01.01.3205</t>
  </si>
  <si>
    <t>01.01.3206</t>
  </si>
  <si>
    <t>01.01.3207</t>
  </si>
  <si>
    <t>01.01.3208</t>
  </si>
  <si>
    <t>01.01.3209</t>
  </si>
  <si>
    <t>01.01.3210</t>
  </si>
  <si>
    <t>01.01.3211</t>
  </si>
  <si>
    <t>01.01.3212</t>
  </si>
  <si>
    <t>Duplicador de Vaga</t>
  </si>
  <si>
    <t>Consultoria de Fundação</t>
  </si>
  <si>
    <t>Consultoria Fiscal</t>
  </si>
  <si>
    <t>Recarga de Extintores</t>
  </si>
  <si>
    <t>Operador de Cremalheira</t>
  </si>
  <si>
    <t>Controle de Acesso</t>
  </si>
  <si>
    <t>Controle de acesso ao canteiro</t>
  </si>
  <si>
    <t>REBAIXAMENTO DE LENÇOL</t>
  </si>
  <si>
    <t>01.01.3213</t>
  </si>
  <si>
    <t>01.01.3214</t>
  </si>
  <si>
    <t>01.01.3215</t>
  </si>
  <si>
    <t>01.01.3216</t>
  </si>
  <si>
    <t>01.01.3217</t>
  </si>
  <si>
    <t>01.01.3218</t>
  </si>
  <si>
    <t>01.01.3219</t>
  </si>
  <si>
    <t>01.01.3220</t>
  </si>
  <si>
    <t>01.01.3221</t>
  </si>
  <si>
    <t>01.01.3222</t>
  </si>
  <si>
    <t>01.01.3223</t>
  </si>
  <si>
    <t>01.01.3224</t>
  </si>
  <si>
    <t>01.01.3225</t>
  </si>
  <si>
    <t>01.01.3226</t>
  </si>
  <si>
    <t>01.01.3227</t>
  </si>
  <si>
    <t>Desmobilização do sistema de rebaixamento</t>
  </si>
  <si>
    <t>Mobilização do sistema de rebaixamento</t>
  </si>
  <si>
    <t>Instalação do sistema de rebaixamento</t>
  </si>
  <si>
    <t>Perfil Metálico - Solda</t>
  </si>
  <si>
    <t>m3</t>
  </si>
  <si>
    <t>Apiacoamento e limpeza manual da superfície das estacas</t>
  </si>
  <si>
    <t>Pintura texturizada rolada tipo Emalux, na cor gelo</t>
  </si>
  <si>
    <t>Pintura Acrílica Branca Neve com Massa</t>
  </si>
  <si>
    <t>Pintura cinza em concreto liso acabado - nova cor piso</t>
  </si>
  <si>
    <t>Revestimento PROTÉCNICA Mr Skin Stone cor Linho</t>
  </si>
  <si>
    <t>Textura TERRACOR linha predial branco</t>
  </si>
  <si>
    <t>Textura Ibratin Cristallini de granulometria média na cor Branca com aplicação de Hidrofugante</t>
  </si>
  <si>
    <t>Revestimento em textura Mr. Limebeton Linho</t>
  </si>
  <si>
    <t>Pintura epóxi esmalte SUVINIL multissuperfícies acetinada cor cinza claro com faixas cor bronze</t>
  </si>
  <si>
    <t>Guarda corpo + Corrimão em Ferro Escada Enclausurada - Material e Mão de Obra</t>
  </si>
  <si>
    <t>01.01.3228</t>
  </si>
  <si>
    <t>01.01.3229</t>
  </si>
  <si>
    <t>01.01.3230</t>
  </si>
  <si>
    <t>01.01.3231</t>
  </si>
  <si>
    <t>01.01.3232</t>
  </si>
  <si>
    <t>01.01.3233</t>
  </si>
  <si>
    <t>01.01.3234</t>
  </si>
  <si>
    <t>01.01.3235</t>
  </si>
  <si>
    <t>01.01.3236</t>
  </si>
  <si>
    <t>01.01.3237</t>
  </si>
  <si>
    <t>Visitas de abrir 1 folha (Reservatórios)</t>
  </si>
  <si>
    <t>Porta com chapa expandida 4,79 x 2,10</t>
  </si>
  <si>
    <t>Porta com chapa expandida 1.94 x 2,10</t>
  </si>
  <si>
    <t>Pergolado em estrutura metálica - Cobertura</t>
  </si>
  <si>
    <t>01.01.3238</t>
  </si>
  <si>
    <t>01.01.3239</t>
  </si>
  <si>
    <t>01.01.3240</t>
  </si>
  <si>
    <t>01.01.3241</t>
  </si>
  <si>
    <t>01.01.3242</t>
  </si>
  <si>
    <t>01.01.3243</t>
  </si>
  <si>
    <t>01.01.3244</t>
  </si>
  <si>
    <t>01.01.3245</t>
  </si>
  <si>
    <t>01.01.3246</t>
  </si>
  <si>
    <t>01.01.3247</t>
  </si>
  <si>
    <t>Cabeamento e Equipamentos de Especiais - Interfone/CFTV/Antena/Wifi</t>
  </si>
  <si>
    <t>Chumbação de Contramarco de Alumínio - Mão de Obra</t>
  </si>
  <si>
    <t>gl</t>
  </si>
  <si>
    <t>Aditivo compensador de retração 3kg - Vedacit</t>
  </si>
  <si>
    <t>Placa em EPS 1,00x1,00x0,02</t>
  </si>
  <si>
    <t>Piso Cimentado Escada degrau e espelho - Mão de Obra</t>
  </si>
  <si>
    <t>Pintura de vagas (MAT+MO)</t>
  </si>
  <si>
    <t>Forro em drywall - Material e Mão de Obra</t>
  </si>
  <si>
    <t>Chapisco Externo - Mão de obra Faixa</t>
  </si>
  <si>
    <t>ml</t>
  </si>
  <si>
    <t>Emboço Paulista Externo - Mão de Obra Faixa</t>
  </si>
  <si>
    <r>
      <t>Portão de acesso  metálico HS Metal Design perfurado</t>
    </r>
    <r>
      <rPr>
        <sz val="9"/>
        <color rgb="FFFF0000"/>
        <rFont val="Calibri"/>
        <family val="2"/>
        <scheme val="minor"/>
      </rPr>
      <t xml:space="preserve"> - Não inclui pintura artística</t>
    </r>
  </si>
  <si>
    <t>CONSIDERAÇÕES GERAIS</t>
  </si>
  <si>
    <t>PREMISSAS E EXCLUSÕES</t>
  </si>
  <si>
    <t>Implantação de Canteiro - Todos os custos com as instalações provisórias foram incluídos.</t>
  </si>
  <si>
    <t>Segurança do trabalho - Todos os custos com proteções e requisitos de normas de segurança foram considerados, fazendo parte do orçamento em questão.</t>
  </si>
  <si>
    <t>Máquinas e Equipamentos - Todos os custos com máquinas, ferramentas e equipamentos que se façam necessários fazem parte do orçamento em questão.</t>
  </si>
  <si>
    <t>Equipe - Toda a equipe administrativa foi considerada, incluindo seus custos diretos e indiretos.</t>
  </si>
  <si>
    <t>Despesas operacionais - Todos os custos operacionais que se façam necessários fazem parte do orçamento em questão.</t>
  </si>
  <si>
    <r>
      <t xml:space="preserve">Demolições - </t>
    </r>
    <r>
      <rPr>
        <sz val="10"/>
        <color rgb="FFFF0000"/>
        <rFont val="Calibri"/>
        <family val="2"/>
        <scheme val="minor"/>
      </rPr>
      <t>Não foram consideradas</t>
    </r>
    <r>
      <rPr>
        <sz val="10"/>
        <rFont val="Calibri"/>
        <family val="2"/>
        <scheme val="minor"/>
      </rPr>
      <t xml:space="preserve"> demolições de estruturas ou rochas de qualquer natureza que possam aparecer ao longo da execução das fundações. Caso ocorra, o custo de sua retirada será a cargo do incorporador.</t>
    </r>
  </si>
  <si>
    <t>Impermeabilizações - Todas as impermeabilizações foram consideradas.</t>
  </si>
  <si>
    <t>Forros - Todos os forros seguiram memorial descritivo.</t>
  </si>
  <si>
    <t>Acabamentos cerâmicos - Todos os acabamentos cerâmicos seguiram o memorial descritivo.</t>
  </si>
  <si>
    <t>Pintura - Considerado pintura interna e externa, conforme memorial descritivo.</t>
  </si>
  <si>
    <t>Louças e Metais - Consideradas louças e metais conforme memorial.</t>
  </si>
  <si>
    <t>Ar cond. e Exaustão - Foi considerado sistema de pressurização de escada, exaustão mecânicas nos banheiros e infra de ar cond. split nas unidades e equipamentos nas áreas comuns.</t>
  </si>
  <si>
    <t>Limpeza - Foi considerado limpeza geral da obra, descupinização e limpeza dos reservatórios para entrega da obra.</t>
  </si>
  <si>
    <t>LISTA DE PROJETOS</t>
  </si>
  <si>
    <t>NOME</t>
  </si>
  <si>
    <t>REVISÃO</t>
  </si>
  <si>
    <t>DATA REV</t>
  </si>
  <si>
    <t>ARQUITETURA</t>
  </si>
  <si>
    <t>R00</t>
  </si>
  <si>
    <t>ESTRUTURA</t>
  </si>
  <si>
    <t>R05</t>
  </si>
  <si>
    <t>FUNDAÇÃO</t>
  </si>
  <si>
    <t>R02</t>
  </si>
  <si>
    <t>Instalação de esgoto e pluviais</t>
  </si>
  <si>
    <t>Instalação de gás</t>
  </si>
  <si>
    <t>Instalações elétricas</t>
  </si>
  <si>
    <t>Instalações especiais</t>
  </si>
  <si>
    <t>Instalações hidráulicas</t>
  </si>
  <si>
    <t>5.6.</t>
  </si>
  <si>
    <t>SONDAGEM</t>
  </si>
  <si>
    <t>TOPOGRAFIA</t>
  </si>
  <si>
    <t>PROJETO LEGAL</t>
  </si>
  <si>
    <t>EQUIPE TÉCNICA  E ADMINISTRATIVA DE OBRA</t>
  </si>
  <si>
    <t>MÊS 21</t>
  </si>
  <si>
    <t>MÊS 22</t>
  </si>
  <si>
    <t>MÊS 23</t>
  </si>
  <si>
    <t>MÊS 24</t>
  </si>
  <si>
    <t>Total</t>
  </si>
  <si>
    <t>R$ Total</t>
  </si>
  <si>
    <t>Qtd</t>
  </si>
  <si>
    <t>ENGENHEIRO - PJ</t>
  </si>
  <si>
    <t>ARQUITETA - PJ</t>
  </si>
  <si>
    <t>ESTAGIÁRIO</t>
  </si>
  <si>
    <t>TÉCNICO DE EDIFICAÇÕES</t>
  </si>
  <si>
    <t>MESTRE DE OBRA</t>
  </si>
  <si>
    <t>TÉCNICO EM SEGURANÇA DO TRABALHO</t>
  </si>
  <si>
    <t>ALMOXARIFE</t>
  </si>
  <si>
    <t>AUXILIAR ALMOXARIFE</t>
  </si>
  <si>
    <t>ENCARREGADO DE OBRA</t>
  </si>
  <si>
    <t>ENCARREGADO DE TURMA</t>
  </si>
  <si>
    <t>OPERADOR DE CREMALHEIRA</t>
  </si>
  <si>
    <t>OPERADOR DE GRUA</t>
  </si>
  <si>
    <t>CARPINTEIRO</t>
  </si>
  <si>
    <t>ELETRICISTA</t>
  </si>
  <si>
    <t>BOMBEIRO</t>
  </si>
  <si>
    <t>Nº DE FUNCIONÁRIOS</t>
  </si>
  <si>
    <t>FOLHA OPERACIONAL</t>
  </si>
  <si>
    <t>HORAS EXTRAS</t>
  </si>
  <si>
    <t>REFEIÇÃO</t>
  </si>
  <si>
    <t>TRANSPORTE</t>
  </si>
  <si>
    <t>SEGURO DE VIDA</t>
  </si>
  <si>
    <t>ALIMENTAÇÃO - ASSIDUIDADE</t>
  </si>
  <si>
    <t>EXAMES ADMISSIONAIS/PERIÓDICOS</t>
  </si>
  <si>
    <t>IMPOSTO NF DE M.O. (19,76%)</t>
  </si>
  <si>
    <t>Pavibloco</t>
  </si>
  <si>
    <t>SUBTOTAL</t>
  </si>
  <si>
    <t>HISTOGRAMA DE EQUIPAMENTOS</t>
  </si>
  <si>
    <t>Locação mensal do sistema de rebaixamento - 50 ponteiras ligadas à 01 conjunto de bombas</t>
  </si>
  <si>
    <t>REGIME PJ</t>
  </si>
  <si>
    <t>ENGENHEIRO</t>
  </si>
  <si>
    <t>ENCARGOS SOCIAIS</t>
  </si>
  <si>
    <t>CUSTO PJ</t>
  </si>
  <si>
    <t>REGIME CLT</t>
  </si>
  <si>
    <t>ENC. ADMINISTRATIVO</t>
  </si>
  <si>
    <t>ARQUITETA</t>
  </si>
  <si>
    <t>05.1.5</t>
  </si>
  <si>
    <t>05.1.6</t>
  </si>
  <si>
    <t>Imposto para emissão de NF</t>
  </si>
  <si>
    <t>Imposto de emissão de NF</t>
  </si>
  <si>
    <t>FHX</t>
  </si>
  <si>
    <t>Fundação Estaca Tipo Raiz 41 cm</t>
  </si>
  <si>
    <t>Fundação Estaca Tipo Raiz 31 cm</t>
  </si>
  <si>
    <t>Contenção Estaca Tipo Raiz 31 cm</t>
  </si>
  <si>
    <t>Aço CA50 20,0mm - vergalhão</t>
  </si>
  <si>
    <t>Aço CA50 25,0 mm, vergalhão</t>
  </si>
  <si>
    <t>Bombeamento de concreto - até 40m³</t>
  </si>
  <si>
    <t>Bombeamento de concreto - acima 40m³</t>
  </si>
  <si>
    <t>01.01.3248</t>
  </si>
  <si>
    <t>01.01.3249</t>
  </si>
  <si>
    <t>01.01.3250</t>
  </si>
  <si>
    <t>01.01.3251</t>
  </si>
  <si>
    <t>01.01.3252</t>
  </si>
  <si>
    <t>01.01.3253</t>
  </si>
  <si>
    <t>01.01.3254</t>
  </si>
  <si>
    <t>01.01.3255</t>
  </si>
  <si>
    <t>01.01.3256</t>
  </si>
  <si>
    <t>01.01.3257</t>
  </si>
  <si>
    <t>Vermifloc Acústico - 40lt</t>
  </si>
  <si>
    <t>parada</t>
  </si>
  <si>
    <t>Execução Alvenaria  - Bloco Celular</t>
  </si>
  <si>
    <t>Bloco Celular 12,5x60x30cm - Pequenas Quantidades</t>
  </si>
  <si>
    <t>Bloco Celular 12,5x30x30cm - Pequenas Quantidades</t>
  </si>
  <si>
    <t>Caixa d' água 3.000L</t>
  </si>
  <si>
    <t>RioMix</t>
  </si>
  <si>
    <t>Forro em drywall faixa - Material e Mão de Obra</t>
  </si>
  <si>
    <t>01.01.3258</t>
  </si>
  <si>
    <t>01.01.3259</t>
  </si>
  <si>
    <t>01.01.3260</t>
  </si>
  <si>
    <t>01.01.3261</t>
  </si>
  <si>
    <t>01.01.3262</t>
  </si>
  <si>
    <t>01.01.3263</t>
  </si>
  <si>
    <t>01.01.3264</t>
  </si>
  <si>
    <t>01.01.3265</t>
  </si>
  <si>
    <t>01.01.3266</t>
  </si>
  <si>
    <t>01.01.3267</t>
  </si>
  <si>
    <t>01.01.3268</t>
  </si>
  <si>
    <t>01.01.3269</t>
  </si>
  <si>
    <t>01.01.3270</t>
  </si>
  <si>
    <t>01.01.3271</t>
  </si>
  <si>
    <t>01.01.3272</t>
  </si>
  <si>
    <t>01.01.3273</t>
  </si>
  <si>
    <t>01.01.3274</t>
  </si>
  <si>
    <t>01.01.3275</t>
  </si>
  <si>
    <t>01.01.3276</t>
  </si>
  <si>
    <t>01.01.3277</t>
  </si>
  <si>
    <t>01.01.3278</t>
  </si>
  <si>
    <t>01.01.3279</t>
  </si>
  <si>
    <t>01.01.3280</t>
  </si>
  <si>
    <t>01.01.3281</t>
  </si>
  <si>
    <t>Rodapé Santa Luzia - Mão de Obra</t>
  </si>
  <si>
    <t>Escada Marinheiro com Gaiola de Proteção</t>
  </si>
  <si>
    <t>Grelha fixa</t>
  </si>
  <si>
    <t>Chapa perfurada em ALUMÍNIO redondo 49, da Permetal, com pintura na cor Cinza Antracite</t>
  </si>
  <si>
    <t>01.01.3282</t>
  </si>
  <si>
    <t>01.01.3283</t>
  </si>
  <si>
    <t>01.01.3284</t>
  </si>
  <si>
    <t>01.01.3285</t>
  </si>
  <si>
    <t>01.01.3286</t>
  </si>
  <si>
    <t>01.01.3287</t>
  </si>
  <si>
    <t>Recolhimento suplementar de ISS - m²/ATC</t>
  </si>
  <si>
    <t>ASSISTÊNCIA TÉCNICA - 1% CUSTO RASO</t>
  </si>
  <si>
    <t>Instalações de incêndio</t>
  </si>
  <si>
    <t>Consultoria de Instalações</t>
  </si>
  <si>
    <t>5.7.</t>
  </si>
  <si>
    <t>5.8.</t>
  </si>
  <si>
    <t>R03</t>
  </si>
  <si>
    <t>AA211_SIG_VDP_PL02_R05</t>
  </si>
  <si>
    <t>AA211_SIG_VDP_PL03_R03</t>
  </si>
  <si>
    <t>AA211_SIG_VDP_LICIN_ANEXO_I-B_R05</t>
  </si>
  <si>
    <t>AA211_SIG_VDP_LICIN_ANEXO_II_R05</t>
  </si>
  <si>
    <t>VP23-CLI-AC-PP-0001-TER-R00_R00</t>
  </si>
  <si>
    <t>VP23-CLI-AC-PP-0002-1PV-R00_R00</t>
  </si>
  <si>
    <t>VP23-CLI-AC-PP-0003-TIP-R00_R00</t>
  </si>
  <si>
    <t>VP23-CLI-AC-PP-0004-9PV-R00_R00</t>
  </si>
  <si>
    <t>VP23-CLI-AC-PP-0005-COB-R00_R00</t>
  </si>
  <si>
    <t>VP23-CLI-AC-PP-0006-DEP-R00_R00</t>
  </si>
  <si>
    <t>VP23-CLI-AC-PP-0007-TLH-R00_R00</t>
  </si>
  <si>
    <t>VP23-CLI-AP-001-TER_R02</t>
  </si>
  <si>
    <t>VP23-CLI-AP-002-1PV_R02</t>
  </si>
  <si>
    <t>VP23-CLI-AP-003-TIP_R02</t>
  </si>
  <si>
    <t>VP23-CLI-AP-004-COB_R02</t>
  </si>
  <si>
    <t>VP23-CLI-AP-005-DEP_R02</t>
  </si>
  <si>
    <t>VP23-CLI-AP-006-TLH_R02</t>
  </si>
  <si>
    <t>ANCORAGEM</t>
  </si>
  <si>
    <t>ESQUADRIA DE ALUMÍNIO</t>
  </si>
  <si>
    <t xml:space="preserve">AR CONDICIONADO </t>
  </si>
  <si>
    <t>Bicicletário 5 Lugares - Material e Mão de Obra</t>
  </si>
  <si>
    <t>Contenção Estaca Escavada 25 cm</t>
  </si>
  <si>
    <t>Porta De Abrir Maciça 0,80X2,10 Com 3,5Cm De Espessura E Aduelas Com Vedação</t>
  </si>
  <si>
    <t>Porta Abrir 1 Folha 0,90X2,10 - Pintura Branca</t>
  </si>
  <si>
    <t>Piso Elevador em granito Branco Siena - Material</t>
  </si>
  <si>
    <t>Piso em granito</t>
  </si>
  <si>
    <t>Bancada em L Cozinha C=3,30m em Granito Preto São Grabriel - Material</t>
  </si>
  <si>
    <t>Bancada Cozinha C=2,20m em Granito Preto São Grabriel - Material</t>
  </si>
  <si>
    <t>Bancada Cozinha C=2,32m em Granito Preto São Grabriel - Material</t>
  </si>
  <si>
    <t>Bancada Cozinha C=1,80m em Granito Preto São Grabriel - Material</t>
  </si>
  <si>
    <t>Marmoraria Espírito Santo</t>
  </si>
  <si>
    <t>Bancada em L Cozinha C=3,90m em Granito Preto São Grabriel - Material</t>
  </si>
  <si>
    <t>Bancada Lavatório 0,90x0,50 em Marmore Branco Siena - Material</t>
  </si>
  <si>
    <t>Bancada Cozinha Reta - Mão de Obra</t>
  </si>
  <si>
    <t>Bancada Lavatório - Mão de Obra</t>
  </si>
  <si>
    <t>01.01.3288</t>
  </si>
  <si>
    <t>01.01.3289</t>
  </si>
  <si>
    <t>01.01.3290</t>
  </si>
  <si>
    <t>01.01.3291</t>
  </si>
  <si>
    <t>01.01.3292</t>
  </si>
  <si>
    <t>01.01.3293</t>
  </si>
  <si>
    <t>01.01.3294</t>
  </si>
  <si>
    <t>01.01.3295</t>
  </si>
  <si>
    <t>01.01.3296</t>
  </si>
  <si>
    <t>01.01.3297</t>
  </si>
  <si>
    <t>01.01.3298</t>
  </si>
  <si>
    <t>01.01.3299</t>
  </si>
  <si>
    <t>01.01.3300</t>
  </si>
  <si>
    <t>01.01.3301</t>
  </si>
  <si>
    <t>01.01.3302</t>
  </si>
  <si>
    <t>Bancada Cozinha C=3,77m em Granito Preto São Grabriel - Material</t>
  </si>
  <si>
    <t>Tampo Cozinha 2,80x0,80 em Granito Preto São Grabriel - Material</t>
  </si>
  <si>
    <t>Bancada Cozinha C=1,93m em Marmore Branco Siena - Material</t>
  </si>
  <si>
    <t>Dimitri</t>
  </si>
  <si>
    <t>Escada Metálica com Chapa</t>
  </si>
  <si>
    <t>Escada Metálica Caracol com Chapa</t>
  </si>
  <si>
    <t>Sauna Vapor - Equipamentos</t>
  </si>
  <si>
    <t>GRUPO 01</t>
  </si>
  <si>
    <t>GRUPO 02</t>
  </si>
  <si>
    <t>GRUPO 03</t>
  </si>
  <si>
    <t>GRUPO 04</t>
  </si>
  <si>
    <t>GRUPO 05</t>
  </si>
  <si>
    <t>GRUPO 06</t>
  </si>
  <si>
    <t>GRUPO 07</t>
  </si>
  <si>
    <t>GRUPO 08</t>
  </si>
  <si>
    <t>GRUPO 09</t>
  </si>
  <si>
    <t>GRUPO 10</t>
  </si>
  <si>
    <t>GRUPO 11</t>
  </si>
  <si>
    <t>GRUPO 12</t>
  </si>
  <si>
    <t>GRUPO 13</t>
  </si>
  <si>
    <t>GRUPO 14</t>
  </si>
  <si>
    <t>GRUPO 15</t>
  </si>
  <si>
    <t>GRUPO 16</t>
  </si>
  <si>
    <t>GRUPO 17</t>
  </si>
  <si>
    <t>GRUPO 18</t>
  </si>
  <si>
    <t>GRUPO 19</t>
  </si>
  <si>
    <t>GRUPO 20</t>
  </si>
  <si>
    <t>GRUPO 21</t>
  </si>
  <si>
    <t>GRUPO 22</t>
  </si>
  <si>
    <t>GRUPO 23</t>
  </si>
  <si>
    <t>GRUPO 24</t>
  </si>
  <si>
    <t>GRUPO 25</t>
  </si>
  <si>
    <t>conj</t>
  </si>
  <si>
    <t>Ancoragem Ativa/Passiva MAC-1ASC ⌀ 15,2mm</t>
  </si>
  <si>
    <t>Mac Sistema Brasileiro de Protensão</t>
  </si>
  <si>
    <t>Aço CP Engraxada ⌀ 15,2mm</t>
  </si>
  <si>
    <t>Fretagem CA-50 10mm</t>
  </si>
  <si>
    <t>Montagem de aço de Fretagem</t>
  </si>
  <si>
    <t>Eka Formas</t>
  </si>
  <si>
    <t>Serviço de protenção</t>
  </si>
  <si>
    <r>
      <t>Sistema de Protensão</t>
    </r>
    <r>
      <rPr>
        <b/>
        <sz val="10"/>
        <color rgb="FFFF0000"/>
        <rFont val="Calibri"/>
        <family val="2"/>
        <scheme val="minor"/>
      </rPr>
      <t xml:space="preserve"> - Estimado</t>
    </r>
  </si>
  <si>
    <t>Vallide</t>
  </si>
  <si>
    <t>01.01.3303</t>
  </si>
  <si>
    <t>01.01.3304</t>
  </si>
  <si>
    <t>01.01.3305</t>
  </si>
  <si>
    <t>01.01.3306</t>
  </si>
  <si>
    <t>01.01.3307</t>
  </si>
  <si>
    <t>01.01.3308</t>
  </si>
  <si>
    <t>01.01.3309</t>
  </si>
  <si>
    <t>01.01.3310</t>
  </si>
  <si>
    <t>01.01.3311</t>
  </si>
  <si>
    <t>01.01.3312</t>
  </si>
  <si>
    <t>01.01.3313</t>
  </si>
  <si>
    <t>01.01.3314</t>
  </si>
  <si>
    <t>01.01.3315</t>
  </si>
  <si>
    <t>Operador De Cremalheira</t>
  </si>
  <si>
    <t>Locsolo + 2 sábados HE</t>
  </si>
  <si>
    <t>Cremalheira - Manutenção preventiva</t>
  </si>
  <si>
    <t>Cremalheira - Ascensão por Pavimento</t>
  </si>
  <si>
    <t>Cremalheira - Projeto Executivo com ART</t>
  </si>
  <si>
    <t>Cremalheira - PPRA + PCMSO</t>
  </si>
  <si>
    <t>Locsolo</t>
  </si>
  <si>
    <t>AJ Vigia e Portaria</t>
  </si>
  <si>
    <t>M3 Vigilancia</t>
  </si>
  <si>
    <t>Área Construída</t>
  </si>
  <si>
    <t>Base Anibal</t>
  </si>
  <si>
    <t>Anibal</t>
  </si>
  <si>
    <r>
      <t>Contenção Cortina de Concreto</t>
    </r>
    <r>
      <rPr>
        <b/>
        <sz val="10"/>
        <color rgb="FFFF0000"/>
        <rFont val="Calibri"/>
        <family val="2"/>
        <scheme val="minor"/>
      </rPr>
      <t xml:space="preserve"> - Estimado</t>
    </r>
  </si>
  <si>
    <t>Mobilização e desmobilização de Estacas</t>
  </si>
  <si>
    <t>Rei das Estacas</t>
  </si>
  <si>
    <t>Cerâmica Portobello Cetim Bianco Mate 30X90</t>
  </si>
  <si>
    <t>Porcelanato Portobello Mineral Off White Natural 90X90</t>
  </si>
  <si>
    <t>Porcelanato Portobello Mineral Off White Natural 60X60</t>
  </si>
  <si>
    <t>Cerâmica Portobello Cetim Bianco Mate 30X60</t>
  </si>
  <si>
    <t>Porcelanato Portobello MS. Barcelona Cristal Natural 90X90</t>
  </si>
  <si>
    <t>Porcelanato Portobello Pierre Belle Creme 120x120 NAT RET</t>
  </si>
  <si>
    <t>Porcelanato Portobello Karst Off White 90x90 EXT RET</t>
  </si>
  <si>
    <t>Porcelanato Portobello Bleu de Savoie 120x120 NAT RET</t>
  </si>
  <si>
    <t>Porcelanato Portobello Midnight Groove 30x90 NAT RET</t>
  </si>
  <si>
    <t>Porcelanato Portobello Sunset Honolulu 14,5x14,5 EXT RET</t>
  </si>
  <si>
    <t>Alvenaria Bloco de Concreto 14x19x39 - Cheio (Traço 1:8)</t>
  </si>
  <si>
    <t>Bancada Cozinha em L 2,87x0,60 em Marmore Branco Siena - Material</t>
  </si>
  <si>
    <t>Porta De Abrir Semi-Oca 0,60X2,07 - Pintura Branca</t>
  </si>
  <si>
    <t>Porta Abrir 1 Folha com Visor 0,45X0,70 - Pintura Branca</t>
  </si>
  <si>
    <t>Porta De Abrir Semi-Oca 0,90X2,10 Com 3,5Cm De Espessura E  Aduelas com Vedação - Pintura Branca</t>
  </si>
  <si>
    <t>Argamassa Super Formatos e Pedras Especiais - Cinza 20kg</t>
  </si>
  <si>
    <t>Ceramfix</t>
  </si>
  <si>
    <t>Raimondi Rai Cut</t>
  </si>
  <si>
    <t>Disco Diamantado Cortes Precisos CFX Rai-Cut</t>
  </si>
  <si>
    <t>cx</t>
  </si>
  <si>
    <t>Rejunte Porcelanato e Pedras - Cinza 1kg</t>
  </si>
  <si>
    <t>Revestimento Externo em Porcelanato - Fixação Mecânica</t>
  </si>
  <si>
    <t>Marmoraria Espírito Santo - Preço m2</t>
  </si>
  <si>
    <t>Porcelanato Portobello Karst Off White 90x90 NAT RET</t>
  </si>
  <si>
    <t>Revestimento Portobello Araucaria Clara 20X120cm</t>
  </si>
  <si>
    <t>Rodapé Porcelanato Portobello Mineral Off White Natural 10X60</t>
  </si>
  <si>
    <t>Forro em Lambri de Madeira Peroba Mica</t>
  </si>
  <si>
    <t>Global Pedras</t>
  </si>
  <si>
    <t>Rodapé em ardósia 10x40</t>
  </si>
  <si>
    <t>Grancho de Segurança para Fixação CFX Rai-Cut 8mm</t>
  </si>
  <si>
    <t>Pintura de Madeira</t>
  </si>
  <si>
    <t>Pintura em verniz sobre forro de madeira</t>
  </si>
  <si>
    <t xml:space="preserve">Controle Tecnológico - Coleta de materiais na obra </t>
  </si>
  <si>
    <t xml:space="preserve">Controle Tecnológico - Módulo de deformação – série 5 cp’s – NBR 8522 </t>
  </si>
  <si>
    <t>Pintura  Acrílica Suvinil, na cor Branca, acabamento Fosco</t>
  </si>
  <si>
    <t>Pintura acrílica fosca Ibratin na cor Buenos Aires mínimo</t>
  </si>
  <si>
    <t>Soloteste</t>
  </si>
  <si>
    <t>Daltécnica</t>
  </si>
  <si>
    <t>Elementos em Alumínio</t>
  </si>
  <si>
    <t>A6M</t>
  </si>
  <si>
    <t>01.01.3316</t>
  </si>
  <si>
    <t>01.01.3317</t>
  </si>
  <si>
    <t>01.01.3318</t>
  </si>
  <si>
    <t>01.01.3319</t>
  </si>
  <si>
    <t>01.01.3320</t>
  </si>
  <si>
    <t>01.01.3321</t>
  </si>
  <si>
    <t>01.01.3322</t>
  </si>
  <si>
    <t>01.01.3323</t>
  </si>
  <si>
    <t>Soleira em Quartzito Olympus Levigado - Material</t>
  </si>
  <si>
    <t>Recomposição de meio fio - MAT E MO</t>
  </si>
  <si>
    <t>EDCR - Esquadrias Decoração - EXCLUSO</t>
  </si>
  <si>
    <t>GDCR - Gradil Decoração - EXCLUSO</t>
  </si>
  <si>
    <t>Revestimento de Porcelanto Externo com Fixação Mecânica - Mão de Obra</t>
  </si>
  <si>
    <t>Consultoria de Impermeabilização</t>
  </si>
  <si>
    <t>Consultoria Saúde e Segurança do Trabalho</t>
  </si>
  <si>
    <t>Implantação Sistema de Segurança do Canteiro</t>
  </si>
  <si>
    <t>Sistema de Rebaixo de Lençol</t>
  </si>
  <si>
    <t>Reservatório Modular - Resermax</t>
  </si>
  <si>
    <t>Resermax</t>
  </si>
  <si>
    <t>Eletromil</t>
  </si>
  <si>
    <t>Ensaio de Aderência - Emboço</t>
  </si>
  <si>
    <t>Ensaio de Aderência - Cerâmica</t>
  </si>
  <si>
    <t>Ensaio de Aderência - Mobilização</t>
  </si>
  <si>
    <t>Dinamica Engenharia</t>
  </si>
  <si>
    <t>Ensaios de Aderência</t>
  </si>
  <si>
    <t>Massa Texturizada Ibratin Cor Cinza Claro</t>
  </si>
  <si>
    <t>Perfil Tubular 4" X 8" em Alumínio para Pintura Eletrostática</t>
  </si>
  <si>
    <t>18.1.5</t>
  </si>
  <si>
    <t>18.1.6</t>
  </si>
  <si>
    <t>Revestimento Externo em Porcelanato</t>
  </si>
  <si>
    <t>18.1.7</t>
  </si>
  <si>
    <t>Porcelanato Eliane FGMF Risca Taipa EXT 60 X 120 cm</t>
  </si>
  <si>
    <t>Pastilha Atlas Brica 5 X 23 cm</t>
  </si>
  <si>
    <t>Porcelanato Eliane Stelar White NA, 60 X 120 cm</t>
  </si>
  <si>
    <t>Atlas</t>
  </si>
  <si>
    <t>Revestimento de Porcelanto Externo  - Mão de Obra</t>
  </si>
  <si>
    <t>Fulget Na Cor "Branca"</t>
  </si>
  <si>
    <t>Comunicação Visual</t>
  </si>
  <si>
    <t>Acessibilidade</t>
  </si>
  <si>
    <t>Acessibilidade (Piso Tátil, Anel de Corrimão e Placa Braile)</t>
  </si>
  <si>
    <t>Revestimento em MDF em Carvalho Mel</t>
  </si>
  <si>
    <t>KML</t>
  </si>
  <si>
    <t>Fornecimento e Instalação Barra Antipânico</t>
  </si>
  <si>
    <t>Hidrocenter</t>
  </si>
  <si>
    <t>Beluni New Black 422 Tuya Smart</t>
  </si>
  <si>
    <t>Beluni</t>
  </si>
  <si>
    <t>Concreto Usinado 35 Mpa, fator AC 0,45</t>
  </si>
  <si>
    <t>Concreto Lastro de Blocos</t>
  </si>
  <si>
    <t>Concreto de Fundação de Blocos</t>
  </si>
  <si>
    <t>Forma de Blocos</t>
  </si>
  <si>
    <t>Movimento de Terra Fundação</t>
  </si>
  <si>
    <t>Contenções</t>
  </si>
  <si>
    <t>Fundação Estaca Hélice Continua</t>
  </si>
  <si>
    <t>Aço CA50 8,0mm - Vergalhão</t>
  </si>
  <si>
    <t>Trilho TR-32</t>
  </si>
  <si>
    <t>Tela Soldada Nervurada - Q335 - 2,45 x 6,00 m</t>
  </si>
  <si>
    <t>Execução dos serviços de acabamento do revestimento  + instalação dos grampos de fixação e da tela eletrosoldada</t>
  </si>
  <si>
    <t>Aço CA50 10mm - Vergalhão</t>
  </si>
  <si>
    <t>Pintura Rodapé Escada Material e Mão de Obra</t>
  </si>
  <si>
    <t>Licença Tapume</t>
  </si>
  <si>
    <t>Execução de estaca hélice contínua 80 cm</t>
  </si>
  <si>
    <t>Demolição da calçada</t>
  </si>
  <si>
    <t>Mobilização e Administração</t>
  </si>
  <si>
    <t>Forro Especial</t>
  </si>
  <si>
    <t>Operador de Tráfego</t>
  </si>
  <si>
    <t>Fornecimento de Churrasqueira</t>
  </si>
  <si>
    <t>Deck de Piscina</t>
  </si>
  <si>
    <t>Seguro Performance Bond</t>
  </si>
  <si>
    <t>01.01.3324</t>
  </si>
  <si>
    <t>01.01.3325</t>
  </si>
  <si>
    <t>01.01.3326</t>
  </si>
  <si>
    <t>01.01.3327</t>
  </si>
  <si>
    <t>01.01.3328</t>
  </si>
  <si>
    <t>01.01.3329</t>
  </si>
  <si>
    <t>01.01.3330</t>
  </si>
  <si>
    <t>01.01.3331</t>
  </si>
  <si>
    <t>01.01.3332</t>
  </si>
  <si>
    <t>01.01.3333</t>
  </si>
  <si>
    <t>01.01.3334</t>
  </si>
  <si>
    <t>Montagem de parede Dupla de Drywall ST - Mat+MO</t>
  </si>
  <si>
    <t>Apoio Portão</t>
  </si>
  <si>
    <t>Concreto Usinado 30 Mpa, fator AC 0,60</t>
  </si>
  <si>
    <t>Concreto Usinado 60 Mpa, fator AC 0,45</t>
  </si>
  <si>
    <r>
      <t xml:space="preserve">Piso de Concreto - Laje Sob Solo - </t>
    </r>
    <r>
      <rPr>
        <b/>
        <sz val="10"/>
        <color rgb="FFFF0000"/>
        <rFont val="Calibri"/>
        <family val="2"/>
        <scheme val="minor"/>
      </rPr>
      <t>Quantitativo Estimado (Laje=15cm | Aço - 100kg/m3)</t>
    </r>
  </si>
  <si>
    <t>Barlavento Gris 14,5X14,5Cm Bold Ext, Portobello</t>
  </si>
  <si>
    <t>Rodapé Santa Luzia102 - 2400 x 100 x 13 mm - Material</t>
  </si>
  <si>
    <t>PF05 - Porta em chapa metálica + gradil em pintura estroestática branca</t>
  </si>
  <si>
    <t>Arquitetura Executiva</t>
  </si>
  <si>
    <t>Detalhes</t>
  </si>
  <si>
    <t>SC-127-AEX-PEX-100-PB-SUBS_R01.pdf</t>
  </si>
  <si>
    <t>SC-127-AEX-PEX-101-PB-TERR_R01.pdf</t>
  </si>
  <si>
    <t>SC-127-AEX-PEX-102-PB-1PAV_R01.pdf</t>
  </si>
  <si>
    <t>SC-127-AEX-PEX-103-PB-TIPO_R01.pdf</t>
  </si>
  <si>
    <t>SC-127-AEX-PEX-104-PB-11PV_R01.pdf</t>
  </si>
  <si>
    <t>SC-127-AEX-PEX-105-PB-COBE_R01.pdf</t>
  </si>
  <si>
    <t>SC-127-AEX-PEX-106-PB-PTEC_R02.pdf</t>
  </si>
  <si>
    <t>SC-127-AEX-PEX-200-PB-TELH_R01.pdf</t>
  </si>
  <si>
    <t>SC-127-AEX-PEX-300-CT-CORT_R01.pdf</t>
  </si>
  <si>
    <t>SC-127-AEX-PEX-301-CT-CORT_R00.pdf</t>
  </si>
  <si>
    <t>SC-127-AEX-PEX-400-FC-FACH_R01.pdf</t>
  </si>
  <si>
    <t>SC-127-AEX-MEM-001-ACABAMENTOS_R14.xlsx</t>
  </si>
  <si>
    <t>01.3</t>
  </si>
  <si>
    <t>Mini Executivo</t>
  </si>
  <si>
    <t>SC-127-AEX-PE-500-ES-ESC_R00.pdf</t>
  </si>
  <si>
    <t>SC-127-AEX-PE-501-ES-ESC_R00.pdf</t>
  </si>
  <si>
    <t>SC-127-AEX-PE-600-ES-ESQ_R01.pdf</t>
  </si>
  <si>
    <t>SC-127-AEX-PE-601-ES-ESQ_R02.pdf</t>
  </si>
  <si>
    <t>SC-127-AEX-PE-602-ES-ESQ_R02.pdf</t>
  </si>
  <si>
    <t>SC-127-AEX-PE-603-ES-ESQ_R02.pdf</t>
  </si>
  <si>
    <t>SC-127-AEX-PE-604-ES-ESQ_R01.pdf</t>
  </si>
  <si>
    <t>SC-127-AEX-PE-605-ES-ESQ_R00.pdf</t>
  </si>
  <si>
    <t>SC-127-AEX-PE-606-ES-ESQ_R00.pdf</t>
  </si>
  <si>
    <t>SC-127-AEX-PE-700-AM-COL01_R00.pdf</t>
  </si>
  <si>
    <t>SC-127-AEX-PE-701-AM-COL02_R00.pdf</t>
  </si>
  <si>
    <t>SC-127-AEX-PE-702-AM-COL03_R00.pdf</t>
  </si>
  <si>
    <t>SC-127-AEX-PE-703-AM-COL04_R00.pdf</t>
  </si>
  <si>
    <t>SC-127-AEX-PE-704-AM-COL05_R00.pdf</t>
  </si>
  <si>
    <t>SC-127-AEX-PE-705-AM-1103_R00.pdf</t>
  </si>
  <si>
    <t>SC-127-AEX-PE-706-AM-COB01_R00.pdf</t>
  </si>
  <si>
    <t>SC-127-AEX-PE-707-AM-COB02_R00.pdf</t>
  </si>
  <si>
    <t>SC-127-AEX-PE-708-AM-COB03_R00.pdf</t>
  </si>
  <si>
    <t>SC-127-AEX-PE-709-AM-REF_R00.pdf</t>
  </si>
  <si>
    <t>SC-127-AEX-PE-710-AM-PED_R00.pdf</t>
  </si>
  <si>
    <t>SC-127-AEX-PE-711-AM-PED_R00.pdf</t>
  </si>
  <si>
    <t>SC-127-ESP-ME-001-AP-TIPO-R01.pdf</t>
  </si>
  <si>
    <t>SC-ME-IE-001-TIPO-COL02-R03.pdf</t>
  </si>
  <si>
    <t>SC-ME-IG-002-TIPO-COL02-R03.pdf</t>
  </si>
  <si>
    <t>SC-ME-IH-003-TIPO-COL02-R03.pdf</t>
  </si>
  <si>
    <t>SC-ME-IS-004-TIPO-COL02-R04.pdf</t>
  </si>
  <si>
    <t>SC-127-ESQ-ME-010-GE-DETALU-R02.pdf</t>
  </si>
  <si>
    <t>SC-127-ESQ-ME-011-ES-DETALU-R02.pdf</t>
  </si>
  <si>
    <t>SC-127-ESQ-ME-012-ES-DETALU-R02.pdf</t>
  </si>
  <si>
    <t>SC-127-ESQ-ME-013-ES-DETALU-R02.pdf</t>
  </si>
  <si>
    <t>SC-127-AEX-IM-ME-100-PB-TIPO_R02.pdf</t>
  </si>
  <si>
    <t>SC-127-AEX-ME-100-PB-TIPO_R03.pdf</t>
  </si>
  <si>
    <t>SC-127-AEX-ME-700-AM_R02.pdf</t>
  </si>
  <si>
    <t>SC-127-AEX-ME-900-ES-ALU_R02 CADERNO.pdf</t>
  </si>
  <si>
    <t>SC-127-AEX-ME-950-ES-MAD_R02 CADERNO.pdf</t>
  </si>
  <si>
    <t>DOCUMENTOS</t>
  </si>
  <si>
    <t>SC-127- LEVANTAMENTO TOPOGRAFICO MENSURAL R01.pdf</t>
  </si>
  <si>
    <t>SC-127-PRE-OBRA-SON-001-RELATORIO_DE_SONDAGEM_R00</t>
  </si>
  <si>
    <t>SC-127-DOC-APROV-AGUA-ESG-EXT-AGEA-001-DPA_DPE_R00.pdf</t>
  </si>
  <si>
    <t>SC-127-DOC-APROV-RIO-GUAS-001-DECLARACAO_DE_POSSIBILIDADE_DE_ESGOTAMENTO_PLUVIAL_R00.pdf</t>
  </si>
  <si>
    <t>SC 127 BRIEFING TECNICO R05.pdf</t>
  </si>
  <si>
    <t>SC 127 BRIEFING TECNICO R05.xlsx</t>
  </si>
  <si>
    <t>SC-127-DOC-APROV-CONST-SMDUE-LIC-CONST-LICENÃA_DE_CONSTRUÃ├O_R00</t>
  </si>
  <si>
    <t>SC-127-DOC-APROV-G┴S-NATURGY-VIA-001-CARTA_DE_VIABILIDADE_R00</t>
  </si>
  <si>
    <t>SC-127-DOC-BOOK-001-LIS COPACABANA_R00.pdf</t>
  </si>
  <si>
    <t>SC-127-DOC-IMA-004-PORTARIA_R00.jpg</t>
  </si>
  <si>
    <t>SC-127-DOC-IMA-003-FACHADA FRONTAL_R00.jpg</t>
  </si>
  <si>
    <t>SC-127-DOC-IMA-001-FACHADA NOTURNA_R00.jpg</t>
  </si>
  <si>
    <t>SC-127-DOC-IMA-006-COWORKING_R00.jpg</t>
  </si>
  <si>
    <t>SC-127-DOC-IMA-002-FACHADA DIURNA_R00.jpg</t>
  </si>
  <si>
    <t>SC-127-DOC-IMA-005-ACADEMIA_R00.jpg</t>
  </si>
  <si>
    <t>SC-127-DOC-IMA-008-STUDIO_R00.jpg</t>
  </si>
  <si>
    <t>SC-127-DOC-IMA-010-TERRAÇO COB LINEAR_R00.jpg</t>
  </si>
  <si>
    <t>SC-127-DOC-IMA-009-SALA 2Q_R00.jpg</t>
  </si>
  <si>
    <t>SC-127-ALE-SMDEIS-P/1 AP-001-LICIN Anexo IB_R09.pdf</t>
  </si>
  <si>
    <t>LICIN - SC-PL - ANEXO III R09 assinado.pdf</t>
  </si>
  <si>
    <t>SC-127-ALE-SMDEIS-P/1 AP-003-Quadro Áreas Privativas_R09.pdf</t>
  </si>
  <si>
    <t>01 SC-PL - SITUAÇÃO - R09.pdf</t>
  </si>
  <si>
    <t>02 SC-PL - SUBSOLO, TÉRREO, TIPO E 10º PAV - R09.pdf</t>
  </si>
  <si>
    <t>03 SC-PL - 11º PAV, COBERTURA E TELHADO - R09.pdf</t>
  </si>
  <si>
    <t>04 SC-PL - CORTE E FACHADA - R08.pdf</t>
  </si>
  <si>
    <t>SC-EX-IE-001-SUBSOLO-R00.pdf</t>
  </si>
  <si>
    <t>SC-EX-IE-002-TERREO-R00.pdf</t>
  </si>
  <si>
    <t>SC-EX-IE-003-1PAV-R00.pdf</t>
  </si>
  <si>
    <t>SC-EX-IE-004-TIPO-R00.pdf</t>
  </si>
  <si>
    <t>SC-EX-IE-005-11PAV-R00.pdf</t>
  </si>
  <si>
    <t>SC-EX-IE-006-COB-R00.pdf</t>
  </si>
  <si>
    <t>SC-EX-IE-007-TELH-R00.pdf</t>
  </si>
  <si>
    <t>SC-EX-IE-008-EQV-R00.pdf</t>
  </si>
  <si>
    <t>SC-EX-IE-009-DGE-R00.pdf</t>
  </si>
  <si>
    <t>SC-EX-IE-010-LIGHT-R00.pdf</t>
  </si>
  <si>
    <t>SC-EX-IH-001-SUBSOLO-R01.pdf</t>
  </si>
  <si>
    <t>SC-EX-IH-002-TERREO-R01.pdf</t>
  </si>
  <si>
    <t>SC-EX-IH-003-1PAV-R01.pdf</t>
  </si>
  <si>
    <t>SC-EX-IH-004-TIPO-R01.pdf</t>
  </si>
  <si>
    <t>SC-EX-IH-005-11PAV-R01.pdf</t>
  </si>
  <si>
    <t>SC-EX-IH-006-COB-R01.pdf</t>
  </si>
  <si>
    <t>SC-EX-IH-007-TELH-R01.pdf</t>
  </si>
  <si>
    <t>SC-EX-IH-008-EQV-R01.pdf</t>
  </si>
  <si>
    <t>SC-EX-IS-001-SUBSOLO-R02.pdf</t>
  </si>
  <si>
    <t>SC-EX-IS-002-TERREO-R01.pdf</t>
  </si>
  <si>
    <t>SC-EX-IS-003-1PAV-R02.pdf</t>
  </si>
  <si>
    <t>SC-EX-IS-004-TIPO-R02.pdf</t>
  </si>
  <si>
    <t>SC-EX-IS-005-11PAV-R02.pdf</t>
  </si>
  <si>
    <t>SC-EX-IS-006-COB-R02.pdf</t>
  </si>
  <si>
    <t>SC-EX-IS-007-TELH-R02.pdf</t>
  </si>
  <si>
    <t>SC-EX-IS-008-EQV-ES-R01.pdf</t>
  </si>
  <si>
    <t>SC-EX-IS-009-EQV-EP-R01.pdf</t>
  </si>
  <si>
    <t>SC-EX-IS-010-EQV-AP-R01.pdf</t>
  </si>
  <si>
    <t>SC-EX-IG-001-SUBSOLO-R03.pdf</t>
  </si>
  <si>
    <t>SC-EX-IG-002-TERREO-R03.pdf</t>
  </si>
  <si>
    <t>SC-EX-IG-003-1PAV-R03.pdf</t>
  </si>
  <si>
    <t>SC-EX-IG-004-TIPO-R03.pdf</t>
  </si>
  <si>
    <t>SC-EX-IG-005-11PAV-R03.pdf</t>
  </si>
  <si>
    <t>SC-EX-IG-006-COB-R03.pdf</t>
  </si>
  <si>
    <t>SC-EX-IG-007-TELH-R02.pdf</t>
  </si>
  <si>
    <t>SC-EX-IG-008-EQV-R03.pdf</t>
  </si>
  <si>
    <t>SC-EX-IG-009-SITUA-R02.pdf</t>
  </si>
  <si>
    <t>Memorial</t>
  </si>
  <si>
    <t>SC-127-PIS-PE-001-PB-FILP_R00.pdf</t>
  </si>
  <si>
    <t>SC-127-PIS-PE-002-PB-AQUP_R01.pdf</t>
  </si>
  <si>
    <t>Piscinas e Saunas</t>
  </si>
  <si>
    <t>SC-127-INC-001-QR E SIT_R07.pdf</t>
  </si>
  <si>
    <t>SC-127-INC-HID-EXT-SIN-002-SUB_R12.pdf</t>
  </si>
  <si>
    <t>SC-127-INC-HID-EXT-SIN-003-TER_R11.pdf</t>
  </si>
  <si>
    <t>SC-127-INC-HID-EXT-SIN-004-1PAV_R10.pdf</t>
  </si>
  <si>
    <t>SC-127-INC-HID-EXT-SIN-005-TIPO_R09.pdf</t>
  </si>
  <si>
    <t>SC-127-INC-HID-EXT-SIN-006-11PV_R05.pdf</t>
  </si>
  <si>
    <t>SC-127-INC-HID-EXT-SIN-007-COB_R07.pdf</t>
  </si>
  <si>
    <t>SC-127-INC-HID-EXT-SIN-008-PTEC_R07.pdf</t>
  </si>
  <si>
    <t>SC-127-INC-SPK-009-SUB-R07.pdf</t>
  </si>
  <si>
    <t>SC-127-INC-SPK-010-TER_R06.pdf</t>
  </si>
  <si>
    <t>SC-127-INC-SPK-011-1PAV_R07.pdf</t>
  </si>
  <si>
    <t>SC-127-INC-SPK-012-TIPO_R06.pdf</t>
  </si>
  <si>
    <t>SC-127-INC-SPK-013-11PV_R05.pdf</t>
  </si>
  <si>
    <t>SC-127-INC-SPK-014-COB_R04.pdf</t>
  </si>
  <si>
    <t>SC-127-INC-SPK-015-ISO_R05.pdf</t>
  </si>
  <si>
    <t>SC-127-INC-DET-016-SUB_R04.pdf</t>
  </si>
  <si>
    <t>SC-127-INC-DET-017-TER_R04.pdf</t>
  </si>
  <si>
    <t>SC-127-INC-DET-018-1PAV_R04.pdf</t>
  </si>
  <si>
    <t>SC-127-INC-DET-019-TIPO_R04.pdf</t>
  </si>
  <si>
    <t>SC-127-INC-DET-020-11PV_R04.pdf</t>
  </si>
  <si>
    <t>SC-127-INC-DET-021-COB_R04.pdf</t>
  </si>
  <si>
    <t>SC-127-INC-DET-022-PTEC_R03.pdf</t>
  </si>
  <si>
    <t>SC-127-INC-023-TELH_R02.pdf</t>
  </si>
  <si>
    <t>SC-127-INC-024-FACH_R04.pdf</t>
  </si>
  <si>
    <t>SC-127-INC-025-CORT_R04.pdf</t>
  </si>
  <si>
    <t>quadro_resumo_SC-127.xls</t>
  </si>
  <si>
    <t>SC-127-INS-MEM-DESCRITIVO_R01.pdf</t>
  </si>
  <si>
    <t>5.9.</t>
  </si>
  <si>
    <t>SC-EX-SPDA-001-SUBSOLO-R00.pdf</t>
  </si>
  <si>
    <t>SC-EX-SPDA-002-TERREO-R00.pdf</t>
  </si>
  <si>
    <t>SC-EX-SPDA-003-1PAV-R00.pdf</t>
  </si>
  <si>
    <t>SC-EX-SPDA-004-TIPO-R00.pdf</t>
  </si>
  <si>
    <t>SC-EX-SPDA-005-11PAV-R00.pdf</t>
  </si>
  <si>
    <t>SC-EX-SPDA-006-COB-R00.pdf</t>
  </si>
  <si>
    <t>SC-EX-SPDA-007-TELH-R00.pdf</t>
  </si>
  <si>
    <t>SC-127-AUT-EX-001-EX-SUBS-R01.pdf</t>
  </si>
  <si>
    <t>SC-127-AUT-EX-002-EX-TERR-R02.pdf</t>
  </si>
  <si>
    <t>SC-127-AUT-EX-003-EX-1PV-R01.pdf</t>
  </si>
  <si>
    <t>SC-127-AUT-EX-004-EX-TIPO-R02.pdf</t>
  </si>
  <si>
    <t>SC-127-AUT-EX-005-EX-11PV-R01.pdf</t>
  </si>
  <si>
    <t>SC-127-AUT-EX-006-EX-COBE-R01.pdf</t>
  </si>
  <si>
    <t>SC-127-AUT-EX-007-EX-PTCE-R01.pdf</t>
  </si>
  <si>
    <t>SC-127-AUT-EX-008-EX-TELH-R01.pdf</t>
  </si>
  <si>
    <t>SC-127-AUT-EX-500-EX-DIA-R00.pdf</t>
  </si>
  <si>
    <t>SC-127-AUT-EX-501-EX-DIA-R00.pdf</t>
  </si>
  <si>
    <t>SC-127-IESP-001-MEMORIAL_DESCRITIVO_E_ESPECIFICACAO_TECNICA_R01.pdf</t>
  </si>
  <si>
    <t>SC-127-FUN-PEX-001-Relat¾rio_de_FundaþÒo_R01.pdf</t>
  </si>
  <si>
    <t>SC-127-FUN-EX-001-PB-ESTQ_R03.pdf</t>
  </si>
  <si>
    <t>SC-127-FUN-EX-002-PB-ESTQ_R02.pdf</t>
  </si>
  <si>
    <t>SC-127-FUN-PEX-003-Relat¾rio_de_contenþÒo_R01.pdf</t>
  </si>
  <si>
    <t>SC-127-EST-EX-000-PB-PROC_R01.pdf</t>
  </si>
  <si>
    <t>SC-127-EST-EX-001-PB-LOCA_R04.pdf</t>
  </si>
  <si>
    <t>SC-127-EST-FOR-PEX-002-Forma_dos_blocos_de_fundaþÒo_R00.pdf</t>
  </si>
  <si>
    <t>SC-127-EST-EX-003-PB-SUBS_R05.pdf</t>
  </si>
  <si>
    <t>SC-127-EST-EX-004-PB-TERR_R03.pdf</t>
  </si>
  <si>
    <t>SC-127-EST-EX-005-PB-1PAV_R03.pdf</t>
  </si>
  <si>
    <t>SC-127-EST-EX-006-PB-2PAV_R03.pdf</t>
  </si>
  <si>
    <t>SC-127-EST-EX-007-PB-TIP1_R03.pdf</t>
  </si>
  <si>
    <t>SC-127-EST-EX-008-PB-TIP2_R03.pdf</t>
  </si>
  <si>
    <t>SC-127-EST-EX-009-PB-11PV_R03.pdf</t>
  </si>
  <si>
    <t>SC-127-EST-EX-010-PB-COBE_R03.pdf</t>
  </si>
  <si>
    <t>SC-127-EST-EX-011-PB-PTEC_R03.pdf</t>
  </si>
  <si>
    <t>SC-127-EST-QUANT-900-Estimativa_de_consumo_e_custo_-_Estrutura_R03.pdf</t>
  </si>
  <si>
    <t>SC-127-EST-EX-050-PB-SUBS_R00.pdf</t>
  </si>
  <si>
    <t>SC-127-EST-EX-051-PB-TERR_R00.pdf</t>
  </si>
  <si>
    <t>SC-127-EST-EX-052-PB-1PAV_R00.pdf</t>
  </si>
  <si>
    <t>SC-127-EST-EX-053-PB-2PAV_R00.pdf</t>
  </si>
  <si>
    <t>SC-127-EST-EX-054-PB-TIP1_R00.pdf</t>
  </si>
  <si>
    <t>SC-127-EST-EX-055-PB-TIP2_R00.pdf</t>
  </si>
  <si>
    <t>SC-127-EST-EX-056-PB-11PV_R00.pdf</t>
  </si>
  <si>
    <t>SC-127-EST-EX-057-PB-COBE_R00.pdf</t>
  </si>
  <si>
    <t>SC-127-EST-EX-058-PB-PTEC_R00.pdf</t>
  </si>
  <si>
    <t>SC-127-EST-ARM-100-ARMAÃ├O_DOS_BLOCOS_DE_FUNDAÃ├O_E_VIGAS_DE_EQUIL═BRIO_FOLHA_1_R00.pdf</t>
  </si>
  <si>
    <t>SC-127-EST-ARM-ARMAÃ├O_DOS_BLOCOS_DE_FUNDAÃ├O_E_VIGA_DE_COROAMENTO_FOLHA_2_R00.pdf</t>
  </si>
  <si>
    <t>SC-127-EST-MET-PEX-001-ESTRUTRA METÁLICA PARA APOIO DO PORTÃO_R00.pdf</t>
  </si>
  <si>
    <t>SC-127-IMP-EX-002-PB-TERR_R00.pdf</t>
  </si>
  <si>
    <t>SC-127-IMP-EX-003-PB-1PAV_R00.pdf</t>
  </si>
  <si>
    <t>SC-127-IMP-EX-004-PB-TIPO_R00.pdf</t>
  </si>
  <si>
    <t>SC-127-IMP-EX-005-PB-11PAV_R00.pdf</t>
  </si>
  <si>
    <t>SC-127-IMP-EX-006-PB-COBE_R00.pdf</t>
  </si>
  <si>
    <t>SC-127-IMP-EX-007-PB-PAVTEC_R00.pdf</t>
  </si>
  <si>
    <t>SC-127-IMP-EX-008-PB-TELH_R00.pdf</t>
  </si>
  <si>
    <t>SC-127-CON-FUN-EXEC-VerificaþÒo_das_Fundaþ§es_-_Projeto_Executivo_R01.pdf</t>
  </si>
  <si>
    <t>SC-127-CON-EST-1º RELATORIO DE ANALISE ESTRUTURAL_R00.pdf</t>
  </si>
  <si>
    <t>SC-127-CON-EST-2__RELATORIO_DE_ANALISE_ESTRUTURAL_R00.pdf</t>
  </si>
  <si>
    <t>ACÚSTICA/TÉRMICA/LUMÍNICO</t>
  </si>
  <si>
    <t>SC-127-MED-ACU-001-Relatório Caracterização Acústica do Entorno_R00.pdf</t>
  </si>
  <si>
    <t>SC-127-SIM-ACU-001-Relat¾rio_de_Desempenho_Ac·stico_R01.pdf</t>
  </si>
  <si>
    <t>SC-127-SIM-TERM-001-Relatório de Desempenho Térmico_R00.pdf</t>
  </si>
  <si>
    <t>SC-127-SIM-LUM-001-Relat¾rio_de_Desempenho_LumÝnico_R01.pdf</t>
  </si>
  <si>
    <t>FHX_SC127_R00-01.pdf</t>
  </si>
  <si>
    <t>FHX_SC127_R00-02.pdf</t>
  </si>
  <si>
    <t>FHX_SC127_R00-03.pdf</t>
  </si>
  <si>
    <t>FHX_SC127_R00-04.pdf</t>
  </si>
  <si>
    <t>FHX_SC127_R00-05.pdf</t>
  </si>
  <si>
    <t>ACESSBILIDADE</t>
  </si>
  <si>
    <t>SC-127-CON-ACES-guia_acessibilidade_R00.pdf</t>
  </si>
  <si>
    <t>SC-127-CON-ACES-planilha_acompanhamento_R01.pdf</t>
  </si>
  <si>
    <t>SC-127-CON-ACES-001-relat¾rio_de_acessibilidade_R01.pdf</t>
  </si>
  <si>
    <t>SC-127-ESQ-PEX-002-GE-LISM_R00.pdf</t>
  </si>
  <si>
    <t>SC-127-ALU-PEX-003-GE-VIDR_R00.pdf</t>
  </si>
  <si>
    <t>SC-127-ESQ-PEX-010-GE-DTAL_R00.pdf</t>
  </si>
  <si>
    <t>SC-127-ESQ-PEX-100-GE-DTAL_R00.pdf</t>
  </si>
  <si>
    <t>SC-127-ESQ-PEX-101-GE-DTAL_R00.pdf</t>
  </si>
  <si>
    <t>SC-127-ESQ-PEX-102-GE-DTAL_R00.pdf</t>
  </si>
  <si>
    <t>SC-127-ESQ-PEX-103-GE-DTAL_R00.pdf</t>
  </si>
  <si>
    <t>SC-127-ESQ-PEX-104-GE-DTAL_R00.pdf</t>
  </si>
  <si>
    <t>SC-127-ESQ-PEX-105-GE-DTAL_R00.pdf</t>
  </si>
  <si>
    <t>SC-127-ESQ-PEX-106-GE-DTAL_R00.pdf</t>
  </si>
  <si>
    <t>SC-127-ESQ-PEX-107-GE-DTAL_R00.pdf</t>
  </si>
  <si>
    <t>SC-127-ESQ-PEX-200-GE-DTAL_R00.pdf</t>
  </si>
  <si>
    <t>SC-127-ESQ-PEX-201-GE-DTAL_R00.pdf</t>
  </si>
  <si>
    <t>SC-127-ESQ-PEX-202-GE-DTAL_R00.pdf</t>
  </si>
  <si>
    <t>SC-127-ESQ-PEX-203-GE-DTAL_R00.pdf</t>
  </si>
  <si>
    <t>SC-127-ESQ-PEX-204-GE-DTAL_R00.pdf</t>
  </si>
  <si>
    <t>SC-127-ESQ-PEX-205-GE-DTAL_R00.pdf</t>
  </si>
  <si>
    <t>SC-127-ESQ-PEX-206-GE-DTAL_R00.pdf</t>
  </si>
  <si>
    <t>SC-127-ESQ-PEX-207-GE-DTAL_R00.pdf</t>
  </si>
  <si>
    <t>SC-127-ESQ-PEX-208-GE-DTAL_R00.pdf</t>
  </si>
  <si>
    <t>SC-127-ESQ-PEX-209-GE-DTAL_R00.pdf</t>
  </si>
  <si>
    <t>SC-127-ESQ-PEX-300-GE-DTAL_R00.pdf</t>
  </si>
  <si>
    <t>SC-127-ESQ-PEX-301-GE-DTAL_R00.pdf</t>
  </si>
  <si>
    <t>SC-127-ESQ-PEX-302-GE-DTAL_R00.pdf</t>
  </si>
  <si>
    <t>DECORAÇÃO</t>
  </si>
  <si>
    <t>SC-127-DEC-PE-100-PTR_R03.pdf</t>
  </si>
  <si>
    <t>SC-127-DEC-PE-101-PTR_R04.pdf</t>
  </si>
  <si>
    <t>SC-127-DEC-PE-102-PTR_R03.pdf</t>
  </si>
  <si>
    <t>SC-127-DEC-PE-200-SUBS_R03.pdf</t>
  </si>
  <si>
    <t>SC-127-DEC-PE-201-SUBS_R02.pdf</t>
  </si>
  <si>
    <t>SC-127-DEC-PE-202-SUBS_R03.pdf</t>
  </si>
  <si>
    <t>SC-127-DEC-PE-203-SUBS_R03.pdf</t>
  </si>
  <si>
    <t>SC-127-DEC-PE-204-SUBS_R03.pdf</t>
  </si>
  <si>
    <t>SC-127-DEC-PE-205-SUBS_R00.pdf</t>
  </si>
  <si>
    <t>SC-127-DEC-PE-300-TIPO_R02.pdf</t>
  </si>
  <si>
    <t>SC-127-DEC-PE-400-PTR DET_R01.pdf</t>
  </si>
  <si>
    <t>SC-127-DEC-PE-401-PTR DET_R01.pdf</t>
  </si>
  <si>
    <t>SC-127-DEC-PE-402-SUBS DET_R01.pdf</t>
  </si>
  <si>
    <t>SC-127-DEC-PE-403-SUBS DET_R02.pdf</t>
  </si>
  <si>
    <t>SC-127-DEC-PE-404-SUBS DET_R02.pdf</t>
  </si>
  <si>
    <t>SC-127-DEC-PE-405-TIPO DET_R01.pdf</t>
  </si>
  <si>
    <t>SC-127-INT-MEM-004-EQUIPAMENTO_R01.pdf</t>
  </si>
  <si>
    <t>SC-127-INT-MEM-004-EQUIPAMENTO_R01.xls</t>
  </si>
  <si>
    <t>SC-127-INT-MEM-004-ILUMINAÇÃO_R01.pdf</t>
  </si>
  <si>
    <t>SC-127-INT-MEM-004-ILUMINAÇÃO_R01.xls</t>
  </si>
  <si>
    <t>SC-127-INT-MEM-004-MOBILIÁRIO_R01.pdf</t>
  </si>
  <si>
    <t>SC-127-INT-MEM-004-MOBILIÁRIO_R01.xls</t>
  </si>
  <si>
    <t>SC-127-INT-MEM-004-REVESTIMENTOS_R02.pdf</t>
  </si>
  <si>
    <t>SC-127-INT-MEM-004-REVESTIMENTOS_R02.xls</t>
  </si>
  <si>
    <t>Massa - Consideramos emboço com massa cimentícia para todas as áreas do empreendimento.</t>
  </si>
  <si>
    <t>Mármores e granitos - Todos os granitos seguiram o memorial descritivo.</t>
  </si>
  <si>
    <t>Esquadrias em Madeira - Considerado portas prontas.
Esquadrias em Alumínio - Considerado portas, janelas e elementos de fachada conforme memorial.</t>
  </si>
  <si>
    <t>Sistema Fotovoltaico</t>
  </si>
  <si>
    <t>Sistema de Irrigação</t>
  </si>
  <si>
    <t>Iluminação - Equipamentos</t>
  </si>
  <si>
    <t>F&amp;Costa</t>
  </si>
  <si>
    <t>Infra para Ar Condicionado Tipo Split</t>
  </si>
  <si>
    <t>Infra para Ar Condicionado + Equipamentos da Área Comum</t>
  </si>
  <si>
    <t>01.01.3335</t>
  </si>
  <si>
    <t>01.01.3336</t>
  </si>
  <si>
    <t>01.01.3337</t>
  </si>
  <si>
    <t>01.01.3338</t>
  </si>
  <si>
    <t>01.01.3339</t>
  </si>
  <si>
    <t>01.01.3340</t>
  </si>
  <si>
    <t>01.01.3341</t>
  </si>
  <si>
    <t>01.01.3342</t>
  </si>
  <si>
    <t>01.01.3343</t>
  </si>
  <si>
    <t>01.01.3344</t>
  </si>
  <si>
    <t>01.01.3345</t>
  </si>
  <si>
    <t>01.01.3346</t>
  </si>
  <si>
    <t>Piso vinílico Cedro, textura lisa 24176654 - Tarkett</t>
  </si>
  <si>
    <t>Santa Luzia Branco 7x240 cm</t>
  </si>
  <si>
    <t>MWM</t>
  </si>
  <si>
    <t>Pintura epóxi esmalte SUVINIL multissuperfícies acetinada cor Chumbo - Suvinil (H=210cm) + Pintura Pétala Laranja - Suvinil (H=50 acima da pintura de 210cm, até o forro acabado)</t>
  </si>
  <si>
    <t>Pintura em acrílico fosco cor Branco Neve, Suvinil, Coral ou Sherwin Williams</t>
  </si>
  <si>
    <t xml:space="preserve">Pintura texturizada, rolada, na cor cinza claro </t>
  </si>
  <si>
    <t>Textura “DS 14091” Dune - Textura &amp; Cor</t>
  </si>
  <si>
    <t>Pintura texturizada rolada tipo Emalux, na cor gelo - Suvinil, Coral, Sherwin Williams sobre bloco de concreto com TRRF de 240min</t>
  </si>
  <si>
    <t xml:space="preserve">Pintura acrílica na cor branca sobre a laje   </t>
  </si>
  <si>
    <t>Cobogó</t>
  </si>
  <si>
    <t>Cobogó Tijolo Pepper</t>
  </si>
  <si>
    <t>Execução de Cobogó</t>
  </si>
  <si>
    <t>Bancada Cozinha 2,50x0,60 em Marmore Branco Siena - Material</t>
  </si>
  <si>
    <t>Bancada Cozinha 2,25x0,70 em Marmore Branco Prime - Material</t>
  </si>
  <si>
    <t>Bancada Cozinha 2,80x0,65 em Marmore Branco Prime - Material</t>
  </si>
  <si>
    <t>Bancada Cozinha 2,00x0,65 em Marmore Branco Prime - Material</t>
  </si>
  <si>
    <t>Bancada Lavatório 1,16x0,50 em Marmore Branco Prime - Material</t>
  </si>
  <si>
    <t>Bancada Lavatório 0,80x0,50 em Marmore Branco Prime - Material</t>
  </si>
  <si>
    <t>Bancada Lavatório 1,23x0,50 em Marmore Branco Prime - Material</t>
  </si>
  <si>
    <t>Chapim em Granito Branco Siena Levigado - Material</t>
  </si>
  <si>
    <t>PERFIL 150 X 50 MM ANODIZADO BRONZE-1001 (A18)</t>
  </si>
  <si>
    <t xml:space="preserve">Porcelanato Via Durini Off White, Portobelo </t>
  </si>
  <si>
    <t>Consultoria de Fachada</t>
  </si>
  <si>
    <t>Alvenaria Bloco de Concreto Estrutural 14x19x39 - Cheio (Traço 1:8)</t>
  </si>
  <si>
    <t>Bloco de concreto estrutural de 14x19x39 - Grandes Quantidades ( acima 1512 blocos )</t>
  </si>
  <si>
    <r>
      <t xml:space="preserve">Serviços preliminares - Toda a gestão de legalizações será realizada pela construtora.
Serviços Técnicos - Foram considerados todos os testes e ensaios normativos, bem como o Seguro de Responsabilidade civil / Risco Engenharia.
Consultorias - Todas as consultorias estão consideradas.
Projetos - Todos foram </t>
    </r>
    <r>
      <rPr>
        <sz val="10"/>
        <color rgb="FFFF0000"/>
        <rFont val="Calibri"/>
        <family val="2"/>
        <scheme val="minor"/>
      </rPr>
      <t>desconsiderados</t>
    </r>
    <r>
      <rPr>
        <sz val="10"/>
        <rFont val="Calibri"/>
        <family val="2"/>
        <scheme val="minor"/>
      </rPr>
      <t xml:space="preserve"> do custo.</t>
    </r>
  </si>
  <si>
    <t>Massa - Consideramos emboço e textura conforme memorial descritivo.
Porcelanato externo - Considerado para colagem com argamassa</t>
  </si>
  <si>
    <t xml:space="preserve">INCC (n-1): </t>
  </si>
  <si>
    <t>Arrasamento de estacas broca</t>
  </si>
  <si>
    <t>Contenção Estaca Broca</t>
  </si>
  <si>
    <t>Execução de estaca broca 25 cm</t>
  </si>
  <si>
    <t>Aço CA50 6,3mm - corte e dobra</t>
  </si>
  <si>
    <t>Execução de Prancheamento</t>
  </si>
  <si>
    <t>01.01.3347</t>
  </si>
  <si>
    <t>01.01.3348</t>
  </si>
  <si>
    <t>01.01.3349</t>
  </si>
  <si>
    <t>01.01.3350</t>
  </si>
  <si>
    <t>01.01.3351</t>
  </si>
  <si>
    <t>01.01.3352</t>
  </si>
  <si>
    <t>01.01.3353</t>
  </si>
  <si>
    <t>01.01.3354</t>
  </si>
  <si>
    <t>01.01.3355</t>
  </si>
  <si>
    <t>01.01.3356</t>
  </si>
  <si>
    <t>01.01.3357</t>
  </si>
  <si>
    <t>01.01.3358</t>
  </si>
  <si>
    <t>01.01.3359</t>
  </si>
  <si>
    <t>01.01.3360</t>
  </si>
  <si>
    <t>01.01.3361</t>
  </si>
  <si>
    <t>01.01.3362</t>
  </si>
  <si>
    <t>01.01.3363</t>
  </si>
  <si>
    <t>01.01.3364</t>
  </si>
  <si>
    <t>01.01.3365</t>
  </si>
  <si>
    <t>01.01.3366</t>
  </si>
  <si>
    <t>01.01.3367</t>
  </si>
  <si>
    <t>01.01.3368</t>
  </si>
  <si>
    <t>Perfil metálico Provisório W200x46,1</t>
  </si>
  <si>
    <t>Paisagismo</t>
  </si>
  <si>
    <t>Restauro</t>
  </si>
  <si>
    <t>Porta De Abrir Maciça 0,60X2,10 - Pintura Branca</t>
  </si>
  <si>
    <t>Porta De Abrir Maciça 0,80X2,10 - Pintura Branca</t>
  </si>
  <si>
    <t>Porta De Abrir Maciça 0,70X2,10 - Pintura Branca</t>
  </si>
  <si>
    <t>Porta De Abrir Maciça 0,80X2,10 Com 3,5Cm De Espessura E Aduelas Com Vedação - Pintura Branca</t>
  </si>
  <si>
    <t>D - PAREDE SIMPLES ÁREA SECA - 95/70/600/MS/2ST12,5mm/BR</t>
  </si>
  <si>
    <t>D2 - PAREDE SIMPLES ÁREA SECA X ÁREA MOLHADA 95/70/400/MS/1ST12,5mm + 1RU12,5mm/BR</t>
  </si>
  <si>
    <t>D3 - PAREDE SIMPLES ÁREA SECA X ÁREA MOLHADA 103/90/400/MS/1ST12,5mm + 1RU 12,5mm/BR</t>
  </si>
  <si>
    <t>D5 - PAREDE SIMPLES ÁREA SECA X ÁREA MOLHADA 103/90/600/MS/2SR12,5mm/BR</t>
  </si>
  <si>
    <t>F2 - PAREDE SEPARATIVA EM ÁREAS SECAS 120/70/600/MS/4ST12,5mm/BR/ LÃ MINERAL OU PET</t>
  </si>
  <si>
    <t>F3 - PAREDE SEPARATIVA EM ÁREAS SECAS X ÁREAS MOLHADAS 120/70/600/MS/3ST12,5mm + 1RU12,5mm/BR</t>
  </si>
  <si>
    <t>G12 - PAREDE SEPARATIVA EM ÁREAS SECAS. 201/48/90/600/MD/4ST12,5mm/BR/LÃ MINERAL OU PET</t>
  </si>
  <si>
    <t>G4 - PAREDE SEPARATIVA EM ÁREAS SECAS X ÁREAS MOLHADAS 181/48/70/400/MD/4ST12,5mm/BR/LÃ MINERAL OU PET</t>
  </si>
  <si>
    <t>G5 - PAREDE SEPARATIVA EM ÁREAS SECAS X ÁREAS SECAS. 181/48/70/600/MD/4ST12,5mm/BR/LÃ MINERAL OU PET</t>
  </si>
  <si>
    <t>G6 - PAREDE SEPARATIVA EM ÁREAS SECAS X ÁREAS MOLHADAS. 201/48/90/400/MD/4ST12,5mm/BR/LÃ MINERAL OU PET</t>
  </si>
  <si>
    <t>G7 - PAREDE SEPARATIVA EM ÁREAS SECAS X ÁREAS SECAS 243/90/90/600/MD/5ST12,5mm/BR/LÃ MINERAL OU PET</t>
  </si>
  <si>
    <t>G8 - PAREDE SEPARATIVA EM ÁREAS MOLHADAS X ÁREAS MOLHADAS 203/70/70/400/MD/3ST12,5mm + 2RU12,5mm/BR/LÃ MINERAL OU PET</t>
  </si>
  <si>
    <t>G9 - PAREDE SEPARATIVA EM ÁREAS MOLHADAS X ÁREAS SECAS 203/70/70/400/MD/4ST12,5mm + 1RU12,5mm/BR/LÃ MINERAL OU PET</t>
  </si>
  <si>
    <t>K2 - PAREDE PARA SHAFT ÁREA SECA 61/48/400/MS/1ST12,5mm/BR</t>
  </si>
  <si>
    <t>K4 - PAREDE PARA SHAFT ÁREA MOLHADA COM CHUVEIRO 95/70/400/MS/1ST12,5mm+1RU12,5mm/BR</t>
  </si>
  <si>
    <t>K6 - PAREDE PARA SHAFT ÁREA SECA. 95/70/400/MS/2ST12,5mm/BR</t>
  </si>
  <si>
    <t>L - PAREDE BAIXA COZINHA X ÁREA SECA 120/90/400/MD/3ST12,5mm/BR</t>
  </si>
  <si>
    <t>R - REVESTIMENTO COLADO ÁREA SECA 20mm/1ST12,5mm/BR</t>
  </si>
  <si>
    <t xml:space="preserve">Forno de Embutir a Gás Continental 50L com TOPLimpaFácil </t>
  </si>
  <si>
    <t xml:space="preserve">Cooktop 4 Bocas Brastemp BDD61AE7 </t>
  </si>
  <si>
    <t>Segeo</t>
  </si>
  <si>
    <t>Mobilização e desmobilização de Estaca Raiz</t>
  </si>
  <si>
    <t xml:space="preserve">Textura e aplicação de hidrofugantge IBRATIN cor Martínica Mínimo cód. 854A0R </t>
  </si>
  <si>
    <t>PORCELANATO PORTOBELLO MINERAL OFF WHITE, NAT. 90X90</t>
  </si>
  <si>
    <t>PORCELANATO PORTOBELLO HIT FENDI, NAT. RET. 80X80</t>
  </si>
  <si>
    <t>BANCADA DE COZINHA - BC03A</t>
  </si>
  <si>
    <t>BANCADA DE COZINHA - BC04</t>
  </si>
  <si>
    <t>Bancadas em Granito</t>
  </si>
  <si>
    <t>Contenções - Considerada contenção conforme projeto da Consultrix.
Fundações - Considerado fundação conforme projeto. Utilizado quantitativo fornecido pelo projetista</t>
  </si>
  <si>
    <t>Estrutura de Concreto Armado
Forma - Quantitativo fornecido pelo projetista
Armação - Quantitativo fornecido pelo projetista
Concreto - Quantitativo fornecido pelo projetista</t>
  </si>
  <si>
    <t>Vedações - Considerados blocos cerâmicos e blocos de concreto conforme legenda em projeto de arquitetura.
Considerado drywall conforme projeto de vedações</t>
  </si>
  <si>
    <r>
      <t xml:space="preserve">Instalações prediais - Considerados acabamentos conforme memorial
Considerado todas as Instalações Especiais conforme projeto.
Foram considerados aquecimento central conforme memorial e projetos.
</t>
    </r>
    <r>
      <rPr>
        <sz val="10"/>
        <color rgb="FFFF0000"/>
        <rFont val="Calibri"/>
        <family val="2"/>
        <scheme val="minor"/>
      </rPr>
      <t xml:space="preserve">Não foram consideradas </t>
    </r>
    <r>
      <rPr>
        <sz val="10"/>
        <rFont val="Calibri"/>
        <family val="2"/>
        <scheme val="minor"/>
      </rPr>
      <t>de Luminárias
Considerado fornecimento e instalçao de Gerador 20Kva
Equipamentos de Piscina - Considerado equipamentos de piscina: filtro, tratamento de água e aquecimento</t>
    </r>
  </si>
  <si>
    <t>Elevadores - Considerado dois equipamentos,  com 10 paradas e um equipamento com 2 paradas</t>
  </si>
  <si>
    <r>
      <t xml:space="preserve">Estão </t>
    </r>
    <r>
      <rPr>
        <sz val="10"/>
        <color rgb="FFFF0000"/>
        <rFont val="Calibri"/>
        <family val="2"/>
        <scheme val="minor"/>
      </rPr>
      <t>exclusos</t>
    </r>
    <r>
      <rPr>
        <sz val="10"/>
        <rFont val="Calibri"/>
        <family val="2"/>
        <scheme val="minor"/>
      </rPr>
      <t xml:space="preserve"> os custos com marcenaria.</t>
    </r>
  </si>
  <si>
    <t>Sem comentários</t>
  </si>
  <si>
    <t>ATC:</t>
  </si>
  <si>
    <t>MOVIMENTAÇÃO DE TERRA / DEMOLIÇÃO</t>
  </si>
  <si>
    <t>Gerador automático carenado silenciado 40 KVA –220/127V</t>
  </si>
  <si>
    <t>TOTAL DE UNIDADES:</t>
  </si>
  <si>
    <t>Barracão</t>
  </si>
  <si>
    <t>Rebaixo PVC Amadeirado</t>
  </si>
  <si>
    <t>Reforço estrutural</t>
  </si>
  <si>
    <t>Controle Tecnológico - Infra Estrutura</t>
  </si>
  <si>
    <t>Controle Tecnológico - Supra Estrutura</t>
  </si>
  <si>
    <t>18.1.8</t>
  </si>
  <si>
    <t>Estrutura metálica - Pergolado Térreo</t>
  </si>
  <si>
    <t>Estrutura metálica - Pergolado Cobertura</t>
  </si>
  <si>
    <t>Graut FCK 15MPA</t>
  </si>
  <si>
    <t>Piso Laminado</t>
  </si>
  <si>
    <t>Piso Vinílico Ruffino Sofisticato Tauari 17cm x 1,21cm - mat e mo</t>
  </si>
  <si>
    <t>Piso Intertravado</t>
  </si>
  <si>
    <t>REVESTIMENTOS INTERNOS</t>
  </si>
  <si>
    <t>ponto</t>
  </si>
  <si>
    <t>DADOS GERAIS</t>
  </si>
  <si>
    <t>uso</t>
  </si>
  <si>
    <t>USO:</t>
  </si>
  <si>
    <t xml:space="preserve">Comercial </t>
  </si>
  <si>
    <t>PADRÃO :</t>
  </si>
  <si>
    <t>Residencial</t>
  </si>
  <si>
    <t>Misto</t>
  </si>
  <si>
    <t>ÍNICIO DO ORÇAMENTO:</t>
  </si>
  <si>
    <t>QUANT. DE BLOCOS:</t>
  </si>
  <si>
    <t>MÊS BASE:</t>
  </si>
  <si>
    <t>QUANT. DE APARTAMENTOS:</t>
  </si>
  <si>
    <t>INCC (MÊS BASE-2):</t>
  </si>
  <si>
    <t>QUANT. DE QUARTOS:</t>
  </si>
  <si>
    <t>ÁREA DE CONSTRUÇÃO:</t>
  </si>
  <si>
    <t>QUANT. DE SALAS COMERCIAIS:</t>
  </si>
  <si>
    <t>ÁREA PRIVATIVA</t>
  </si>
  <si>
    <t>QUANT. DE SALAS CORPORATIVAS:</t>
  </si>
  <si>
    <t>ÁREA EQUIVALENTE:</t>
  </si>
  <si>
    <t>QUANT. DE LOJAS</t>
  </si>
  <si>
    <t>PRAZO (MESES):</t>
  </si>
  <si>
    <t>TIPOLOGIA</t>
  </si>
  <si>
    <t>DESCRIÇÃO:</t>
  </si>
  <si>
    <t>TIPOLOGIA:</t>
  </si>
  <si>
    <t>Subsolo</t>
  </si>
  <si>
    <t>sim</t>
  </si>
  <si>
    <t>Pavimento Tipo 1</t>
  </si>
  <si>
    <t>Pavimento Tipo 2</t>
  </si>
  <si>
    <t>Embasamento</t>
  </si>
  <si>
    <t>Cobertura</t>
  </si>
  <si>
    <t>não</t>
  </si>
  <si>
    <t>Jirau no térreo</t>
  </si>
  <si>
    <t>Casa de Máquinas</t>
  </si>
  <si>
    <t>Pavimento garagem elevada</t>
  </si>
  <si>
    <t>TIPO DE FUNDAÇÃO:</t>
  </si>
  <si>
    <t>TIPO DE ESTRUTURA:</t>
  </si>
  <si>
    <t>LATERAIS COM VIZINHO:</t>
  </si>
  <si>
    <t>Não</t>
  </si>
  <si>
    <t>TIPO DE FACHADA:</t>
  </si>
  <si>
    <t>Data:</t>
  </si>
  <si>
    <t>Código:</t>
  </si>
  <si>
    <t>002.14 - Monumental Niemeyer</t>
  </si>
  <si>
    <t>Revisão:</t>
  </si>
  <si>
    <t>00</t>
  </si>
  <si>
    <t>Quadro de Áreas</t>
  </si>
  <si>
    <t>ÁREA TOTAL DO TERRENO</t>
  </si>
  <si>
    <t>FILTRO</t>
  </si>
  <si>
    <t>Pavimento</t>
  </si>
  <si>
    <t>Área Existente</t>
  </si>
  <si>
    <t>Qtde</t>
  </si>
  <si>
    <t>Índice</t>
  </si>
  <si>
    <t>Área Equivalente</t>
  </si>
  <si>
    <t>Área Privativa</t>
  </si>
  <si>
    <t>Área Privativa Total</t>
  </si>
  <si>
    <t>BLOCO 1</t>
  </si>
  <si>
    <t>1º SUBSOLO ENTERRADO COM ÁGUA</t>
  </si>
  <si>
    <t>2º SUBSOLO ENTERRADO COM ÁGUA</t>
  </si>
  <si>
    <t>3º SUBSOLO ENTERRADO COM ÁGUA</t>
  </si>
  <si>
    <t>RESERVATÓRIO ENTERRADO COM ÁGUA</t>
  </si>
  <si>
    <t>RESERVATÓRIO SEMI-ENTERRADO COM ÁGUA</t>
  </si>
  <si>
    <t>SEMI-ENTERRADO COM ÁGUA</t>
  </si>
  <si>
    <t>SEMI-ENTERRADO SEM ÁGUA</t>
  </si>
  <si>
    <t>LOJAS (TÉRREO)</t>
  </si>
  <si>
    <t>LOJAS (2º PAVIMENTO)</t>
  </si>
  <si>
    <t>TÉRREO COBERTO FECHADO</t>
  </si>
  <si>
    <t>TÉRREO COBERTO ABERTO</t>
  </si>
  <si>
    <t>TÉRREO COBERTO FECHADO (GARAGEM)</t>
  </si>
  <si>
    <t>TÉRREO DESCOBERTO SOBRE LAJE COM OU SEM GARAGEM</t>
  </si>
  <si>
    <t>TÉRREO DESCOBERTO SOBRE SOLO</t>
  </si>
  <si>
    <t>VIAS INTERNAS</t>
  </si>
  <si>
    <t>VIAS INTERNAS (CALÇADAS)</t>
  </si>
  <si>
    <t>LAZER COBERTO</t>
  </si>
  <si>
    <t>LAZER DESCOBERTO</t>
  </si>
  <si>
    <t>CONEXÃO BLOCOS FECHADO</t>
  </si>
  <si>
    <t>CONEXÃO BLOCOS (TERRAÇO 3º PAVIMENTO)</t>
  </si>
  <si>
    <t>CONEXÃO BLOCOS (TERRAÇO 12º PAVIMENTO)</t>
  </si>
  <si>
    <t>PISCINA</t>
  </si>
  <si>
    <t>JIRAU VAZIO (VAZIO 1° PAV.)</t>
  </si>
  <si>
    <t>JIRAU COMO DEPENDÊNCIA</t>
  </si>
  <si>
    <t>JIRAU FECHADO COMO GARAGEM</t>
  </si>
  <si>
    <t>JIRAU ABERTO COMO GARAGEM</t>
  </si>
  <si>
    <t>JIRAU COBERTO FECHADO</t>
  </si>
  <si>
    <t>GARAGEM ELEVADA FECHADA COBERTA</t>
  </si>
  <si>
    <t>GARAGEM ELEVADA ABERTA COBERTA</t>
  </si>
  <si>
    <t>GARAGEM ELEVADA DESCOBERTA</t>
  </si>
  <si>
    <t>PUC GARAGEM SOBRE SOLO</t>
  </si>
  <si>
    <t>PUC GARAGEM ELEVADA DESCOBERTA</t>
  </si>
  <si>
    <t>GARAGEM SOB TRANSIÇÃO</t>
  </si>
  <si>
    <t>PUC COBERTO FECHADO</t>
  </si>
  <si>
    <t>PUC COBERTO ABERTO</t>
  </si>
  <si>
    <t>PUC DESCOBERTO</t>
  </si>
  <si>
    <t>PAVIMENTOS TIPO 1 (CIRCULAÇÃO 2º PAVIMENTO)</t>
  </si>
  <si>
    <t>PAVIMENTOS TIPO 2 (3º PAVIMENTO)</t>
  </si>
  <si>
    <t>PAVIMENTOS TIPO 3 (4º ao 10º PAVIMENTO)</t>
  </si>
  <si>
    <t>PAVIMENTOS TIPO 4 (11º PAVIMENTO)</t>
  </si>
  <si>
    <t>PAVIMENTOS TIPO 5 (12º PAVIMENTO)</t>
  </si>
  <si>
    <t>PAVIMENTOS TIPO 6 (13º PAVIMENTO)</t>
  </si>
  <si>
    <t>PAVIMENTOS TIPO 7 (14º ao 25º PAVIMENTO)</t>
  </si>
  <si>
    <t>LAJE DESCOBERTA (JARDIM 3º PAVIMENTO)</t>
  </si>
  <si>
    <t>ÚLTIMO TIPO (26º PAVIMENTO)</t>
  </si>
  <si>
    <t>COBERTURA COBERTA</t>
  </si>
  <si>
    <t>COBERTURA DESCOBERTA</t>
  </si>
  <si>
    <t>PAVIMENTO TÉCNICO</t>
  </si>
  <si>
    <t>TELHADO COBERTO</t>
  </si>
  <si>
    <t>TELHADO DESCOBERTO</t>
  </si>
  <si>
    <t>SUBTOTAL 1 (m²)</t>
  </si>
  <si>
    <t>BLOCO 2</t>
  </si>
  <si>
    <t>PAVIMENTOS TIPO 1 (2º PAVIMENTO)</t>
  </si>
  <si>
    <t>LAJE DESCOBERTA (TERRAÇO DESCOBERTO 3º PAVIMENTO)</t>
  </si>
  <si>
    <t>SUBTOTAL 2 (m²)</t>
  </si>
  <si>
    <t>TOTAL GERAL (m²)</t>
  </si>
  <si>
    <t>Eficiência do Projeto</t>
  </si>
  <si>
    <t>Área Construída / Área Privativa</t>
  </si>
  <si>
    <t>Área Privativa / Área Equivalente</t>
  </si>
  <si>
    <t>Área Equivalente / Área Privativa</t>
  </si>
  <si>
    <t>Estaca Hélice Contínua</t>
  </si>
  <si>
    <t>Pintura Acrílica Externa</t>
  </si>
  <si>
    <t>Prédio residencial com 1 bloco, térreo e 7 pavimentos tipos e cobertura rooftop</t>
  </si>
  <si>
    <t>Pilotis + Alvenaria Estrutural</t>
  </si>
  <si>
    <t>H02 - Pintura PVA Suvinil, na cor Branca, acabamento Fosco</t>
  </si>
  <si>
    <t>Supraestrutura</t>
  </si>
  <si>
    <t>UNIDADES</t>
  </si>
  <si>
    <t>Piso Elevador em granito Cinza Andorinha - Material</t>
  </si>
  <si>
    <t>PISO EXTERNO</t>
  </si>
  <si>
    <t>Piso em concreto vassourado</t>
  </si>
  <si>
    <t>Piso em Concreto Vassourado - MAT</t>
  </si>
  <si>
    <t>Concreto</t>
  </si>
  <si>
    <t>Piso em Concreto Vassourado - MO</t>
  </si>
  <si>
    <t>Acerto de Terreno</t>
  </si>
  <si>
    <t>Armação</t>
  </si>
  <si>
    <t>Execução de Piso Intertravado - MAT</t>
  </si>
  <si>
    <t>Execução de Piso Intertravado - MO</t>
  </si>
  <si>
    <t>Rodapé Cerâmica - Mão de Obra</t>
  </si>
  <si>
    <t>Ana Silva</t>
  </si>
  <si>
    <t>Pechincha</t>
  </si>
  <si>
    <t>MÊS 25</t>
  </si>
  <si>
    <t>MÊS 26</t>
  </si>
  <si>
    <t>MÊS 27</t>
  </si>
  <si>
    <t>MÊS 28</t>
  </si>
  <si>
    <t>MÊS 29</t>
  </si>
  <si>
    <t>MÊS 30</t>
  </si>
  <si>
    <t>MÊS 31</t>
  </si>
  <si>
    <t>MÊS 32</t>
  </si>
  <si>
    <t>MÊS 33</t>
  </si>
  <si>
    <t>MÊS 34</t>
  </si>
  <si>
    <t>MÊS 35</t>
  </si>
  <si>
    <t>MÊS 36</t>
  </si>
  <si>
    <t>MÊS 37</t>
  </si>
  <si>
    <t>MÊS 38</t>
  </si>
  <si>
    <t>MÊS 39</t>
  </si>
  <si>
    <t>MÊS 40</t>
  </si>
  <si>
    <t>ENGENHEIRO - PART TIME</t>
  </si>
  <si>
    <r>
      <t>Sondagem</t>
    </r>
    <r>
      <rPr>
        <b/>
        <sz val="10"/>
        <color rgb="FFFF0000"/>
        <rFont val="Calibri"/>
        <family val="2"/>
        <scheme val="minor"/>
      </rPr>
      <t xml:space="preserve"> - Custo Incorporação</t>
    </r>
  </si>
  <si>
    <t>Guincho sobre tripé</t>
  </si>
  <si>
    <t>FG Plan</t>
  </si>
  <si>
    <t>Otis</t>
  </si>
  <si>
    <t>Montagem de Parede 95/70/600 - 1ST/1ST - Mat+MO</t>
  </si>
  <si>
    <t>Gypwork</t>
  </si>
  <si>
    <t>Montagem de Parede 120/70/600 - 2ST/2ST - Mat+MO</t>
  </si>
  <si>
    <t>Montagem de Parede 95/70/400 - 1RU+ / +1RU - Mat+MO</t>
  </si>
  <si>
    <t>Montagem de Parede 95/70/400 - 1ST/ +1RU - Mat+MO</t>
  </si>
  <si>
    <t>Montagem de Parede 110/70/400 - PERF+1ST/ +PERF RU+ BA + Lã - Mat+MO</t>
  </si>
  <si>
    <t>Montagem de Contra-Parede - 82,5/70/400 - 1RU+ - Mat+MO</t>
  </si>
  <si>
    <t>Montagem de Contra-Parede - 82,5/70/400 - 1ST - Mat+MO</t>
  </si>
  <si>
    <t>Montagem de Parede 107,5/70/600 - 1RU+1ST/1ST - Mat+MO</t>
  </si>
  <si>
    <t>Projinst</t>
  </si>
  <si>
    <t>Instalações de Gás</t>
  </si>
  <si>
    <t>Instalações de Esgoto e Água Pluviais</t>
  </si>
  <si>
    <t>Instalações de Infra Especiais</t>
  </si>
  <si>
    <t>Instalações Elétricas</t>
  </si>
  <si>
    <r>
      <t xml:space="preserve">Projetos </t>
    </r>
    <r>
      <rPr>
        <b/>
        <sz val="10"/>
        <color rgb="FFFF0000"/>
        <rFont val="Calibri"/>
        <family val="2"/>
        <scheme val="minor"/>
      </rPr>
      <t>- Custo Incorporação</t>
    </r>
  </si>
  <si>
    <t>Eka</t>
  </si>
  <si>
    <t>Andaime Fachadeiro Multidirecional Medindo 146.51m - 13.15 Altura c/ 4 Níveis de Piso Met + Escada de Acesso + G.Corpo + Rodapé</t>
  </si>
  <si>
    <t>Mobilização e desmobilização de Estaca Escavada</t>
  </si>
  <si>
    <r>
      <t>Aço - Fundação de Blocos</t>
    </r>
    <r>
      <rPr>
        <b/>
        <sz val="10"/>
        <color rgb="FFFF0000"/>
        <rFont val="Calibri"/>
        <family val="2"/>
        <scheme val="minor"/>
      </rPr>
      <t xml:space="preserve"> - Taxa 80kg/m3</t>
    </r>
  </si>
  <si>
    <t>CGL</t>
  </si>
  <si>
    <t>Execução de estaca escavada 30 cm</t>
  </si>
  <si>
    <t>Execução de estaca escavada 40 cm</t>
  </si>
  <si>
    <t>Contenção Estaca Escavada</t>
  </si>
  <si>
    <t>Torneira Aco Tanque 1/2` (Parede)</t>
  </si>
  <si>
    <t>Instalações Hidráulicas</t>
  </si>
  <si>
    <t>Uno</t>
  </si>
  <si>
    <t>Flowair</t>
  </si>
  <si>
    <t>23.2.3</t>
  </si>
  <si>
    <t>24.1.3</t>
  </si>
  <si>
    <t>CUBA APOIO 350X350 C/MESA BASIC Q6 BR - 1730680013300</t>
  </si>
  <si>
    <t>TANQUE P 510x380 FASL 20L CELITE BR - 1512630013300</t>
  </si>
  <si>
    <t>LAV APOIO/SUSP ECO 410X300 CELITE BR - 1040360011300</t>
  </si>
  <si>
    <t>BACIA C/CX+CP INST AZALEA BR - 1917230010300</t>
  </si>
  <si>
    <t>BACIA P/CAIXA AZALEA PLUS BR - 1913510010300</t>
  </si>
  <si>
    <t>CAIXA P 3/6 LTS AZA/ACE/ECO/SAV BR - 1555700015300</t>
  </si>
  <si>
    <t>BACIA C/CX+CP INST ACESSO COMF CE BR - 1317230011300</t>
  </si>
  <si>
    <t>BACIA P/CX S/ABERT ACESSO COMFORT CE BR - 1313600010300</t>
  </si>
  <si>
    <t>ACAB REG B. DOCOL 1/2,3/4 1 CEL ONE CR - B5011CKCR3</t>
  </si>
  <si>
    <t>CHUVEIRO C/BRAÇO PRD RED 70 GANGES CR - B5846C6CRB</t>
  </si>
  <si>
    <t>SIFAO AJU7/8,1.1/4,1.1/2 X DN38-50 CE BR - B5007C5013</t>
  </si>
  <si>
    <t>DUCHA HIGIENICA S/ DERIV CELITE ONE CR - B5003CKCR3</t>
  </si>
  <si>
    <t>FLEXIVEL 400 AÇO INOX TRANÇ C/CNPLA RIC - B5008R0CR3</t>
  </si>
  <si>
    <t>TORN LAV MESA BA CELITE ONE CR - B5001CKCR3</t>
  </si>
  <si>
    <t>TORN COZ MESA CELITE ONE CR - B5009CKCR3</t>
  </si>
  <si>
    <t>TORN PIA/TANQUE PRD CELITE ONE CR - B5005CKCR3</t>
  </si>
  <si>
    <t>TORN TANQUE/JARDIM PRD C/BICO C. ONE CR - B5007CKCR3</t>
  </si>
  <si>
    <t>TORN LAV MESA BB FECH AUTO ECOPRESS CR - B5000COCRB</t>
  </si>
  <si>
    <t>Cuba de embutir Tramontina Lavínia 40 BL em Aço Inox Alto Brilho 40x34 cm</t>
  </si>
  <si>
    <t>ACADEMIA</t>
  </si>
  <si>
    <t>BICICLETÁRIO</t>
  </si>
  <si>
    <t>SALÃO DE FESTAS</t>
  </si>
  <si>
    <t>PET PLACE</t>
  </si>
  <si>
    <t>CHURRASQUEIRA</t>
  </si>
  <si>
    <t>PLAYGROUND</t>
  </si>
  <si>
    <t>QUADRA DE AREIA</t>
  </si>
  <si>
    <t>Marmores e Granito</t>
  </si>
  <si>
    <t>BDI</t>
  </si>
  <si>
    <t>Alambrado</t>
  </si>
  <si>
    <t>Porcelanato HIT GRIS 80X80 NAT RET - Antigo Madrid Plata</t>
  </si>
  <si>
    <t>Cerâmica Barlavento Caribbean 14.5X14.5 Relevo EXT BOLD - Antigo Atlas Fuji</t>
  </si>
  <si>
    <t>Porcelanato Cetim Bianco 60X60 NAT BOLD - Antigo Cargo Plus</t>
  </si>
  <si>
    <t>Porcelanato HANGAR CHICAGO 60X60 EXT BOLD - Antigo Pietra Natural</t>
  </si>
  <si>
    <t>Porcelanato HIT OFF WHITE 80X80 NAT RET - Antigo Munari</t>
  </si>
  <si>
    <t>Porcelanato SOMA CONCRETO PURO 80X80 NAT RET - Antigo Cimento Natural</t>
  </si>
  <si>
    <t>Rodapé Em Granito Branco Dallas H 10Cm</t>
  </si>
  <si>
    <t>Rodapé em Granito Branco Dallas h 10cm - MAT+ MO</t>
  </si>
  <si>
    <t>Textura Ibratin, cor Burgos Claro</t>
  </si>
  <si>
    <t>JA1 - 2 Folhas de Correr Anodizado Preto + Vidro 1,4x1,12</t>
  </si>
  <si>
    <t>JA2 - 2 Folhas de Correr + Bandeira Inferior Fixo Anodizado Preto + Vidro 1,3x1,45</t>
  </si>
  <si>
    <t>JA3 - 4 Folhas Fixas Anodizado Preto + Vidro 4,25x1,12</t>
  </si>
  <si>
    <t>JA4 - 4 Folhas Fixas Anodizado Preto + Vidro 3,77x1,12</t>
  </si>
  <si>
    <t>JA5 - Báscula Anodizado Preto + Veneziana 1,2x0,45</t>
  </si>
  <si>
    <t>PA1 - 2 Folhas de Correr Anodizado Preto + Vidro 1,9x2,22</t>
  </si>
  <si>
    <t>PA2 - 1 Folha Abrir Anodizado Preto + Veneziana 0,8x2,1</t>
  </si>
  <si>
    <t>PA3 - 1 Folha Abrir Anodizado Preto + Vidro 0,8x2,1</t>
  </si>
  <si>
    <t>PA4 - 2 Folhas Abrir Anodizado Preto + Vidro 2,7x2,22</t>
  </si>
  <si>
    <t>PA5 - 1 Folha Abrir + 3 Folhas Fixas Bandeira Fixa Anodizado Preto + Vidro 3,62x2,22</t>
  </si>
  <si>
    <t>PA6a - 2 Folhas Abrir Anodizado Preto + Veneziana 1x1,47</t>
  </si>
  <si>
    <t>PA6b - 2 Folhas Abrir Anodizado Preto + Veneziana 1,4x2,1</t>
  </si>
  <si>
    <t>PA7 - 2 Folhas Abrir Anodizado Preto + Veneziana 1,4x2</t>
  </si>
  <si>
    <t>PA8 - 2 Folhas Abrir + 3 Folhas Fixas Anodizado Preto + Vidro Temperado 6,26x2,1</t>
  </si>
  <si>
    <t>PA9 - 1Folha Abrir + 4 Folhas Fixas Anodizado Preto + Vidro 5,8x2,22</t>
  </si>
  <si>
    <t>PA10 - 2 Folhas Abrir Anodizado Preto + Veneziana 2,95x2,5</t>
  </si>
  <si>
    <t>PA11 - 2 Folhas Abrir Anodizado Preto + Veneziana 1,01x2</t>
  </si>
  <si>
    <t>PA12 - 2 Folhas Abrir Anodizado Preto + Veneziana 1,11x2</t>
  </si>
  <si>
    <t>PA13 - 2 Folhas Abrir Anodizado Preto + Veneziana 1,2x2,1</t>
  </si>
  <si>
    <t>EA1 - Alçapão Anodizado Preto 1x1</t>
  </si>
  <si>
    <t>GC1 - Guarda Corpo Barrinha/vidro Anodizado Preto 7,54x1,1</t>
  </si>
  <si>
    <t>GC2 - Guarda Corpo Barrinha/vidro Anodizado Preto 7,54x1,1</t>
  </si>
  <si>
    <t>GC3 - Guarda Corpo Barrinha Anodizado Preto 1,35x1,1</t>
  </si>
  <si>
    <t>GC4 - Guarda Corpo Vidro Anodizado Preto 3,9x1,1</t>
  </si>
  <si>
    <t>GC5 - Guarda Corpo Barrinha Anodizado Preto 3,1x1,1</t>
  </si>
  <si>
    <t>GC6 - Guarda Corpo Barrinha Anodizado Preto 3,1x1,1</t>
  </si>
  <si>
    <t>GC7 - Guarda Corpo Vidro Anodizado Preto 5,15x1,1</t>
  </si>
  <si>
    <t>GC8 - Guarda Corpo Vidro Anodizado Preto 5,15x1,1</t>
  </si>
  <si>
    <t>GR1 - Guarda Corpo  1 Folha Abrir + Barrinha Anodizado Preto 1,85x1,2</t>
  </si>
  <si>
    <t>Alufer</t>
  </si>
  <si>
    <t>PA6 - 4 Folhas Abrir Anodizado Preto + Veneziana 3,67x2,3</t>
  </si>
  <si>
    <t>Bancada Lavatório 0,65x0,45 em Granito Branco Dallas - Material</t>
  </si>
  <si>
    <t>Bancada Cozinha 1,50x0,60 em Granito Verde Ubatuba - Material</t>
  </si>
  <si>
    <t>Bancada Varanda 1,00x0,25 em Granito Verde Ubatuba - Material</t>
  </si>
  <si>
    <t>Bancada Varanda Reta - Mão de Obra</t>
  </si>
  <si>
    <t>Tento em Granito Branco Dallas - Material</t>
  </si>
  <si>
    <t>Filete em Granito Branco Dallas - Material</t>
  </si>
  <si>
    <t>Soleira em Granito Branco Dallas - Material</t>
  </si>
  <si>
    <t>Peitoril em Granito Branco Dallas - Material</t>
  </si>
  <si>
    <t>Chapim em Granito Branco Dallas - Material</t>
  </si>
  <si>
    <t>Dobradiça Tamanho 2 ½ X 3. Canto Redondo</t>
  </si>
  <si>
    <t>Imab</t>
  </si>
  <si>
    <t>Conjunto Interno IMAB ODIN WC/40 ZC ROS CANTO REDONDO</t>
  </si>
  <si>
    <t>Conjunto Interno IMAB ODIN INT/40 ZC ROS CANTO REDONDO</t>
  </si>
  <si>
    <t>Conjunto  Externo IMAB ODIN EXT/40 ZC ROS CANTO REDONDO</t>
  </si>
  <si>
    <t>Fechadura Auxiliar 2422 COM ROSETA</t>
  </si>
  <si>
    <t>Fecho de Embutir 1011/20 CM FCR</t>
  </si>
  <si>
    <t>PM1A - PORTA LISA BRANCA ULTRA VIOLETA 60 X 2,07 X 3,5 - Material</t>
  </si>
  <si>
    <t>PM02 - PORTA LISA BRANCA ULTRA VIOLETA 70 X 2,10 X 3,5 - Material</t>
  </si>
  <si>
    <t>PM03 - PORTA LISA BRANCA ULTRA VIOLETA 80 X 2,09 X 3,5 - Material</t>
  </si>
  <si>
    <t>PM03A - PORTA LISA BRANCA ULTRA VIOLETA 80 X 2,07 X 3,5 - Material</t>
  </si>
  <si>
    <t>PM04  - PORTA LISA SOLIDA BRANCA ULTRA VIOLETA 90 X 2,10 X 3,5 - Material</t>
  </si>
  <si>
    <t>PM05 - PORTA LISA BRANCA ULTRA VIOLETA 1,03 X 2,09 X 3,5 - Material</t>
  </si>
  <si>
    <t>PM06 - PORTA LISA BRANCA ULTRA VIOLETA 1,07 X 2,09 X 3,5 - Material</t>
  </si>
  <si>
    <t>PM07 - PORTA LISA BRANCA ULTRA VIOLETA 1,13 X 2,09 X 3,5 - Material</t>
  </si>
  <si>
    <t>Almox</t>
  </si>
  <si>
    <t>Frete Portas</t>
  </si>
  <si>
    <t xml:space="preserve">Porcelanato IDEA BIANCO LINE 30X60 MATE - Portobello </t>
  </si>
  <si>
    <t>Rodapé</t>
  </si>
  <si>
    <t>Rodapé Porcelanato HIT GRIS 10X80 NAT RET - Antigo Madrid Plata</t>
  </si>
  <si>
    <t>Rodapé Porcelanato HANGAR CHICAGO 7X60 EXT BOLD - Antigo Pietra Natural</t>
  </si>
  <si>
    <t>Rodapé Porcelanato HIT OFF WHITE 7X80 NAT RET - Antigo Munari</t>
  </si>
  <si>
    <t>Rodapé Porcelanato Cetim Bianco 60X60 NAT BOLD - Antigo Cargo Plus</t>
  </si>
  <si>
    <t>Forro Gesso Decorativo</t>
  </si>
  <si>
    <t>Forro em drywall Decorativo - Material e Mão de Obra</t>
  </si>
  <si>
    <t>Piso Vinílico Em Manta - Linha: Omnisport - Cor: Beach (Imita Madeira) - Cód.: 3709001 - Fornecedor: Tarket - mat e mo</t>
  </si>
  <si>
    <t>Pintura Acrílica Suvinil, na cor Definir</t>
  </si>
  <si>
    <t>Bicicletário - Material e Mão de Obra</t>
  </si>
  <si>
    <t>Piso Gramado</t>
  </si>
  <si>
    <t>Piso Gramado - mat e mo</t>
  </si>
  <si>
    <t>Bancão 2,30x0,45 em Granito Preto São Gabriel - Material</t>
  </si>
  <si>
    <t>Bancada 2,60x0,60 em Granito Preto São Gabriel - Material</t>
  </si>
  <si>
    <t>Porcelanato DECK CANELA DOURADA 81X81 EXT - Antigo Deck Pau Brasil</t>
  </si>
  <si>
    <t>Bancada 1,40x0,57 em Granito Preto São Gabriel - Material</t>
  </si>
  <si>
    <t>Piso Areia</t>
  </si>
  <si>
    <t>Piso Areia - mat e mo</t>
  </si>
  <si>
    <t>Alambrado - Material e Mão de Obra</t>
  </si>
  <si>
    <t>Piso Emborrachado</t>
  </si>
  <si>
    <t>Piso Emborrachado - mat e mo</t>
  </si>
  <si>
    <t>SOLARIUM / DECK / SPA</t>
  </si>
  <si>
    <t>ÁREA COMUM</t>
  </si>
  <si>
    <t>A. PRIVATIVA:</t>
  </si>
  <si>
    <t>CUSTO ATC</t>
  </si>
  <si>
    <t>CUSTO A PRIV</t>
  </si>
  <si>
    <t>Laudos</t>
  </si>
  <si>
    <t>Proteção Coletiva - Linha de Vida</t>
  </si>
  <si>
    <t>Proteção Coletiva - Guarda corpo de Concretagem</t>
  </si>
  <si>
    <t>Proteção Coletiva - Bandejão Primário</t>
  </si>
  <si>
    <t>Proteção Coletiva - Tela SLQA</t>
  </si>
  <si>
    <t>Proteção Coletiva - Escada</t>
  </si>
  <si>
    <t>Proteção Coletiva - Teste de Carga</t>
  </si>
  <si>
    <t>Compra de Impressora A3</t>
  </si>
  <si>
    <t>Impermeabilização - Mão de Obra</t>
  </si>
  <si>
    <t>Impermeabilização - Material</t>
  </si>
  <si>
    <t>CX</t>
  </si>
  <si>
    <t>BD</t>
  </si>
  <si>
    <t>DENVERTEC 100 F CAIXA 18KG ONU: N/A</t>
  </si>
  <si>
    <t>ALSAN ACRIL - BD 12KG ONU: NA</t>
  </si>
  <si>
    <t>DENVERMANTA PRIMER ACQUA -18L ONU: NA</t>
  </si>
  <si>
    <t>DENVERTEC ELASTIC HP CAIXA 18KG ONU: N/A</t>
  </si>
  <si>
    <t>DENVER CAMADA SEPARADORA ONU: N/A</t>
  </si>
  <si>
    <t>DENVERMANTA ELASTIC 4MM AA ONU: N/A</t>
  </si>
  <si>
    <t>DENVERMANTA ELASTIC 4MM PP ONU: N/A</t>
  </si>
  <si>
    <t>TIPO A - DENVERTEC 100 - Estrut. Com DENVERTELA POLIÉSTER R nos pontos críticos</t>
  </si>
  <si>
    <t>TIPO B - DENVERTEC 540 FIBRAS - Estrut. Com DENVERTELA POLIÉSTER R nos pontos críticos</t>
  </si>
  <si>
    <t>TIPO C - ALSAN PRIMER EPÓXI</t>
  </si>
  <si>
    <t>TIPO D - DENVERTEC 540 FIBRAS + DENVERTEC 100 - Estrut. Com DENVER TELA POLIÉSTER R nos pontos críticos</t>
  </si>
  <si>
    <t>TIPO E - DENVERMANTA PRIMER ACQUA + DENVERMANTA ELATIC AR</t>
  </si>
  <si>
    <t>TIPO J - DENVER PRIMER ACQUA + DEVENMANTA ELASTICA A 4MM - TIPOII + DENVER CAMADA SEPARADORA</t>
  </si>
  <si>
    <t>TIPO F - ALSAN ACRIL - Estrut. Com DENVERTELA POLIÉSTER R nos pontos críticos</t>
  </si>
  <si>
    <t>TIPO G - ALSAN ACRIL (EXPOSTO) - Estrut. Com DENVERTELA POLIÉSTER R nos pontos críticos</t>
  </si>
  <si>
    <t>TIPO H - DENVERTEC ELASTIC HP (EXPOSTO) - Estrut. Com DENVER TELA POLIÉSTER R nos pontos críticos</t>
  </si>
  <si>
    <t>TIPO I - DENVER PRIMER ACQUA + DEVENMANTA ELASTICA A 4MM - TIPOII - Aderidac/DENVER POLI ASFALTO + DENVER CAMADA SEPARADORA</t>
  </si>
  <si>
    <t>Alvenaria Bloco de Celular 12x19x39</t>
  </si>
  <si>
    <t>Forro em placa de gesso faixa - Material e Mão de Obra</t>
  </si>
  <si>
    <t>Pintura Piso Cinza - Material e Mão de Obra</t>
  </si>
  <si>
    <t>Instalações Prediais - Mão de Obra</t>
  </si>
  <si>
    <t>Instalações Elétricas - Material</t>
  </si>
  <si>
    <t>Instalações de Infra Especiais - Material</t>
  </si>
  <si>
    <t>Instalações Hidráulicas - Material</t>
  </si>
  <si>
    <t>Instalações de Esgoto e Água Pluviais - Material</t>
  </si>
  <si>
    <t>Instalações de Combate a Incêndio - Material e Mão de Obra</t>
  </si>
  <si>
    <t>Instalações de Gás - Material</t>
  </si>
  <si>
    <r>
      <t>Aço - Estrutura de Concreto -  Lajes, Pilares e Vigas</t>
    </r>
    <r>
      <rPr>
        <b/>
        <sz val="10"/>
        <color rgb="FFFF0000"/>
        <rFont val="Calibri"/>
        <family val="2"/>
        <scheme val="minor"/>
      </rPr>
      <t xml:space="preserve"> - Estimativa Calculista</t>
    </r>
  </si>
  <si>
    <r>
      <t xml:space="preserve"> Concreto - Estrutura de Concreto - Lajes, Pilares e Vigas </t>
    </r>
    <r>
      <rPr>
        <b/>
        <sz val="10"/>
        <color rgb="FFFF0000"/>
        <rFont val="Calibri"/>
        <family val="2"/>
        <scheme val="minor"/>
      </rPr>
      <t>- Estimativa Calculista</t>
    </r>
  </si>
  <si>
    <r>
      <t>Formas - Estrutura de Concreto -  Lajes, Pilares e Vigas</t>
    </r>
    <r>
      <rPr>
        <b/>
        <sz val="10"/>
        <color rgb="FFFF0000"/>
        <rFont val="Calibri"/>
        <family val="2"/>
        <scheme val="minor"/>
      </rPr>
      <t xml:space="preserve"> - Estimativa Calculista</t>
    </r>
  </si>
  <si>
    <t>RESUMO DE ORÇAMENTO PRÉ EXECUTIVO - R04 - 10/03/2025</t>
  </si>
  <si>
    <t xml:space="preserve">1) incuir valor dos projetos no custo de contruçao - </t>
  </si>
  <si>
    <t>2) Licenças de obra e barracao</t>
  </si>
  <si>
    <t>3)  Consultoria de  Planejamento e orçamento de obras - o que é ? Precisa ?</t>
  </si>
  <si>
    <t>1) Controle tecnologico pode estar subdimensionado</t>
  </si>
  <si>
    <t xml:space="preserve">Subdimensionados </t>
  </si>
  <si>
    <t>Geral</t>
  </si>
  <si>
    <t>2) Telhados</t>
  </si>
  <si>
    <t>3) acabamentos de eletrica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</si>
</sst>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9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&quot;R$&quot;* #,##0.00_-;\-&quot;R$&quot;* #,##0.00_-;_-&quot;R$&quot;* &quot;-&quot;??_-;_-@_-"/>
    <numFmt numFmtId="165" formatCode="_(* #,##0.00_);_(* \(#,##0.00\);_(* &quot;-&quot;??_);_(@_)"/>
    <numFmt numFmtId="166" formatCode="0#\ &quot;meses&quot;"/>
    <numFmt numFmtId="167" formatCode="_-* #,##0.00\ [$€-1]_-;\-* #,##0.00\ [$€-1]_-;_-* &quot;-&quot;??\ [$€-1]_-"/>
    <numFmt numFmtId="168" formatCode="#,##0.00_ ;\-#,##0.00\ "/>
    <numFmt numFmtId="169" formatCode="_-* #,##0.0_-;\-* #,##0.0_-;_-* &quot;-&quot;??_-;_-@_-"/>
    <numFmt numFmtId="170" formatCode="_(&quot;R$ &quot;* #,##0.00_);_(&quot;R$ &quot;* \(#,##0.00\);_(&quot;R$ &quot;* &quot;-&quot;??_);_(@_)"/>
    <numFmt numFmtId="171" formatCode="0.0%"/>
    <numFmt numFmtId="172" formatCode="_-&quot;R$&quot;\ * #,##0.0000_-;\-&quot;R$&quot;\ * #,##0.0000_-;_-&quot;R$&quot;\ * &quot;-&quot;??_-;_-@_-"/>
    <numFmt numFmtId="173" formatCode="_-&quot;R$&quot;\ * #,##0.000000_-;\-&quot;R$&quot;\ * #,##0.000000_-;_-&quot;R$&quot;\ * &quot;-&quot;??_-;_-@_-"/>
    <numFmt numFmtId="174" formatCode="_-* #,##0_-;\-* #,##0_-;_-* &quot;-&quot;??_-;_-@_-"/>
    <numFmt numFmtId="175" formatCode="&quot;R$&quot;#,##0.00"/>
    <numFmt numFmtId="176" formatCode="_-&quot;R$&quot;\ * #,##0.00_-;\-&quot;R$&quot;\ * #,##0.00_-;_-&quot;R$&quot;\ * &quot;-&quot;??_-;_-@"/>
    <numFmt numFmtId="177" formatCode="_-* #,##0.00_-;\-* #,##0.00_-;_-* &quot;-&quot;??_-;_-@"/>
    <numFmt numFmtId="178" formatCode="_-* #,##0.00000_-;\-* #,##0.00000_-;_-* &quot;-&quot;??_-;_-@_-"/>
    <numFmt numFmtId="179" formatCode="#\ &quot;meses&quot;"/>
    <numFmt numFmtId="180" formatCode="#,##0.000"/>
    <numFmt numFmtId="181" formatCode="mmm/yyyy"/>
    <numFmt numFmtId="182" formatCode="0.0"/>
    <numFmt numFmtId="183" formatCode="&quot;R0&quot;General"/>
    <numFmt numFmtId="184" formatCode="#,##0.00\ &quot;m2&quot;"/>
    <numFmt numFmtId="185" formatCode="&quot;R$ &quot;#,##0.00_);[Red]\(&quot;R$ &quot;#,##0.00\)"/>
    <numFmt numFmtId="186" formatCode="[$-416]mmm\-yy;@"/>
    <numFmt numFmtId="187" formatCode="#,##0.000_);[Red]\(#,##0.000\)"/>
    <numFmt numFmtId="188" formatCode="00"/>
    <numFmt numFmtId="189" formatCode="#,##0.00\ &quot;m²&quot;"/>
    <numFmt numFmtId="190" formatCode="_-&quot;R$&quot;\ * #,##0_-;\-&quot;R$&quot;\ * #,##0_-;_-&quot;R$&quot;\ * &quot;-&quot;??_-;_-@_-"/>
  </numFmts>
  <fonts count="11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b/>
      <sz val="10"/>
      <name val="Arial Black"/>
      <family val="2"/>
    </font>
    <font>
      <sz val="8"/>
      <name val="Calibri"/>
      <family val="2"/>
    </font>
    <font>
      <sz val="9"/>
      <name val="Calibri"/>
      <family val="2"/>
    </font>
    <font>
      <i/>
      <sz val="9"/>
      <color indexed="8"/>
      <name val="Calibri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0" tint="-0.499984740745262"/>
      <name val="Calibri"/>
      <family val="2"/>
      <scheme val="minor"/>
    </font>
    <font>
      <sz val="10"/>
      <name val="Calibri"/>
      <family val="2"/>
      <scheme val="minor"/>
    </font>
    <font>
      <sz val="9"/>
      <name val="Calibri"/>
      <family val="2"/>
      <scheme val="minor"/>
    </font>
    <font>
      <b/>
      <sz val="11"/>
      <color theme="0" tint="-0.499984740745262"/>
      <name val="Calibri"/>
      <family val="2"/>
      <scheme val="minor"/>
    </font>
    <font>
      <b/>
      <sz val="10"/>
      <color rgb="FF697A78"/>
      <name val="Calibri"/>
      <family val="2"/>
      <scheme val="minor"/>
    </font>
    <font>
      <b/>
      <i/>
      <sz val="11"/>
      <color rgb="FFC00000"/>
      <name val="Calibri"/>
      <family val="2"/>
      <scheme val="minor"/>
    </font>
    <font>
      <sz val="11"/>
      <name val="Calibri"/>
      <family val="2"/>
      <scheme val="minor"/>
    </font>
    <font>
      <b/>
      <i/>
      <sz val="10"/>
      <color theme="0"/>
      <name val="Calibri"/>
      <family val="2"/>
      <scheme val="minor"/>
    </font>
    <font>
      <b/>
      <sz val="14"/>
      <name val="Calibri"/>
      <family val="2"/>
      <scheme val="minor"/>
    </font>
    <font>
      <sz val="10"/>
      <color rgb="FF697A78"/>
      <name val="Arial"/>
      <family val="2"/>
    </font>
    <font>
      <b/>
      <sz val="10"/>
      <name val="Calibri"/>
      <family val="2"/>
      <scheme val="minor"/>
    </font>
    <font>
      <sz val="10"/>
      <color indexed="9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5" tint="-0.249977111117893"/>
      <name val="Calibri"/>
      <family val="2"/>
      <scheme val="minor"/>
    </font>
    <font>
      <sz val="9"/>
      <color rgb="FFC00000"/>
      <name val="Calibri"/>
      <family val="2"/>
      <scheme val="minor"/>
    </font>
    <font>
      <sz val="10"/>
      <color rgb="FFC00000"/>
      <name val="Calibri"/>
      <family val="2"/>
      <scheme val="minor"/>
    </font>
    <font>
      <sz val="10"/>
      <color theme="0" tint="-0.34998626667073579"/>
      <name val="Calibri"/>
      <family val="2"/>
      <scheme val="minor"/>
    </font>
    <font>
      <b/>
      <sz val="9"/>
      <color rgb="FFC00000"/>
      <name val="Calibri"/>
      <family val="2"/>
      <scheme val="minor"/>
    </font>
    <font>
      <sz val="8"/>
      <color rgb="FFFF0000"/>
      <name val="Calibri"/>
      <family val="2"/>
      <scheme val="minor"/>
    </font>
    <font>
      <sz val="11"/>
      <color theme="1"/>
      <name val="Symbol"/>
      <family val="1"/>
      <charset val="2"/>
    </font>
    <font>
      <b/>
      <sz val="10"/>
      <color theme="0"/>
      <name val="Arial Black"/>
      <family val="2"/>
    </font>
    <font>
      <sz val="9"/>
      <color rgb="FFFFC000"/>
      <name val="Calibri"/>
      <family val="2"/>
      <scheme val="minor"/>
    </font>
    <font>
      <b/>
      <sz val="8"/>
      <color rgb="FFC00000"/>
      <name val="Calibri"/>
      <family val="2"/>
      <scheme val="minor"/>
    </font>
    <font>
      <b/>
      <sz val="8"/>
      <color theme="0"/>
      <name val="Calibri"/>
      <family val="2"/>
      <scheme val="minor"/>
    </font>
    <font>
      <b/>
      <i/>
      <sz val="11"/>
      <color rgb="FF697A78"/>
      <name val="Calibri"/>
      <family val="2"/>
      <scheme val="minor"/>
    </font>
    <font>
      <b/>
      <i/>
      <sz val="11"/>
      <color theme="0" tint="-0.499984740745262"/>
      <name val="Calibri"/>
      <family val="2"/>
      <scheme val="minor"/>
    </font>
    <font>
      <b/>
      <i/>
      <sz val="1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0"/>
      <color rgb="FFC00000"/>
      <name val="Calibri"/>
      <family val="2"/>
      <scheme val="minor"/>
    </font>
    <font>
      <b/>
      <sz val="10"/>
      <color rgb="FFC00000"/>
      <name val="Arial Black"/>
      <family val="2"/>
    </font>
    <font>
      <b/>
      <sz val="9"/>
      <name val="Calibri"/>
      <family val="2"/>
      <scheme val="minor"/>
    </font>
    <font>
      <b/>
      <sz val="10"/>
      <color theme="0" tint="-0.34998626667073579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theme="0" tint="-0.499984740745262"/>
      <name val="Calibri"/>
      <family val="2"/>
      <scheme val="minor"/>
    </font>
    <font>
      <i/>
      <sz val="12"/>
      <color theme="1"/>
      <name val="Calibri"/>
      <family val="2"/>
      <scheme val="minor"/>
    </font>
    <font>
      <b/>
      <i/>
      <sz val="12"/>
      <color rgb="FFC00000"/>
      <name val="Calibri"/>
      <family val="2"/>
      <scheme val="minor"/>
    </font>
    <font>
      <b/>
      <i/>
      <sz val="12"/>
      <color theme="0"/>
      <name val="Calibri"/>
      <family val="2"/>
      <scheme val="minor"/>
    </font>
    <font>
      <sz val="9"/>
      <color rgb="FF7F7F7F"/>
      <name val="Calibri"/>
      <family val="2"/>
    </font>
    <font>
      <sz val="9"/>
      <color theme="1"/>
      <name val="Calibri"/>
      <family val="2"/>
    </font>
    <font>
      <b/>
      <sz val="10"/>
      <color theme="0" tint="-0.499984740745262"/>
      <name val="Calibri"/>
      <family val="2"/>
      <scheme val="minor"/>
    </font>
    <font>
      <b/>
      <sz val="18"/>
      <color theme="5" tint="-0.249977111117893"/>
      <name val="Calibri"/>
      <family val="2"/>
      <scheme val="minor"/>
    </font>
    <font>
      <b/>
      <sz val="18"/>
      <color theme="0"/>
      <name val="Calibri"/>
      <family val="2"/>
      <scheme val="minor"/>
    </font>
    <font>
      <sz val="18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1"/>
      <color rgb="FF000000"/>
      <name val="Calibri"/>
      <family val="2"/>
    </font>
    <font>
      <b/>
      <sz val="10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color rgb="FFFF0000"/>
      <name val="Calibri"/>
      <family val="2"/>
    </font>
    <font>
      <b/>
      <sz val="10"/>
      <color rgb="FFFF0000"/>
      <name val="Calibri"/>
      <family val="2"/>
      <scheme val="minor"/>
    </font>
    <font>
      <b/>
      <i/>
      <sz val="14"/>
      <color rgb="FFC00000"/>
      <name val="Calibri"/>
      <family val="2"/>
      <scheme val="minor"/>
    </font>
    <font>
      <sz val="10"/>
      <color theme="1"/>
      <name val="Calibri"/>
      <family val="2"/>
    </font>
    <font>
      <b/>
      <sz val="10"/>
      <name val="Calibri"/>
      <family val="2"/>
    </font>
    <font>
      <b/>
      <sz val="10"/>
      <color rgb="FFA5A5A5"/>
      <name val="Calibri"/>
      <family val="2"/>
    </font>
    <font>
      <sz val="10"/>
      <color rgb="FFA5A5A5"/>
      <name val="Calibri"/>
      <family val="2"/>
    </font>
    <font>
      <sz val="9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b/>
      <sz val="18"/>
      <color theme="0" tint="-0.499984740745262"/>
      <name val="Calibri"/>
      <family val="2"/>
      <scheme val="minor"/>
    </font>
    <font>
      <b/>
      <sz val="10"/>
      <color theme="0" tint="-0.249977111117893"/>
      <name val="Calibri"/>
      <family val="2"/>
      <scheme val="minor"/>
    </font>
    <font>
      <sz val="10"/>
      <color rgb="FF000000"/>
      <name val="Times New Roman"/>
      <family val="1"/>
    </font>
    <font>
      <sz val="12"/>
      <name val="Trebuchet MS"/>
      <family val="2"/>
    </font>
    <font>
      <sz val="12"/>
      <color rgb="FF000000"/>
      <name val="Trebuchet MS"/>
      <family val="2"/>
    </font>
    <font>
      <sz val="12.5"/>
      <name val="Times New Roman"/>
      <family val="1"/>
    </font>
    <font>
      <b/>
      <sz val="12"/>
      <color theme="0"/>
      <name val="Trebuchet MS"/>
      <family val="2"/>
    </font>
    <font>
      <b/>
      <sz val="10"/>
      <color theme="0"/>
      <name val="Times New Roman"/>
      <family val="1"/>
    </font>
    <font>
      <sz val="12.5"/>
      <color theme="0"/>
      <name val="Trebuchet MS"/>
      <family val="2"/>
    </font>
    <font>
      <b/>
      <sz val="9"/>
      <color rgb="FFFF0000"/>
      <name val="Calibri"/>
      <family val="2"/>
      <scheme val="minor"/>
    </font>
    <font>
      <sz val="9"/>
      <name val="Arial"/>
      <family val="2"/>
    </font>
    <font>
      <b/>
      <sz val="14"/>
      <color theme="0"/>
      <name val="Calibri"/>
      <family val="2"/>
      <scheme val="minor"/>
    </font>
    <font>
      <b/>
      <sz val="9"/>
      <name val="Arial"/>
      <family val="2"/>
    </font>
    <font>
      <b/>
      <sz val="11"/>
      <color theme="0"/>
      <name val="Arial"/>
      <family val="2"/>
    </font>
    <font>
      <b/>
      <sz val="9"/>
      <color theme="0"/>
      <name val="Arial"/>
      <family val="2"/>
    </font>
    <font>
      <sz val="8"/>
      <name val="Calibri"/>
      <family val="2"/>
      <scheme val="minor"/>
    </font>
    <font>
      <b/>
      <sz val="15"/>
      <color theme="0"/>
      <name val="Calibri"/>
      <family val="2"/>
      <scheme val="minor"/>
    </font>
    <font>
      <b/>
      <u/>
      <sz val="10"/>
      <name val="Calibri"/>
      <family val="2"/>
      <scheme val="minor"/>
    </font>
    <font>
      <u/>
      <sz val="10"/>
      <name val="Calibri"/>
      <family val="2"/>
      <scheme val="minor"/>
    </font>
    <font>
      <sz val="10"/>
      <color indexed="12"/>
      <name val="Calibri"/>
      <family val="2"/>
      <scheme val="minor"/>
    </font>
    <font>
      <sz val="6"/>
      <name val="Arial"/>
      <family val="2"/>
    </font>
    <font>
      <sz val="10"/>
      <name val="Tahoma"/>
      <family val="2"/>
    </font>
    <font>
      <b/>
      <sz val="10"/>
      <name val="Tahoma"/>
      <family val="2"/>
    </font>
    <font>
      <b/>
      <u/>
      <sz val="10"/>
      <name val="Tahoma"/>
      <family val="2"/>
    </font>
    <font>
      <sz val="6"/>
      <color theme="3" tint="-0.249977111117893"/>
      <name val="Arial"/>
      <family val="2"/>
    </font>
    <font>
      <b/>
      <sz val="10"/>
      <color theme="0"/>
      <name val="Tahoma"/>
      <family val="2"/>
    </font>
    <font>
      <sz val="10"/>
      <color indexed="12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10"/>
      <color indexed="12"/>
      <name val="Tahoma"/>
      <family val="2"/>
    </font>
    <font>
      <b/>
      <sz val="10"/>
      <color indexed="12"/>
      <name val="Arial"/>
      <family val="2"/>
    </font>
    <font>
      <b/>
      <sz val="10"/>
      <name val="Arial"/>
      <family val="2"/>
    </font>
    <font>
      <b/>
      <sz val="8"/>
      <name val="Tahoma"/>
      <family val="2"/>
    </font>
    <font>
      <b/>
      <sz val="18"/>
      <name val="Calibri"/>
      <family val="2"/>
      <scheme val="minor"/>
    </font>
    <font>
      <sz val="10"/>
      <color rgb="FF002060"/>
      <name val="Calibri"/>
      <family val="2"/>
      <scheme val="minor"/>
    </font>
    <font>
      <sz val="9"/>
      <color rgb="FF002060"/>
      <name val="Calibri"/>
      <family val="2"/>
      <scheme val="minor"/>
    </font>
    <font>
      <b/>
      <sz val="12"/>
      <color rgb="FFC0000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C5E0B3"/>
        <bgColor rgb="FFC5E0B3"/>
      </patternFill>
    </fill>
    <fill>
      <patternFill patternType="solid">
        <fgColor rgb="FFFFFF00"/>
        <bgColor rgb="FFC5E0B3"/>
      </patternFill>
    </fill>
    <fill>
      <patternFill patternType="solid">
        <fgColor rgb="FFFFFF00"/>
        <bgColor rgb="FFFFFF00"/>
      </patternFill>
    </fill>
    <fill>
      <patternFill patternType="solid">
        <fgColor rgb="FF00B050"/>
        <bgColor indexed="64"/>
      </patternFill>
    </fill>
    <fill>
      <patternFill patternType="solid">
        <fgColor rgb="FF990033"/>
        <bgColor indexed="64"/>
      </patternFill>
    </fill>
    <fill>
      <patternFill patternType="solid">
        <fgColor rgb="FF28287D"/>
        <bgColor indexed="64"/>
      </patternFill>
    </fill>
    <fill>
      <patternFill patternType="solid">
        <fgColor rgb="FF7D8286"/>
        <bgColor indexed="64"/>
      </patternFill>
    </fill>
    <fill>
      <patternFill patternType="solid">
        <fgColor rgb="FFEB5B2F"/>
        <bgColor indexed="64"/>
      </patternFill>
    </fill>
  </fills>
  <borders count="149">
    <border>
      <left/>
      <right/>
      <top/>
      <bottom/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 style="dotted">
        <color indexed="64"/>
      </bottom>
      <diagonal/>
    </border>
    <border>
      <left style="dotted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medium">
        <color rgb="FFC00000"/>
      </bottom>
      <diagonal/>
    </border>
    <border>
      <left/>
      <right/>
      <top/>
      <bottom style="thick">
        <color rgb="FFC00000"/>
      </bottom>
      <diagonal/>
    </border>
    <border>
      <left style="thin">
        <color rgb="FFC00000"/>
      </left>
      <right style="thin">
        <color rgb="FFC00000"/>
      </right>
      <top style="thin">
        <color rgb="FFC00000"/>
      </top>
      <bottom style="thin">
        <color rgb="FFC00000"/>
      </bottom>
      <diagonal/>
    </border>
    <border>
      <left/>
      <right/>
      <top style="thin">
        <color rgb="FFC00000"/>
      </top>
      <bottom style="hair">
        <color theme="0" tint="-0.24994659260841701"/>
      </bottom>
      <diagonal/>
    </border>
    <border>
      <left/>
      <right/>
      <top style="hair">
        <color theme="0" tint="-0.24994659260841701"/>
      </top>
      <bottom style="hair">
        <color theme="0" tint="-0.24994659260841701"/>
      </bottom>
      <diagonal/>
    </border>
    <border>
      <left/>
      <right/>
      <top style="hair">
        <color theme="0" tint="-0.24994659260841701"/>
      </top>
      <bottom style="thin">
        <color rgb="FFC00000"/>
      </bottom>
      <diagonal/>
    </border>
    <border>
      <left/>
      <right/>
      <top style="thin">
        <color rgb="FFC00000"/>
      </top>
      <bottom style="thin">
        <color rgb="FFC00000"/>
      </bottom>
      <diagonal/>
    </border>
    <border>
      <left style="thin">
        <color rgb="FFC00000"/>
      </left>
      <right/>
      <top style="thin">
        <color rgb="FFC00000"/>
      </top>
      <bottom style="thin">
        <color rgb="FFC00000"/>
      </bottom>
      <diagonal/>
    </border>
    <border>
      <left/>
      <right style="thin">
        <color rgb="FFC00000"/>
      </right>
      <top style="thin">
        <color rgb="FFC00000"/>
      </top>
      <bottom style="thin">
        <color rgb="FFC00000"/>
      </bottom>
      <diagonal/>
    </border>
    <border>
      <left style="thin">
        <color rgb="FFC00000"/>
      </left>
      <right/>
      <top style="thin">
        <color rgb="FFC00000"/>
      </top>
      <bottom style="hair">
        <color theme="0" tint="-0.24994659260841701"/>
      </bottom>
      <diagonal/>
    </border>
    <border>
      <left style="thin">
        <color rgb="FFC00000"/>
      </left>
      <right/>
      <top style="hair">
        <color theme="0" tint="-0.24994659260841701"/>
      </top>
      <bottom style="hair">
        <color theme="0" tint="-0.24994659260841701"/>
      </bottom>
      <diagonal/>
    </border>
    <border>
      <left style="thin">
        <color rgb="FFC00000"/>
      </left>
      <right/>
      <top style="hair">
        <color theme="0" tint="-0.24994659260841701"/>
      </top>
      <bottom style="thin">
        <color rgb="FFC00000"/>
      </bottom>
      <diagonal/>
    </border>
    <border>
      <left style="thin">
        <color rgb="FFC00000"/>
      </left>
      <right/>
      <top style="thin">
        <color rgb="FFC00000"/>
      </top>
      <bottom/>
      <diagonal/>
    </border>
    <border>
      <left/>
      <right/>
      <top style="thin">
        <color rgb="FFC00000"/>
      </top>
      <bottom/>
      <diagonal/>
    </border>
    <border>
      <left/>
      <right style="thin">
        <color rgb="FFC00000"/>
      </right>
      <top style="thin">
        <color rgb="FFC00000"/>
      </top>
      <bottom/>
      <diagonal/>
    </border>
    <border>
      <left style="thin">
        <color rgb="FFC00000"/>
      </left>
      <right/>
      <top/>
      <bottom/>
      <diagonal/>
    </border>
    <border>
      <left style="thin">
        <color rgb="FFC00000"/>
      </left>
      <right/>
      <top/>
      <bottom style="thin">
        <color rgb="FFC00000"/>
      </bottom>
      <diagonal/>
    </border>
    <border>
      <left/>
      <right/>
      <top/>
      <bottom style="thin">
        <color rgb="FFC00000"/>
      </bottom>
      <diagonal/>
    </border>
    <border>
      <left/>
      <right style="thin">
        <color rgb="FFC00000"/>
      </right>
      <top/>
      <bottom style="thin">
        <color rgb="FFC00000"/>
      </bottom>
      <diagonal/>
    </border>
    <border>
      <left/>
      <right style="thin">
        <color rgb="FFC00000"/>
      </right>
      <top/>
      <bottom/>
      <diagonal/>
    </border>
    <border>
      <left/>
      <right style="thin">
        <color rgb="FFC00000"/>
      </right>
      <top style="hair">
        <color theme="0" tint="-0.24994659260841701"/>
      </top>
      <bottom style="hair">
        <color theme="0" tint="-0.24994659260841701"/>
      </bottom>
      <diagonal/>
    </border>
    <border>
      <left/>
      <right style="thin">
        <color rgb="FFC00000"/>
      </right>
      <top style="thin">
        <color rgb="FFC00000"/>
      </top>
      <bottom style="hair">
        <color theme="0" tint="-0.24994659260841701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rgb="FF030303"/>
      </left>
      <right/>
      <top/>
      <bottom style="thin">
        <color rgb="FF030303"/>
      </bottom>
      <diagonal/>
    </border>
    <border>
      <left/>
      <right/>
      <top/>
      <bottom style="thin">
        <color rgb="FF030303"/>
      </bottom>
      <diagonal/>
    </border>
    <border>
      <left style="thin">
        <color rgb="FFC00000"/>
      </left>
      <right/>
      <top style="thin">
        <color rgb="FF030303"/>
      </top>
      <bottom style="thin">
        <color indexed="64"/>
      </bottom>
      <diagonal/>
    </border>
    <border>
      <left/>
      <right/>
      <top style="thin">
        <color rgb="FF030303"/>
      </top>
      <bottom style="thin">
        <color indexed="64"/>
      </bottom>
      <diagonal/>
    </border>
    <border>
      <left/>
      <right style="thin">
        <color rgb="FFC00000"/>
      </right>
      <top style="thin">
        <color rgb="FF030303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/>
      <right/>
      <top/>
      <bottom style="thick">
        <color rgb="FFEB5B2F"/>
      </bottom>
      <diagonal/>
    </border>
  </borders>
  <cellStyleXfs count="30">
    <xf numFmtId="0" fontId="0" fillId="0" borderId="0"/>
    <xf numFmtId="44" fontId="9" fillId="0" borderId="0" applyFont="0" applyFill="0" applyBorder="0" applyAlignment="0" applyProtection="0"/>
    <xf numFmtId="165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9" fillId="0" borderId="0" applyFont="0" applyFill="0" applyBorder="0" applyAlignment="0" applyProtection="0"/>
    <xf numFmtId="167" fontId="1" fillId="0" borderId="0"/>
    <xf numFmtId="167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9" fontId="9" fillId="0" borderId="0" applyFont="0" applyFill="0" applyBorder="0" applyAlignment="0" applyProtection="0"/>
    <xf numFmtId="9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79" fillId="0" borderId="0" applyNumberFormat="0" applyFill="0" applyBorder="0" applyAlignment="0" applyProtection="0"/>
    <xf numFmtId="0" fontId="83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70" fontId="1" fillId="0" borderId="0" applyFont="0" applyFill="0" applyBorder="0" applyAlignment="0" applyProtection="0"/>
    <xf numFmtId="185" fontId="1" fillId="0" borderId="0" applyFont="0" applyFill="0" applyProtection="0"/>
    <xf numFmtId="0" fontId="1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55">
    <xf numFmtId="0" fontId="0" fillId="0" borderId="0" xfId="0"/>
    <xf numFmtId="0" fontId="14" fillId="0" borderId="1" xfId="0" applyFont="1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15" fillId="2" borderId="73" xfId="0" applyFont="1" applyFill="1" applyBorder="1" applyAlignment="1">
      <alignment horizontal="center"/>
    </xf>
    <xf numFmtId="0" fontId="14" fillId="0" borderId="2" xfId="0" applyFont="1" applyBorder="1" applyAlignment="1">
      <alignment horizontal="left"/>
    </xf>
    <xf numFmtId="0" fontId="16" fillId="0" borderId="0" xfId="0" applyFont="1" applyAlignment="1">
      <alignment vertical="center"/>
    </xf>
    <xf numFmtId="44" fontId="14" fillId="0" borderId="1" xfId="1" applyFont="1" applyFill="1" applyBorder="1"/>
    <xf numFmtId="44" fontId="14" fillId="0" borderId="2" xfId="1" applyFont="1" applyFill="1" applyBorder="1"/>
    <xf numFmtId="44" fontId="14" fillId="0" borderId="1" xfId="1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43" fontId="14" fillId="0" borderId="0" xfId="0" applyNumberFormat="1" applyFont="1"/>
    <xf numFmtId="43" fontId="14" fillId="0" borderId="0" xfId="15" applyFont="1"/>
    <xf numFmtId="0" fontId="14" fillId="0" borderId="0" xfId="0" applyFont="1"/>
    <xf numFmtId="0" fontId="14" fillId="0" borderId="74" xfId="0" applyFont="1" applyBorder="1"/>
    <xf numFmtId="0" fontId="16" fillId="0" borderId="74" xfId="0" applyFont="1" applyBorder="1" applyAlignment="1">
      <alignment vertical="center"/>
    </xf>
    <xf numFmtId="0" fontId="15" fillId="2" borderId="0" xfId="0" applyFont="1" applyFill="1"/>
    <xf numFmtId="44" fontId="15" fillId="2" borderId="0" xfId="0" applyNumberFormat="1" applyFont="1" applyFill="1" applyAlignment="1">
      <alignment horizontal="center"/>
    </xf>
    <xf numFmtId="0" fontId="16" fillId="0" borderId="0" xfId="0" applyFont="1"/>
    <xf numFmtId="0" fontId="17" fillId="0" borderId="74" xfId="0" applyFont="1" applyBorder="1" applyAlignment="1">
      <alignment vertical="top"/>
    </xf>
    <xf numFmtId="0" fontId="15" fillId="3" borderId="2" xfId="0" applyFont="1" applyFill="1" applyBorder="1" applyAlignment="1">
      <alignment horizontal="left"/>
    </xf>
    <xf numFmtId="0" fontId="18" fillId="3" borderId="2" xfId="0" applyFont="1" applyFill="1" applyBorder="1" applyAlignment="1">
      <alignment horizontal="left"/>
    </xf>
    <xf numFmtId="0" fontId="18" fillId="3" borderId="2" xfId="0" applyFont="1" applyFill="1" applyBorder="1" applyAlignment="1">
      <alignment horizontal="center"/>
    </xf>
    <xf numFmtId="0" fontId="16" fillId="0" borderId="0" xfId="0" applyFont="1" applyAlignment="1">
      <alignment horizontal="left" vertical="center"/>
    </xf>
    <xf numFmtId="0" fontId="15" fillId="2" borderId="73" xfId="0" applyFont="1" applyFill="1" applyBorder="1" applyAlignment="1">
      <alignment horizontal="left"/>
    </xf>
    <xf numFmtId="44" fontId="15" fillId="2" borderId="73" xfId="1" applyFont="1" applyFill="1" applyBorder="1" applyAlignment="1">
      <alignment horizontal="center"/>
    </xf>
    <xf numFmtId="44" fontId="18" fillId="3" borderId="2" xfId="1" applyFont="1" applyFill="1" applyBorder="1" applyAlignment="1">
      <alignment horizontal="left"/>
    </xf>
    <xf numFmtId="44" fontId="14" fillId="0" borderId="2" xfId="1" applyFont="1" applyFill="1" applyBorder="1" applyAlignment="1">
      <alignment horizontal="left"/>
    </xf>
    <xf numFmtId="43" fontId="18" fillId="3" borderId="2" xfId="15" applyFont="1" applyFill="1" applyBorder="1" applyAlignment="1">
      <alignment horizontal="center"/>
    </xf>
    <xf numFmtId="43" fontId="14" fillId="0" borderId="2" xfId="15" applyFont="1" applyFill="1" applyBorder="1" applyAlignment="1">
      <alignment horizontal="center"/>
    </xf>
    <xf numFmtId="0" fontId="19" fillId="0" borderId="2" xfId="0" applyFont="1" applyBorder="1" applyAlignment="1">
      <alignment horizontal="left"/>
    </xf>
    <xf numFmtId="0" fontId="19" fillId="0" borderId="2" xfId="0" applyFont="1" applyBorder="1" applyAlignment="1">
      <alignment horizontal="center"/>
    </xf>
    <xf numFmtId="43" fontId="19" fillId="0" borderId="2" xfId="15" applyFont="1" applyFill="1" applyBorder="1" applyAlignment="1">
      <alignment horizontal="center"/>
    </xf>
    <xf numFmtId="44" fontId="19" fillId="0" borderId="2" xfId="1" applyFont="1" applyFill="1" applyBorder="1" applyAlignment="1">
      <alignment horizontal="left"/>
    </xf>
    <xf numFmtId="0" fontId="19" fillId="0" borderId="0" xfId="0" applyFont="1"/>
    <xf numFmtId="0" fontId="15" fillId="4" borderId="2" xfId="0" applyFont="1" applyFill="1" applyBorder="1" applyAlignment="1">
      <alignment horizontal="left"/>
    </xf>
    <xf numFmtId="0" fontId="15" fillId="4" borderId="2" xfId="0" applyFont="1" applyFill="1" applyBorder="1" applyAlignment="1">
      <alignment horizontal="center"/>
    </xf>
    <xf numFmtId="43" fontId="15" fillId="4" borderId="2" xfId="15" applyFont="1" applyFill="1" applyBorder="1" applyAlignment="1">
      <alignment horizontal="center"/>
    </xf>
    <xf numFmtId="44" fontId="15" fillId="4" borderId="2" xfId="1" applyFont="1" applyFill="1" applyBorder="1" applyAlignment="1">
      <alignment horizontal="left"/>
    </xf>
    <xf numFmtId="0" fontId="14" fillId="0" borderId="0" xfId="0" applyFont="1" applyAlignment="1">
      <alignment horizontal="left"/>
    </xf>
    <xf numFmtId="0" fontId="14" fillId="0" borderId="74" xfId="0" applyFont="1" applyBorder="1" applyAlignment="1">
      <alignment horizontal="left"/>
    </xf>
    <xf numFmtId="0" fontId="16" fillId="0" borderId="74" xfId="0" applyFont="1" applyBorder="1" applyAlignment="1">
      <alignment horizontal="center" vertical="center"/>
    </xf>
    <xf numFmtId="44" fontId="16" fillId="0" borderId="74" xfId="1" applyFont="1" applyBorder="1" applyAlignment="1">
      <alignment horizontal="left" vertical="center"/>
    </xf>
    <xf numFmtId="44" fontId="14" fillId="0" borderId="0" xfId="1" applyFont="1" applyAlignment="1">
      <alignment horizontal="left"/>
    </xf>
    <xf numFmtId="43" fontId="14" fillId="0" borderId="0" xfId="15" applyFont="1" applyAlignment="1">
      <alignment horizontal="center"/>
    </xf>
    <xf numFmtId="0" fontId="16" fillId="5" borderId="2" xfId="0" applyFont="1" applyFill="1" applyBorder="1" applyAlignment="1">
      <alignment horizontal="left"/>
    </xf>
    <xf numFmtId="0" fontId="14" fillId="5" borderId="2" xfId="0" applyFont="1" applyFill="1" applyBorder="1" applyAlignment="1">
      <alignment horizontal="center"/>
    </xf>
    <xf numFmtId="43" fontId="14" fillId="5" borderId="2" xfId="15" applyFont="1" applyFill="1" applyBorder="1" applyAlignment="1">
      <alignment horizontal="center"/>
    </xf>
    <xf numFmtId="44" fontId="14" fillId="5" borderId="2" xfId="1" applyFont="1" applyFill="1" applyBorder="1" applyAlignment="1">
      <alignment horizontal="left"/>
    </xf>
    <xf numFmtId="0" fontId="20" fillId="0" borderId="2" xfId="0" applyFont="1" applyBorder="1" applyAlignment="1">
      <alignment horizontal="left"/>
    </xf>
    <xf numFmtId="0" fontId="14" fillId="0" borderId="74" xfId="0" applyFont="1" applyBorder="1" applyAlignment="1">
      <alignment vertical="center"/>
    </xf>
    <xf numFmtId="0" fontId="20" fillId="0" borderId="0" xfId="0" applyFont="1"/>
    <xf numFmtId="0" fontId="20" fillId="0" borderId="2" xfId="0" applyFont="1" applyBorder="1" applyAlignment="1">
      <alignment horizontal="center"/>
    </xf>
    <xf numFmtId="43" fontId="20" fillId="0" borderId="2" xfId="15" applyFont="1" applyFill="1" applyBorder="1" applyAlignment="1">
      <alignment horizontal="center"/>
    </xf>
    <xf numFmtId="44" fontId="20" fillId="0" borderId="2" xfId="1" applyFont="1" applyFill="1" applyBorder="1" applyAlignment="1">
      <alignment horizontal="left"/>
    </xf>
    <xf numFmtId="0" fontId="21" fillId="0" borderId="2" xfId="0" applyFont="1" applyBorder="1" applyAlignment="1">
      <alignment horizontal="left"/>
    </xf>
    <xf numFmtId="0" fontId="21" fillId="0" borderId="2" xfId="0" applyFont="1" applyBorder="1" applyAlignment="1">
      <alignment horizontal="center"/>
    </xf>
    <xf numFmtId="43" fontId="21" fillId="0" borderId="2" xfId="15" applyFont="1" applyFill="1" applyBorder="1" applyAlignment="1">
      <alignment horizontal="center"/>
    </xf>
    <xf numFmtId="44" fontId="21" fillId="0" borderId="2" xfId="1" applyFont="1" applyFill="1" applyBorder="1" applyAlignment="1">
      <alignment horizontal="left"/>
    </xf>
    <xf numFmtId="0" fontId="21" fillId="0" borderId="0" xfId="0" applyFont="1"/>
    <xf numFmtId="0" fontId="16" fillId="5" borderId="2" xfId="0" applyFont="1" applyFill="1" applyBorder="1" applyAlignment="1">
      <alignment horizontal="center"/>
    </xf>
    <xf numFmtId="43" fontId="16" fillId="5" borderId="2" xfId="15" applyFont="1" applyFill="1" applyBorder="1" applyAlignment="1">
      <alignment horizontal="center"/>
    </xf>
    <xf numFmtId="44" fontId="16" fillId="5" borderId="2" xfId="1" applyFont="1" applyFill="1" applyBorder="1" applyAlignment="1">
      <alignment horizontal="left"/>
    </xf>
    <xf numFmtId="0" fontId="15" fillId="0" borderId="2" xfId="0" applyFont="1" applyBorder="1" applyAlignment="1">
      <alignment horizontal="left"/>
    </xf>
    <xf numFmtId="0" fontId="15" fillId="0" borderId="2" xfId="0" applyFont="1" applyBorder="1" applyAlignment="1">
      <alignment horizontal="center"/>
    </xf>
    <xf numFmtId="43" fontId="15" fillId="0" borderId="2" xfId="15" applyFont="1" applyFill="1" applyBorder="1" applyAlignment="1">
      <alignment horizontal="center"/>
    </xf>
    <xf numFmtId="44" fontId="15" fillId="0" borderId="2" xfId="1" applyFont="1" applyFill="1" applyBorder="1" applyAlignment="1">
      <alignment horizontal="left"/>
    </xf>
    <xf numFmtId="0" fontId="22" fillId="0" borderId="2" xfId="0" applyFont="1" applyBorder="1" applyAlignment="1">
      <alignment horizontal="left"/>
    </xf>
    <xf numFmtId="0" fontId="22" fillId="0" borderId="2" xfId="0" applyFont="1" applyBorder="1" applyAlignment="1">
      <alignment horizontal="center"/>
    </xf>
    <xf numFmtId="43" fontId="22" fillId="0" borderId="2" xfId="15" applyFont="1" applyFill="1" applyBorder="1" applyAlignment="1">
      <alignment horizontal="center"/>
    </xf>
    <xf numFmtId="44" fontId="22" fillId="0" borderId="2" xfId="1" applyFont="1" applyFill="1" applyBorder="1" applyAlignment="1">
      <alignment horizontal="left"/>
    </xf>
    <xf numFmtId="0" fontId="22" fillId="0" borderId="0" xfId="0" applyFont="1"/>
    <xf numFmtId="0" fontId="18" fillId="0" borderId="2" xfId="0" applyFont="1" applyBorder="1" applyAlignment="1">
      <alignment horizontal="left"/>
    </xf>
    <xf numFmtId="0" fontId="18" fillId="0" borderId="2" xfId="0" applyFont="1" applyBorder="1" applyAlignment="1">
      <alignment horizontal="center"/>
    </xf>
    <xf numFmtId="43" fontId="18" fillId="0" borderId="2" xfId="15" applyFont="1" applyFill="1" applyBorder="1" applyAlignment="1">
      <alignment horizontal="center"/>
    </xf>
    <xf numFmtId="44" fontId="18" fillId="0" borderId="2" xfId="1" applyFont="1" applyFill="1" applyBorder="1" applyAlignment="1">
      <alignment horizontal="left"/>
    </xf>
    <xf numFmtId="0" fontId="15" fillId="2" borderId="2" xfId="0" applyFont="1" applyFill="1" applyBorder="1" applyAlignment="1">
      <alignment horizontal="left"/>
    </xf>
    <xf numFmtId="49" fontId="23" fillId="0" borderId="0" xfId="17" applyNumberFormat="1" applyFont="1" applyBorder="1" applyAlignment="1">
      <alignment horizontal="center" vertical="center"/>
    </xf>
    <xf numFmtId="0" fontId="21" fillId="6" borderId="0" xfId="8" applyFont="1" applyFill="1" applyAlignment="1">
      <alignment vertical="center"/>
    </xf>
    <xf numFmtId="165" fontId="21" fillId="6" borderId="0" xfId="2" applyFont="1" applyFill="1" applyBorder="1" applyAlignment="1">
      <alignment horizontal="center" vertical="center"/>
    </xf>
    <xf numFmtId="0" fontId="21" fillId="6" borderId="0" xfId="2" applyNumberFormat="1" applyFont="1" applyFill="1" applyBorder="1" applyAlignment="1">
      <alignment horizontal="center" vertical="center"/>
    </xf>
    <xf numFmtId="0" fontId="21" fillId="6" borderId="0" xfId="2" applyNumberFormat="1" applyFont="1" applyFill="1" applyBorder="1" applyAlignment="1">
      <alignment vertical="center"/>
    </xf>
    <xf numFmtId="4" fontId="15" fillId="2" borderId="75" xfId="8" applyNumberFormat="1" applyFont="1" applyFill="1" applyBorder="1" applyAlignment="1">
      <alignment horizontal="center" vertical="center" wrapText="1"/>
    </xf>
    <xf numFmtId="49" fontId="24" fillId="6" borderId="0" xfId="8" applyNumberFormat="1" applyFont="1" applyFill="1" applyAlignment="1">
      <alignment horizontal="center" vertical="center" wrapText="1"/>
    </xf>
    <xf numFmtId="0" fontId="24" fillId="6" borderId="0" xfId="8" applyFont="1" applyFill="1" applyAlignment="1">
      <alignment horizontal="left" vertical="center" wrapText="1"/>
    </xf>
    <xf numFmtId="4" fontId="24" fillId="6" borderId="0" xfId="8" applyNumberFormat="1" applyFont="1" applyFill="1" applyAlignment="1">
      <alignment horizontal="center" vertical="center" wrapText="1"/>
    </xf>
    <xf numFmtId="10" fontId="24" fillId="6" borderId="0" xfId="8" applyNumberFormat="1" applyFont="1" applyFill="1" applyAlignment="1">
      <alignment horizontal="center" vertical="center" wrapText="1"/>
    </xf>
    <xf numFmtId="0" fontId="25" fillId="0" borderId="0" xfId="8" applyFont="1" applyAlignment="1">
      <alignment horizontal="right" vertical="center"/>
    </xf>
    <xf numFmtId="0" fontId="15" fillId="0" borderId="0" xfId="0" applyFont="1" applyAlignment="1">
      <alignment horizontal="left"/>
    </xf>
    <xf numFmtId="44" fontId="15" fillId="0" borderId="0" xfId="1" applyFont="1" applyFill="1" applyBorder="1" applyAlignment="1">
      <alignment horizontal="center"/>
    </xf>
    <xf numFmtId="0" fontId="18" fillId="2" borderId="2" xfId="0" applyFont="1" applyFill="1" applyBorder="1" applyAlignment="1">
      <alignment horizontal="left"/>
    </xf>
    <xf numFmtId="0" fontId="18" fillId="2" borderId="2" xfId="0" applyFont="1" applyFill="1" applyBorder="1" applyAlignment="1">
      <alignment horizontal="center"/>
    </xf>
    <xf numFmtId="43" fontId="18" fillId="2" borderId="2" xfId="15" applyFont="1" applyFill="1" applyBorder="1" applyAlignment="1">
      <alignment horizontal="center"/>
    </xf>
    <xf numFmtId="44" fontId="18" fillId="2" borderId="2" xfId="1" applyFont="1" applyFill="1" applyBorder="1" applyAlignment="1">
      <alignment horizontal="left"/>
    </xf>
    <xf numFmtId="0" fontId="24" fillId="0" borderId="76" xfId="8" applyFont="1" applyBorder="1" applyAlignment="1">
      <alignment horizontal="left" vertical="center" wrapText="1"/>
    </xf>
    <xf numFmtId="4" fontId="24" fillId="0" borderId="76" xfId="8" applyNumberFormat="1" applyFont="1" applyBorder="1" applyAlignment="1">
      <alignment horizontal="center" vertical="center" wrapText="1"/>
    </xf>
    <xf numFmtId="0" fontId="24" fillId="0" borderId="77" xfId="8" applyFont="1" applyBorder="1" applyAlignment="1">
      <alignment horizontal="left" vertical="center" wrapText="1"/>
    </xf>
    <xf numFmtId="4" fontId="24" fillId="0" borderId="77" xfId="8" applyNumberFormat="1" applyFont="1" applyBorder="1" applyAlignment="1">
      <alignment horizontal="center" vertical="center" wrapText="1"/>
    </xf>
    <xf numFmtId="0" fontId="24" fillId="0" borderId="78" xfId="8" applyFont="1" applyBorder="1" applyAlignment="1">
      <alignment horizontal="left" vertical="center" wrapText="1"/>
    </xf>
    <xf numFmtId="4" fontId="24" fillId="0" borderId="78" xfId="8" applyNumberFormat="1" applyFont="1" applyBorder="1" applyAlignment="1">
      <alignment horizontal="center" vertical="center" wrapText="1"/>
    </xf>
    <xf numFmtId="0" fontId="15" fillId="3" borderId="79" xfId="8" applyFont="1" applyFill="1" applyBorder="1" applyAlignment="1">
      <alignment vertical="center" wrapText="1"/>
    </xf>
    <xf numFmtId="4" fontId="15" fillId="3" borderId="79" xfId="8" applyNumberFormat="1" applyFont="1" applyFill="1" applyBorder="1" applyAlignment="1">
      <alignment horizontal="center" vertical="center" wrapText="1"/>
    </xf>
    <xf numFmtId="39" fontId="27" fillId="2" borderId="80" xfId="2" applyNumberFormat="1" applyFont="1" applyFill="1" applyBorder="1" applyAlignment="1">
      <alignment horizontal="center" vertical="center"/>
    </xf>
    <xf numFmtId="166" fontId="11" fillId="0" borderId="0" xfId="2" applyNumberFormat="1" applyFont="1" applyFill="1" applyBorder="1" applyAlignment="1">
      <alignment horizontal="center" vertical="center"/>
    </xf>
    <xf numFmtId="0" fontId="1" fillId="6" borderId="0" xfId="9" applyFill="1" applyAlignment="1">
      <alignment vertical="center"/>
    </xf>
    <xf numFmtId="0" fontId="1" fillId="6" borderId="0" xfId="9" applyFill="1" applyAlignment="1">
      <alignment horizontal="center" vertical="center" wrapText="1"/>
    </xf>
    <xf numFmtId="0" fontId="28" fillId="6" borderId="0" xfId="11" applyFont="1" applyFill="1" applyAlignment="1">
      <alignment vertical="center" wrapText="1"/>
    </xf>
    <xf numFmtId="0" fontId="1" fillId="6" borderId="0" xfId="8" applyFill="1"/>
    <xf numFmtId="0" fontId="1" fillId="6" borderId="0" xfId="8" applyFill="1" applyAlignment="1">
      <alignment vertical="center"/>
    </xf>
    <xf numFmtId="0" fontId="21" fillId="6" borderId="0" xfId="8" applyFont="1" applyFill="1"/>
    <xf numFmtId="0" fontId="21" fillId="6" borderId="0" xfId="8" applyFont="1" applyFill="1" applyAlignment="1">
      <alignment horizontal="left"/>
    </xf>
    <xf numFmtId="0" fontId="21" fillId="6" borderId="0" xfId="8" applyFont="1" applyFill="1" applyAlignment="1">
      <alignment horizontal="center"/>
    </xf>
    <xf numFmtId="4" fontId="21" fillId="6" borderId="0" xfId="8" applyNumberFormat="1" applyFont="1" applyFill="1" applyAlignment="1">
      <alignment horizontal="center"/>
    </xf>
    <xf numFmtId="0" fontId="1" fillId="6" borderId="0" xfId="8" applyFill="1" applyAlignment="1">
      <alignment horizontal="center" vertical="center"/>
    </xf>
    <xf numFmtId="0" fontId="29" fillId="6" borderId="0" xfId="8" applyFont="1" applyFill="1" applyAlignment="1">
      <alignment vertical="center"/>
    </xf>
    <xf numFmtId="0" fontId="15" fillId="2" borderId="75" xfId="8" applyFont="1" applyFill="1" applyBorder="1" applyAlignment="1">
      <alignment horizontal="center" vertical="center" wrapText="1"/>
    </xf>
    <xf numFmtId="0" fontId="15" fillId="3" borderId="80" xfId="8" applyFont="1" applyFill="1" applyBorder="1" applyAlignment="1">
      <alignment horizontal="center" vertical="center" wrapText="1"/>
    </xf>
    <xf numFmtId="10" fontId="15" fillId="3" borderId="81" xfId="12" applyNumberFormat="1" applyFont="1" applyFill="1" applyBorder="1" applyAlignment="1" applyProtection="1">
      <alignment horizontal="center" vertical="center" wrapText="1"/>
    </xf>
    <xf numFmtId="49" fontId="24" fillId="0" borderId="82" xfId="8" applyNumberFormat="1" applyFont="1" applyBorder="1" applyAlignment="1">
      <alignment horizontal="center" vertical="center" wrapText="1"/>
    </xf>
    <xf numFmtId="49" fontId="24" fillId="0" borderId="83" xfId="8" applyNumberFormat="1" applyFont="1" applyBorder="1" applyAlignment="1">
      <alignment horizontal="center" vertical="center" wrapText="1"/>
    </xf>
    <xf numFmtId="49" fontId="24" fillId="0" borderId="84" xfId="8" applyNumberFormat="1" applyFont="1" applyBorder="1" applyAlignment="1">
      <alignment horizontal="center" vertical="center" wrapText="1"/>
    </xf>
    <xf numFmtId="0" fontId="21" fillId="0" borderId="85" xfId="8" applyFont="1" applyBorder="1" applyAlignment="1">
      <alignment horizontal="center"/>
    </xf>
    <xf numFmtId="0" fontId="30" fillId="0" borderId="86" xfId="8" applyFont="1" applyBorder="1" applyAlignment="1">
      <alignment horizontal="left" vertical="top" wrapText="1"/>
    </xf>
    <xf numFmtId="4" fontId="31" fillId="0" borderId="86" xfId="8" applyNumberFormat="1" applyFont="1" applyBorder="1" applyAlignment="1">
      <alignment horizontal="center"/>
    </xf>
    <xf numFmtId="4" fontId="31" fillId="0" borderId="87" xfId="8" applyNumberFormat="1" applyFont="1" applyBorder="1"/>
    <xf numFmtId="0" fontId="0" fillId="0" borderId="88" xfId="0" applyBorder="1"/>
    <xf numFmtId="0" fontId="21" fillId="0" borderId="89" xfId="8" applyFont="1" applyBorder="1"/>
    <xf numFmtId="0" fontId="21" fillId="0" borderId="90" xfId="8" applyFont="1" applyBorder="1" applyAlignment="1">
      <alignment horizontal="left"/>
    </xf>
    <xf numFmtId="0" fontId="21" fillId="0" borderId="85" xfId="8" applyFont="1" applyBorder="1"/>
    <xf numFmtId="0" fontId="21" fillId="0" borderId="86" xfId="8" applyFont="1" applyBorder="1" applyAlignment="1">
      <alignment horizontal="left"/>
    </xf>
    <xf numFmtId="0" fontId="21" fillId="0" borderId="87" xfId="8" applyFont="1" applyBorder="1"/>
    <xf numFmtId="0" fontId="13" fillId="0" borderId="88" xfId="0" applyFont="1" applyBorder="1" applyAlignment="1">
      <alignment horizontal="right"/>
    </xf>
    <xf numFmtId="0" fontId="32" fillId="0" borderId="88" xfId="9" applyFont="1" applyBorder="1" applyAlignment="1">
      <alignment horizontal="right" vertical="center"/>
    </xf>
    <xf numFmtId="0" fontId="32" fillId="0" borderId="88" xfId="8" quotePrefix="1" applyFont="1" applyBorder="1" applyAlignment="1">
      <alignment horizontal="right" vertical="center"/>
    </xf>
    <xf numFmtId="0" fontId="0" fillId="0" borderId="89" xfId="0" applyBorder="1"/>
    <xf numFmtId="0" fontId="0" fillId="0" borderId="90" xfId="0" applyBorder="1"/>
    <xf numFmtId="0" fontId="0" fillId="0" borderId="91" xfId="0" applyBorder="1"/>
    <xf numFmtId="39" fontId="27" fillId="0" borderId="79" xfId="2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44" fontId="9" fillId="0" borderId="0" xfId="1" applyFont="1" applyAlignment="1">
      <alignment horizontal="center" vertical="center"/>
    </xf>
    <xf numFmtId="0" fontId="33" fillId="0" borderId="2" xfId="0" applyFont="1" applyBorder="1" applyAlignment="1">
      <alignment horizontal="left"/>
    </xf>
    <xf numFmtId="43" fontId="34" fillId="0" borderId="2" xfId="15" applyFont="1" applyFill="1" applyBorder="1" applyAlignment="1">
      <alignment horizontal="center"/>
    </xf>
    <xf numFmtId="43" fontId="35" fillId="0" borderId="2" xfId="15" applyFont="1" applyFill="1" applyBorder="1" applyAlignment="1">
      <alignment horizontal="center"/>
    </xf>
    <xf numFmtId="43" fontId="14" fillId="0" borderId="1" xfId="15" applyFont="1" applyFill="1" applyBorder="1" applyAlignment="1">
      <alignment horizontal="center"/>
    </xf>
    <xf numFmtId="44" fontId="15" fillId="2" borderId="3" xfId="1" applyFont="1" applyFill="1" applyBorder="1"/>
    <xf numFmtId="44" fontId="30" fillId="0" borderId="3" xfId="1" applyFont="1" applyFill="1" applyBorder="1"/>
    <xf numFmtId="0" fontId="30" fillId="0" borderId="3" xfId="0" applyFont="1" applyBorder="1" applyAlignment="1">
      <alignment horizontal="right" vertical="center"/>
    </xf>
    <xf numFmtId="44" fontId="15" fillId="2" borderId="3" xfId="0" applyNumberFormat="1" applyFont="1" applyFill="1" applyBorder="1" applyAlignment="1">
      <alignment horizontal="center"/>
    </xf>
    <xf numFmtId="0" fontId="14" fillId="0" borderId="4" xfId="0" applyFont="1" applyBorder="1"/>
    <xf numFmtId="10" fontId="16" fillId="0" borderId="0" xfId="13" applyNumberFormat="1" applyFont="1" applyBorder="1" applyAlignment="1">
      <alignment horizontal="left" vertical="center"/>
    </xf>
    <xf numFmtId="10" fontId="14" fillId="0" borderId="0" xfId="13" applyNumberFormat="1" applyFont="1" applyAlignment="1">
      <alignment horizontal="left"/>
    </xf>
    <xf numFmtId="10" fontId="35" fillId="7" borderId="0" xfId="13" applyNumberFormat="1" applyFont="1" applyFill="1" applyBorder="1" applyAlignment="1">
      <alignment horizontal="left"/>
    </xf>
    <xf numFmtId="10" fontId="15" fillId="0" borderId="0" xfId="13" applyNumberFormat="1" applyFont="1" applyFill="1" applyBorder="1" applyAlignment="1">
      <alignment horizontal="center"/>
    </xf>
    <xf numFmtId="10" fontId="36" fillId="7" borderId="0" xfId="13" applyNumberFormat="1" applyFont="1" applyFill="1" applyBorder="1" applyAlignment="1">
      <alignment horizontal="left"/>
    </xf>
    <xf numFmtId="0" fontId="37" fillId="5" borderId="5" xfId="0" applyFont="1" applyFill="1" applyBorder="1" applyAlignment="1">
      <alignment horizontal="center" vertical="center"/>
    </xf>
    <xf numFmtId="44" fontId="37" fillId="5" borderId="5" xfId="1" applyFont="1" applyFill="1" applyBorder="1" applyAlignment="1">
      <alignment horizontal="center" vertical="center"/>
    </xf>
    <xf numFmtId="0" fontId="20" fillId="0" borderId="3" xfId="0" applyFont="1" applyBorder="1" applyAlignment="1">
      <alignment horizontal="left"/>
    </xf>
    <xf numFmtId="0" fontId="20" fillId="0" borderId="6" xfId="0" applyFont="1" applyBorder="1" applyAlignment="1">
      <alignment horizontal="left"/>
    </xf>
    <xf numFmtId="0" fontId="0" fillId="0" borderId="0" xfId="0" applyAlignment="1">
      <alignment horizontal="left" vertical="center"/>
    </xf>
    <xf numFmtId="0" fontId="19" fillId="0" borderId="6" xfId="0" applyFont="1" applyBorder="1" applyAlignment="1">
      <alignment horizontal="center" vertical="center"/>
    </xf>
    <xf numFmtId="44" fontId="19" fillId="0" borderId="6" xfId="1" applyFont="1" applyBorder="1" applyAlignment="1">
      <alignment horizontal="center" vertical="center"/>
    </xf>
    <xf numFmtId="0" fontId="19" fillId="0" borderId="6" xfId="0" applyFont="1" applyBorder="1" applyAlignment="1">
      <alignment horizontal="left" vertical="center"/>
    </xf>
    <xf numFmtId="14" fontId="19" fillId="0" borderId="6" xfId="0" applyNumberFormat="1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44" fontId="19" fillId="0" borderId="3" xfId="1" applyFont="1" applyBorder="1" applyAlignment="1">
      <alignment horizontal="center" vertical="center"/>
    </xf>
    <xf numFmtId="0" fontId="19" fillId="0" borderId="3" xfId="0" applyFont="1" applyBorder="1" applyAlignment="1">
      <alignment horizontal="left" vertical="center"/>
    </xf>
    <xf numFmtId="14" fontId="19" fillId="0" borderId="3" xfId="0" applyNumberFormat="1" applyFont="1" applyBorder="1" applyAlignment="1">
      <alignment horizontal="center" vertical="center"/>
    </xf>
    <xf numFmtId="16" fontId="19" fillId="0" borderId="3" xfId="0" applyNumberFormat="1" applyFont="1" applyBorder="1" applyAlignment="1">
      <alignment horizontal="center" vertical="center"/>
    </xf>
    <xf numFmtId="0" fontId="38" fillId="0" borderId="6" xfId="0" applyFont="1" applyBorder="1" applyAlignment="1">
      <alignment horizontal="center" vertical="center"/>
    </xf>
    <xf numFmtId="0" fontId="38" fillId="0" borderId="3" xfId="0" applyFont="1" applyBorder="1" applyAlignment="1">
      <alignment horizontal="center" vertical="center"/>
    </xf>
    <xf numFmtId="9" fontId="19" fillId="0" borderId="3" xfId="13" applyFont="1" applyBorder="1" applyAlignment="1">
      <alignment horizontal="center" vertical="center"/>
    </xf>
    <xf numFmtId="164" fontId="20" fillId="0" borderId="0" xfId="0" applyNumberFormat="1" applyFont="1"/>
    <xf numFmtId="9" fontId="9" fillId="0" borderId="0" xfId="13" applyFont="1" applyFill="1" applyBorder="1" applyAlignment="1">
      <alignment vertical="center" wrapText="1"/>
    </xf>
    <xf numFmtId="9" fontId="39" fillId="0" borderId="0" xfId="13" applyFont="1" applyFill="1" applyBorder="1" applyAlignment="1">
      <alignment vertical="center" wrapText="1"/>
    </xf>
    <xf numFmtId="44" fontId="0" fillId="0" borderId="0" xfId="0" applyNumberFormat="1"/>
    <xf numFmtId="0" fontId="40" fillId="2" borderId="2" xfId="0" applyFont="1" applyFill="1" applyBorder="1" applyAlignment="1">
      <alignment horizontal="left"/>
    </xf>
    <xf numFmtId="0" fontId="40" fillId="2" borderId="2" xfId="0" applyFont="1" applyFill="1" applyBorder="1" applyAlignment="1">
      <alignment horizontal="center"/>
    </xf>
    <xf numFmtId="43" fontId="40" fillId="2" borderId="2" xfId="15" applyFont="1" applyFill="1" applyBorder="1" applyAlignment="1">
      <alignment horizontal="center"/>
    </xf>
    <xf numFmtId="44" fontId="40" fillId="2" borderId="2" xfId="1" applyFont="1" applyFill="1" applyBorder="1" applyAlignment="1">
      <alignment horizontal="left"/>
    </xf>
    <xf numFmtId="0" fontId="20" fillId="0" borderId="1" xfId="0" applyFont="1" applyBorder="1" applyAlignment="1">
      <alignment horizontal="left"/>
    </xf>
    <xf numFmtId="0" fontId="20" fillId="0" borderId="1" xfId="0" applyFont="1" applyBorder="1" applyAlignment="1">
      <alignment horizontal="center"/>
    </xf>
    <xf numFmtId="43" fontId="20" fillId="0" borderId="1" xfId="15" applyFont="1" applyFill="1" applyBorder="1" applyAlignment="1">
      <alignment horizontal="center"/>
    </xf>
    <xf numFmtId="43" fontId="34" fillId="0" borderId="1" xfId="15" applyFont="1" applyFill="1" applyBorder="1" applyAlignment="1">
      <alignment horizontal="center"/>
    </xf>
    <xf numFmtId="44" fontId="20" fillId="0" borderId="1" xfId="1" applyFont="1" applyFill="1" applyBorder="1" applyAlignment="1">
      <alignment horizontal="left"/>
    </xf>
    <xf numFmtId="0" fontId="11" fillId="8" borderId="2" xfId="0" applyFont="1" applyFill="1" applyBorder="1" applyAlignment="1">
      <alignment horizontal="left"/>
    </xf>
    <xf numFmtId="0" fontId="11" fillId="8" borderId="2" xfId="0" applyFont="1" applyFill="1" applyBorder="1" applyAlignment="1">
      <alignment horizontal="center"/>
    </xf>
    <xf numFmtId="43" fontId="11" fillId="8" borderId="2" xfId="15" applyFont="1" applyFill="1" applyBorder="1" applyAlignment="1">
      <alignment horizontal="center"/>
    </xf>
    <xf numFmtId="44" fontId="11" fillId="8" borderId="2" xfId="1" applyFont="1" applyFill="1" applyBorder="1" applyAlignment="1">
      <alignment horizontal="left"/>
    </xf>
    <xf numFmtId="168" fontId="0" fillId="0" borderId="0" xfId="0" applyNumberFormat="1"/>
    <xf numFmtId="4" fontId="0" fillId="0" borderId="0" xfId="0" applyNumberFormat="1"/>
    <xf numFmtId="0" fontId="20" fillId="0" borderId="3" xfId="0" applyFont="1" applyBorder="1" applyAlignment="1">
      <alignment horizontal="left" wrapText="1"/>
    </xf>
    <xf numFmtId="43" fontId="34" fillId="9" borderId="2" xfId="15" applyFont="1" applyFill="1" applyBorder="1" applyAlignment="1">
      <alignment horizontal="center"/>
    </xf>
    <xf numFmtId="0" fontId="35" fillId="9" borderId="0" xfId="0" applyFont="1" applyFill="1" applyAlignment="1">
      <alignment horizontal="center" vertical="center"/>
    </xf>
    <xf numFmtId="43" fontId="33" fillId="9" borderId="2" xfId="15" applyFont="1" applyFill="1" applyBorder="1" applyAlignment="1">
      <alignment horizontal="center"/>
    </xf>
    <xf numFmtId="43" fontId="20" fillId="0" borderId="0" xfId="0" applyNumberFormat="1" applyFont="1"/>
    <xf numFmtId="44" fontId="11" fillId="8" borderId="4" xfId="0" applyNumberFormat="1" applyFont="1" applyFill="1" applyBorder="1"/>
    <xf numFmtId="44" fontId="11" fillId="8" borderId="4" xfId="1" applyFont="1" applyFill="1" applyBorder="1"/>
    <xf numFmtId="43" fontId="41" fillId="0" borderId="2" xfId="15" applyFont="1" applyFill="1" applyBorder="1" applyAlignment="1">
      <alignment horizontal="center"/>
    </xf>
    <xf numFmtId="0" fontId="14" fillId="0" borderId="0" xfId="0" applyFont="1" applyAlignment="1">
      <alignment horizontal="center" vertical="center" wrapText="1"/>
    </xf>
    <xf numFmtId="43" fontId="14" fillId="0" borderId="0" xfId="15" applyFont="1" applyAlignment="1">
      <alignment vertical="center" wrapText="1"/>
    </xf>
    <xf numFmtId="0" fontId="14" fillId="0" borderId="0" xfId="0" applyFont="1" applyAlignment="1">
      <alignment vertical="center" wrapText="1"/>
    </xf>
    <xf numFmtId="0" fontId="17" fillId="0" borderId="7" xfId="0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 wrapText="1"/>
    </xf>
    <xf numFmtId="2" fontId="43" fillId="3" borderId="4" xfId="0" applyNumberFormat="1" applyFont="1" applyFill="1" applyBorder="1" applyAlignment="1">
      <alignment horizontal="center" vertical="center"/>
    </xf>
    <xf numFmtId="9" fontId="17" fillId="9" borderId="9" xfId="13" applyFont="1" applyFill="1" applyBorder="1" applyAlignment="1">
      <alignment horizontal="center" vertical="center"/>
    </xf>
    <xf numFmtId="2" fontId="17" fillId="9" borderId="10" xfId="0" applyNumberFormat="1" applyFont="1" applyFill="1" applyBorder="1" applyAlignment="1">
      <alignment horizontal="center" vertical="center"/>
    </xf>
    <xf numFmtId="9" fontId="17" fillId="9" borderId="11" xfId="13" applyFont="1" applyFill="1" applyBorder="1" applyAlignment="1">
      <alignment horizontal="center" vertical="center"/>
    </xf>
    <xf numFmtId="2" fontId="17" fillId="9" borderId="3" xfId="0" applyNumberFormat="1" applyFont="1" applyFill="1" applyBorder="1" applyAlignment="1">
      <alignment horizontal="center" vertical="center"/>
    </xf>
    <xf numFmtId="9" fontId="17" fillId="9" borderId="12" xfId="13" applyFont="1" applyFill="1" applyBorder="1" applyAlignment="1">
      <alignment horizontal="center" vertical="center"/>
    </xf>
    <xf numFmtId="2" fontId="17" fillId="9" borderId="13" xfId="0" applyNumberFormat="1" applyFont="1" applyFill="1" applyBorder="1" applyAlignment="1">
      <alignment horizontal="center" vertical="center"/>
    </xf>
    <xf numFmtId="0" fontId="17" fillId="9" borderId="10" xfId="0" applyFont="1" applyFill="1" applyBorder="1" applyAlignment="1">
      <alignment horizontal="center" vertical="center"/>
    </xf>
    <xf numFmtId="2" fontId="17" fillId="9" borderId="14" xfId="0" applyNumberFormat="1" applyFont="1" applyFill="1" applyBorder="1" applyAlignment="1">
      <alignment horizontal="center" vertical="center"/>
    </xf>
    <xf numFmtId="0" fontId="17" fillId="9" borderId="3" xfId="0" applyFont="1" applyFill="1" applyBorder="1" applyAlignment="1">
      <alignment horizontal="center" vertical="center"/>
    </xf>
    <xf numFmtId="2" fontId="17" fillId="9" borderId="15" xfId="0" applyNumberFormat="1" applyFont="1" applyFill="1" applyBorder="1" applyAlignment="1">
      <alignment horizontal="center" vertical="center"/>
    </xf>
    <xf numFmtId="0" fontId="17" fillId="9" borderId="13" xfId="0" applyFont="1" applyFill="1" applyBorder="1" applyAlignment="1">
      <alignment horizontal="center" vertical="center"/>
    </xf>
    <xf numFmtId="2" fontId="17" fillId="9" borderId="16" xfId="0" applyNumberFormat="1" applyFont="1" applyFill="1" applyBorder="1" applyAlignment="1">
      <alignment horizontal="center" vertical="center"/>
    </xf>
    <xf numFmtId="9" fontId="17" fillId="9" borderId="17" xfId="13" applyFont="1" applyFill="1" applyBorder="1" applyAlignment="1">
      <alignment horizontal="center" vertical="center"/>
    </xf>
    <xf numFmtId="2" fontId="17" fillId="9" borderId="6" xfId="0" applyNumberFormat="1" applyFont="1" applyFill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7" fillId="9" borderId="6" xfId="0" applyFont="1" applyFill="1" applyBorder="1" applyAlignment="1">
      <alignment horizontal="center" vertical="center"/>
    </xf>
    <xf numFmtId="2" fontId="17" fillId="9" borderId="18" xfId="0" applyNumberFormat="1" applyFont="1" applyFill="1" applyBorder="1" applyAlignment="1">
      <alignment horizontal="center" vertical="center"/>
    </xf>
    <xf numFmtId="44" fontId="20" fillId="0" borderId="0" xfId="0" applyNumberFormat="1" applyFont="1"/>
    <xf numFmtId="44" fontId="15" fillId="2" borderId="0" xfId="1" applyFont="1" applyFill="1"/>
    <xf numFmtId="44" fontId="14" fillId="0" borderId="0" xfId="0" applyNumberFormat="1" applyFont="1"/>
    <xf numFmtId="44" fontId="14" fillId="0" borderId="4" xfId="1" applyFont="1" applyBorder="1" applyAlignment="1">
      <alignment horizontal="right"/>
    </xf>
    <xf numFmtId="43" fontId="15" fillId="2" borderId="73" xfId="15" applyFont="1" applyFill="1" applyBorder="1" applyAlignment="1">
      <alignment horizontal="center" vertical="center"/>
    </xf>
    <xf numFmtId="44" fontId="18" fillId="3" borderId="4" xfId="1" applyFont="1" applyFill="1" applyBorder="1" applyAlignment="1">
      <alignment horizontal="right" vertical="center"/>
    </xf>
    <xf numFmtId="169" fontId="18" fillId="3" borderId="4" xfId="15" applyNumberFormat="1" applyFont="1" applyFill="1" applyBorder="1" applyAlignment="1">
      <alignment horizontal="left" vertical="center"/>
    </xf>
    <xf numFmtId="2" fontId="17" fillId="9" borderId="7" xfId="0" applyNumberFormat="1" applyFont="1" applyFill="1" applyBorder="1" applyAlignment="1">
      <alignment horizontal="center" vertical="center"/>
    </xf>
    <xf numFmtId="2" fontId="17" fillId="9" borderId="1" xfId="0" applyNumberFormat="1" applyFont="1" applyFill="1" applyBorder="1" applyAlignment="1">
      <alignment horizontal="center" vertical="center"/>
    </xf>
    <xf numFmtId="2" fontId="17" fillId="9" borderId="2" xfId="0" applyNumberFormat="1" applyFont="1" applyFill="1" applyBorder="1" applyAlignment="1">
      <alignment horizontal="center" vertical="center"/>
    </xf>
    <xf numFmtId="2" fontId="17" fillId="9" borderId="8" xfId="0" applyNumberFormat="1" applyFont="1" applyFill="1" applyBorder="1" applyAlignment="1">
      <alignment horizontal="center" vertical="center"/>
    </xf>
    <xf numFmtId="0" fontId="43" fillId="2" borderId="4" xfId="0" applyFont="1" applyFill="1" applyBorder="1" applyAlignment="1">
      <alignment horizontal="center" vertical="center"/>
    </xf>
    <xf numFmtId="10" fontId="43" fillId="2" borderId="4" xfId="0" applyNumberFormat="1" applyFont="1" applyFill="1" applyBorder="1" applyAlignment="1">
      <alignment horizontal="center" vertical="center"/>
    </xf>
    <xf numFmtId="9" fontId="43" fillId="2" borderId="4" xfId="0" applyNumberFormat="1" applyFont="1" applyFill="1" applyBorder="1" applyAlignment="1">
      <alignment horizontal="center" vertical="center"/>
    </xf>
    <xf numFmtId="10" fontId="15" fillId="10" borderId="4" xfId="0" applyNumberFormat="1" applyFont="1" applyFill="1" applyBorder="1" applyAlignment="1">
      <alignment horizontal="center" vertical="center"/>
    </xf>
    <xf numFmtId="9" fontId="15" fillId="10" borderId="4" xfId="0" applyNumberFormat="1" applyFont="1" applyFill="1" applyBorder="1" applyAlignment="1">
      <alignment horizontal="center" vertical="center"/>
    </xf>
    <xf numFmtId="10" fontId="15" fillId="11" borderId="4" xfId="0" applyNumberFormat="1" applyFont="1" applyFill="1" applyBorder="1" applyAlignment="1">
      <alignment horizontal="center" vertical="center"/>
    </xf>
    <xf numFmtId="9" fontId="15" fillId="11" borderId="4" xfId="0" applyNumberFormat="1" applyFont="1" applyFill="1" applyBorder="1" applyAlignment="1">
      <alignment horizontal="center" vertical="center"/>
    </xf>
    <xf numFmtId="0" fontId="15" fillId="12" borderId="4" xfId="0" applyFont="1" applyFill="1" applyBorder="1" applyAlignment="1">
      <alignment horizontal="left" vertical="center" wrapText="1"/>
    </xf>
    <xf numFmtId="170" fontId="21" fillId="13" borderId="19" xfId="1" applyNumberFormat="1" applyFont="1" applyFill="1" applyBorder="1" applyAlignment="1">
      <alignment horizontal="center" vertical="center"/>
    </xf>
    <xf numFmtId="170" fontId="21" fillId="13" borderId="20" xfId="1" applyNumberFormat="1" applyFont="1" applyFill="1" applyBorder="1" applyAlignment="1">
      <alignment horizontal="center" vertical="center"/>
    </xf>
    <xf numFmtId="170" fontId="21" fillId="13" borderId="21" xfId="1" applyNumberFormat="1" applyFont="1" applyFill="1" applyBorder="1" applyAlignment="1">
      <alignment horizontal="center" vertical="center"/>
    </xf>
    <xf numFmtId="170" fontId="15" fillId="12" borderId="4" xfId="1" applyNumberFormat="1" applyFont="1" applyFill="1" applyBorder="1" applyAlignment="1">
      <alignment horizontal="center" vertical="center"/>
    </xf>
    <xf numFmtId="170" fontId="21" fillId="14" borderId="19" xfId="1" applyNumberFormat="1" applyFont="1" applyFill="1" applyBorder="1" applyAlignment="1">
      <alignment horizontal="center" vertical="center"/>
    </xf>
    <xf numFmtId="170" fontId="21" fillId="14" borderId="20" xfId="1" applyNumberFormat="1" applyFont="1" applyFill="1" applyBorder="1" applyAlignment="1">
      <alignment horizontal="center" vertical="center"/>
    </xf>
    <xf numFmtId="170" fontId="21" fillId="14" borderId="21" xfId="1" applyNumberFormat="1" applyFont="1" applyFill="1" applyBorder="1" applyAlignment="1">
      <alignment horizontal="center" vertical="center"/>
    </xf>
    <xf numFmtId="170" fontId="15" fillId="15" borderId="4" xfId="1" applyNumberFormat="1" applyFont="1" applyFill="1" applyBorder="1" applyAlignment="1">
      <alignment horizontal="center" vertical="center"/>
    </xf>
    <xf numFmtId="170" fontId="21" fillId="16" borderId="19" xfId="1" applyNumberFormat="1" applyFont="1" applyFill="1" applyBorder="1" applyAlignment="1">
      <alignment horizontal="center" vertical="center"/>
    </xf>
    <xf numFmtId="170" fontId="21" fillId="16" borderId="20" xfId="1" applyNumberFormat="1" applyFont="1" applyFill="1" applyBorder="1" applyAlignment="1">
      <alignment horizontal="center" vertical="center"/>
    </xf>
    <xf numFmtId="170" fontId="21" fillId="16" borderId="21" xfId="1" applyNumberFormat="1" applyFont="1" applyFill="1" applyBorder="1" applyAlignment="1">
      <alignment horizontal="center" vertical="center"/>
    </xf>
    <xf numFmtId="170" fontId="15" fillId="17" borderId="4" xfId="1" applyNumberFormat="1" applyFont="1" applyFill="1" applyBorder="1" applyAlignment="1">
      <alignment horizontal="center" vertical="center"/>
    </xf>
    <xf numFmtId="9" fontId="17" fillId="18" borderId="9" xfId="13" applyFont="1" applyFill="1" applyBorder="1" applyAlignment="1">
      <alignment horizontal="center" vertical="center"/>
    </xf>
    <xf numFmtId="2" fontId="17" fillId="18" borderId="10" xfId="0" applyNumberFormat="1" applyFont="1" applyFill="1" applyBorder="1" applyAlignment="1">
      <alignment horizontal="center" vertical="center"/>
    </xf>
    <xf numFmtId="0" fontId="17" fillId="18" borderId="10" xfId="0" applyFont="1" applyFill="1" applyBorder="1" applyAlignment="1">
      <alignment horizontal="center" vertical="center"/>
    </xf>
    <xf numFmtId="2" fontId="17" fillId="18" borderId="14" xfId="0" applyNumberFormat="1" applyFont="1" applyFill="1" applyBorder="1" applyAlignment="1">
      <alignment horizontal="center" vertical="center"/>
    </xf>
    <xf numFmtId="9" fontId="17" fillId="18" borderId="17" xfId="13" applyFont="1" applyFill="1" applyBorder="1" applyAlignment="1">
      <alignment horizontal="center" vertical="center"/>
    </xf>
    <xf numFmtId="2" fontId="17" fillId="18" borderId="6" xfId="0" applyNumberFormat="1" applyFont="1" applyFill="1" applyBorder="1" applyAlignment="1">
      <alignment horizontal="center" vertical="center"/>
    </xf>
    <xf numFmtId="0" fontId="17" fillId="18" borderId="6" xfId="0" applyFont="1" applyFill="1" applyBorder="1" applyAlignment="1">
      <alignment horizontal="center" vertical="center"/>
    </xf>
    <xf numFmtId="2" fontId="17" fillId="18" borderId="18" xfId="0" applyNumberFormat="1" applyFont="1" applyFill="1" applyBorder="1" applyAlignment="1">
      <alignment horizontal="center" vertical="center"/>
    </xf>
    <xf numFmtId="9" fontId="17" fillId="18" borderId="11" xfId="13" applyFont="1" applyFill="1" applyBorder="1" applyAlignment="1">
      <alignment horizontal="center" vertical="center"/>
    </xf>
    <xf numFmtId="2" fontId="17" fillId="18" borderId="3" xfId="0" applyNumberFormat="1" applyFont="1" applyFill="1" applyBorder="1" applyAlignment="1">
      <alignment horizontal="center" vertical="center"/>
    </xf>
    <xf numFmtId="0" fontId="17" fillId="18" borderId="3" xfId="0" applyFont="1" applyFill="1" applyBorder="1" applyAlignment="1">
      <alignment horizontal="center" vertical="center"/>
    </xf>
    <xf numFmtId="2" fontId="17" fillId="18" borderId="15" xfId="0" applyNumberFormat="1" applyFont="1" applyFill="1" applyBorder="1" applyAlignment="1">
      <alignment horizontal="center" vertical="center"/>
    </xf>
    <xf numFmtId="9" fontId="17" fillId="18" borderId="12" xfId="13" applyFont="1" applyFill="1" applyBorder="1" applyAlignment="1">
      <alignment horizontal="center" vertical="center"/>
    </xf>
    <xf numFmtId="2" fontId="17" fillId="18" borderId="13" xfId="0" applyNumberFormat="1" applyFont="1" applyFill="1" applyBorder="1" applyAlignment="1">
      <alignment horizontal="center" vertical="center"/>
    </xf>
    <xf numFmtId="0" fontId="17" fillId="18" borderId="13" xfId="0" applyFont="1" applyFill="1" applyBorder="1" applyAlignment="1">
      <alignment horizontal="center" vertical="center"/>
    </xf>
    <xf numFmtId="2" fontId="17" fillId="18" borderId="16" xfId="0" applyNumberFormat="1" applyFont="1" applyFill="1" applyBorder="1" applyAlignment="1">
      <alignment horizontal="center" vertical="center"/>
    </xf>
    <xf numFmtId="0" fontId="43" fillId="3" borderId="22" xfId="0" applyFont="1" applyFill="1" applyBorder="1" applyAlignment="1">
      <alignment vertical="center"/>
    </xf>
    <xf numFmtId="0" fontId="43" fillId="3" borderId="23" xfId="0" applyFont="1" applyFill="1" applyBorder="1" applyAlignment="1">
      <alignment vertical="center"/>
    </xf>
    <xf numFmtId="44" fontId="30" fillId="0" borderId="0" xfId="0" applyNumberFormat="1" applyFont="1" applyAlignment="1">
      <alignment horizontal="center"/>
    </xf>
    <xf numFmtId="44" fontId="20" fillId="19" borderId="2" xfId="1" applyFont="1" applyFill="1" applyBorder="1" applyAlignment="1">
      <alignment horizontal="left"/>
    </xf>
    <xf numFmtId="43" fontId="21" fillId="0" borderId="1" xfId="0" applyNumberFormat="1" applyFont="1" applyBorder="1"/>
    <xf numFmtId="43" fontId="21" fillId="0" borderId="1" xfId="15" applyFont="1" applyFill="1" applyBorder="1"/>
    <xf numFmtId="43" fontId="21" fillId="0" borderId="2" xfId="15" applyFont="1" applyFill="1" applyBorder="1"/>
    <xf numFmtId="43" fontId="30" fillId="0" borderId="3" xfId="0" applyNumberFormat="1" applyFont="1" applyBorder="1" applyAlignment="1">
      <alignment horizontal="right" vertical="center"/>
    </xf>
    <xf numFmtId="0" fontId="14" fillId="0" borderId="74" xfId="0" applyFont="1" applyBorder="1" applyAlignment="1">
      <alignment horizontal="center" vertical="center"/>
    </xf>
    <xf numFmtId="44" fontId="9" fillId="0" borderId="0" xfId="1" applyFont="1"/>
    <xf numFmtId="9" fontId="11" fillId="8" borderId="2" xfId="13" applyFont="1" applyFill="1" applyBorder="1" applyAlignment="1">
      <alignment horizontal="center"/>
    </xf>
    <xf numFmtId="43" fontId="33" fillId="7" borderId="2" xfId="15" applyFont="1" applyFill="1" applyBorder="1" applyAlignment="1">
      <alignment horizontal="center"/>
    </xf>
    <xf numFmtId="171" fontId="11" fillId="8" borderId="2" xfId="13" applyNumberFormat="1" applyFont="1" applyFill="1" applyBorder="1" applyAlignment="1">
      <alignment horizontal="center"/>
    </xf>
    <xf numFmtId="173" fontId="14" fillId="0" borderId="0" xfId="1" applyNumberFormat="1" applyFont="1" applyAlignment="1">
      <alignment horizontal="left"/>
    </xf>
    <xf numFmtId="0" fontId="15" fillId="10" borderId="4" xfId="0" applyFont="1" applyFill="1" applyBorder="1" applyAlignment="1">
      <alignment horizontal="center" vertical="center"/>
    </xf>
    <xf numFmtId="0" fontId="15" fillId="11" borderId="4" xfId="0" applyFont="1" applyFill="1" applyBorder="1" applyAlignment="1">
      <alignment horizontal="center" vertical="center"/>
    </xf>
    <xf numFmtId="0" fontId="14" fillId="9" borderId="1" xfId="0" applyFont="1" applyFill="1" applyBorder="1" applyAlignment="1">
      <alignment horizontal="left"/>
    </xf>
    <xf numFmtId="0" fontId="14" fillId="9" borderId="2" xfId="0" applyFont="1" applyFill="1" applyBorder="1" applyAlignment="1">
      <alignment horizontal="left"/>
    </xf>
    <xf numFmtId="0" fontId="14" fillId="7" borderId="2" xfId="0" applyFont="1" applyFill="1" applyBorder="1" applyAlignment="1">
      <alignment horizontal="left"/>
    </xf>
    <xf numFmtId="0" fontId="14" fillId="7" borderId="0" xfId="0" applyFont="1" applyFill="1"/>
    <xf numFmtId="0" fontId="11" fillId="8" borderId="0" xfId="0" applyFont="1" applyFill="1" applyAlignment="1">
      <alignment horizontal="left"/>
    </xf>
    <xf numFmtId="0" fontId="11" fillId="8" borderId="0" xfId="0" applyFont="1" applyFill="1" applyAlignment="1">
      <alignment horizontal="center"/>
    </xf>
    <xf numFmtId="171" fontId="11" fillId="8" borderId="0" xfId="13" applyNumberFormat="1" applyFont="1" applyFill="1" applyBorder="1" applyAlignment="1">
      <alignment horizontal="center"/>
    </xf>
    <xf numFmtId="43" fontId="11" fillId="8" borderId="0" xfId="15" applyFont="1" applyFill="1" applyBorder="1" applyAlignment="1">
      <alignment horizontal="center"/>
    </xf>
    <xf numFmtId="44" fontId="11" fillId="8" borderId="0" xfId="1" applyFont="1" applyFill="1" applyBorder="1" applyAlignment="1">
      <alignment horizontal="left"/>
    </xf>
    <xf numFmtId="0" fontId="14" fillId="0" borderId="0" xfId="0" applyFont="1" applyAlignment="1">
      <alignment horizontal="right"/>
    </xf>
    <xf numFmtId="0" fontId="15" fillId="2" borderId="24" xfId="0" applyFont="1" applyFill="1" applyBorder="1" applyAlignment="1">
      <alignment horizontal="center"/>
    </xf>
    <xf numFmtId="0" fontId="15" fillId="2" borderId="10" xfId="0" applyFont="1" applyFill="1" applyBorder="1" applyAlignment="1">
      <alignment horizontal="center"/>
    </xf>
    <xf numFmtId="44" fontId="14" fillId="0" borderId="25" xfId="1" applyFont="1" applyFill="1" applyBorder="1" applyAlignment="1">
      <alignment horizontal="center"/>
    </xf>
    <xf numFmtId="44" fontId="14" fillId="0" borderId="3" xfId="1" applyFont="1" applyFill="1" applyBorder="1" applyAlignment="1">
      <alignment horizontal="center"/>
    </xf>
    <xf numFmtId="44" fontId="14" fillId="4" borderId="26" xfId="1" applyFont="1" applyFill="1" applyBorder="1" applyAlignment="1">
      <alignment horizontal="center"/>
    </xf>
    <xf numFmtId="44" fontId="14" fillId="4" borderId="27" xfId="0" applyNumberFormat="1" applyFont="1" applyFill="1" applyBorder="1" applyAlignment="1">
      <alignment horizontal="center"/>
    </xf>
    <xf numFmtId="44" fontId="14" fillId="4" borderId="27" xfId="1" applyFont="1" applyFill="1" applyBorder="1" applyAlignment="1">
      <alignment horizontal="center"/>
    </xf>
    <xf numFmtId="0" fontId="15" fillId="2" borderId="28" xfId="0" applyFont="1" applyFill="1" applyBorder="1" applyAlignment="1">
      <alignment horizontal="center"/>
    </xf>
    <xf numFmtId="44" fontId="14" fillId="0" borderId="29" xfId="1" applyFont="1" applyFill="1" applyBorder="1" applyAlignment="1">
      <alignment horizontal="center"/>
    </xf>
    <xf numFmtId="44" fontId="14" fillId="4" borderId="30" xfId="1" applyFont="1" applyFill="1" applyBorder="1" applyAlignment="1">
      <alignment horizontal="center"/>
    </xf>
    <xf numFmtId="0" fontId="15" fillId="2" borderId="31" xfId="0" applyFont="1" applyFill="1" applyBorder="1" applyAlignment="1">
      <alignment horizontal="center"/>
    </xf>
    <xf numFmtId="44" fontId="14" fillId="0" borderId="32" xfId="1" applyFont="1" applyFill="1" applyBorder="1" applyAlignment="1">
      <alignment horizontal="center"/>
    </xf>
    <xf numFmtId="44" fontId="14" fillId="4" borderId="33" xfId="1" applyFont="1" applyFill="1" applyBorder="1" applyAlignment="1">
      <alignment horizontal="center"/>
    </xf>
    <xf numFmtId="0" fontId="15" fillId="2" borderId="0" xfId="0" applyFont="1" applyFill="1" applyAlignment="1">
      <alignment horizontal="center"/>
    </xf>
    <xf numFmtId="44" fontId="14" fillId="0" borderId="2" xfId="1" applyFont="1" applyFill="1" applyBorder="1" applyAlignment="1">
      <alignment horizontal="center"/>
    </xf>
    <xf numFmtId="44" fontId="14" fillId="4" borderId="34" xfId="1" applyFont="1" applyFill="1" applyBorder="1" applyAlignment="1">
      <alignment horizontal="center"/>
    </xf>
    <xf numFmtId="0" fontId="0" fillId="0" borderId="0" xfId="0" applyAlignment="1">
      <alignment horizontal="center"/>
    </xf>
    <xf numFmtId="43" fontId="9" fillId="0" borderId="0" xfId="15" applyFont="1"/>
    <xf numFmtId="0" fontId="16" fillId="0" borderId="0" xfId="0" applyFont="1" applyAlignment="1">
      <alignment horizontal="center" vertical="center"/>
    </xf>
    <xf numFmtId="0" fontId="20" fillId="19" borderId="2" xfId="0" applyFont="1" applyFill="1" applyBorder="1" applyAlignment="1">
      <alignment horizontal="center"/>
    </xf>
    <xf numFmtId="43" fontId="33" fillId="0" borderId="2" xfId="15" applyFont="1" applyFill="1" applyBorder="1" applyAlignment="1">
      <alignment horizontal="center"/>
    </xf>
    <xf numFmtId="0" fontId="44" fillId="4" borderId="0" xfId="8" applyFont="1" applyFill="1" applyAlignment="1">
      <alignment horizontal="center"/>
    </xf>
    <xf numFmtId="0" fontId="45" fillId="4" borderId="0" xfId="8" applyFont="1" applyFill="1" applyAlignment="1">
      <alignment horizontal="right"/>
    </xf>
    <xf numFmtId="4" fontId="46" fillId="4" borderId="0" xfId="8" applyNumberFormat="1" applyFont="1" applyFill="1" applyAlignment="1">
      <alignment horizontal="center"/>
    </xf>
    <xf numFmtId="4" fontId="46" fillId="4" borderId="0" xfId="8" applyNumberFormat="1" applyFont="1" applyFill="1" applyAlignment="1">
      <alignment horizontal="right"/>
    </xf>
    <xf numFmtId="0" fontId="25" fillId="0" borderId="90" xfId="8" applyFont="1" applyBorder="1" applyAlignment="1">
      <alignment horizontal="right" vertical="center"/>
    </xf>
    <xf numFmtId="0" fontId="30" fillId="4" borderId="2" xfId="0" applyFont="1" applyFill="1" applyBorder="1" applyAlignment="1">
      <alignment horizontal="center"/>
    </xf>
    <xf numFmtId="43" fontId="30" fillId="4" borderId="2" xfId="15" applyFont="1" applyFill="1" applyBorder="1" applyAlignment="1">
      <alignment horizontal="center"/>
    </xf>
    <xf numFmtId="0" fontId="30" fillId="0" borderId="2" xfId="0" applyFont="1" applyBorder="1" applyAlignment="1">
      <alignment horizontal="center"/>
    </xf>
    <xf numFmtId="43" fontId="30" fillId="0" borderId="2" xfId="15" applyFont="1" applyFill="1" applyBorder="1" applyAlignment="1">
      <alignment horizontal="center"/>
    </xf>
    <xf numFmtId="0" fontId="30" fillId="5" borderId="2" xfId="0" applyFont="1" applyFill="1" applyBorder="1" applyAlignment="1">
      <alignment horizontal="center"/>
    </xf>
    <xf numFmtId="43" fontId="30" fillId="5" borderId="2" xfId="15" applyFont="1" applyFill="1" applyBorder="1" applyAlignment="1">
      <alignment horizontal="center"/>
    </xf>
    <xf numFmtId="0" fontId="21" fillId="5" borderId="2" xfId="0" applyFont="1" applyFill="1" applyBorder="1" applyAlignment="1">
      <alignment horizontal="center"/>
    </xf>
    <xf numFmtId="43" fontId="21" fillId="5" borderId="2" xfId="15" applyFont="1" applyFill="1" applyBorder="1" applyAlignment="1">
      <alignment horizontal="center"/>
    </xf>
    <xf numFmtId="0" fontId="21" fillId="3" borderId="2" xfId="0" applyFont="1" applyFill="1" applyBorder="1" applyAlignment="1">
      <alignment horizontal="center"/>
    </xf>
    <xf numFmtId="43" fontId="21" fillId="3" borderId="2" xfId="15" applyFont="1" applyFill="1" applyBorder="1" applyAlignment="1">
      <alignment horizontal="center"/>
    </xf>
    <xf numFmtId="44" fontId="30" fillId="4" borderId="2" xfId="1" applyFont="1" applyFill="1" applyBorder="1" applyAlignment="1">
      <alignment horizontal="left"/>
    </xf>
    <xf numFmtId="44" fontId="30" fillId="0" borderId="2" xfId="1" applyFont="1" applyFill="1" applyBorder="1" applyAlignment="1">
      <alignment horizontal="left"/>
    </xf>
    <xf numFmtId="44" fontId="30" fillId="5" borderId="2" xfId="1" applyFont="1" applyFill="1" applyBorder="1" applyAlignment="1">
      <alignment horizontal="left"/>
    </xf>
    <xf numFmtId="44" fontId="21" fillId="5" borderId="2" xfId="1" applyFont="1" applyFill="1" applyBorder="1" applyAlignment="1">
      <alignment horizontal="left"/>
    </xf>
    <xf numFmtId="44" fontId="21" fillId="3" borderId="2" xfId="1" applyFont="1" applyFill="1" applyBorder="1" applyAlignment="1">
      <alignment horizontal="left"/>
    </xf>
    <xf numFmtId="44" fontId="22" fillId="19" borderId="2" xfId="1" applyFont="1" applyFill="1" applyBorder="1" applyAlignment="1">
      <alignment horizontal="left"/>
    </xf>
    <xf numFmtId="44" fontId="48" fillId="0" borderId="2" xfId="1" applyFont="1" applyFill="1" applyBorder="1"/>
    <xf numFmtId="43" fontId="48" fillId="0" borderId="2" xfId="15" applyFont="1" applyFill="1" applyBorder="1" applyAlignment="1">
      <alignment horizontal="center"/>
    </xf>
    <xf numFmtId="44" fontId="48" fillId="0" borderId="1" xfId="1" applyFont="1" applyFill="1" applyBorder="1" applyAlignment="1">
      <alignment horizontal="center"/>
    </xf>
    <xf numFmtId="44" fontId="49" fillId="0" borderId="2" xfId="1" applyFont="1" applyFill="1" applyBorder="1" applyAlignment="1">
      <alignment horizontal="left"/>
    </xf>
    <xf numFmtId="0" fontId="21" fillId="19" borderId="2" xfId="0" applyFont="1" applyFill="1" applyBorder="1" applyAlignment="1">
      <alignment horizontal="left"/>
    </xf>
    <xf numFmtId="0" fontId="49" fillId="0" borderId="2" xfId="0" applyFont="1" applyBorder="1" applyAlignment="1">
      <alignment horizontal="center"/>
    </xf>
    <xf numFmtId="43" fontId="49" fillId="0" borderId="2" xfId="15" applyFont="1" applyFill="1" applyBorder="1" applyAlignment="1">
      <alignment horizontal="center"/>
    </xf>
    <xf numFmtId="44" fontId="14" fillId="0" borderId="0" xfId="0" applyNumberFormat="1" applyFont="1" applyAlignment="1">
      <alignment horizontal="center"/>
    </xf>
    <xf numFmtId="0" fontId="30" fillId="5" borderId="2" xfId="0" applyFont="1" applyFill="1" applyBorder="1" applyAlignment="1">
      <alignment horizontal="left"/>
    </xf>
    <xf numFmtId="43" fontId="21" fillId="0" borderId="0" xfId="15" applyFont="1"/>
    <xf numFmtId="44" fontId="11" fillId="4" borderId="2" xfId="1" applyFont="1" applyFill="1" applyBorder="1" applyAlignment="1">
      <alignment horizontal="left"/>
    </xf>
    <xf numFmtId="0" fontId="14" fillId="19" borderId="2" xfId="0" applyFont="1" applyFill="1" applyBorder="1" applyAlignment="1">
      <alignment horizontal="left"/>
    </xf>
    <xf numFmtId="0" fontId="14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10" fontId="36" fillId="0" borderId="0" xfId="13" applyNumberFormat="1" applyFont="1" applyFill="1" applyBorder="1" applyAlignment="1">
      <alignment horizontal="left"/>
    </xf>
    <xf numFmtId="43" fontId="14" fillId="0" borderId="0" xfId="15" applyFont="1" applyFill="1"/>
    <xf numFmtId="0" fontId="20" fillId="0" borderId="2" xfId="0" quotePrefix="1" applyFont="1" applyBorder="1" applyAlignment="1">
      <alignment horizontal="left"/>
    </xf>
    <xf numFmtId="0" fontId="19" fillId="0" borderId="3" xfId="0" quotePrefix="1" applyFont="1" applyBorder="1" applyAlignment="1">
      <alignment horizontal="center" vertical="center"/>
    </xf>
    <xf numFmtId="44" fontId="11" fillId="3" borderId="2" xfId="1" applyFont="1" applyFill="1" applyBorder="1" applyAlignment="1">
      <alignment horizontal="left"/>
    </xf>
    <xf numFmtId="174" fontId="14" fillId="0" borderId="0" xfId="15" applyNumberFormat="1" applyFont="1" applyAlignment="1">
      <alignment horizontal="right"/>
    </xf>
    <xf numFmtId="44" fontId="14" fillId="0" borderId="38" xfId="1" applyFont="1" applyBorder="1" applyAlignment="1">
      <alignment horizontal="left"/>
    </xf>
    <xf numFmtId="44" fontId="14" fillId="0" borderId="39" xfId="1" applyFont="1" applyBorder="1" applyAlignment="1">
      <alignment horizontal="right"/>
    </xf>
    <xf numFmtId="44" fontId="14" fillId="0" borderId="40" xfId="1" applyFont="1" applyBorder="1" applyAlignment="1">
      <alignment horizontal="right"/>
    </xf>
    <xf numFmtId="173" fontId="14" fillId="0" borderId="41" xfId="1" applyNumberFormat="1" applyFont="1" applyBorder="1" applyAlignment="1">
      <alignment horizontal="right"/>
    </xf>
    <xf numFmtId="43" fontId="14" fillId="0" borderId="0" xfId="15" applyFont="1" applyBorder="1" applyAlignment="1">
      <alignment horizontal="center"/>
    </xf>
    <xf numFmtId="43" fontId="14" fillId="0" borderId="42" xfId="15" applyFont="1" applyBorder="1" applyAlignment="1">
      <alignment horizontal="center"/>
    </xf>
    <xf numFmtId="44" fontId="14" fillId="0" borderId="43" xfId="1" applyFont="1" applyBorder="1" applyAlignment="1">
      <alignment horizontal="right"/>
    </xf>
    <xf numFmtId="43" fontId="14" fillId="0" borderId="44" xfId="15" applyFont="1" applyBorder="1" applyAlignment="1">
      <alignment horizontal="center"/>
    </xf>
    <xf numFmtId="44" fontId="14" fillId="0" borderId="45" xfId="1" applyFont="1" applyBorder="1" applyAlignment="1">
      <alignment horizontal="left"/>
    </xf>
    <xf numFmtId="0" fontId="49" fillId="0" borderId="2" xfId="0" applyFont="1" applyBorder="1" applyAlignment="1">
      <alignment horizontal="left"/>
    </xf>
    <xf numFmtId="0" fontId="14" fillId="21" borderId="0" xfId="0" applyFont="1" applyFill="1" applyAlignment="1">
      <alignment horizontal="left"/>
    </xf>
    <xf numFmtId="0" fontId="14" fillId="21" borderId="74" xfId="0" applyFont="1" applyFill="1" applyBorder="1" applyAlignment="1">
      <alignment horizontal="left"/>
    </xf>
    <xf numFmtId="0" fontId="14" fillId="3" borderId="0" xfId="0" applyFont="1" applyFill="1" applyAlignment="1">
      <alignment horizontal="left"/>
    </xf>
    <xf numFmtId="0" fontId="16" fillId="3" borderId="0" xfId="0" applyFont="1" applyFill="1" applyAlignment="1">
      <alignment horizontal="left" vertical="center"/>
    </xf>
    <xf numFmtId="0" fontId="35" fillId="3" borderId="0" xfId="0" applyFont="1" applyFill="1" applyAlignment="1">
      <alignment horizontal="center" vertical="center"/>
    </xf>
    <xf numFmtId="44" fontId="14" fillId="3" borderId="0" xfId="1" applyFont="1" applyFill="1" applyAlignment="1">
      <alignment horizontal="left"/>
    </xf>
    <xf numFmtId="0" fontId="14" fillId="3" borderId="74" xfId="0" applyFont="1" applyFill="1" applyBorder="1" applyAlignment="1">
      <alignment horizontal="left"/>
    </xf>
    <xf numFmtId="0" fontId="14" fillId="3" borderId="74" xfId="0" applyFont="1" applyFill="1" applyBorder="1" applyAlignment="1">
      <alignment vertical="center"/>
    </xf>
    <xf numFmtId="0" fontId="14" fillId="3" borderId="74" xfId="0" applyFont="1" applyFill="1" applyBorder="1" applyAlignment="1">
      <alignment horizontal="center" vertical="center"/>
    </xf>
    <xf numFmtId="0" fontId="16" fillId="3" borderId="74" xfId="0" applyFont="1" applyFill="1" applyBorder="1" applyAlignment="1">
      <alignment horizontal="center" vertical="center"/>
    </xf>
    <xf numFmtId="172" fontId="16" fillId="3" borderId="74" xfId="1" applyNumberFormat="1" applyFont="1" applyFill="1" applyBorder="1" applyAlignment="1">
      <alignment horizontal="left" vertical="center"/>
    </xf>
    <xf numFmtId="44" fontId="18" fillId="3" borderId="0" xfId="1" applyFont="1" applyFill="1" applyBorder="1" applyAlignment="1">
      <alignment horizontal="right" vertical="center"/>
    </xf>
    <xf numFmtId="169" fontId="18" fillId="3" borderId="0" xfId="15" applyNumberFormat="1" applyFont="1" applyFill="1" applyBorder="1" applyAlignment="1">
      <alignment horizontal="left" vertical="center"/>
    </xf>
    <xf numFmtId="0" fontId="22" fillId="19" borderId="2" xfId="0" applyFont="1" applyFill="1" applyBorder="1" applyAlignment="1">
      <alignment horizontal="left"/>
    </xf>
    <xf numFmtId="0" fontId="21" fillId="0" borderId="0" xfId="0" applyFont="1" applyAlignment="1">
      <alignment horizontal="left"/>
    </xf>
    <xf numFmtId="0" fontId="30" fillId="2" borderId="73" xfId="0" applyFont="1" applyFill="1" applyBorder="1" applyAlignment="1">
      <alignment horizontal="left"/>
    </xf>
    <xf numFmtId="0" fontId="30" fillId="0" borderId="0" xfId="0" applyFont="1" applyAlignment="1">
      <alignment horizontal="left"/>
    </xf>
    <xf numFmtId="0" fontId="21" fillId="2" borderId="2" xfId="0" applyFont="1" applyFill="1" applyBorder="1" applyAlignment="1">
      <alignment horizontal="left"/>
    </xf>
    <xf numFmtId="0" fontId="21" fillId="3" borderId="2" xfId="0" applyFont="1" applyFill="1" applyBorder="1" applyAlignment="1">
      <alignment horizontal="left"/>
    </xf>
    <xf numFmtId="0" fontId="30" fillId="4" borderId="2" xfId="0" applyFont="1" applyFill="1" applyBorder="1" applyAlignment="1">
      <alignment horizontal="left"/>
    </xf>
    <xf numFmtId="0" fontId="30" fillId="0" borderId="2" xfId="0" applyFont="1" applyBorder="1" applyAlignment="1">
      <alignment horizontal="left"/>
    </xf>
    <xf numFmtId="0" fontId="22" fillId="0" borderId="2" xfId="0" quotePrefix="1" applyFont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5" fillId="2" borderId="2" xfId="0" applyFont="1" applyFill="1" applyBorder="1" applyAlignment="1">
      <alignment horizontal="left"/>
    </xf>
    <xf numFmtId="43" fontId="34" fillId="19" borderId="2" xfId="15" applyFont="1" applyFill="1" applyBorder="1" applyAlignment="1">
      <alignment horizontal="center"/>
    </xf>
    <xf numFmtId="0" fontId="0" fillId="0" borderId="88" xfId="0" applyBorder="1" applyAlignment="1">
      <alignment vertical="center"/>
    </xf>
    <xf numFmtId="0" fontId="0" fillId="0" borderId="89" xfId="0" applyBorder="1" applyAlignment="1">
      <alignment vertical="center"/>
    </xf>
    <xf numFmtId="0" fontId="0" fillId="0" borderId="90" xfId="0" applyBorder="1" applyAlignment="1">
      <alignment vertical="center"/>
    </xf>
    <xf numFmtId="0" fontId="21" fillId="0" borderId="85" xfId="8" applyFont="1" applyBorder="1" applyAlignment="1">
      <alignment vertical="center"/>
    </xf>
    <xf numFmtId="0" fontId="21" fillId="0" borderId="86" xfId="8" applyFont="1" applyBorder="1" applyAlignment="1">
      <alignment horizontal="left" vertical="center"/>
    </xf>
    <xf numFmtId="0" fontId="21" fillId="0" borderId="86" xfId="8" applyFont="1" applyBorder="1" applyAlignment="1">
      <alignment horizontal="center" vertical="center"/>
    </xf>
    <xf numFmtId="0" fontId="13" fillId="0" borderId="88" xfId="0" applyFont="1" applyBorder="1" applyAlignment="1">
      <alignment horizontal="right" vertical="center"/>
    </xf>
    <xf numFmtId="0" fontId="21" fillId="0" borderId="89" xfId="8" applyFont="1" applyBorder="1" applyAlignment="1">
      <alignment vertical="center"/>
    </xf>
    <xf numFmtId="0" fontId="21" fillId="0" borderId="90" xfId="8" applyFont="1" applyBorder="1" applyAlignment="1">
      <alignment horizontal="left" vertical="center"/>
    </xf>
    <xf numFmtId="0" fontId="21" fillId="0" borderId="90" xfId="8" applyFont="1" applyBorder="1" applyAlignment="1">
      <alignment horizontal="center" vertical="center"/>
    </xf>
    <xf numFmtId="0" fontId="21" fillId="6" borderId="0" xfId="8" applyFont="1" applyFill="1" applyAlignment="1">
      <alignment horizontal="left" vertical="center"/>
    </xf>
    <xf numFmtId="0" fontId="21" fillId="6" borderId="0" xfId="8" applyFont="1" applyFill="1" applyAlignment="1">
      <alignment horizontal="center" vertical="center"/>
    </xf>
    <xf numFmtId="43" fontId="0" fillId="0" borderId="0" xfId="0" applyNumberFormat="1" applyAlignment="1">
      <alignment vertical="center"/>
    </xf>
    <xf numFmtId="43" fontId="9" fillId="0" borderId="0" xfId="15" applyFont="1" applyAlignment="1">
      <alignment vertical="center"/>
    </xf>
    <xf numFmtId="0" fontId="12" fillId="0" borderId="0" xfId="0" applyFont="1" applyAlignment="1">
      <alignment vertical="center"/>
    </xf>
    <xf numFmtId="0" fontId="21" fillId="0" borderId="85" xfId="8" applyFont="1" applyBorder="1" applyAlignment="1">
      <alignment horizontal="center" vertical="center"/>
    </xf>
    <xf numFmtId="0" fontId="30" fillId="0" borderId="86" xfId="8" applyFont="1" applyBorder="1" applyAlignment="1">
      <alignment horizontal="left" vertical="center" wrapText="1"/>
    </xf>
    <xf numFmtId="4" fontId="31" fillId="0" borderId="86" xfId="8" applyNumberFormat="1" applyFont="1" applyBorder="1" applyAlignment="1">
      <alignment horizontal="center" vertical="center"/>
    </xf>
    <xf numFmtId="0" fontId="44" fillId="4" borderId="0" xfId="8" applyFont="1" applyFill="1" applyAlignment="1">
      <alignment horizontal="center" vertical="center"/>
    </xf>
    <xf numFmtId="0" fontId="45" fillId="4" borderId="0" xfId="8" applyFont="1" applyFill="1" applyAlignment="1">
      <alignment horizontal="right" vertical="center"/>
    </xf>
    <xf numFmtId="4" fontId="46" fillId="4" borderId="0" xfId="8" applyNumberFormat="1" applyFont="1" applyFill="1" applyAlignment="1">
      <alignment horizontal="center" vertical="center"/>
    </xf>
    <xf numFmtId="0" fontId="44" fillId="0" borderId="85" xfId="8" applyFont="1" applyBorder="1" applyAlignment="1">
      <alignment horizontal="center" vertical="center"/>
    </xf>
    <xf numFmtId="0" fontId="45" fillId="0" borderId="86" xfId="8" applyFont="1" applyBorder="1" applyAlignment="1">
      <alignment horizontal="right" vertical="center"/>
    </xf>
    <xf numFmtId="4" fontId="46" fillId="0" borderId="86" xfId="8" applyNumberFormat="1" applyFont="1" applyBorder="1" applyAlignment="1">
      <alignment horizontal="center" vertical="center"/>
    </xf>
    <xf numFmtId="0" fontId="47" fillId="0" borderId="0" xfId="0" applyFont="1" applyAlignment="1">
      <alignment horizontal="left" vertical="center"/>
    </xf>
    <xf numFmtId="43" fontId="11" fillId="2" borderId="0" xfId="15" applyFont="1" applyFill="1" applyBorder="1" applyAlignment="1">
      <alignment horizontal="center" vertical="center"/>
    </xf>
    <xf numFmtId="0" fontId="44" fillId="0" borderId="89" xfId="8" applyFont="1" applyBorder="1" applyAlignment="1">
      <alignment horizontal="center" vertical="center"/>
    </xf>
    <xf numFmtId="0" fontId="45" fillId="0" borderId="90" xfId="8" applyFont="1" applyBorder="1" applyAlignment="1">
      <alignment horizontal="right" vertical="center"/>
    </xf>
    <xf numFmtId="4" fontId="46" fillId="0" borderId="90" xfId="8" applyNumberFormat="1" applyFont="1" applyBorder="1" applyAlignment="1">
      <alignment horizontal="center" vertical="center"/>
    </xf>
    <xf numFmtId="0" fontId="0" fillId="0" borderId="0" xfId="0" applyAlignment="1">
      <alignment horizontal="right" vertical="center"/>
    </xf>
    <xf numFmtId="43" fontId="9" fillId="0" borderId="46" xfId="15" applyFont="1" applyBorder="1" applyAlignment="1">
      <alignment vertical="center"/>
    </xf>
    <xf numFmtId="43" fontId="9" fillId="0" borderId="47" xfId="15" applyFont="1" applyBorder="1" applyAlignment="1">
      <alignment vertical="center"/>
    </xf>
    <xf numFmtId="43" fontId="9" fillId="0" borderId="48" xfId="15" applyFont="1" applyBorder="1" applyAlignment="1">
      <alignment vertical="center"/>
    </xf>
    <xf numFmtId="43" fontId="9" fillId="0" borderId="49" xfId="15" applyFont="1" applyBorder="1" applyAlignment="1">
      <alignment vertical="center"/>
    </xf>
    <xf numFmtId="43" fontId="9" fillId="0" borderId="50" xfId="15" applyFont="1" applyBorder="1" applyAlignment="1">
      <alignment vertical="center"/>
    </xf>
    <xf numFmtId="43" fontId="9" fillId="0" borderId="51" xfId="15" applyFont="1" applyBorder="1" applyAlignment="1">
      <alignment vertical="center"/>
    </xf>
    <xf numFmtId="43" fontId="9" fillId="0" borderId="52" xfId="15" applyFont="1" applyBorder="1" applyAlignment="1">
      <alignment vertical="center"/>
    </xf>
    <xf numFmtId="43" fontId="9" fillId="0" borderId="53" xfId="15" applyFont="1" applyBorder="1" applyAlignment="1">
      <alignment vertical="center"/>
    </xf>
    <xf numFmtId="43" fontId="9" fillId="0" borderId="54" xfId="15" applyFont="1" applyBorder="1" applyAlignment="1">
      <alignment vertical="center"/>
    </xf>
    <xf numFmtId="43" fontId="0" fillId="0" borderId="55" xfId="0" applyNumberFormat="1" applyBorder="1" applyAlignment="1">
      <alignment vertical="center"/>
    </xf>
    <xf numFmtId="43" fontId="0" fillId="0" borderId="56" xfId="0" applyNumberFormat="1" applyBorder="1" applyAlignment="1">
      <alignment vertical="center"/>
    </xf>
    <xf numFmtId="43" fontId="0" fillId="0" borderId="57" xfId="0" applyNumberFormat="1" applyBorder="1" applyAlignment="1">
      <alignment vertical="center"/>
    </xf>
    <xf numFmtId="43" fontId="9" fillId="0" borderId="55" xfId="15" applyFont="1" applyBorder="1" applyAlignment="1">
      <alignment vertical="center"/>
    </xf>
    <xf numFmtId="43" fontId="9" fillId="0" borderId="56" xfId="15" applyFont="1" applyBorder="1" applyAlignment="1">
      <alignment vertical="center"/>
    </xf>
    <xf numFmtId="43" fontId="9" fillId="0" borderId="57" xfId="15" applyFont="1" applyBorder="1" applyAlignment="1">
      <alignment vertical="center"/>
    </xf>
    <xf numFmtId="0" fontId="10" fillId="2" borderId="56" xfId="0" applyFont="1" applyFill="1" applyBorder="1" applyAlignment="1">
      <alignment horizontal="center" vertical="center"/>
    </xf>
    <xf numFmtId="0" fontId="10" fillId="2" borderId="49" xfId="0" applyFont="1" applyFill="1" applyBorder="1" applyAlignment="1">
      <alignment horizontal="center" vertical="center"/>
    </xf>
    <xf numFmtId="0" fontId="10" fillId="2" borderId="50" xfId="0" applyFont="1" applyFill="1" applyBorder="1" applyAlignment="1">
      <alignment horizontal="center" vertical="center"/>
    </xf>
    <xf numFmtId="0" fontId="10" fillId="2" borderId="46" xfId="0" applyFont="1" applyFill="1" applyBorder="1" applyAlignment="1">
      <alignment horizontal="center" vertical="center"/>
    </xf>
    <xf numFmtId="171" fontId="10" fillId="3" borderId="56" xfId="13" applyNumberFormat="1" applyFont="1" applyFill="1" applyBorder="1" applyAlignment="1">
      <alignment horizontal="center" vertical="center"/>
    </xf>
    <xf numFmtId="171" fontId="10" fillId="3" borderId="49" xfId="13" applyNumberFormat="1" applyFont="1" applyFill="1" applyBorder="1" applyAlignment="1">
      <alignment horizontal="center" vertical="center"/>
    </xf>
    <xf numFmtId="171" fontId="10" fillId="3" borderId="50" xfId="13" applyNumberFormat="1" applyFont="1" applyFill="1" applyBorder="1" applyAlignment="1">
      <alignment horizontal="center" vertical="center"/>
    </xf>
    <xf numFmtId="171" fontId="10" fillId="3" borderId="46" xfId="13" applyNumberFormat="1" applyFont="1" applyFill="1" applyBorder="1" applyAlignment="1">
      <alignment horizontal="center" vertical="center"/>
    </xf>
    <xf numFmtId="43" fontId="34" fillId="22" borderId="2" xfId="15" applyFont="1" applyFill="1" applyBorder="1" applyAlignment="1">
      <alignment horizontal="center"/>
    </xf>
    <xf numFmtId="0" fontId="21" fillId="23" borderId="2" xfId="0" applyFont="1" applyFill="1" applyBorder="1" applyAlignment="1">
      <alignment horizontal="left"/>
    </xf>
    <xf numFmtId="0" fontId="14" fillId="23" borderId="2" xfId="0" applyFont="1" applyFill="1" applyBorder="1" applyAlignment="1">
      <alignment horizontal="left"/>
    </xf>
    <xf numFmtId="44" fontId="14" fillId="0" borderId="0" xfId="1" applyFont="1" applyBorder="1" applyAlignment="1">
      <alignment horizontal="left"/>
    </xf>
    <xf numFmtId="0" fontId="21" fillId="3" borderId="74" xfId="0" applyFont="1" applyFill="1" applyBorder="1" applyAlignment="1">
      <alignment vertical="center"/>
    </xf>
    <xf numFmtId="44" fontId="16" fillId="3" borderId="74" xfId="1" applyFont="1" applyFill="1" applyBorder="1" applyAlignment="1">
      <alignment horizontal="left" vertical="center"/>
    </xf>
    <xf numFmtId="0" fontId="11" fillId="3" borderId="2" xfId="0" applyFont="1" applyFill="1" applyBorder="1" applyAlignment="1">
      <alignment horizontal="left"/>
    </xf>
    <xf numFmtId="0" fontId="32" fillId="3" borderId="2" xfId="0" applyFont="1" applyFill="1" applyBorder="1" applyAlignment="1">
      <alignment horizontal="left"/>
    </xf>
    <xf numFmtId="0" fontId="11" fillId="3" borderId="2" xfId="0" applyFont="1" applyFill="1" applyBorder="1" applyAlignment="1">
      <alignment horizontal="center"/>
    </xf>
    <xf numFmtId="43" fontId="11" fillId="3" borderId="2" xfId="15" applyFont="1" applyFill="1" applyBorder="1" applyAlignment="1">
      <alignment horizontal="center"/>
    </xf>
    <xf numFmtId="9" fontId="11" fillId="3" borderId="2" xfId="13" applyFont="1" applyFill="1" applyBorder="1" applyAlignment="1">
      <alignment horizontal="center"/>
    </xf>
    <xf numFmtId="171" fontId="11" fillId="3" borderId="2" xfId="13" applyNumberFormat="1" applyFont="1" applyFill="1" applyBorder="1" applyAlignment="1">
      <alignment horizontal="center"/>
    </xf>
    <xf numFmtId="0" fontId="11" fillId="3" borderId="0" xfId="0" applyFont="1" applyFill="1" applyAlignment="1">
      <alignment horizontal="left"/>
    </xf>
    <xf numFmtId="0" fontId="32" fillId="3" borderId="0" xfId="0" applyFont="1" applyFill="1" applyAlignment="1">
      <alignment horizontal="left"/>
    </xf>
    <xf numFmtId="0" fontId="11" fillId="3" borderId="0" xfId="0" applyFont="1" applyFill="1" applyAlignment="1">
      <alignment horizontal="center"/>
    </xf>
    <xf numFmtId="171" fontId="11" fillId="3" borderId="0" xfId="13" applyNumberFormat="1" applyFont="1" applyFill="1" applyBorder="1" applyAlignment="1">
      <alignment horizontal="center"/>
    </xf>
    <xf numFmtId="43" fontId="11" fillId="3" borderId="0" xfId="15" applyFont="1" applyFill="1" applyBorder="1" applyAlignment="1">
      <alignment horizontal="center"/>
    </xf>
    <xf numFmtId="44" fontId="11" fillId="3" borderId="0" xfId="1" applyFont="1" applyFill="1" applyBorder="1" applyAlignment="1">
      <alignment horizontal="left"/>
    </xf>
    <xf numFmtId="44" fontId="19" fillId="19" borderId="3" xfId="1" applyFont="1" applyFill="1" applyBorder="1" applyAlignment="1">
      <alignment horizontal="center" vertical="center"/>
    </xf>
    <xf numFmtId="0" fontId="19" fillId="19" borderId="3" xfId="0" applyFont="1" applyFill="1" applyBorder="1" applyAlignment="1">
      <alignment horizontal="left" vertical="center"/>
    </xf>
    <xf numFmtId="14" fontId="19" fillId="19" borderId="3" xfId="0" applyNumberFormat="1" applyFont="1" applyFill="1" applyBorder="1" applyAlignment="1">
      <alignment horizontal="center" vertical="center"/>
    </xf>
    <xf numFmtId="0" fontId="19" fillId="19" borderId="3" xfId="0" applyFont="1" applyFill="1" applyBorder="1" applyAlignment="1">
      <alignment horizontal="center" vertical="center"/>
    </xf>
    <xf numFmtId="0" fontId="21" fillId="0" borderId="89" xfId="8" applyFont="1" applyBorder="1" applyAlignment="1">
      <alignment horizontal="center"/>
    </xf>
    <xf numFmtId="0" fontId="30" fillId="0" borderId="90" xfId="8" applyFont="1" applyBorder="1" applyAlignment="1">
      <alignment horizontal="left" vertical="top" wrapText="1"/>
    </xf>
    <xf numFmtId="4" fontId="31" fillId="0" borderId="90" xfId="8" applyNumberFormat="1" applyFont="1" applyBorder="1" applyAlignment="1">
      <alignment horizontal="center"/>
    </xf>
    <xf numFmtId="4" fontId="31" fillId="0" borderId="91" xfId="8" applyNumberFormat="1" applyFont="1" applyBorder="1"/>
    <xf numFmtId="0" fontId="15" fillId="11" borderId="58" xfId="0" applyFont="1" applyFill="1" applyBorder="1" applyAlignment="1">
      <alignment horizontal="center" vertical="center" wrapText="1"/>
    </xf>
    <xf numFmtId="0" fontId="15" fillId="11" borderId="59" xfId="0" applyFont="1" applyFill="1" applyBorder="1" applyAlignment="1">
      <alignment horizontal="center" vertical="center" wrapText="1"/>
    </xf>
    <xf numFmtId="170" fontId="21" fillId="16" borderId="60" xfId="1" applyNumberFormat="1" applyFont="1" applyFill="1" applyBorder="1" applyAlignment="1">
      <alignment horizontal="center" vertical="center"/>
    </xf>
    <xf numFmtId="0" fontId="21" fillId="7" borderId="0" xfId="0" applyFont="1" applyFill="1"/>
    <xf numFmtId="10" fontId="21" fillId="7" borderId="0" xfId="13" applyNumberFormat="1" applyFont="1" applyFill="1" applyBorder="1" applyAlignment="1">
      <alignment horizontal="left"/>
    </xf>
    <xf numFmtId="0" fontId="20" fillId="7" borderId="2" xfId="0" applyFont="1" applyFill="1" applyBorder="1" applyAlignment="1">
      <alignment horizontal="left"/>
    </xf>
    <xf numFmtId="0" fontId="22" fillId="7" borderId="2" xfId="0" applyFont="1" applyFill="1" applyBorder="1" applyAlignment="1">
      <alignment horizontal="left"/>
    </xf>
    <xf numFmtId="0" fontId="22" fillId="7" borderId="2" xfId="0" applyFont="1" applyFill="1" applyBorder="1" applyAlignment="1">
      <alignment horizontal="center"/>
    </xf>
    <xf numFmtId="43" fontId="22" fillId="7" borderId="2" xfId="15" applyFont="1" applyFill="1" applyBorder="1" applyAlignment="1">
      <alignment horizontal="center"/>
    </xf>
    <xf numFmtId="43" fontId="34" fillId="7" borderId="2" xfId="15" applyFont="1" applyFill="1" applyBorder="1" applyAlignment="1">
      <alignment horizontal="center"/>
    </xf>
    <xf numFmtId="44" fontId="22" fillId="7" borderId="2" xfId="1" applyFont="1" applyFill="1" applyBorder="1" applyAlignment="1">
      <alignment horizontal="left"/>
    </xf>
    <xf numFmtId="0" fontId="20" fillId="7" borderId="0" xfId="0" applyFont="1" applyFill="1"/>
    <xf numFmtId="43" fontId="14" fillId="7" borderId="0" xfId="15" applyFont="1" applyFill="1"/>
    <xf numFmtId="0" fontId="16" fillId="7" borderId="2" xfId="0" applyFont="1" applyFill="1" applyBorder="1" applyAlignment="1">
      <alignment horizontal="left"/>
    </xf>
    <xf numFmtId="0" fontId="30" fillId="7" borderId="2" xfId="0" applyFont="1" applyFill="1" applyBorder="1" applyAlignment="1">
      <alignment horizontal="left"/>
    </xf>
    <xf numFmtId="0" fontId="30" fillId="7" borderId="2" xfId="0" applyFont="1" applyFill="1" applyBorder="1" applyAlignment="1">
      <alignment horizontal="center"/>
    </xf>
    <xf numFmtId="43" fontId="30" fillId="7" borderId="2" xfId="15" applyFont="1" applyFill="1" applyBorder="1" applyAlignment="1">
      <alignment horizontal="center"/>
    </xf>
    <xf numFmtId="44" fontId="30" fillId="7" borderId="2" xfId="1" applyFont="1" applyFill="1" applyBorder="1" applyAlignment="1">
      <alignment horizontal="left"/>
    </xf>
    <xf numFmtId="0" fontId="16" fillId="7" borderId="0" xfId="0" applyFont="1" applyFill="1"/>
    <xf numFmtId="0" fontId="21" fillId="7" borderId="2" xfId="0" applyFont="1" applyFill="1" applyBorder="1" applyAlignment="1">
      <alignment horizontal="left"/>
    </xf>
    <xf numFmtId="0" fontId="38" fillId="19" borderId="3" xfId="0" applyFont="1" applyFill="1" applyBorder="1" applyAlignment="1">
      <alignment horizontal="center" vertical="center"/>
    </xf>
    <xf numFmtId="0" fontId="0" fillId="19" borderId="0" xfId="0" applyFill="1"/>
    <xf numFmtId="0" fontId="20" fillId="19" borderId="3" xfId="0" applyFont="1" applyFill="1" applyBorder="1" applyAlignment="1">
      <alignment horizontal="left" wrapText="1"/>
    </xf>
    <xf numFmtId="10" fontId="21" fillId="0" borderId="0" xfId="13" applyNumberFormat="1" applyFont="1" applyFill="1" applyBorder="1" applyAlignment="1">
      <alignment horizontal="left"/>
    </xf>
    <xf numFmtId="0" fontId="21" fillId="0" borderId="4" xfId="0" applyFont="1" applyBorder="1"/>
    <xf numFmtId="43" fontId="21" fillId="0" borderId="0" xfId="15" applyFont="1" applyFill="1"/>
    <xf numFmtId="0" fontId="38" fillId="24" borderId="3" xfId="0" applyFont="1" applyFill="1" applyBorder="1" applyAlignment="1">
      <alignment horizontal="center" vertical="center"/>
    </xf>
    <xf numFmtId="0" fontId="20" fillId="24" borderId="3" xfId="0" applyFont="1" applyFill="1" applyBorder="1" applyAlignment="1">
      <alignment horizontal="left" wrapText="1"/>
    </xf>
    <xf numFmtId="0" fontId="19" fillId="24" borderId="3" xfId="0" applyFont="1" applyFill="1" applyBorder="1" applyAlignment="1">
      <alignment horizontal="center" vertical="center"/>
    </xf>
    <xf numFmtId="0" fontId="19" fillId="24" borderId="3" xfId="0" applyFont="1" applyFill="1" applyBorder="1" applyAlignment="1">
      <alignment horizontal="left" vertical="center"/>
    </xf>
    <xf numFmtId="14" fontId="19" fillId="24" borderId="3" xfId="0" applyNumberFormat="1" applyFont="1" applyFill="1" applyBorder="1" applyAlignment="1">
      <alignment horizontal="center" vertical="center"/>
    </xf>
    <xf numFmtId="0" fontId="38" fillId="25" borderId="3" xfId="0" applyFont="1" applyFill="1" applyBorder="1" applyAlignment="1">
      <alignment horizontal="center" vertical="center"/>
    </xf>
    <xf numFmtId="0" fontId="20" fillId="25" borderId="3" xfId="0" applyFont="1" applyFill="1" applyBorder="1" applyAlignment="1">
      <alignment horizontal="left" wrapText="1"/>
    </xf>
    <xf numFmtId="0" fontId="19" fillId="25" borderId="3" xfId="0" applyFont="1" applyFill="1" applyBorder="1" applyAlignment="1">
      <alignment horizontal="center" vertical="center"/>
    </xf>
    <xf numFmtId="0" fontId="19" fillId="25" borderId="3" xfId="0" applyFont="1" applyFill="1" applyBorder="1" applyAlignment="1">
      <alignment horizontal="left" vertical="center"/>
    </xf>
    <xf numFmtId="14" fontId="19" fillId="25" borderId="3" xfId="0" applyNumberFormat="1" applyFont="1" applyFill="1" applyBorder="1" applyAlignment="1">
      <alignment horizontal="center" vertical="center"/>
    </xf>
    <xf numFmtId="0" fontId="0" fillId="25" borderId="0" xfId="0" applyFill="1"/>
    <xf numFmtId="0" fontId="14" fillId="7" borderId="4" xfId="0" applyFont="1" applyFill="1" applyBorder="1"/>
    <xf numFmtId="0" fontId="22" fillId="7" borderId="0" xfId="0" applyFont="1" applyFill="1"/>
    <xf numFmtId="0" fontId="21" fillId="7" borderId="4" xfId="0" applyFont="1" applyFill="1" applyBorder="1"/>
    <xf numFmtId="43" fontId="21" fillId="7" borderId="0" xfId="15" applyFont="1" applyFill="1"/>
    <xf numFmtId="44" fontId="19" fillId="7" borderId="3" xfId="1" applyFont="1" applyFill="1" applyBorder="1" applyAlignment="1">
      <alignment horizontal="center" vertical="center"/>
    </xf>
    <xf numFmtId="0" fontId="19" fillId="7" borderId="3" xfId="0" applyFont="1" applyFill="1" applyBorder="1" applyAlignment="1">
      <alignment horizontal="left" vertical="center"/>
    </xf>
    <xf numFmtId="14" fontId="19" fillId="7" borderId="3" xfId="0" applyNumberFormat="1" applyFont="1" applyFill="1" applyBorder="1" applyAlignment="1">
      <alignment horizontal="center" vertical="center"/>
    </xf>
    <xf numFmtId="44" fontId="19" fillId="7" borderId="2" xfId="1" applyFont="1" applyFill="1" applyBorder="1" applyAlignment="1">
      <alignment horizontal="left"/>
    </xf>
    <xf numFmtId="10" fontId="14" fillId="7" borderId="0" xfId="13" applyNumberFormat="1" applyFont="1" applyFill="1" applyBorder="1" applyAlignment="1">
      <alignment horizontal="left"/>
    </xf>
    <xf numFmtId="2" fontId="35" fillId="7" borderId="0" xfId="13" applyNumberFormat="1" applyFont="1" applyFill="1" applyBorder="1" applyAlignment="1">
      <alignment horizontal="left"/>
    </xf>
    <xf numFmtId="0" fontId="19" fillId="7" borderId="3" xfId="0" applyFont="1" applyFill="1" applyBorder="1" applyAlignment="1">
      <alignment horizontal="center" vertical="center"/>
    </xf>
    <xf numFmtId="0" fontId="38" fillId="7" borderId="3" xfId="0" applyFont="1" applyFill="1" applyBorder="1" applyAlignment="1">
      <alignment horizontal="center" vertical="center"/>
    </xf>
    <xf numFmtId="0" fontId="20" fillId="7" borderId="3" xfId="0" applyFont="1" applyFill="1" applyBorder="1" applyAlignment="1">
      <alignment horizontal="left"/>
    </xf>
    <xf numFmtId="0" fontId="0" fillId="7" borderId="0" xfId="0" applyFill="1"/>
    <xf numFmtId="44" fontId="11" fillId="8" borderId="0" xfId="0" applyNumberFormat="1" applyFont="1" applyFill="1"/>
    <xf numFmtId="0" fontId="26" fillId="0" borderId="0" xfId="0" applyFont="1"/>
    <xf numFmtId="10" fontId="26" fillId="0" borderId="0" xfId="13" applyNumberFormat="1" applyFont="1"/>
    <xf numFmtId="0" fontId="20" fillId="0" borderId="3" xfId="0" applyFont="1" applyBorder="1"/>
    <xf numFmtId="0" fontId="19" fillId="7" borderId="2" xfId="0" applyFont="1" applyFill="1" applyBorder="1" applyAlignment="1">
      <alignment horizontal="left"/>
    </xf>
    <xf numFmtId="0" fontId="19" fillId="7" borderId="2" xfId="0" applyFont="1" applyFill="1" applyBorder="1" applyAlignment="1">
      <alignment horizontal="center"/>
    </xf>
    <xf numFmtId="0" fontId="19" fillId="7" borderId="0" xfId="0" applyFont="1" applyFill="1"/>
    <xf numFmtId="0" fontId="22" fillId="7" borderId="3" xfId="0" applyFont="1" applyFill="1" applyBorder="1" applyAlignment="1">
      <alignment horizontal="left" vertical="center"/>
    </xf>
    <xf numFmtId="0" fontId="20" fillId="0" borderId="3" xfId="0" applyFont="1" applyBorder="1" applyAlignment="1">
      <alignment horizontal="left" vertical="center" wrapText="1"/>
    </xf>
    <xf numFmtId="0" fontId="14" fillId="7" borderId="0" xfId="0" applyFont="1" applyFill="1" applyAlignment="1">
      <alignment vertical="center"/>
    </xf>
    <xf numFmtId="10" fontId="36" fillId="7" borderId="0" xfId="13" applyNumberFormat="1" applyFont="1" applyFill="1" applyBorder="1" applyAlignment="1">
      <alignment horizontal="left" vertical="center"/>
    </xf>
    <xf numFmtId="0" fontId="20" fillId="7" borderId="2" xfId="0" applyFont="1" applyFill="1" applyBorder="1" applyAlignment="1">
      <alignment horizontal="left" vertical="center"/>
    </xf>
    <xf numFmtId="44" fontId="22" fillId="7" borderId="2" xfId="1" applyFont="1" applyFill="1" applyBorder="1" applyAlignment="1">
      <alignment horizontal="left" vertical="center"/>
    </xf>
    <xf numFmtId="0" fontId="20" fillId="7" borderId="0" xfId="0" applyFont="1" applyFill="1" applyAlignment="1">
      <alignment vertical="center"/>
    </xf>
    <xf numFmtId="0" fontId="14" fillId="7" borderId="4" xfId="0" applyFont="1" applyFill="1" applyBorder="1" applyAlignment="1">
      <alignment vertical="center"/>
    </xf>
    <xf numFmtId="43" fontId="14" fillId="7" borderId="0" xfId="15" applyFont="1" applyFill="1" applyAlignment="1">
      <alignment vertical="center"/>
    </xf>
    <xf numFmtId="0" fontId="51" fillId="3" borderId="74" xfId="0" applyFont="1" applyFill="1" applyBorder="1" applyAlignment="1">
      <alignment horizontal="center" vertical="center"/>
    </xf>
    <xf numFmtId="0" fontId="35" fillId="0" borderId="0" xfId="0" applyFont="1" applyAlignment="1">
      <alignment horizontal="center"/>
    </xf>
    <xf numFmtId="0" fontId="51" fillId="0" borderId="0" xfId="0" applyFont="1" applyAlignment="1">
      <alignment horizontal="center"/>
    </xf>
    <xf numFmtId="43" fontId="35" fillId="2" borderId="2" xfId="15" applyFont="1" applyFill="1" applyBorder="1" applyAlignment="1">
      <alignment horizontal="center"/>
    </xf>
    <xf numFmtId="43" fontId="35" fillId="3" borderId="2" xfId="15" applyFont="1" applyFill="1" applyBorder="1" applyAlignment="1">
      <alignment horizontal="center"/>
    </xf>
    <xf numFmtId="43" fontId="51" fillId="0" borderId="2" xfId="15" applyFont="1" applyFill="1" applyBorder="1" applyAlignment="1">
      <alignment horizontal="center"/>
    </xf>
    <xf numFmtId="43" fontId="51" fillId="5" borderId="2" xfId="15" applyFont="1" applyFill="1" applyBorder="1" applyAlignment="1">
      <alignment horizontal="center"/>
    </xf>
    <xf numFmtId="43" fontId="51" fillId="7" borderId="2" xfId="15" applyFont="1" applyFill="1" applyBorder="1" applyAlignment="1">
      <alignment horizontal="center"/>
    </xf>
    <xf numFmtId="43" fontId="52" fillId="2" borderId="2" xfId="15" applyFont="1" applyFill="1" applyBorder="1" applyAlignment="1">
      <alignment horizontal="center"/>
    </xf>
    <xf numFmtId="43" fontId="35" fillId="0" borderId="0" xfId="15" applyFont="1" applyAlignment="1">
      <alignment horizontal="center"/>
    </xf>
    <xf numFmtId="0" fontId="0" fillId="0" borderId="4" xfId="0" applyBorder="1"/>
    <xf numFmtId="175" fontId="0" fillId="0" borderId="4" xfId="0" applyNumberFormat="1" applyBorder="1"/>
    <xf numFmtId="0" fontId="0" fillId="0" borderId="4" xfId="0" applyBorder="1" applyAlignment="1">
      <alignment horizontal="center" vertical="center"/>
    </xf>
    <xf numFmtId="0" fontId="0" fillId="26" borderId="0" xfId="0" applyFill="1" applyAlignment="1">
      <alignment horizontal="center"/>
    </xf>
    <xf numFmtId="0" fontId="0" fillId="7" borderId="4" xfId="0" applyFill="1" applyBorder="1" applyAlignment="1">
      <alignment horizontal="center" vertical="center"/>
    </xf>
    <xf numFmtId="44" fontId="9" fillId="7" borderId="4" xfId="1" applyFont="1" applyFill="1" applyBorder="1" applyAlignment="1">
      <alignment horizontal="center" vertical="center"/>
    </xf>
    <xf numFmtId="43" fontId="9" fillId="0" borderId="4" xfId="15" applyFont="1" applyBorder="1" applyAlignment="1">
      <alignment horizontal="center"/>
    </xf>
    <xf numFmtId="0" fontId="0" fillId="18" borderId="4" xfId="0" applyFill="1" applyBorder="1"/>
    <xf numFmtId="0" fontId="0" fillId="7" borderId="0" xfId="0" applyFill="1" applyAlignment="1">
      <alignment horizontal="center" vertical="center"/>
    </xf>
    <xf numFmtId="43" fontId="9" fillId="7" borderId="4" xfId="15" applyFont="1" applyFill="1" applyBorder="1" applyAlignment="1">
      <alignment horizontal="center" vertical="center"/>
    </xf>
    <xf numFmtId="43" fontId="30" fillId="4" borderId="2" xfId="0" applyNumberFormat="1" applyFont="1" applyFill="1" applyBorder="1" applyAlignment="1">
      <alignment horizontal="center"/>
    </xf>
    <xf numFmtId="43" fontId="0" fillId="0" borderId="0" xfId="0" applyNumberFormat="1"/>
    <xf numFmtId="0" fontId="0" fillId="0" borderId="38" xfId="0" applyBorder="1"/>
    <xf numFmtId="0" fontId="0" fillId="0" borderId="39" xfId="0" applyBorder="1"/>
    <xf numFmtId="43" fontId="9" fillId="0" borderId="39" xfId="15" applyFont="1" applyBorder="1"/>
    <xf numFmtId="0" fontId="0" fillId="0" borderId="40" xfId="0" applyBorder="1"/>
    <xf numFmtId="0" fontId="0" fillId="0" borderId="41" xfId="0" applyBorder="1"/>
    <xf numFmtId="0" fontId="0" fillId="0" borderId="42" xfId="0" applyBorder="1"/>
    <xf numFmtId="43" fontId="9" fillId="0" borderId="0" xfId="15" applyFont="1" applyBorder="1"/>
    <xf numFmtId="0" fontId="10" fillId="3" borderId="0" xfId="0" applyFont="1" applyFill="1"/>
    <xf numFmtId="43" fontId="10" fillId="3" borderId="0" xfId="15" applyFont="1" applyFill="1" applyBorder="1"/>
    <xf numFmtId="0" fontId="10" fillId="0" borderId="0" xfId="0" applyFont="1"/>
    <xf numFmtId="43" fontId="10" fillId="2" borderId="0" xfId="15" applyFont="1" applyFill="1" applyBorder="1"/>
    <xf numFmtId="0" fontId="10" fillId="2" borderId="0" xfId="0" applyFont="1" applyFill="1"/>
    <xf numFmtId="0" fontId="0" fillId="0" borderId="43" xfId="0" applyBorder="1"/>
    <xf numFmtId="0" fontId="0" fillId="0" borderId="44" xfId="0" applyBorder="1"/>
    <xf numFmtId="43" fontId="9" fillId="0" borderId="44" xfId="15" applyFont="1" applyBorder="1"/>
    <xf numFmtId="0" fontId="0" fillId="0" borderId="45" xfId="0" applyBorder="1"/>
    <xf numFmtId="0" fontId="13" fillId="0" borderId="41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3" fillId="0" borderId="42" xfId="0" applyFont="1" applyBorder="1" applyAlignment="1">
      <alignment horizontal="center"/>
    </xf>
    <xf numFmtId="0" fontId="11" fillId="2" borderId="0" xfId="0" applyFont="1" applyFill="1" applyAlignment="1">
      <alignment horizontal="center"/>
    </xf>
    <xf numFmtId="0" fontId="11" fillId="0" borderId="0" xfId="0" applyFont="1" applyAlignment="1">
      <alignment horizontal="center"/>
    </xf>
    <xf numFmtId="43" fontId="11" fillId="3" borderId="0" xfId="15" applyFont="1" applyFill="1" applyBorder="1"/>
    <xf numFmtId="0" fontId="11" fillId="3" borderId="0" xfId="0" applyFont="1" applyFill="1"/>
    <xf numFmtId="43" fontId="14" fillId="0" borderId="45" xfId="1" applyNumberFormat="1" applyFont="1" applyBorder="1" applyAlignment="1">
      <alignment horizontal="center"/>
    </xf>
    <xf numFmtId="44" fontId="16" fillId="0" borderId="39" xfId="1" applyFont="1" applyBorder="1" applyAlignment="1">
      <alignment horizontal="left"/>
    </xf>
    <xf numFmtId="44" fontId="16" fillId="0" borderId="38" xfId="1" applyFont="1" applyBorder="1" applyAlignment="1">
      <alignment horizontal="left"/>
    </xf>
    <xf numFmtId="44" fontId="16" fillId="0" borderId="43" xfId="1" applyFont="1" applyBorder="1" applyAlignment="1">
      <alignment horizontal="left"/>
    </xf>
    <xf numFmtId="174" fontId="16" fillId="0" borderId="40" xfId="15" applyNumberFormat="1" applyFont="1" applyBorder="1" applyAlignment="1">
      <alignment horizontal="center"/>
    </xf>
    <xf numFmtId="0" fontId="30" fillId="0" borderId="0" xfId="0" applyFont="1"/>
    <xf numFmtId="0" fontId="53" fillId="0" borderId="2" xfId="0" applyFont="1" applyBorder="1" applyAlignment="1">
      <alignment horizontal="left"/>
    </xf>
    <xf numFmtId="0" fontId="53" fillId="0" borderId="2" xfId="0" applyFont="1" applyBorder="1" applyAlignment="1">
      <alignment horizontal="center"/>
    </xf>
    <xf numFmtId="43" fontId="53" fillId="0" borderId="2" xfId="15" applyFont="1" applyFill="1" applyBorder="1" applyAlignment="1">
      <alignment horizontal="center"/>
    </xf>
    <xf numFmtId="43" fontId="37" fillId="0" borderId="2" xfId="15" applyFont="1" applyFill="1" applyBorder="1" applyAlignment="1">
      <alignment horizontal="center"/>
    </xf>
    <xf numFmtId="44" fontId="53" fillId="0" borderId="2" xfId="1" applyFont="1" applyFill="1" applyBorder="1" applyAlignment="1">
      <alignment horizontal="left"/>
    </xf>
    <xf numFmtId="10" fontId="54" fillId="0" borderId="0" xfId="13" applyNumberFormat="1" applyFont="1" applyFill="1" applyBorder="1" applyAlignment="1">
      <alignment horizontal="left"/>
    </xf>
    <xf numFmtId="0" fontId="53" fillId="0" borderId="0" xfId="0" applyFont="1"/>
    <xf numFmtId="0" fontId="16" fillId="0" borderId="4" xfId="0" applyFont="1" applyBorder="1"/>
    <xf numFmtId="43" fontId="16" fillId="0" borderId="0" xfId="15" applyFont="1" applyFill="1"/>
    <xf numFmtId="0" fontId="55" fillId="0" borderId="2" xfId="0" applyFont="1" applyBorder="1" applyAlignment="1">
      <alignment horizontal="left"/>
    </xf>
    <xf numFmtId="0" fontId="55" fillId="0" borderId="2" xfId="0" applyFont="1" applyBorder="1" applyAlignment="1">
      <alignment horizontal="center"/>
    </xf>
    <xf numFmtId="44" fontId="55" fillId="0" borderId="2" xfId="1" applyFont="1" applyFill="1" applyBorder="1" applyAlignment="1">
      <alignment horizontal="left"/>
    </xf>
    <xf numFmtId="0" fontId="55" fillId="0" borderId="0" xfId="0" applyFont="1"/>
    <xf numFmtId="0" fontId="16" fillId="0" borderId="2" xfId="0" applyFont="1" applyBorder="1" applyAlignment="1">
      <alignment horizontal="left"/>
    </xf>
    <xf numFmtId="44" fontId="16" fillId="0" borderId="2" xfId="1" applyFont="1" applyFill="1" applyBorder="1" applyAlignment="1">
      <alignment horizontal="left"/>
    </xf>
    <xf numFmtId="0" fontId="56" fillId="0" borderId="0" xfId="0" applyFont="1"/>
    <xf numFmtId="43" fontId="30" fillId="0" borderId="0" xfId="0" applyNumberFormat="1" applyFont="1"/>
    <xf numFmtId="0" fontId="57" fillId="0" borderId="88" xfId="0" applyFont="1" applyBorder="1"/>
    <xf numFmtId="0" fontId="58" fillId="0" borderId="0" xfId="8" applyFont="1" applyAlignment="1">
      <alignment horizontal="right" vertical="center"/>
    </xf>
    <xf numFmtId="39" fontId="59" fillId="12" borderId="80" xfId="2" applyNumberFormat="1" applyFont="1" applyFill="1" applyBorder="1" applyAlignment="1">
      <alignment horizontal="center" vertical="center"/>
    </xf>
    <xf numFmtId="0" fontId="60" fillId="0" borderId="95" xfId="0" applyFont="1" applyBorder="1" applyAlignment="1">
      <alignment horizontal="left"/>
    </xf>
    <xf numFmtId="0" fontId="61" fillId="0" borderId="95" xfId="0" applyFont="1" applyBorder="1" applyAlignment="1">
      <alignment horizontal="center" vertical="center"/>
    </xf>
    <xf numFmtId="176" fontId="61" fillId="0" borderId="95" xfId="0" applyNumberFormat="1" applyFont="1" applyBorder="1" applyAlignment="1">
      <alignment horizontal="center" vertical="center"/>
    </xf>
    <xf numFmtId="0" fontId="61" fillId="0" borderId="95" xfId="0" applyFont="1" applyBorder="1" applyAlignment="1">
      <alignment horizontal="left" vertical="center"/>
    </xf>
    <xf numFmtId="14" fontId="61" fillId="0" borderId="95" xfId="0" applyNumberFormat="1" applyFont="1" applyBorder="1" applyAlignment="1">
      <alignment horizontal="center" vertical="center"/>
    </xf>
    <xf numFmtId="0" fontId="61" fillId="19" borderId="95" xfId="0" applyFont="1" applyFill="1" applyBorder="1" applyAlignment="1">
      <alignment horizontal="left" vertical="center"/>
    </xf>
    <xf numFmtId="0" fontId="60" fillId="0" borderId="95" xfId="0" applyFont="1" applyBorder="1" applyAlignment="1">
      <alignment horizontal="left" wrapText="1"/>
    </xf>
    <xf numFmtId="0" fontId="61" fillId="27" borderId="95" xfId="0" applyFont="1" applyFill="1" applyBorder="1" applyAlignment="1">
      <alignment horizontal="left" vertical="center"/>
    </xf>
    <xf numFmtId="14" fontId="61" fillId="27" borderId="95" xfId="0" applyNumberFormat="1" applyFont="1" applyFill="1" applyBorder="1" applyAlignment="1">
      <alignment horizontal="center" vertical="center"/>
    </xf>
    <xf numFmtId="0" fontId="61" fillId="27" borderId="95" xfId="0" applyFont="1" applyFill="1" applyBorder="1" applyAlignment="1">
      <alignment horizontal="center" vertical="center"/>
    </xf>
    <xf numFmtId="14" fontId="61" fillId="20" borderId="95" xfId="0" applyNumberFormat="1" applyFont="1" applyFill="1" applyBorder="1" applyAlignment="1">
      <alignment horizontal="center" vertical="center"/>
    </xf>
    <xf numFmtId="0" fontId="60" fillId="28" borderId="95" xfId="0" applyFont="1" applyFill="1" applyBorder="1" applyAlignment="1">
      <alignment horizontal="left"/>
    </xf>
    <xf numFmtId="0" fontId="60" fillId="29" borderId="95" xfId="0" applyFont="1" applyFill="1" applyBorder="1" applyAlignment="1">
      <alignment horizontal="left"/>
    </xf>
    <xf numFmtId="0" fontId="60" fillId="30" borderId="95" xfId="0" applyFont="1" applyFill="1" applyBorder="1" applyAlignment="1">
      <alignment horizontal="left"/>
    </xf>
    <xf numFmtId="177" fontId="7" fillId="0" borderId="96" xfId="0" applyNumberFormat="1" applyFont="1" applyBorder="1" applyAlignment="1">
      <alignment horizontal="center"/>
    </xf>
    <xf numFmtId="44" fontId="53" fillId="7" borderId="2" xfId="1" applyFont="1" applyFill="1" applyBorder="1" applyAlignment="1">
      <alignment horizontal="left"/>
    </xf>
    <xf numFmtId="44" fontId="56" fillId="0" borderId="2" xfId="1" applyFont="1" applyFill="1" applyBorder="1" applyAlignment="1">
      <alignment horizontal="left"/>
    </xf>
    <xf numFmtId="0" fontId="56" fillId="0" borderId="2" xfId="0" applyFont="1" applyBorder="1" applyAlignment="1">
      <alignment horizontal="left"/>
    </xf>
    <xf numFmtId="43" fontId="22" fillId="0" borderId="2" xfId="15" applyFont="1" applyFill="1" applyBorder="1" applyAlignment="1">
      <alignment horizontal="center" vertical="center"/>
    </xf>
    <xf numFmtId="44" fontId="22" fillId="0" borderId="2" xfId="1" applyFont="1" applyFill="1" applyBorder="1" applyAlignment="1">
      <alignment horizontal="left" vertical="center"/>
    </xf>
    <xf numFmtId="43" fontId="53" fillId="7" borderId="2" xfId="15" applyFont="1" applyFill="1" applyBorder="1" applyAlignment="1">
      <alignment horizontal="center"/>
    </xf>
    <xf numFmtId="44" fontId="16" fillId="0" borderId="0" xfId="1" applyFont="1" applyFill="1" applyBorder="1" applyAlignment="1">
      <alignment horizontal="left"/>
    </xf>
    <xf numFmtId="43" fontId="16" fillId="0" borderId="0" xfId="15" applyFont="1" applyFill="1" applyBorder="1" applyAlignment="1">
      <alignment horizontal="center"/>
    </xf>
    <xf numFmtId="43" fontId="14" fillId="0" borderId="0" xfId="15" applyFont="1" applyFill="1" applyBorder="1" applyAlignment="1">
      <alignment horizontal="center"/>
    </xf>
    <xf numFmtId="43" fontId="14" fillId="0" borderId="0" xfId="1" applyNumberFormat="1" applyFont="1" applyFill="1" applyBorder="1" applyAlignment="1">
      <alignment horizontal="center"/>
    </xf>
    <xf numFmtId="44" fontId="16" fillId="0" borderId="0" xfId="1" applyFont="1" applyFill="1" applyBorder="1" applyAlignment="1">
      <alignment horizontal="right"/>
    </xf>
    <xf numFmtId="0" fontId="30" fillId="3" borderId="74" xfId="0" applyFont="1" applyFill="1" applyBorder="1" applyAlignment="1">
      <alignment horizontal="center" vertical="center"/>
    </xf>
    <xf numFmtId="0" fontId="21" fillId="0" borderId="0" xfId="0" applyFont="1" applyAlignment="1">
      <alignment horizontal="center"/>
    </xf>
    <xf numFmtId="0" fontId="30" fillId="0" borderId="0" xfId="0" applyFont="1" applyAlignment="1">
      <alignment horizontal="center"/>
    </xf>
    <xf numFmtId="0" fontId="21" fillId="2" borderId="2" xfId="0" applyFont="1" applyFill="1" applyBorder="1" applyAlignment="1">
      <alignment horizontal="center"/>
    </xf>
    <xf numFmtId="43" fontId="21" fillId="2" borderId="2" xfId="15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43" fontId="5" fillId="2" borderId="2" xfId="15" applyFont="1" applyFill="1" applyBorder="1" applyAlignment="1">
      <alignment horizontal="center"/>
    </xf>
    <xf numFmtId="43" fontId="21" fillId="0" borderId="0" xfId="15" applyFont="1" applyAlignment="1">
      <alignment horizontal="center"/>
    </xf>
    <xf numFmtId="43" fontId="15" fillId="2" borderId="73" xfId="15" applyFont="1" applyFill="1" applyBorder="1" applyAlignment="1">
      <alignment horizontal="center"/>
    </xf>
    <xf numFmtId="0" fontId="68" fillId="0" borderId="96" xfId="0" applyFont="1" applyBorder="1" applyAlignment="1">
      <alignment horizontal="left"/>
    </xf>
    <xf numFmtId="44" fontId="69" fillId="0" borderId="42" xfId="0" applyNumberFormat="1" applyFont="1" applyBorder="1"/>
    <xf numFmtId="44" fontId="70" fillId="0" borderId="42" xfId="0" applyNumberFormat="1" applyFont="1" applyBorder="1"/>
    <xf numFmtId="44" fontId="69" fillId="0" borderId="45" xfId="0" applyNumberFormat="1" applyFont="1" applyBorder="1"/>
    <xf numFmtId="0" fontId="69" fillId="0" borderId="41" xfId="0" applyFont="1" applyBorder="1"/>
    <xf numFmtId="0" fontId="69" fillId="0" borderId="41" xfId="0" applyFont="1" applyBorder="1" applyAlignment="1">
      <alignment horizontal="left"/>
    </xf>
    <xf numFmtId="0" fontId="69" fillId="0" borderId="43" xfId="0" applyFont="1" applyBorder="1" applyAlignment="1">
      <alignment horizontal="left"/>
    </xf>
    <xf numFmtId="44" fontId="70" fillId="0" borderId="98" xfId="0" applyNumberFormat="1" applyFont="1" applyBorder="1"/>
    <xf numFmtId="0" fontId="69" fillId="0" borderId="99" xfId="0" applyFont="1" applyBorder="1"/>
    <xf numFmtId="44" fontId="69" fillId="0" borderId="100" xfId="0" applyNumberFormat="1" applyFont="1" applyBorder="1"/>
    <xf numFmtId="0" fontId="70" fillId="0" borderId="41" xfId="0" applyFont="1" applyBorder="1" applyAlignment="1">
      <alignment horizontal="right" indent="1"/>
    </xf>
    <xf numFmtId="0" fontId="70" fillId="0" borderId="97" xfId="0" applyFont="1" applyBorder="1" applyAlignment="1">
      <alignment horizontal="right" indent="1"/>
    </xf>
    <xf numFmtId="0" fontId="69" fillId="0" borderId="101" xfId="0" applyFont="1" applyBorder="1" applyAlignment="1">
      <alignment horizontal="left"/>
    </xf>
    <xf numFmtId="44" fontId="69" fillId="0" borderId="102" xfId="0" applyNumberFormat="1" applyFont="1" applyBorder="1"/>
    <xf numFmtId="0" fontId="71" fillId="0" borderId="95" xfId="0" applyFont="1" applyBorder="1" applyAlignment="1">
      <alignment horizontal="center" vertical="center"/>
    </xf>
    <xf numFmtId="0" fontId="60" fillId="0" borderId="0" xfId="0" applyFont="1" applyAlignment="1">
      <alignment horizontal="left" wrapText="1"/>
    </xf>
    <xf numFmtId="0" fontId="61" fillId="0" borderId="0" xfId="0" applyFont="1" applyAlignment="1">
      <alignment horizontal="center" vertical="center"/>
    </xf>
    <xf numFmtId="176" fontId="61" fillId="0" borderId="0" xfId="0" applyNumberFormat="1" applyFont="1" applyAlignment="1">
      <alignment horizontal="center" vertical="center"/>
    </xf>
    <xf numFmtId="0" fontId="61" fillId="0" borderId="0" xfId="0" applyFont="1" applyAlignment="1">
      <alignment horizontal="left" vertical="center"/>
    </xf>
    <xf numFmtId="14" fontId="61" fillId="0" borderId="0" xfId="0" applyNumberFormat="1" applyFont="1" applyAlignment="1">
      <alignment horizontal="center" vertical="center"/>
    </xf>
    <xf numFmtId="0" fontId="22" fillId="0" borderId="2" xfId="0" applyFont="1" applyBorder="1" applyAlignment="1">
      <alignment horizontal="left" vertical="center" wrapText="1"/>
    </xf>
    <xf numFmtId="0" fontId="22" fillId="0" borderId="2" xfId="0" applyFont="1" applyBorder="1" applyAlignment="1">
      <alignment horizontal="center" vertical="center"/>
    </xf>
    <xf numFmtId="0" fontId="22" fillId="0" borderId="2" xfId="0" applyFont="1" applyBorder="1" applyAlignment="1">
      <alignment horizontal="left" vertical="center"/>
    </xf>
    <xf numFmtId="44" fontId="30" fillId="0" borderId="2" xfId="0" applyNumberFormat="1" applyFont="1" applyBorder="1" applyAlignment="1">
      <alignment horizontal="center"/>
    </xf>
    <xf numFmtId="169" fontId="48" fillId="3" borderId="0" xfId="15" applyNumberFormat="1" applyFont="1" applyFill="1" applyBorder="1" applyAlignment="1">
      <alignment horizontal="left" vertical="center"/>
    </xf>
    <xf numFmtId="43" fontId="72" fillId="0" borderId="2" xfId="15" applyFont="1" applyFill="1" applyBorder="1" applyAlignment="1">
      <alignment horizontal="center"/>
    </xf>
    <xf numFmtId="0" fontId="38" fillId="0" borderId="3" xfId="0" applyFont="1" applyBorder="1" applyAlignment="1">
      <alignment horizontal="center" vertical="center" wrapText="1"/>
    </xf>
    <xf numFmtId="0" fontId="0" fillId="0" borderId="0" xfId="0" applyAlignment="1">
      <alignment wrapText="1"/>
    </xf>
    <xf numFmtId="176" fontId="7" fillId="0" borderId="95" xfId="0" applyNumberFormat="1" applyFont="1" applyBorder="1" applyAlignment="1">
      <alignment horizontal="center" vertical="center" wrapText="1"/>
    </xf>
    <xf numFmtId="176" fontId="7" fillId="0" borderId="95" xfId="0" applyNumberFormat="1" applyFont="1" applyBorder="1" applyAlignment="1">
      <alignment horizontal="center" vertical="center"/>
    </xf>
    <xf numFmtId="0" fontId="72" fillId="4" borderId="2" xfId="0" applyFont="1" applyFill="1" applyBorder="1" applyAlignment="1">
      <alignment horizontal="center"/>
    </xf>
    <xf numFmtId="0" fontId="19" fillId="0" borderId="95" xfId="0" applyFont="1" applyBorder="1" applyAlignment="1">
      <alignment horizontal="left" vertical="center"/>
    </xf>
    <xf numFmtId="0" fontId="72" fillId="5" borderId="2" xfId="0" applyFont="1" applyFill="1" applyBorder="1" applyAlignment="1">
      <alignment horizontal="center"/>
    </xf>
    <xf numFmtId="44" fontId="14" fillId="0" borderId="0" xfId="13" applyNumberFormat="1" applyFont="1" applyAlignment="1">
      <alignment horizontal="left"/>
    </xf>
    <xf numFmtId="44" fontId="11" fillId="8" borderId="2" xfId="1" applyFont="1" applyFill="1" applyBorder="1" applyAlignment="1">
      <alignment horizontal="right"/>
    </xf>
    <xf numFmtId="44" fontId="14" fillId="0" borderId="0" xfId="1" applyFont="1"/>
    <xf numFmtId="171" fontId="11" fillId="8" borderId="0" xfId="13" applyNumberFormat="1" applyFont="1" applyFill="1" applyAlignment="1">
      <alignment horizontal="center"/>
    </xf>
    <xf numFmtId="43" fontId="11" fillId="8" borderId="0" xfId="15" applyFont="1" applyFill="1" applyAlignment="1">
      <alignment horizontal="center"/>
    </xf>
    <xf numFmtId="44" fontId="11" fillId="8" borderId="0" xfId="1" applyFont="1" applyFill="1" applyAlignment="1">
      <alignment horizontal="left"/>
    </xf>
    <xf numFmtId="168" fontId="11" fillId="8" borderId="2" xfId="1" applyNumberFormat="1" applyFont="1" applyFill="1" applyBorder="1" applyAlignment="1">
      <alignment horizontal="right"/>
    </xf>
    <xf numFmtId="44" fontId="14" fillId="0" borderId="39" xfId="1" applyFont="1" applyBorder="1" applyAlignment="1">
      <alignment horizontal="left"/>
    </xf>
    <xf numFmtId="10" fontId="16" fillId="0" borderId="39" xfId="13" applyNumberFormat="1" applyFont="1" applyBorder="1" applyAlignment="1">
      <alignment horizontal="left"/>
    </xf>
    <xf numFmtId="0" fontId="14" fillId="0" borderId="39" xfId="0" applyFont="1" applyBorder="1"/>
    <xf numFmtId="0" fontId="14" fillId="0" borderId="40" xfId="0" applyFont="1" applyBorder="1"/>
    <xf numFmtId="44" fontId="14" fillId="0" borderId="44" xfId="1" applyFont="1" applyBorder="1" applyAlignment="1">
      <alignment horizontal="left"/>
    </xf>
    <xf numFmtId="0" fontId="16" fillId="0" borderId="44" xfId="0" applyFont="1" applyBorder="1" applyAlignment="1">
      <alignment horizontal="right"/>
    </xf>
    <xf numFmtId="0" fontId="14" fillId="0" borderId="44" xfId="0" applyFont="1" applyBorder="1"/>
    <xf numFmtId="44" fontId="14" fillId="0" borderId="45" xfId="13" applyNumberFormat="1" applyFont="1" applyBorder="1" applyAlignment="1">
      <alignment horizontal="left"/>
    </xf>
    <xf numFmtId="44" fontId="14" fillId="0" borderId="0" xfId="1" applyFont="1" applyAlignment="1">
      <alignment horizontal="right"/>
    </xf>
    <xf numFmtId="0" fontId="16" fillId="0" borderId="39" xfId="0" applyFont="1" applyBorder="1"/>
    <xf numFmtId="10" fontId="14" fillId="0" borderId="40" xfId="13" applyNumberFormat="1" applyFont="1" applyBorder="1" applyAlignment="1">
      <alignment horizontal="left"/>
    </xf>
    <xf numFmtId="10" fontId="16" fillId="0" borderId="0" xfId="13" applyNumberFormat="1" applyFont="1" applyAlignment="1">
      <alignment horizontal="left"/>
    </xf>
    <xf numFmtId="44" fontId="16" fillId="0" borderId="103" xfId="1" applyFont="1" applyBorder="1" applyAlignment="1">
      <alignment horizontal="right"/>
    </xf>
    <xf numFmtId="44" fontId="14" fillId="0" borderId="104" xfId="1" applyFont="1" applyBorder="1" applyAlignment="1">
      <alignment horizontal="left"/>
    </xf>
    <xf numFmtId="10" fontId="16" fillId="0" borderId="104" xfId="13" applyNumberFormat="1" applyFont="1" applyBorder="1" applyAlignment="1">
      <alignment horizontal="right"/>
    </xf>
    <xf numFmtId="0" fontId="14" fillId="0" borderId="104" xfId="0" applyFont="1" applyBorder="1"/>
    <xf numFmtId="44" fontId="14" fillId="0" borderId="105" xfId="1" applyFont="1" applyBorder="1" applyAlignment="1">
      <alignment horizontal="left"/>
    </xf>
    <xf numFmtId="43" fontId="22" fillId="0" borderId="2" xfId="15" applyFont="1" applyFill="1" applyBorder="1" applyAlignment="1">
      <alignment vertical="center"/>
    </xf>
    <xf numFmtId="0" fontId="22" fillId="0" borderId="2" xfId="0" applyFont="1" applyBorder="1" applyAlignment="1">
      <alignment horizontal="left" wrapText="1"/>
    </xf>
    <xf numFmtId="0" fontId="49" fillId="0" borderId="2" xfId="0" applyFont="1" applyBorder="1" applyAlignment="1">
      <alignment horizontal="center" vertical="center"/>
    </xf>
    <xf numFmtId="0" fontId="49" fillId="7" borderId="2" xfId="0" applyFont="1" applyFill="1" applyBorder="1" applyAlignment="1">
      <alignment horizontal="left"/>
    </xf>
    <xf numFmtId="0" fontId="73" fillId="0" borderId="88" xfId="8" applyFont="1" applyBorder="1" applyAlignment="1">
      <alignment horizontal="left"/>
    </xf>
    <xf numFmtId="49" fontId="30" fillId="0" borderId="83" xfId="8" applyNumberFormat="1" applyFont="1" applyBorder="1" applyAlignment="1">
      <alignment horizontal="center" vertical="center" wrapText="1"/>
    </xf>
    <xf numFmtId="0" fontId="30" fillId="0" borderId="77" xfId="8" applyFont="1" applyBorder="1" applyAlignment="1">
      <alignment horizontal="left" vertical="center" wrapText="1"/>
    </xf>
    <xf numFmtId="4" fontId="30" fillId="0" borderId="77" xfId="8" applyNumberFormat="1" applyFont="1" applyBorder="1" applyAlignment="1">
      <alignment horizontal="center" vertical="center" wrapText="1"/>
    </xf>
    <xf numFmtId="10" fontId="30" fillId="0" borderId="93" xfId="8" applyNumberFormat="1" applyFont="1" applyBorder="1" applyAlignment="1">
      <alignment horizontal="center" vertical="center" wrapText="1"/>
    </xf>
    <xf numFmtId="49" fontId="32" fillId="0" borderId="82" xfId="8" applyNumberFormat="1" applyFont="1" applyBorder="1" applyAlignment="1">
      <alignment horizontal="center" vertical="center" wrapText="1"/>
    </xf>
    <xf numFmtId="0" fontId="32" fillId="0" borderId="76" xfId="8" applyFont="1" applyBorder="1" applyAlignment="1">
      <alignment horizontal="left" vertical="center" wrapText="1"/>
    </xf>
    <xf numFmtId="4" fontId="32" fillId="0" borderId="76" xfId="8" applyNumberFormat="1" applyFont="1" applyBorder="1" applyAlignment="1">
      <alignment horizontal="center" vertical="center" wrapText="1"/>
    </xf>
    <xf numFmtId="10" fontId="32" fillId="0" borderId="94" xfId="8" applyNumberFormat="1" applyFont="1" applyBorder="1" applyAlignment="1">
      <alignment horizontal="center" vertical="center" wrapText="1"/>
    </xf>
    <xf numFmtId="49" fontId="32" fillId="0" borderId="83" xfId="8" applyNumberFormat="1" applyFont="1" applyBorder="1" applyAlignment="1">
      <alignment horizontal="center" vertical="center" wrapText="1"/>
    </xf>
    <xf numFmtId="0" fontId="32" fillId="0" borderId="77" xfId="8" applyFont="1" applyBorder="1" applyAlignment="1">
      <alignment horizontal="left" vertical="center" wrapText="1"/>
    </xf>
    <xf numFmtId="4" fontId="32" fillId="0" borderId="77" xfId="8" applyNumberFormat="1" applyFont="1" applyBorder="1" applyAlignment="1">
      <alignment horizontal="center" vertical="center" wrapText="1"/>
    </xf>
    <xf numFmtId="10" fontId="32" fillId="0" borderId="93" xfId="8" applyNumberFormat="1" applyFont="1" applyBorder="1" applyAlignment="1">
      <alignment horizontal="center" vertical="center" wrapText="1"/>
    </xf>
    <xf numFmtId="49" fontId="32" fillId="0" borderId="84" xfId="8" applyNumberFormat="1" applyFont="1" applyBorder="1" applyAlignment="1">
      <alignment horizontal="center" vertical="center" wrapText="1"/>
    </xf>
    <xf numFmtId="0" fontId="32" fillId="0" borderId="78" xfId="8" applyFont="1" applyBorder="1" applyAlignment="1">
      <alignment horizontal="left" vertical="center" wrapText="1"/>
    </xf>
    <xf numFmtId="4" fontId="32" fillId="0" borderId="78" xfId="8" applyNumberFormat="1" applyFont="1" applyBorder="1" applyAlignment="1">
      <alignment horizontal="center" vertical="center" wrapText="1"/>
    </xf>
    <xf numFmtId="49" fontId="26" fillId="0" borderId="0" xfId="17" applyNumberFormat="1" applyFont="1" applyBorder="1" applyAlignment="1">
      <alignment horizontal="left" vertical="center"/>
    </xf>
    <xf numFmtId="0" fontId="74" fillId="27" borderId="0" xfId="0" applyFont="1" applyFill="1"/>
    <xf numFmtId="0" fontId="68" fillId="0" borderId="96" xfId="0" applyFont="1" applyBorder="1" applyAlignment="1">
      <alignment horizontal="center"/>
    </xf>
    <xf numFmtId="177" fontId="68" fillId="0" borderId="96" xfId="0" applyNumberFormat="1" applyFont="1" applyBorder="1" applyAlignment="1">
      <alignment horizontal="center"/>
    </xf>
    <xf numFmtId="177" fontId="75" fillId="0" borderId="96" xfId="0" applyNumberFormat="1" applyFont="1" applyBorder="1" applyAlignment="1">
      <alignment horizontal="center"/>
    </xf>
    <xf numFmtId="176" fontId="68" fillId="0" borderId="96" xfId="0" applyNumberFormat="1" applyFont="1" applyBorder="1" applyAlignment="1">
      <alignment horizontal="left"/>
    </xf>
    <xf numFmtId="10" fontId="76" fillId="0" borderId="0" xfId="0" applyNumberFormat="1" applyFont="1" applyAlignment="1">
      <alignment horizontal="left"/>
    </xf>
    <xf numFmtId="0" fontId="68" fillId="0" borderId="0" xfId="0" applyFont="1"/>
    <xf numFmtId="0" fontId="68" fillId="0" borderId="106" xfId="0" applyFont="1" applyBorder="1"/>
    <xf numFmtId="177" fontId="68" fillId="0" borderId="0" xfId="0" applyNumberFormat="1" applyFont="1"/>
    <xf numFmtId="0" fontId="74" fillId="0" borderId="96" xfId="0" applyFont="1" applyBorder="1" applyAlignment="1">
      <alignment horizontal="left"/>
    </xf>
    <xf numFmtId="177" fontId="61" fillId="0" borderId="96" xfId="0" applyNumberFormat="1" applyFont="1" applyBorder="1" applyAlignment="1">
      <alignment horizontal="center"/>
    </xf>
    <xf numFmtId="176" fontId="61" fillId="0" borderId="96" xfId="0" applyNumberFormat="1" applyFont="1" applyBorder="1" applyAlignment="1">
      <alignment horizontal="left"/>
    </xf>
    <xf numFmtId="10" fontId="77" fillId="0" borderId="0" xfId="0" applyNumberFormat="1" applyFont="1" applyAlignment="1">
      <alignment horizontal="left"/>
    </xf>
    <xf numFmtId="0" fontId="74" fillId="0" borderId="0" xfId="0" applyFont="1"/>
    <xf numFmtId="0" fontId="74" fillId="0" borderId="106" xfId="0" applyFont="1" applyBorder="1"/>
    <xf numFmtId="177" fontId="74" fillId="0" borderId="0" xfId="0" applyNumberFormat="1" applyFont="1"/>
    <xf numFmtId="0" fontId="60" fillId="0" borderId="96" xfId="0" applyFont="1" applyBorder="1" applyAlignment="1">
      <alignment horizontal="left"/>
    </xf>
    <xf numFmtId="0" fontId="60" fillId="0" borderId="0" xfId="0" applyFont="1"/>
    <xf numFmtId="0" fontId="49" fillId="19" borderId="2" xfId="0" applyFont="1" applyFill="1" applyBorder="1" applyAlignment="1">
      <alignment horizontal="left"/>
    </xf>
    <xf numFmtId="0" fontId="22" fillId="19" borderId="2" xfId="0" applyFont="1" applyFill="1" applyBorder="1" applyAlignment="1">
      <alignment horizontal="center"/>
    </xf>
    <xf numFmtId="43" fontId="22" fillId="19" borderId="2" xfId="15" applyFont="1" applyFill="1" applyBorder="1" applyAlignment="1">
      <alignment horizontal="center"/>
    </xf>
    <xf numFmtId="0" fontId="22" fillId="7" borderId="2" xfId="0" applyFont="1" applyFill="1" applyBorder="1" applyAlignment="1">
      <alignment horizontal="left" wrapText="1"/>
    </xf>
    <xf numFmtId="0" fontId="49" fillId="0" borderId="2" xfId="0" applyFont="1" applyBorder="1" applyAlignment="1">
      <alignment horizontal="left" vertical="center"/>
    </xf>
    <xf numFmtId="0" fontId="20" fillId="0" borderId="107" xfId="0" applyFont="1" applyBorder="1" applyAlignment="1">
      <alignment horizontal="left" wrapText="1"/>
    </xf>
    <xf numFmtId="0" fontId="21" fillId="7" borderId="2" xfId="0" applyFont="1" applyFill="1" applyBorder="1" applyAlignment="1">
      <alignment horizontal="left" vertical="center"/>
    </xf>
    <xf numFmtId="43" fontId="22" fillId="7" borderId="2" xfId="15" applyFont="1" applyFill="1" applyBorder="1" applyAlignment="1">
      <alignment horizontal="center" vertical="center"/>
    </xf>
    <xf numFmtId="0" fontId="14" fillId="7" borderId="0" xfId="0" applyFont="1" applyFill="1" applyAlignment="1">
      <alignment wrapText="1"/>
    </xf>
    <xf numFmtId="0" fontId="20" fillId="7" borderId="2" xfId="0" applyFont="1" applyFill="1" applyBorder="1" applyAlignment="1">
      <alignment horizontal="left" wrapText="1"/>
    </xf>
    <xf numFmtId="0" fontId="49" fillId="0" borderId="2" xfId="0" applyFont="1" applyBorder="1" applyAlignment="1">
      <alignment horizontal="left" wrapText="1"/>
    </xf>
    <xf numFmtId="0" fontId="22" fillId="7" borderId="2" xfId="0" applyFont="1" applyFill="1" applyBorder="1" applyAlignment="1">
      <alignment horizontal="center" wrapText="1"/>
    </xf>
    <xf numFmtId="43" fontId="22" fillId="7" borderId="2" xfId="15" applyFont="1" applyFill="1" applyBorder="1" applyAlignment="1">
      <alignment horizontal="center" wrapText="1"/>
    </xf>
    <xf numFmtId="44" fontId="22" fillId="7" borderId="2" xfId="1" applyFont="1" applyFill="1" applyBorder="1" applyAlignment="1">
      <alignment horizontal="left" wrapText="1"/>
    </xf>
    <xf numFmtId="10" fontId="36" fillId="7" borderId="0" xfId="13" applyNumberFormat="1" applyFont="1" applyFill="1" applyBorder="1" applyAlignment="1">
      <alignment horizontal="left" wrapText="1"/>
    </xf>
    <xf numFmtId="0" fontId="20" fillId="7" borderId="0" xfId="0" applyFont="1" applyFill="1" applyAlignment="1">
      <alignment wrapText="1"/>
    </xf>
    <xf numFmtId="0" fontId="14" fillId="7" borderId="4" xfId="0" applyFont="1" applyFill="1" applyBorder="1" applyAlignment="1">
      <alignment wrapText="1"/>
    </xf>
    <xf numFmtId="43" fontId="14" fillId="7" borderId="0" xfId="15" applyFont="1" applyFill="1" applyAlignment="1">
      <alignment wrapText="1"/>
    </xf>
    <xf numFmtId="44" fontId="22" fillId="0" borderId="2" xfId="1" applyFont="1" applyFill="1" applyBorder="1" applyAlignment="1">
      <alignment horizontal="left" wrapText="1"/>
    </xf>
    <xf numFmtId="43" fontId="16" fillId="0" borderId="40" xfId="15" applyFont="1" applyBorder="1" applyAlignment="1">
      <alignment horizontal="center"/>
    </xf>
    <xf numFmtId="43" fontId="78" fillId="7" borderId="2" xfId="15" applyFont="1" applyFill="1" applyBorder="1" applyAlignment="1">
      <alignment horizontal="center"/>
    </xf>
    <xf numFmtId="44" fontId="19" fillId="7" borderId="3" xfId="1" applyFont="1" applyFill="1" applyBorder="1" applyAlignment="1">
      <alignment horizontal="left" vertical="center"/>
    </xf>
    <xf numFmtId="0" fontId="79" fillId="0" borderId="0" xfId="21"/>
    <xf numFmtId="43" fontId="14" fillId="0" borderId="2" xfId="15" applyFont="1" applyBorder="1" applyAlignment="1">
      <alignment horizontal="center"/>
    </xf>
    <xf numFmtId="44" fontId="14" fillId="0" borderId="2" xfId="1" applyFont="1" applyBorder="1" applyAlignment="1">
      <alignment horizontal="left"/>
    </xf>
    <xf numFmtId="178" fontId="30" fillId="0" borderId="2" xfId="15" applyNumberFormat="1" applyFont="1" applyFill="1" applyBorder="1" applyAlignment="1">
      <alignment horizontal="center"/>
    </xf>
    <xf numFmtId="43" fontId="30" fillId="0" borderId="2" xfId="0" applyNumberFormat="1" applyFont="1" applyBorder="1" applyAlignment="1">
      <alignment horizontal="center"/>
    </xf>
    <xf numFmtId="43" fontId="30" fillId="0" borderId="2" xfId="0" applyNumberFormat="1" applyFont="1" applyBorder="1" applyAlignment="1">
      <alignment horizontal="left"/>
    </xf>
    <xf numFmtId="0" fontId="80" fillId="0" borderId="0" xfId="0" applyFont="1" applyAlignment="1">
      <alignment horizontal="left"/>
    </xf>
    <xf numFmtId="0" fontId="62" fillId="0" borderId="0" xfId="0" applyFont="1" applyAlignment="1">
      <alignment horizontal="left" vertical="center"/>
    </xf>
    <xf numFmtId="0" fontId="80" fillId="0" borderId="0" xfId="0" applyFont="1" applyAlignment="1">
      <alignment horizontal="center" vertical="center"/>
    </xf>
    <xf numFmtId="44" fontId="80" fillId="0" borderId="0" xfId="1" applyFont="1" applyFill="1" applyBorder="1" applyAlignment="1">
      <alignment horizontal="left"/>
    </xf>
    <xf numFmtId="0" fontId="80" fillId="0" borderId="74" xfId="0" applyFont="1" applyBorder="1" applyAlignment="1">
      <alignment horizontal="left"/>
    </xf>
    <xf numFmtId="0" fontId="80" fillId="0" borderId="74" xfId="0" applyFont="1" applyBorder="1" applyAlignment="1">
      <alignment vertical="center"/>
    </xf>
    <xf numFmtId="0" fontId="80" fillId="0" borderId="74" xfId="0" applyFont="1" applyBorder="1" applyAlignment="1">
      <alignment horizontal="center" vertical="center"/>
    </xf>
    <xf numFmtId="0" fontId="62" fillId="0" borderId="74" xfId="0" applyFont="1" applyBorder="1" applyAlignment="1">
      <alignment horizontal="center" vertical="center"/>
    </xf>
    <xf numFmtId="44" fontId="80" fillId="0" borderId="0" xfId="1" applyFont="1" applyFill="1" applyAlignment="1">
      <alignment horizontal="left"/>
    </xf>
    <xf numFmtId="44" fontId="62" fillId="0" borderId="0" xfId="1" applyFont="1" applyFill="1" applyBorder="1" applyAlignment="1">
      <alignment horizontal="right" vertical="center"/>
    </xf>
    <xf numFmtId="0" fontId="16" fillId="0" borderId="2" xfId="0" applyFont="1" applyBorder="1" applyAlignment="1">
      <alignment horizontal="center"/>
    </xf>
    <xf numFmtId="43" fontId="16" fillId="0" borderId="2" xfId="15" applyFont="1" applyBorder="1" applyAlignment="1">
      <alignment horizontal="center"/>
    </xf>
    <xf numFmtId="0" fontId="22" fillId="7" borderId="0" xfId="0" applyFont="1" applyFill="1" applyAlignment="1">
      <alignment wrapText="1"/>
    </xf>
    <xf numFmtId="0" fontId="21" fillId="7" borderId="4" xfId="0" applyFont="1" applyFill="1" applyBorder="1" applyAlignment="1">
      <alignment wrapText="1"/>
    </xf>
    <xf numFmtId="44" fontId="16" fillId="7" borderId="2" xfId="1" applyFont="1" applyFill="1" applyBorder="1" applyAlignment="1">
      <alignment horizontal="left"/>
    </xf>
    <xf numFmtId="44" fontId="20" fillId="0" borderId="0" xfId="1" applyFont="1"/>
    <xf numFmtId="44" fontId="21" fillId="0" borderId="0" xfId="0" applyNumberFormat="1" applyFont="1" applyAlignment="1">
      <alignment horizontal="center"/>
    </xf>
    <xf numFmtId="44" fontId="82" fillId="0" borderId="2" xfId="1" applyFont="1" applyFill="1" applyBorder="1" applyAlignment="1">
      <alignment horizontal="left"/>
    </xf>
    <xf numFmtId="0" fontId="14" fillId="0" borderId="0" xfId="0" applyFont="1" applyAlignment="1">
      <alignment wrapText="1"/>
    </xf>
    <xf numFmtId="0" fontId="21" fillId="0" borderId="0" xfId="0" applyFont="1" applyAlignment="1">
      <alignment wrapText="1"/>
    </xf>
    <xf numFmtId="0" fontId="83" fillId="0" borderId="0" xfId="22" applyAlignment="1">
      <alignment horizontal="left" vertical="top"/>
    </xf>
    <xf numFmtId="0" fontId="83" fillId="0" borderId="4" xfId="22" applyBorder="1" applyAlignment="1">
      <alignment horizontal="left" vertical="top"/>
    </xf>
    <xf numFmtId="0" fontId="83" fillId="0" borderId="4" xfId="22" applyBorder="1" applyAlignment="1">
      <alignment horizontal="center" vertical="center"/>
    </xf>
    <xf numFmtId="2" fontId="83" fillId="0" borderId="4" xfId="22" applyNumberFormat="1" applyBorder="1" applyAlignment="1">
      <alignment horizontal="center" vertical="center"/>
    </xf>
    <xf numFmtId="43" fontId="83" fillId="0" borderId="4" xfId="15" applyFont="1" applyBorder="1" applyAlignment="1">
      <alignment horizontal="center" vertical="center"/>
    </xf>
    <xf numFmtId="43" fontId="83" fillId="0" borderId="4" xfId="15" applyFont="1" applyBorder="1" applyAlignment="1">
      <alignment horizontal="center" vertical="top"/>
    </xf>
    <xf numFmtId="4" fontId="26" fillId="0" borderId="0" xfId="0" applyNumberFormat="1" applyFont="1"/>
    <xf numFmtId="0" fontId="84" fillId="0" borderId="108" xfId="22" applyFont="1" applyBorder="1" applyAlignment="1">
      <alignment horizontal="left" vertical="top" wrapText="1"/>
    </xf>
    <xf numFmtId="0" fontId="84" fillId="0" borderId="109" xfId="22" applyFont="1" applyBorder="1" applyAlignment="1">
      <alignment horizontal="left" vertical="top" wrapText="1"/>
    </xf>
    <xf numFmtId="4" fontId="85" fillId="0" borderId="109" xfId="22" applyNumberFormat="1" applyFont="1" applyBorder="1" applyAlignment="1">
      <alignment horizontal="center" vertical="top" shrinkToFit="1"/>
    </xf>
    <xf numFmtId="2" fontId="85" fillId="0" borderId="109" xfId="22" applyNumberFormat="1" applyFont="1" applyBorder="1" applyAlignment="1">
      <alignment horizontal="center" vertical="top" shrinkToFit="1"/>
    </xf>
    <xf numFmtId="43" fontId="88" fillId="2" borderId="4" xfId="22" applyNumberFormat="1" applyFont="1" applyFill="1" applyBorder="1" applyAlignment="1">
      <alignment horizontal="left" vertical="top"/>
    </xf>
    <xf numFmtId="44" fontId="90" fillId="0" borderId="2" xfId="1" applyFont="1" applyFill="1" applyBorder="1" applyAlignment="1">
      <alignment horizontal="left"/>
    </xf>
    <xf numFmtId="0" fontId="49" fillId="0" borderId="6" xfId="0" applyFont="1" applyBorder="1" applyAlignment="1">
      <alignment horizontal="left"/>
    </xf>
    <xf numFmtId="0" fontId="49" fillId="0" borderId="3" xfId="0" applyFont="1" applyBorder="1" applyAlignment="1">
      <alignment horizontal="center" vertical="center"/>
    </xf>
    <xf numFmtId="44" fontId="49" fillId="0" borderId="6" xfId="1" applyFont="1" applyBorder="1" applyAlignment="1">
      <alignment horizontal="center" vertical="center"/>
    </xf>
    <xf numFmtId="0" fontId="49" fillId="0" borderId="6" xfId="0" applyFont="1" applyBorder="1" applyAlignment="1">
      <alignment horizontal="left" vertical="center"/>
    </xf>
    <xf numFmtId="44" fontId="49" fillId="0" borderId="3" xfId="1" applyFont="1" applyBorder="1" applyAlignment="1">
      <alignment horizontal="center" vertical="center"/>
    </xf>
    <xf numFmtId="0" fontId="49" fillId="0" borderId="3" xfId="0" applyFont="1" applyBorder="1" applyAlignment="1">
      <alignment horizontal="left" vertical="center"/>
    </xf>
    <xf numFmtId="0" fontId="49" fillId="0" borderId="3" xfId="0" applyFont="1" applyBorder="1" applyAlignment="1">
      <alignment horizontal="left"/>
    </xf>
    <xf numFmtId="44" fontId="72" fillId="0" borderId="2" xfId="1" applyFont="1" applyFill="1" applyBorder="1" applyAlignment="1">
      <alignment horizontal="center"/>
    </xf>
    <xf numFmtId="0" fontId="16" fillId="31" borderId="2" xfId="0" applyFont="1" applyFill="1" applyBorder="1" applyAlignment="1">
      <alignment horizontal="left"/>
    </xf>
    <xf numFmtId="43" fontId="0" fillId="0" borderId="0" xfId="15" applyFont="1"/>
    <xf numFmtId="0" fontId="83" fillId="0" borderId="0" xfId="22" applyAlignment="1">
      <alignment horizontal="right" vertical="center"/>
    </xf>
    <xf numFmtId="0" fontId="83" fillId="0" borderId="4" xfId="22" applyBorder="1" applyAlignment="1">
      <alignment horizontal="left" vertical="top" wrapText="1"/>
    </xf>
    <xf numFmtId="10" fontId="11" fillId="8" borderId="2" xfId="13" applyNumberFormat="1" applyFont="1" applyFill="1" applyBorder="1" applyAlignment="1">
      <alignment horizontal="center"/>
    </xf>
    <xf numFmtId="43" fontId="83" fillId="0" borderId="0" xfId="22" applyNumberFormat="1" applyAlignment="1">
      <alignment horizontal="left" vertical="top"/>
    </xf>
    <xf numFmtId="0" fontId="83" fillId="0" borderId="4" xfId="22" applyBorder="1" applyAlignment="1">
      <alignment horizontal="right" vertical="center"/>
    </xf>
    <xf numFmtId="0" fontId="83" fillId="0" borderId="4" xfId="22" applyBorder="1" applyAlignment="1">
      <alignment horizontal="right" vertical="top"/>
    </xf>
    <xf numFmtId="44" fontId="0" fillId="0" borderId="0" xfId="1" applyFont="1"/>
    <xf numFmtId="0" fontId="21" fillId="0" borderId="2" xfId="0" applyFont="1" applyBorder="1" applyAlignment="1">
      <alignment horizontal="left" vertical="center"/>
    </xf>
    <xf numFmtId="0" fontId="21" fillId="0" borderId="0" xfId="0" applyFont="1" applyAlignment="1">
      <alignment vertical="center"/>
    </xf>
    <xf numFmtId="0" fontId="14" fillId="0" borderId="4" xfId="0" applyFont="1" applyBorder="1" applyAlignment="1">
      <alignment vertical="center"/>
    </xf>
    <xf numFmtId="43" fontId="14" fillId="0" borderId="0" xfId="15" applyFont="1" applyFill="1" applyAlignment="1">
      <alignment vertical="center"/>
    </xf>
    <xf numFmtId="0" fontId="19" fillId="0" borderId="3" xfId="1" applyNumberFormat="1" applyFont="1" applyBorder="1" applyAlignment="1">
      <alignment horizontal="left" vertical="center"/>
    </xf>
    <xf numFmtId="44" fontId="62" fillId="0" borderId="74" xfId="1" applyFont="1" applyFill="1" applyBorder="1" applyAlignment="1">
      <alignment horizontal="right" vertical="center"/>
    </xf>
    <xf numFmtId="10" fontId="14" fillId="0" borderId="0" xfId="13" applyNumberFormat="1" applyFont="1"/>
    <xf numFmtId="2" fontId="62" fillId="0" borderId="0" xfId="1" applyNumberFormat="1" applyFont="1" applyAlignment="1">
      <alignment horizontal="center"/>
    </xf>
    <xf numFmtId="2" fontId="15" fillId="0" borderId="74" xfId="0" applyNumberFormat="1" applyFont="1" applyBorder="1" applyAlignment="1">
      <alignment horizontal="center" vertical="center"/>
    </xf>
    <xf numFmtId="44" fontId="30" fillId="0" borderId="2" xfId="1" applyFont="1" applyFill="1" applyBorder="1" applyAlignment="1">
      <alignment horizontal="center"/>
    </xf>
    <xf numFmtId="179" fontId="23" fillId="0" borderId="0" xfId="2" applyNumberFormat="1" applyFont="1" applyFill="1" applyBorder="1" applyAlignment="1">
      <alignment horizontal="center" vertical="center"/>
    </xf>
    <xf numFmtId="0" fontId="49" fillId="0" borderId="3" xfId="0" quotePrefix="1" applyFont="1" applyBorder="1" applyAlignment="1">
      <alignment horizontal="left"/>
    </xf>
    <xf numFmtId="43" fontId="22" fillId="0" borderId="2" xfId="15" applyFont="1" applyFill="1" applyBorder="1" applyAlignment="1">
      <alignment horizontal="center" wrapText="1"/>
    </xf>
    <xf numFmtId="0" fontId="20" fillId="0" borderId="2" xfId="0" applyFont="1" applyBorder="1" applyAlignment="1">
      <alignment horizontal="left" vertical="center"/>
    </xf>
    <xf numFmtId="0" fontId="20" fillId="0" borderId="0" xfId="0" applyFont="1" applyAlignment="1">
      <alignment vertical="center"/>
    </xf>
    <xf numFmtId="44" fontId="19" fillId="0" borderId="3" xfId="1" applyFont="1" applyFill="1" applyBorder="1" applyAlignment="1">
      <alignment horizontal="center" vertical="center"/>
    </xf>
    <xf numFmtId="0" fontId="20" fillId="7" borderId="2" xfId="0" quotePrefix="1" applyFont="1" applyFill="1" applyBorder="1" applyAlignment="1">
      <alignment horizontal="left"/>
    </xf>
    <xf numFmtId="43" fontId="0" fillId="0" borderId="0" xfId="15" applyFont="1" applyFill="1"/>
    <xf numFmtId="0" fontId="81" fillId="0" borderId="0" xfId="0" applyFont="1" applyAlignment="1">
      <alignment horizontal="center" vertical="center"/>
    </xf>
    <xf numFmtId="0" fontId="14" fillId="0" borderId="2" xfId="0" applyFont="1" applyBorder="1" applyAlignment="1">
      <alignment horizontal="center" vertical="center" wrapText="1"/>
    </xf>
    <xf numFmtId="14" fontId="22" fillId="0" borderId="2" xfId="15" applyNumberFormat="1" applyFont="1" applyFill="1" applyBorder="1" applyAlignment="1">
      <alignment horizontal="center"/>
    </xf>
    <xf numFmtId="0" fontId="14" fillId="7" borderId="0" xfId="7" applyFont="1" applyFill="1"/>
    <xf numFmtId="44" fontId="62" fillId="0" borderId="0" xfId="20" applyFont="1" applyFill="1" applyBorder="1" applyAlignment="1">
      <alignment horizontal="right" vertical="center"/>
    </xf>
    <xf numFmtId="0" fontId="14" fillId="0" borderId="0" xfId="7" applyFont="1"/>
    <xf numFmtId="169" fontId="62" fillId="0" borderId="0" xfId="23" applyNumberFormat="1" applyFont="1" applyFill="1" applyBorder="1" applyAlignment="1">
      <alignment horizontal="left" vertical="center"/>
    </xf>
    <xf numFmtId="0" fontId="80" fillId="0" borderId="74" xfId="7" applyFont="1" applyBorder="1" applyAlignment="1">
      <alignment horizontal="center" vertical="center"/>
    </xf>
    <xf numFmtId="0" fontId="80" fillId="0" borderId="74" xfId="7" applyFont="1" applyBorder="1" applyAlignment="1">
      <alignment horizontal="left"/>
    </xf>
    <xf numFmtId="0" fontId="91" fillId="0" borderId="0" xfId="7" applyFont="1"/>
    <xf numFmtId="1" fontId="91" fillId="0" borderId="0" xfId="23" applyNumberFormat="1" applyFont="1" applyFill="1"/>
    <xf numFmtId="0" fontId="91" fillId="0" borderId="0" xfId="7" applyFont="1" applyAlignment="1">
      <alignment horizontal="center"/>
    </xf>
    <xf numFmtId="0" fontId="93" fillId="0" borderId="120" xfId="7" applyFont="1" applyBorder="1" applyAlignment="1">
      <alignment horizontal="center"/>
    </xf>
    <xf numFmtId="1" fontId="93" fillId="0" borderId="121" xfId="23" applyNumberFormat="1" applyFont="1" applyFill="1" applyBorder="1" applyAlignment="1">
      <alignment horizontal="center" vertical="center"/>
    </xf>
    <xf numFmtId="17" fontId="93" fillId="0" borderId="121" xfId="7" applyNumberFormat="1" applyFont="1" applyBorder="1" applyAlignment="1">
      <alignment horizontal="center" vertical="center"/>
    </xf>
    <xf numFmtId="0" fontId="93" fillId="7" borderId="122" xfId="7" applyFont="1" applyFill="1" applyBorder="1" applyAlignment="1">
      <alignment horizontal="left"/>
    </xf>
    <xf numFmtId="0" fontId="93" fillId="0" borderId="3" xfId="7" applyFont="1" applyBorder="1" applyAlignment="1">
      <alignment horizontal="center"/>
    </xf>
    <xf numFmtId="9" fontId="93" fillId="0" borderId="3" xfId="24" applyFont="1" applyFill="1" applyBorder="1" applyAlignment="1">
      <alignment horizontal="center"/>
    </xf>
    <xf numFmtId="1" fontId="91" fillId="0" borderId="123" xfId="23" applyNumberFormat="1" applyFont="1" applyFill="1" applyBorder="1" applyAlignment="1">
      <alignment horizontal="center"/>
    </xf>
    <xf numFmtId="170" fontId="91" fillId="7" borderId="11" xfId="25" applyFont="1" applyFill="1" applyBorder="1" applyAlignment="1">
      <alignment horizontal="center"/>
    </xf>
    <xf numFmtId="170" fontId="93" fillId="0" borderId="124" xfId="7" applyNumberFormat="1" applyFont="1" applyBorder="1" applyAlignment="1">
      <alignment horizontal="center"/>
    </xf>
    <xf numFmtId="170" fontId="91" fillId="0" borderId="11" xfId="25" applyFont="1" applyFill="1" applyBorder="1" applyAlignment="1">
      <alignment horizontal="center"/>
    </xf>
    <xf numFmtId="0" fontId="93" fillId="0" borderId="3" xfId="7" quotePrefix="1" applyFont="1" applyBorder="1" applyAlignment="1">
      <alignment horizontal="center"/>
    </xf>
    <xf numFmtId="0" fontId="93" fillId="0" borderId="122" xfId="7" applyFont="1" applyBorder="1" applyAlignment="1">
      <alignment horizontal="left"/>
    </xf>
    <xf numFmtId="0" fontId="93" fillId="7" borderId="35" xfId="7" applyFont="1" applyFill="1" applyBorder="1" applyAlignment="1">
      <alignment horizontal="left"/>
    </xf>
    <xf numFmtId="9" fontId="93" fillId="0" borderId="125" xfId="24" applyFont="1" applyFill="1" applyBorder="1" applyAlignment="1">
      <alignment horizontal="center"/>
    </xf>
    <xf numFmtId="0" fontId="93" fillId="0" borderId="35" xfId="7" applyFont="1" applyBorder="1" applyAlignment="1">
      <alignment horizontal="left"/>
    </xf>
    <xf numFmtId="170" fontId="93" fillId="7" borderId="124" xfId="7" applyNumberFormat="1" applyFont="1" applyFill="1" applyBorder="1" applyAlignment="1">
      <alignment horizontal="center"/>
    </xf>
    <xf numFmtId="0" fontId="93" fillId="7" borderId="126" xfId="7" applyFont="1" applyFill="1" applyBorder="1" applyAlignment="1">
      <alignment horizontal="left"/>
    </xf>
    <xf numFmtId="0" fontId="93" fillId="0" borderId="125" xfId="7" applyFont="1" applyBorder="1" applyAlignment="1">
      <alignment horizontal="center"/>
    </xf>
    <xf numFmtId="170" fontId="93" fillId="0" borderId="127" xfId="7" applyNumberFormat="1" applyFont="1" applyBorder="1" applyAlignment="1">
      <alignment horizontal="center"/>
    </xf>
    <xf numFmtId="0" fontId="93" fillId="0" borderId="36" xfId="7" applyFont="1" applyBorder="1" applyAlignment="1">
      <alignment horizontal="left"/>
    </xf>
    <xf numFmtId="0" fontId="93" fillId="0" borderId="37" xfId="7" applyFont="1" applyBorder="1" applyAlignment="1">
      <alignment horizontal="center"/>
    </xf>
    <xf numFmtId="9" fontId="93" fillId="0" borderId="37" xfId="24" applyFont="1" applyFill="1" applyBorder="1" applyAlignment="1">
      <alignment horizontal="center"/>
    </xf>
    <xf numFmtId="1" fontId="91" fillId="0" borderId="128" xfId="23" applyNumberFormat="1" applyFont="1" applyFill="1" applyBorder="1" applyAlignment="1">
      <alignment horizontal="center"/>
    </xf>
    <xf numFmtId="170" fontId="91" fillId="0" borderId="129" xfId="25" applyFont="1" applyFill="1" applyBorder="1" applyAlignment="1">
      <alignment horizontal="center"/>
    </xf>
    <xf numFmtId="170" fontId="93" fillId="0" borderId="130" xfId="7" applyNumberFormat="1" applyFont="1" applyBorder="1" applyAlignment="1">
      <alignment horizontal="center"/>
    </xf>
    <xf numFmtId="0" fontId="93" fillId="7" borderId="131" xfId="7" applyFont="1" applyFill="1" applyBorder="1" applyAlignment="1">
      <alignment horizontal="left"/>
    </xf>
    <xf numFmtId="9" fontId="91" fillId="0" borderId="131" xfId="24" applyFont="1" applyFill="1" applyBorder="1" applyAlignment="1">
      <alignment horizontal="center"/>
    </xf>
    <xf numFmtId="9" fontId="91" fillId="0" borderId="118" xfId="24" applyFont="1" applyFill="1" applyBorder="1" applyAlignment="1">
      <alignment horizontal="center"/>
    </xf>
    <xf numFmtId="9" fontId="91" fillId="0" borderId="132" xfId="24" applyFont="1" applyFill="1" applyBorder="1" applyAlignment="1">
      <alignment horizontal="center"/>
    </xf>
    <xf numFmtId="43" fontId="91" fillId="0" borderId="0" xfId="7" applyNumberFormat="1" applyFont="1"/>
    <xf numFmtId="170" fontId="91" fillId="0" borderId="35" xfId="25" applyFont="1" applyFill="1" applyBorder="1" applyAlignment="1">
      <alignment horizontal="center"/>
    </xf>
    <xf numFmtId="170" fontId="93" fillId="0" borderId="133" xfId="25" applyFont="1" applyFill="1" applyBorder="1" applyAlignment="1">
      <alignment horizontal="center"/>
    </xf>
    <xf numFmtId="10" fontId="91" fillId="0" borderId="11" xfId="24" applyNumberFormat="1" applyFont="1" applyFill="1" applyBorder="1" applyAlignment="1">
      <alignment horizontal="center"/>
    </xf>
    <xf numFmtId="0" fontId="91" fillId="0" borderId="43" xfId="7" applyFont="1" applyBorder="1"/>
    <xf numFmtId="0" fontId="91" fillId="0" borderId="44" xfId="7" applyFont="1" applyBorder="1"/>
    <xf numFmtId="0" fontId="91" fillId="0" borderId="45" xfId="7" applyFont="1" applyBorder="1"/>
    <xf numFmtId="170" fontId="91" fillId="0" borderId="36" xfId="25" applyFont="1" applyFill="1" applyBorder="1" applyAlignment="1">
      <alignment horizontal="center"/>
    </xf>
    <xf numFmtId="170" fontId="91" fillId="0" borderId="134" xfId="25" applyFont="1" applyFill="1" applyBorder="1" applyAlignment="1">
      <alignment horizontal="center"/>
    </xf>
    <xf numFmtId="170" fontId="94" fillId="32" borderId="135" xfId="7" applyNumberFormat="1" applyFont="1" applyFill="1" applyBorder="1"/>
    <xf numFmtId="4" fontId="95" fillId="32" borderId="103" xfId="23" applyNumberFormat="1" applyFont="1" applyFill="1" applyBorder="1" applyAlignment="1">
      <alignment horizontal="center"/>
    </xf>
    <xf numFmtId="170" fontId="94" fillId="32" borderId="103" xfId="7" applyNumberFormat="1" applyFont="1" applyFill="1" applyBorder="1"/>
    <xf numFmtId="0" fontId="93" fillId="0" borderId="136" xfId="7" applyFont="1" applyBorder="1" applyAlignment="1">
      <alignment horizontal="center" vertical="center"/>
    </xf>
    <xf numFmtId="0" fontId="93" fillId="0" borderId="120" xfId="7" applyFont="1" applyBorder="1" applyAlignment="1">
      <alignment horizontal="center" vertical="center"/>
    </xf>
    <xf numFmtId="0" fontId="91" fillId="0" borderId="0" xfId="7" applyFont="1" applyAlignment="1">
      <alignment horizontal="center" vertical="center"/>
    </xf>
    <xf numFmtId="0" fontId="93" fillId="0" borderId="11" xfId="7" applyFont="1" applyBorder="1" applyAlignment="1">
      <alignment horizontal="center"/>
    </xf>
    <xf numFmtId="0" fontId="93" fillId="0" borderId="137" xfId="7" applyFont="1" applyBorder="1" applyAlignment="1">
      <alignment horizontal="center"/>
    </xf>
    <xf numFmtId="0" fontId="93" fillId="0" borderId="129" xfId="7" applyFont="1" applyBorder="1" applyAlignment="1">
      <alignment horizontal="center"/>
    </xf>
    <xf numFmtId="0" fontId="93" fillId="0" borderId="139" xfId="7" applyFont="1" applyBorder="1" applyAlignment="1">
      <alignment horizontal="center" vertical="center"/>
    </xf>
    <xf numFmtId="0" fontId="93" fillId="0" borderId="140" xfId="7" applyFont="1" applyBorder="1" applyAlignment="1">
      <alignment horizontal="center" vertical="center" wrapText="1"/>
    </xf>
    <xf numFmtId="0" fontId="93" fillId="0" borderId="127" xfId="7" applyFont="1" applyBorder="1" applyAlignment="1">
      <alignment horizontal="center"/>
    </xf>
    <xf numFmtId="0" fontId="93" fillId="0" borderId="141" xfId="7" applyFont="1" applyBorder="1" applyAlignment="1">
      <alignment horizontal="center"/>
    </xf>
    <xf numFmtId="0" fontId="93" fillId="0" borderId="130" xfId="7" applyFont="1" applyBorder="1" applyAlignment="1">
      <alignment horizontal="center"/>
    </xf>
    <xf numFmtId="4" fontId="95" fillId="32" borderId="104" xfId="23" applyNumberFormat="1" applyFont="1" applyFill="1" applyBorder="1" applyAlignment="1">
      <alignment horizontal="center"/>
    </xf>
    <xf numFmtId="1" fontId="91" fillId="0" borderId="0" xfId="23" applyNumberFormat="1" applyFont="1" applyFill="1" applyAlignment="1">
      <alignment vertical="center"/>
    </xf>
    <xf numFmtId="0" fontId="91" fillId="0" borderId="0" xfId="7" applyFont="1" applyAlignment="1">
      <alignment vertical="center"/>
    </xf>
    <xf numFmtId="9" fontId="93" fillId="13" borderId="138" xfId="24" applyFont="1" applyFill="1" applyBorder="1" applyAlignment="1">
      <alignment horizontal="center"/>
    </xf>
    <xf numFmtId="0" fontId="93" fillId="13" borderId="138" xfId="7" applyFont="1" applyFill="1" applyBorder="1" applyAlignment="1">
      <alignment horizontal="center"/>
    </xf>
    <xf numFmtId="0" fontId="93" fillId="13" borderId="138" xfId="7" quotePrefix="1" applyFont="1" applyFill="1" applyBorder="1" applyAlignment="1">
      <alignment horizontal="center"/>
    </xf>
    <xf numFmtId="9" fontId="93" fillId="13" borderId="132" xfId="24" applyFont="1" applyFill="1" applyBorder="1" applyAlignment="1">
      <alignment horizontal="center"/>
    </xf>
    <xf numFmtId="1" fontId="91" fillId="13" borderId="123" xfId="23" applyNumberFormat="1" applyFont="1" applyFill="1" applyBorder="1" applyAlignment="1">
      <alignment horizontal="center"/>
    </xf>
    <xf numFmtId="170" fontId="91" fillId="13" borderId="11" xfId="25" applyFont="1" applyFill="1" applyBorder="1" applyAlignment="1">
      <alignment horizontal="center"/>
    </xf>
    <xf numFmtId="170" fontId="93" fillId="13" borderId="124" xfId="7" applyNumberFormat="1" applyFont="1" applyFill="1" applyBorder="1" applyAlignment="1">
      <alignment horizontal="center"/>
    </xf>
    <xf numFmtId="10" fontId="91" fillId="0" borderId="0" xfId="7" applyNumberFormat="1" applyFont="1"/>
    <xf numFmtId="0" fontId="93" fillId="13" borderId="142" xfId="7" applyFont="1" applyFill="1" applyBorder="1" applyAlignment="1">
      <alignment horizontal="left"/>
    </xf>
    <xf numFmtId="9" fontId="93" fillId="13" borderId="11" xfId="24" applyFont="1" applyFill="1" applyBorder="1" applyAlignment="1">
      <alignment horizontal="center"/>
    </xf>
    <xf numFmtId="0" fontId="93" fillId="13" borderId="2" xfId="7" applyFont="1" applyFill="1" applyBorder="1" applyAlignment="1">
      <alignment horizontal="center"/>
    </xf>
    <xf numFmtId="9" fontId="93" fillId="13" borderId="2" xfId="24" applyFont="1" applyFill="1" applyBorder="1" applyAlignment="1">
      <alignment horizontal="center"/>
    </xf>
    <xf numFmtId="43" fontId="16" fillId="0" borderId="2" xfId="15" applyFont="1" applyFill="1" applyBorder="1" applyAlignment="1">
      <alignment horizontal="center"/>
    </xf>
    <xf numFmtId="0" fontId="96" fillId="0" borderId="3" xfId="0" applyFont="1" applyBorder="1" applyAlignment="1">
      <alignment horizontal="center" vertical="center"/>
    </xf>
    <xf numFmtId="0" fontId="22" fillId="0" borderId="3" xfId="0" applyFont="1" applyBorder="1" applyAlignment="1">
      <alignment horizontal="left"/>
    </xf>
    <xf numFmtId="0" fontId="22" fillId="0" borderId="3" xfId="0" applyFont="1" applyBorder="1" applyAlignment="1">
      <alignment horizontal="center" vertical="center"/>
    </xf>
    <xf numFmtId="0" fontId="22" fillId="0" borderId="6" xfId="0" applyFont="1" applyBorder="1" applyAlignment="1">
      <alignment horizontal="left" vertical="center"/>
    </xf>
    <xf numFmtId="0" fontId="22" fillId="0" borderId="6" xfId="0" applyFont="1" applyBorder="1" applyAlignment="1">
      <alignment horizontal="center" vertical="center"/>
    </xf>
    <xf numFmtId="14" fontId="22" fillId="0" borderId="6" xfId="0" applyNumberFormat="1" applyFont="1" applyBorder="1" applyAlignment="1">
      <alignment horizontal="center" vertical="center"/>
    </xf>
    <xf numFmtId="43" fontId="16" fillId="19" borderId="2" xfId="15" applyFont="1" applyFill="1" applyBorder="1" applyAlignment="1">
      <alignment horizontal="center"/>
    </xf>
    <xf numFmtId="43" fontId="26" fillId="0" borderId="0" xfId="15" applyFont="1"/>
    <xf numFmtId="10" fontId="9" fillId="0" borderId="0" xfId="13" applyNumberFormat="1" applyFont="1"/>
    <xf numFmtId="176" fontId="7" fillId="0" borderId="96" xfId="0" applyNumberFormat="1" applyFont="1" applyBorder="1" applyAlignment="1">
      <alignment horizontal="left"/>
    </xf>
    <xf numFmtId="183" fontId="22" fillId="0" borderId="2" xfId="0" applyNumberFormat="1" applyFont="1" applyBorder="1" applyAlignment="1">
      <alignment horizontal="center"/>
    </xf>
    <xf numFmtId="0" fontId="74" fillId="0" borderId="0" xfId="0" applyFont="1" applyAlignment="1">
      <alignment vertical="center"/>
    </xf>
    <xf numFmtId="0" fontId="74" fillId="0" borderId="96" xfId="0" applyFont="1" applyBorder="1" applyAlignment="1">
      <alignment horizontal="left" vertical="center"/>
    </xf>
    <xf numFmtId="177" fontId="61" fillId="0" borderId="96" xfId="0" applyNumberFormat="1" applyFont="1" applyBorder="1" applyAlignment="1">
      <alignment horizontal="center" vertical="center"/>
    </xf>
    <xf numFmtId="177" fontId="7" fillId="0" borderId="96" xfId="0" applyNumberFormat="1" applyFont="1" applyBorder="1" applyAlignment="1">
      <alignment horizontal="center" vertical="center"/>
    </xf>
    <xf numFmtId="176" fontId="7" fillId="0" borderId="96" xfId="0" applyNumberFormat="1" applyFont="1" applyBorder="1" applyAlignment="1">
      <alignment horizontal="left" vertical="center"/>
    </xf>
    <xf numFmtId="176" fontId="61" fillId="0" borderId="96" xfId="0" applyNumberFormat="1" applyFont="1" applyBorder="1" applyAlignment="1">
      <alignment horizontal="left" vertical="center"/>
    </xf>
    <xf numFmtId="0" fontId="74" fillId="0" borderId="106" xfId="0" applyFont="1" applyBorder="1" applyAlignment="1">
      <alignment vertical="center"/>
    </xf>
    <xf numFmtId="177" fontId="74" fillId="0" borderId="0" xfId="0" applyNumberFormat="1" applyFont="1" applyAlignment="1">
      <alignment vertical="center"/>
    </xf>
    <xf numFmtId="0" fontId="13" fillId="0" borderId="0" xfId="0" applyFont="1" applyAlignment="1">
      <alignment horizontal="right"/>
    </xf>
    <xf numFmtId="184" fontId="26" fillId="0" borderId="0" xfId="2" applyNumberFormat="1" applyFont="1" applyFill="1" applyBorder="1" applyAlignment="1">
      <alignment horizontal="center" vertical="center"/>
    </xf>
    <xf numFmtId="3" fontId="21" fillId="0" borderId="90" xfId="8" applyNumberFormat="1" applyFont="1" applyBorder="1" applyAlignment="1">
      <alignment horizontal="center"/>
    </xf>
    <xf numFmtId="0" fontId="32" fillId="0" borderId="90" xfId="8" applyFont="1" applyBorder="1" applyAlignment="1">
      <alignment horizontal="right"/>
    </xf>
    <xf numFmtId="179" fontId="26" fillId="0" borderId="0" xfId="2" applyNumberFormat="1" applyFont="1" applyFill="1" applyBorder="1" applyAlignment="1">
      <alignment horizontal="left" vertical="center"/>
    </xf>
    <xf numFmtId="40" fontId="98" fillId="0" borderId="0" xfId="26" applyNumberFormat="1" applyFont="1" applyFill="1" applyAlignment="1">
      <alignment horizontal="center" vertical="center"/>
    </xf>
    <xf numFmtId="40" fontId="30" fillId="0" borderId="0" xfId="26" applyNumberFormat="1" applyFont="1" applyFill="1" applyAlignment="1">
      <alignment vertical="center"/>
    </xf>
    <xf numFmtId="40" fontId="30" fillId="0" borderId="143" xfId="26" applyNumberFormat="1" applyFont="1" applyFill="1" applyBorder="1" applyAlignment="1">
      <alignment horizontal="left" vertical="center"/>
    </xf>
    <xf numFmtId="40" fontId="30" fillId="0" borderId="39" xfId="26" applyNumberFormat="1" applyFont="1" applyFill="1" applyBorder="1" applyAlignment="1">
      <alignment horizontal="left" vertical="center"/>
    </xf>
    <xf numFmtId="0" fontId="21" fillId="0" borderId="39" xfId="0" applyFont="1" applyBorder="1" applyAlignment="1">
      <alignment vertical="center"/>
    </xf>
    <xf numFmtId="40" fontId="30" fillId="0" borderId="0" xfId="26" applyNumberFormat="1" applyFont="1" applyFill="1" applyAlignment="1">
      <alignment horizontal="left" vertical="center"/>
    </xf>
    <xf numFmtId="40" fontId="30" fillId="4" borderId="4" xfId="26" applyNumberFormat="1" applyFont="1" applyFill="1" applyBorder="1" applyAlignment="1">
      <alignment horizontal="center" vertical="center"/>
    </xf>
    <xf numFmtId="40" fontId="21" fillId="0" borderId="0" xfId="26" applyNumberFormat="1" applyFont="1" applyFill="1" applyAlignment="1">
      <alignment horizontal="left" vertical="center"/>
    </xf>
    <xf numFmtId="0" fontId="21" fillId="0" borderId="0" xfId="26" applyNumberFormat="1" applyFont="1" applyFill="1" applyAlignment="1">
      <alignment horizontal="center" vertical="center"/>
    </xf>
    <xf numFmtId="0" fontId="21" fillId="0" borderId="4" xfId="26" applyNumberFormat="1" applyFont="1" applyFill="1" applyBorder="1" applyAlignment="1">
      <alignment horizontal="center" vertical="center"/>
    </xf>
    <xf numFmtId="40" fontId="30" fillId="0" borderId="44" xfId="26" applyNumberFormat="1" applyFont="1" applyFill="1" applyBorder="1" applyAlignment="1">
      <alignment horizontal="left" vertical="center"/>
    </xf>
    <xf numFmtId="0" fontId="21" fillId="0" borderId="44" xfId="26" applyNumberFormat="1" applyFont="1" applyFill="1" applyBorder="1" applyAlignment="1">
      <alignment horizontal="center" vertical="center"/>
    </xf>
    <xf numFmtId="0" fontId="21" fillId="0" borderId="144" xfId="26" applyNumberFormat="1" applyFont="1" applyFill="1" applyBorder="1" applyAlignment="1">
      <alignment horizontal="center" vertical="center"/>
    </xf>
    <xf numFmtId="40" fontId="98" fillId="0" borderId="0" xfId="26" applyNumberFormat="1" applyFont="1" applyFill="1" applyAlignment="1">
      <alignment horizontal="left" vertical="center"/>
    </xf>
    <xf numFmtId="40" fontId="21" fillId="0" borderId="0" xfId="26" applyNumberFormat="1" applyFont="1" applyFill="1" applyAlignment="1">
      <alignment horizontal="center" vertical="center"/>
    </xf>
    <xf numFmtId="40" fontId="99" fillId="0" borderId="0" xfId="26" applyNumberFormat="1" applyFont="1" applyFill="1" applyAlignment="1">
      <alignment horizontal="left" vertical="center"/>
    </xf>
    <xf numFmtId="14" fontId="21" fillId="0" borderId="4" xfId="26" applyNumberFormat="1" applyFont="1" applyFill="1" applyBorder="1" applyAlignment="1">
      <alignment horizontal="center" vertical="center"/>
    </xf>
    <xf numFmtId="0" fontId="48" fillId="0" borderId="0" xfId="0" applyFont="1" applyAlignment="1">
      <alignment vertical="center"/>
    </xf>
    <xf numFmtId="186" fontId="21" fillId="0" borderId="4" xfId="26" applyNumberFormat="1" applyFont="1" applyFill="1" applyBorder="1" applyAlignment="1">
      <alignment horizontal="center" vertical="center"/>
    </xf>
    <xf numFmtId="187" fontId="21" fillId="0" borderId="4" xfId="26" applyNumberFormat="1" applyFont="1" applyFill="1" applyBorder="1" applyAlignment="1">
      <alignment horizontal="center" vertical="center"/>
    </xf>
    <xf numFmtId="40" fontId="21" fillId="0" borderId="4" xfId="26" applyNumberFormat="1" applyFont="1" applyFill="1" applyBorder="1" applyAlignment="1">
      <alignment horizontal="center" vertical="center"/>
    </xf>
    <xf numFmtId="188" fontId="100" fillId="0" borderId="0" xfId="0" applyNumberFormat="1" applyFont="1" applyAlignment="1">
      <alignment horizontal="left" vertical="center"/>
    </xf>
    <xf numFmtId="188" fontId="21" fillId="0" borderId="0" xfId="0" applyNumberFormat="1" applyFont="1" applyAlignment="1">
      <alignment vertical="center"/>
    </xf>
    <xf numFmtId="188" fontId="21" fillId="0" borderId="0" xfId="0" applyNumberFormat="1" applyFont="1" applyAlignment="1">
      <alignment horizontal="left" vertical="center"/>
    </xf>
    <xf numFmtId="188" fontId="48" fillId="0" borderId="0" xfId="0" applyNumberFormat="1" applyFont="1" applyAlignment="1">
      <alignment vertical="center"/>
    </xf>
    <xf numFmtId="38" fontId="21" fillId="0" borderId="4" xfId="26" applyNumberFormat="1" applyFont="1" applyFill="1" applyBorder="1" applyAlignment="1">
      <alignment horizontal="center" vertical="center"/>
    </xf>
    <xf numFmtId="0" fontId="30" fillId="0" borderId="0" xfId="0" applyFont="1" applyAlignment="1">
      <alignment vertical="center"/>
    </xf>
    <xf numFmtId="3" fontId="21" fillId="0" borderId="4" xfId="26" applyNumberFormat="1" applyFont="1" applyFill="1" applyBorder="1" applyAlignment="1">
      <alignment horizontal="center" vertical="center"/>
    </xf>
    <xf numFmtId="0" fontId="21" fillId="0" borderId="0" xfId="0" applyFont="1" applyAlignment="1">
      <alignment horizontal="center" vertical="center"/>
    </xf>
    <xf numFmtId="0" fontId="14" fillId="0" borderId="8" xfId="0" applyFont="1" applyBorder="1"/>
    <xf numFmtId="0" fontId="14" fillId="0" borderId="0" xfId="0" applyFont="1" applyAlignment="1">
      <alignment horizontal="left" vertical="center"/>
    </xf>
    <xf numFmtId="0" fontId="14" fillId="0" borderId="0" xfId="0" applyFont="1" applyAlignment="1">
      <alignment horizontal="center" vertical="center"/>
    </xf>
    <xf numFmtId="38" fontId="21" fillId="0" borderId="4" xfId="26" applyNumberFormat="1" applyFont="1" applyFill="1" applyBorder="1" applyAlignment="1">
      <alignment horizontal="center" vertical="center" wrapText="1"/>
    </xf>
    <xf numFmtId="0" fontId="9" fillId="0" borderId="0" xfId="0" applyFont="1"/>
    <xf numFmtId="0" fontId="9" fillId="0" borderId="0" xfId="0" applyFont="1" applyAlignment="1">
      <alignment horizontal="center" vertical="center"/>
    </xf>
    <xf numFmtId="0" fontId="101" fillId="0" borderId="0" xfId="27" applyFont="1" applyAlignment="1">
      <alignment horizontal="center"/>
    </xf>
    <xf numFmtId="188" fontId="102" fillId="0" borderId="38" xfId="27" applyNumberFormat="1" applyFont="1" applyBorder="1" applyAlignment="1">
      <alignment horizontal="center"/>
    </xf>
    <xf numFmtId="0" fontId="102" fillId="0" borderId="39" xfId="27" applyFont="1" applyBorder="1"/>
    <xf numFmtId="0" fontId="103" fillId="0" borderId="39" xfId="27" applyFont="1" applyBorder="1" applyAlignment="1">
      <alignment horizontal="right"/>
    </xf>
    <xf numFmtId="0" fontId="103" fillId="0" borderId="40" xfId="27" applyFont="1" applyBorder="1" applyAlignment="1">
      <alignment horizontal="right"/>
    </xf>
    <xf numFmtId="188" fontId="102" fillId="0" borderId="41" xfId="27" applyNumberFormat="1" applyFont="1" applyBorder="1" applyAlignment="1">
      <alignment horizontal="center"/>
    </xf>
    <xf numFmtId="0" fontId="102" fillId="0" borderId="0" xfId="27" applyFont="1"/>
    <xf numFmtId="0" fontId="103" fillId="0" borderId="0" xfId="27" applyFont="1" applyAlignment="1">
      <alignment horizontal="right"/>
    </xf>
    <xf numFmtId="0" fontId="1" fillId="0" borderId="0" xfId="27"/>
    <xf numFmtId="14" fontId="103" fillId="0" borderId="0" xfId="27" applyNumberFormat="1" applyFont="1" applyAlignment="1">
      <alignment horizontal="right"/>
    </xf>
    <xf numFmtId="14" fontId="103" fillId="0" borderId="42" xfId="27" applyNumberFormat="1" applyFont="1" applyBorder="1" applyAlignment="1">
      <alignment horizontal="right"/>
    </xf>
    <xf numFmtId="188" fontId="104" fillId="0" borderId="41" xfId="27" applyNumberFormat="1" applyFont="1" applyBorder="1"/>
    <xf numFmtId="188" fontId="104" fillId="0" borderId="0" xfId="27" applyNumberFormat="1" applyFont="1"/>
    <xf numFmtId="0" fontId="103" fillId="0" borderId="42" xfId="27" applyFont="1" applyBorder="1" applyAlignment="1">
      <alignment horizontal="right"/>
    </xf>
    <xf numFmtId="49" fontId="103" fillId="0" borderId="44" xfId="27" applyNumberFormat="1" applyFont="1" applyBorder="1" applyAlignment="1">
      <alignment horizontal="right"/>
    </xf>
    <xf numFmtId="49" fontId="103" fillId="0" borderId="42" xfId="27" applyNumberFormat="1" applyFont="1" applyBorder="1" applyAlignment="1">
      <alignment horizontal="right"/>
    </xf>
    <xf numFmtId="0" fontId="105" fillId="0" borderId="0" xfId="27" applyFont="1" applyAlignment="1">
      <alignment horizontal="center"/>
    </xf>
    <xf numFmtId="188" fontId="106" fillId="33" borderId="104" xfId="27" applyNumberFormat="1" applyFont="1" applyFill="1" applyBorder="1" applyAlignment="1">
      <alignment horizontal="center" vertical="center"/>
    </xf>
    <xf numFmtId="0" fontId="101" fillId="0" borderId="42" xfId="27" applyFont="1" applyBorder="1" applyAlignment="1">
      <alignment horizontal="center"/>
    </xf>
    <xf numFmtId="188" fontId="107" fillId="0" borderId="41" xfId="27" applyNumberFormat="1" applyFont="1" applyBorder="1" applyAlignment="1">
      <alignment horizontal="center"/>
    </xf>
    <xf numFmtId="0" fontId="107" fillId="0" borderId="0" xfId="27" applyFont="1"/>
    <xf numFmtId="43" fontId="107" fillId="0" borderId="0" xfId="28" applyFont="1" applyBorder="1"/>
    <xf numFmtId="165" fontId="107" fillId="0" borderId="0" xfId="27" applyNumberFormat="1" applyFont="1"/>
    <xf numFmtId="165" fontId="107" fillId="0" borderId="39" xfId="27" applyNumberFormat="1" applyFont="1" applyBorder="1"/>
    <xf numFmtId="165" fontId="107" fillId="0" borderId="42" xfId="27" applyNumberFormat="1" applyFont="1" applyBorder="1"/>
    <xf numFmtId="188" fontId="108" fillId="33" borderId="41" xfId="27" applyNumberFormat="1" applyFont="1" applyFill="1" applyBorder="1" applyAlignment="1">
      <alignment horizontal="left"/>
    </xf>
    <xf numFmtId="0" fontId="108" fillId="33" borderId="0" xfId="27" applyFont="1" applyFill="1"/>
    <xf numFmtId="43" fontId="108" fillId="33" borderId="0" xfId="28" applyFont="1" applyFill="1" applyBorder="1"/>
    <xf numFmtId="189" fontId="108" fillId="33" borderId="0" xfId="28" applyNumberFormat="1" applyFont="1" applyFill="1" applyBorder="1" applyAlignment="1">
      <alignment horizontal="center"/>
    </xf>
    <xf numFmtId="43" fontId="109" fillId="33" borderId="0" xfId="28" applyFont="1" applyFill="1" applyBorder="1"/>
    <xf numFmtId="165" fontId="109" fillId="33" borderId="0" xfId="27" applyNumberFormat="1" applyFont="1" applyFill="1"/>
    <xf numFmtId="165" fontId="109" fillId="33" borderId="42" xfId="27" applyNumberFormat="1" applyFont="1" applyFill="1" applyBorder="1"/>
    <xf numFmtId="165" fontId="107" fillId="0" borderId="44" xfId="27" applyNumberFormat="1" applyFont="1" applyBorder="1"/>
    <xf numFmtId="165" fontId="106" fillId="33" borderId="104" xfId="27" applyNumberFormat="1" applyFont="1" applyFill="1" applyBorder="1" applyAlignment="1">
      <alignment horizontal="center" vertical="center" wrapText="1"/>
    </xf>
    <xf numFmtId="165" fontId="106" fillId="33" borderId="105" xfId="27" applyNumberFormat="1" applyFont="1" applyFill="1" applyBorder="1" applyAlignment="1">
      <alignment horizontal="center" vertical="center" wrapText="1"/>
    </xf>
    <xf numFmtId="188" fontId="110" fillId="0" borderId="41" xfId="27" applyNumberFormat="1" applyFont="1" applyBorder="1" applyAlignment="1">
      <alignment horizontal="center"/>
    </xf>
    <xf numFmtId="0" fontId="110" fillId="0" borderId="0" xfId="27" applyFont="1"/>
    <xf numFmtId="43" fontId="110" fillId="0" borderId="0" xfId="28" applyFont="1" applyBorder="1" applyAlignment="1"/>
    <xf numFmtId="165" fontId="110" fillId="0" borderId="0" xfId="27" applyNumberFormat="1" applyFont="1"/>
    <xf numFmtId="165" fontId="110" fillId="0" borderId="39" xfId="27" applyNumberFormat="1" applyFont="1" applyBorder="1"/>
    <xf numFmtId="165" fontId="110" fillId="0" borderId="40" xfId="27" applyNumberFormat="1" applyFont="1" applyBorder="1"/>
    <xf numFmtId="188" fontId="106" fillId="33" borderId="41" xfId="27" applyNumberFormat="1" applyFont="1" applyFill="1" applyBorder="1" applyAlignment="1">
      <alignment horizontal="left"/>
    </xf>
    <xf numFmtId="0" fontId="106" fillId="33" borderId="0" xfId="27" applyFont="1" applyFill="1"/>
    <xf numFmtId="43" fontId="106" fillId="33" borderId="0" xfId="28" applyFont="1" applyFill="1" applyBorder="1" applyAlignment="1"/>
    <xf numFmtId="165" fontId="106" fillId="33" borderId="135" xfId="27" applyNumberFormat="1" applyFont="1" applyFill="1" applyBorder="1"/>
    <xf numFmtId="165" fontId="106" fillId="33" borderId="0" xfId="27" applyNumberFormat="1" applyFont="1" applyFill="1"/>
    <xf numFmtId="188" fontId="102" fillId="0" borderId="41" xfId="27" applyNumberFormat="1" applyFont="1" applyBorder="1" applyAlignment="1">
      <alignment horizontal="left"/>
    </xf>
    <xf numFmtId="4" fontId="102" fillId="0" borderId="0" xfId="28" applyNumberFormat="1" applyFont="1" applyFill="1" applyBorder="1" applyAlignment="1">
      <alignment horizontal="center"/>
    </xf>
    <xf numFmtId="1" fontId="102" fillId="0" borderId="0" xfId="28" applyNumberFormat="1" applyFont="1" applyFill="1" applyBorder="1" applyAlignment="1">
      <alignment horizontal="center"/>
    </xf>
    <xf numFmtId="9" fontId="102" fillId="0" borderId="0" xfId="29" applyFont="1" applyFill="1" applyBorder="1" applyAlignment="1">
      <alignment horizontal="center"/>
    </xf>
    <xf numFmtId="4" fontId="102" fillId="0" borderId="39" xfId="28" applyNumberFormat="1" applyFont="1" applyFill="1" applyBorder="1" applyAlignment="1">
      <alignment horizontal="center"/>
    </xf>
    <xf numFmtId="4" fontId="102" fillId="0" borderId="42" xfId="28" applyNumberFormat="1" applyFont="1" applyFill="1" applyBorder="1" applyAlignment="1">
      <alignment horizontal="center"/>
    </xf>
    <xf numFmtId="43" fontId="102" fillId="0" borderId="0" xfId="15" applyFont="1" applyFill="1" applyBorder="1" applyAlignment="1">
      <alignment horizontal="center"/>
    </xf>
    <xf numFmtId="4" fontId="102" fillId="0" borderId="143" xfId="28" applyNumberFormat="1" applyFont="1" applyFill="1" applyBorder="1" applyAlignment="1">
      <alignment horizontal="center"/>
    </xf>
    <xf numFmtId="188" fontId="108" fillId="34" borderId="145" xfId="27" applyNumberFormat="1" applyFont="1" applyFill="1" applyBorder="1" applyAlignment="1">
      <alignment vertical="center"/>
    </xf>
    <xf numFmtId="188" fontId="108" fillId="34" borderId="146" xfId="27" applyNumberFormat="1" applyFont="1" applyFill="1" applyBorder="1" applyAlignment="1">
      <alignment vertical="center"/>
    </xf>
    <xf numFmtId="4" fontId="108" fillId="34" borderId="147" xfId="28" applyNumberFormat="1" applyFont="1" applyFill="1" applyBorder="1" applyAlignment="1">
      <alignment horizontal="center" vertical="center"/>
    </xf>
    <xf numFmtId="9" fontId="108" fillId="34" borderId="147" xfId="29" applyFont="1" applyFill="1" applyBorder="1" applyAlignment="1">
      <alignment horizontal="center" vertical="center"/>
    </xf>
    <xf numFmtId="188" fontId="111" fillId="0" borderId="0" xfId="27" applyNumberFormat="1" applyFont="1" applyAlignment="1">
      <alignment horizontal="left"/>
    </xf>
    <xf numFmtId="0" fontId="111" fillId="0" borderId="0" xfId="27" applyFont="1"/>
    <xf numFmtId="43" fontId="112" fillId="0" borderId="0" xfId="28" applyFont="1" applyFill="1" applyBorder="1"/>
    <xf numFmtId="165" fontId="1" fillId="0" borderId="0" xfId="27" applyNumberFormat="1"/>
    <xf numFmtId="43" fontId="1" fillId="0" borderId="0" xfId="28" applyFont="1" applyBorder="1"/>
    <xf numFmtId="9" fontId="103" fillId="0" borderId="4" xfId="29" applyFont="1" applyBorder="1" applyAlignment="1">
      <alignment horizontal="center" vertical="center"/>
    </xf>
    <xf numFmtId="0" fontId="15" fillId="35" borderId="80" xfId="8" applyFont="1" applyFill="1" applyBorder="1" applyAlignment="1">
      <alignment horizontal="center" vertical="center" wrapText="1"/>
    </xf>
    <xf numFmtId="0" fontId="80" fillId="0" borderId="148" xfId="0" applyFont="1" applyBorder="1" applyAlignment="1">
      <alignment horizontal="left"/>
    </xf>
    <xf numFmtId="0" fontId="15" fillId="35" borderId="116" xfId="0" applyFont="1" applyFill="1" applyBorder="1" applyAlignment="1">
      <alignment horizontal="centerContinuous" vertical="center"/>
    </xf>
    <xf numFmtId="0" fontId="15" fillId="35" borderId="116" xfId="0" applyFont="1" applyFill="1" applyBorder="1" applyAlignment="1">
      <alignment horizontal="centerContinuous"/>
    </xf>
    <xf numFmtId="0" fontId="15" fillId="35" borderId="79" xfId="8" applyFont="1" applyFill="1" applyBorder="1" applyAlignment="1">
      <alignment horizontal="center" vertical="center" wrapText="1"/>
    </xf>
    <xf numFmtId="0" fontId="15" fillId="35" borderId="79" xfId="8" applyFont="1" applyFill="1" applyBorder="1" applyAlignment="1">
      <alignment horizontal="center" vertical="top" wrapText="1"/>
    </xf>
    <xf numFmtId="0" fontId="15" fillId="35" borderId="81" xfId="8" applyFont="1" applyFill="1" applyBorder="1" applyAlignment="1">
      <alignment horizontal="center" vertical="center" wrapText="1"/>
    </xf>
    <xf numFmtId="4" fontId="15" fillId="35" borderId="79" xfId="8" applyNumberFormat="1" applyFont="1" applyFill="1" applyBorder="1" applyAlignment="1">
      <alignment horizontal="center" vertical="center" wrapText="1"/>
    </xf>
    <xf numFmtId="10" fontId="15" fillId="35" borderId="81" xfId="8" applyNumberFormat="1" applyFont="1" applyFill="1" applyBorder="1" applyAlignment="1">
      <alignment horizontal="center" vertical="center" wrapText="1"/>
    </xf>
    <xf numFmtId="170" fontId="94" fillId="35" borderId="135" xfId="7" applyNumberFormat="1" applyFont="1" applyFill="1" applyBorder="1" applyAlignment="1">
      <alignment vertical="center"/>
    </xf>
    <xf numFmtId="0" fontId="40" fillId="35" borderId="2" xfId="0" applyFont="1" applyFill="1" applyBorder="1" applyAlignment="1">
      <alignment horizontal="left"/>
    </xf>
    <xf numFmtId="0" fontId="5" fillId="35" borderId="2" xfId="0" applyFont="1" applyFill="1" applyBorder="1" applyAlignment="1">
      <alignment horizontal="left"/>
    </xf>
    <xf numFmtId="0" fontId="40" fillId="35" borderId="2" xfId="0" applyFont="1" applyFill="1" applyBorder="1" applyAlignment="1">
      <alignment horizontal="center"/>
    </xf>
    <xf numFmtId="0" fontId="5" fillId="35" borderId="2" xfId="0" applyFont="1" applyFill="1" applyBorder="1" applyAlignment="1">
      <alignment horizontal="center"/>
    </xf>
    <xf numFmtId="43" fontId="5" fillId="35" borderId="2" xfId="15" applyFont="1" applyFill="1" applyBorder="1" applyAlignment="1">
      <alignment horizontal="center"/>
    </xf>
    <xf numFmtId="43" fontId="52" fillId="35" borderId="2" xfId="15" applyFont="1" applyFill="1" applyBorder="1" applyAlignment="1">
      <alignment horizontal="center"/>
    </xf>
    <xf numFmtId="44" fontId="40" fillId="35" borderId="2" xfId="1" applyFont="1" applyFill="1" applyBorder="1" applyAlignment="1">
      <alignment horizontal="left"/>
    </xf>
    <xf numFmtId="0" fontId="15" fillId="35" borderId="73" xfId="0" applyFont="1" applyFill="1" applyBorder="1" applyAlignment="1">
      <alignment horizontal="left"/>
    </xf>
    <xf numFmtId="0" fontId="30" fillId="35" borderId="73" xfId="0" applyFont="1" applyFill="1" applyBorder="1" applyAlignment="1">
      <alignment horizontal="left"/>
    </xf>
    <xf numFmtId="0" fontId="15" fillId="35" borderId="73" xfId="0" applyFont="1" applyFill="1" applyBorder="1" applyAlignment="1">
      <alignment horizontal="center"/>
    </xf>
    <xf numFmtId="44" fontId="15" fillId="35" borderId="73" xfId="1" applyFont="1" applyFill="1" applyBorder="1" applyAlignment="1">
      <alignment horizontal="center"/>
    </xf>
    <xf numFmtId="43" fontId="15" fillId="35" borderId="73" xfId="15" applyFont="1" applyFill="1" applyBorder="1" applyAlignment="1">
      <alignment horizontal="center"/>
    </xf>
    <xf numFmtId="43" fontId="16" fillId="0" borderId="0" xfId="0" applyNumberFormat="1" applyFont="1"/>
    <xf numFmtId="40" fontId="32" fillId="0" borderId="0" xfId="26" applyNumberFormat="1" applyFont="1" applyFill="1" applyAlignment="1">
      <alignment vertical="center"/>
    </xf>
    <xf numFmtId="190" fontId="21" fillId="0" borderId="91" xfId="1" applyNumberFormat="1" applyFont="1" applyBorder="1"/>
    <xf numFmtId="44" fontId="21" fillId="0" borderId="92" xfId="1" applyFont="1" applyBorder="1"/>
    <xf numFmtId="0" fontId="115" fillId="7" borderId="2" xfId="0" applyFont="1" applyFill="1" applyBorder="1" applyAlignment="1">
      <alignment horizontal="left"/>
    </xf>
    <xf numFmtId="0" fontId="116" fillId="0" borderId="2" xfId="0" applyFont="1" applyBorder="1" applyAlignment="1">
      <alignment horizontal="left" vertical="center"/>
    </xf>
    <xf numFmtId="0" fontId="116" fillId="0" borderId="2" xfId="0" applyFont="1" applyBorder="1" applyAlignment="1">
      <alignment horizontal="center" vertical="center"/>
    </xf>
    <xf numFmtId="43" fontId="116" fillId="0" borderId="2" xfId="15" applyFont="1" applyFill="1" applyBorder="1" applyAlignment="1">
      <alignment horizontal="center" vertical="center"/>
    </xf>
    <xf numFmtId="44" fontId="116" fillId="0" borderId="2" xfId="1" applyFont="1" applyFill="1" applyBorder="1" applyAlignment="1">
      <alignment horizontal="left" vertical="center"/>
    </xf>
    <xf numFmtId="43" fontId="21" fillId="0" borderId="0" xfId="0" applyNumberFormat="1" applyFont="1"/>
    <xf numFmtId="0" fontId="22" fillId="19" borderId="2" xfId="0" applyFont="1" applyFill="1" applyBorder="1" applyAlignment="1">
      <alignment horizontal="left" wrapText="1"/>
    </xf>
    <xf numFmtId="39" fontId="59" fillId="35" borderId="75" xfId="2" applyNumberFormat="1" applyFont="1" applyFill="1" applyBorder="1" applyAlignment="1">
      <alignment horizontal="center" vertical="center"/>
    </xf>
    <xf numFmtId="4" fontId="117" fillId="0" borderId="86" xfId="8" applyNumberFormat="1" applyFont="1" applyBorder="1" applyAlignment="1">
      <alignment horizontal="center"/>
    </xf>
    <xf numFmtId="44" fontId="72" fillId="0" borderId="2" xfId="1" applyFont="1" applyFill="1" applyBorder="1" applyAlignment="1">
      <alignment horizontal="left"/>
    </xf>
    <xf numFmtId="0" fontId="22" fillId="19" borderId="2" xfId="0" applyFont="1" applyFill="1" applyBorder="1" applyAlignment="1">
      <alignment horizontal="left" vertical="center" wrapText="1"/>
    </xf>
    <xf numFmtId="0" fontId="22" fillId="25" borderId="2" xfId="0" applyFont="1" applyFill="1" applyBorder="1" applyAlignment="1">
      <alignment horizontal="left"/>
    </xf>
    <xf numFmtId="0" fontId="49" fillId="25" borderId="2" xfId="0" applyFont="1" applyFill="1" applyBorder="1" applyAlignment="1">
      <alignment horizontal="left"/>
    </xf>
    <xf numFmtId="0" fontId="22" fillId="25" borderId="2" xfId="0" applyFont="1" applyFill="1" applyBorder="1" applyAlignment="1">
      <alignment horizontal="center"/>
    </xf>
    <xf numFmtId="0" fontId="87" fillId="2" borderId="22" xfId="22" applyFont="1" applyFill="1" applyBorder="1" applyAlignment="1">
      <alignment horizontal="right" vertical="top" wrapText="1"/>
    </xf>
    <xf numFmtId="0" fontId="87" fillId="2" borderId="23" xfId="22" applyFont="1" applyFill="1" applyBorder="1" applyAlignment="1">
      <alignment horizontal="right" vertical="top" wrapText="1"/>
    </xf>
    <xf numFmtId="0" fontId="87" fillId="2" borderId="21" xfId="22" applyFont="1" applyFill="1" applyBorder="1" applyAlignment="1">
      <alignment horizontal="right" vertical="top" wrapText="1"/>
    </xf>
    <xf numFmtId="0" fontId="86" fillId="0" borderId="70" xfId="22" applyFont="1" applyBorder="1" applyAlignment="1">
      <alignment horizontal="left" vertical="center" wrapText="1"/>
    </xf>
    <xf numFmtId="0" fontId="86" fillId="0" borderId="113" xfId="22" applyFont="1" applyBorder="1" applyAlignment="1">
      <alignment horizontal="left" vertical="center" wrapText="1"/>
    </xf>
    <xf numFmtId="0" fontId="86" fillId="0" borderId="71" xfId="22" applyFont="1" applyBorder="1" applyAlignment="1">
      <alignment horizontal="left" vertical="center" wrapText="1"/>
    </xf>
    <xf numFmtId="0" fontId="86" fillId="0" borderId="114" xfId="22" applyFont="1" applyBorder="1" applyAlignment="1">
      <alignment horizontal="left" vertical="center" wrapText="1"/>
    </xf>
    <xf numFmtId="0" fontId="86" fillId="0" borderId="0" xfId="22" applyFont="1" applyAlignment="1">
      <alignment horizontal="left" vertical="center" wrapText="1"/>
    </xf>
    <xf numFmtId="0" fontId="86" fillId="0" borderId="115" xfId="22" applyFont="1" applyBorder="1" applyAlignment="1">
      <alignment horizontal="left" vertical="center" wrapText="1"/>
    </xf>
    <xf numFmtId="0" fontId="86" fillId="0" borderId="72" xfId="22" applyFont="1" applyBorder="1" applyAlignment="1">
      <alignment horizontal="left" vertical="center" wrapText="1"/>
    </xf>
    <xf numFmtId="0" fontId="86" fillId="0" borderId="8" xfId="22" applyFont="1" applyBorder="1" applyAlignment="1">
      <alignment horizontal="left" vertical="center" wrapText="1"/>
    </xf>
    <xf numFmtId="0" fontId="86" fillId="0" borderId="16" xfId="22" applyFont="1" applyBorder="1" applyAlignment="1">
      <alignment horizontal="left" vertical="center" wrapText="1"/>
    </xf>
    <xf numFmtId="0" fontId="86" fillId="0" borderId="70" xfId="22" applyFont="1" applyBorder="1" applyAlignment="1">
      <alignment horizontal="center" vertical="center" wrapText="1"/>
    </xf>
    <xf numFmtId="0" fontId="86" fillId="0" borderId="113" xfId="22" applyFont="1" applyBorder="1" applyAlignment="1">
      <alignment horizontal="center" vertical="center" wrapText="1"/>
    </xf>
    <xf numFmtId="0" fontId="86" fillId="0" borderId="71" xfId="22" applyFont="1" applyBorder="1" applyAlignment="1">
      <alignment horizontal="center" vertical="center" wrapText="1"/>
    </xf>
    <xf numFmtId="0" fontId="86" fillId="0" borderId="72" xfId="22" applyFont="1" applyBorder="1" applyAlignment="1">
      <alignment horizontal="center" vertical="center" wrapText="1"/>
    </xf>
    <xf numFmtId="0" fontId="86" fillId="0" borderId="8" xfId="22" applyFont="1" applyBorder="1" applyAlignment="1">
      <alignment horizontal="center" vertical="center" wrapText="1"/>
    </xf>
    <xf numFmtId="0" fontId="86" fillId="0" borderId="16" xfId="22" applyFont="1" applyBorder="1" applyAlignment="1">
      <alignment horizontal="center" vertical="center" wrapText="1"/>
    </xf>
    <xf numFmtId="0" fontId="50" fillId="2" borderId="110" xfId="8" applyFont="1" applyFill="1" applyBorder="1" applyAlignment="1">
      <alignment horizontal="center" vertical="center" wrapText="1"/>
    </xf>
    <xf numFmtId="0" fontId="50" fillId="2" borderId="111" xfId="8" applyFont="1" applyFill="1" applyBorder="1" applyAlignment="1">
      <alignment horizontal="center" vertical="center" wrapText="1"/>
    </xf>
    <xf numFmtId="43" fontId="88" fillId="2" borderId="22" xfId="22" applyNumberFormat="1" applyFont="1" applyFill="1" applyBorder="1" applyAlignment="1">
      <alignment horizontal="center" vertical="top"/>
    </xf>
    <xf numFmtId="43" fontId="88" fillId="2" borderId="23" xfId="22" applyNumberFormat="1" applyFont="1" applyFill="1" applyBorder="1" applyAlignment="1">
      <alignment horizontal="center" vertical="top"/>
    </xf>
    <xf numFmtId="43" fontId="88" fillId="2" borderId="21" xfId="22" applyNumberFormat="1" applyFont="1" applyFill="1" applyBorder="1" applyAlignment="1">
      <alignment horizontal="center" vertical="top"/>
    </xf>
    <xf numFmtId="0" fontId="50" fillId="2" borderId="112" xfId="8" applyFont="1" applyFill="1" applyBorder="1" applyAlignment="1">
      <alignment horizontal="center" vertical="center" wrapText="1"/>
    </xf>
    <xf numFmtId="0" fontId="89" fillId="2" borderId="58" xfId="22" applyFont="1" applyFill="1" applyBorder="1" applyAlignment="1">
      <alignment horizontal="center" vertical="center" wrapText="1"/>
    </xf>
    <xf numFmtId="0" fontId="89" fillId="2" borderId="31" xfId="22" applyFont="1" applyFill="1" applyBorder="1" applyAlignment="1">
      <alignment horizontal="center" vertical="center" wrapText="1"/>
    </xf>
    <xf numFmtId="0" fontId="89" fillId="2" borderId="59" xfId="22" applyFont="1" applyFill="1" applyBorder="1" applyAlignment="1">
      <alignment horizontal="center" vertical="center" wrapText="1"/>
    </xf>
    <xf numFmtId="0" fontId="63" fillId="0" borderId="0" xfId="0" applyFont="1" applyAlignment="1">
      <alignment horizontal="center" vertical="center" wrapText="1"/>
    </xf>
    <xf numFmtId="0" fontId="64" fillId="3" borderId="0" xfId="0" applyFont="1" applyFill="1" applyAlignment="1">
      <alignment horizontal="center" vertical="center" wrapText="1"/>
    </xf>
    <xf numFmtId="44" fontId="16" fillId="0" borderId="38" xfId="1" applyFont="1" applyBorder="1" applyAlignment="1">
      <alignment horizontal="right" vertical="center" wrapText="1"/>
    </xf>
    <xf numFmtId="44" fontId="16" fillId="0" borderId="43" xfId="1" applyFont="1" applyBorder="1" applyAlignment="1">
      <alignment horizontal="right" vertical="center" wrapText="1"/>
    </xf>
    <xf numFmtId="14" fontId="62" fillId="0" borderId="0" xfId="9" applyNumberFormat="1" applyFont="1" applyAlignment="1">
      <alignment horizontal="center" vertical="center"/>
    </xf>
    <xf numFmtId="14" fontId="62" fillId="0" borderId="92" xfId="9" applyNumberFormat="1" applyFont="1" applyBorder="1" applyAlignment="1">
      <alignment horizontal="center" vertical="center"/>
    </xf>
    <xf numFmtId="0" fontId="15" fillId="0" borderId="80" xfId="8" applyFont="1" applyBorder="1" applyAlignment="1">
      <alignment horizontal="center" vertical="center" wrapText="1"/>
    </xf>
    <xf numFmtId="0" fontId="15" fillId="0" borderId="79" xfId="8" applyFont="1" applyBorder="1" applyAlignment="1">
      <alignment horizontal="center" vertical="center" wrapText="1"/>
    </xf>
    <xf numFmtId="0" fontId="15" fillId="0" borderId="81" xfId="8" applyFont="1" applyBorder="1" applyAlignment="1">
      <alignment horizontal="center" vertical="center" wrapText="1"/>
    </xf>
    <xf numFmtId="0" fontId="15" fillId="35" borderId="80" xfId="8" applyFont="1" applyFill="1" applyBorder="1" applyAlignment="1">
      <alignment horizontal="center" vertical="center" wrapText="1"/>
    </xf>
    <xf numFmtId="0" fontId="15" fillId="35" borderId="79" xfId="8" applyFont="1" applyFill="1" applyBorder="1" applyAlignment="1">
      <alignment horizontal="center" vertical="center" wrapText="1"/>
    </xf>
    <xf numFmtId="0" fontId="30" fillId="7" borderId="80" xfId="8" applyFont="1" applyFill="1" applyBorder="1" applyAlignment="1">
      <alignment horizontal="center" vertical="center" wrapText="1"/>
    </xf>
    <xf numFmtId="0" fontId="30" fillId="7" borderId="79" xfId="8" applyFont="1" applyFill="1" applyBorder="1" applyAlignment="1">
      <alignment horizontal="center" vertical="center" wrapText="1"/>
    </xf>
    <xf numFmtId="0" fontId="30" fillId="7" borderId="81" xfId="8" applyFont="1" applyFill="1" applyBorder="1" applyAlignment="1">
      <alignment horizontal="center" vertical="center" wrapText="1"/>
    </xf>
    <xf numFmtId="0" fontId="30" fillId="7" borderId="89" xfId="8" applyFont="1" applyFill="1" applyBorder="1" applyAlignment="1">
      <alignment horizontal="center" vertical="center" wrapText="1"/>
    </xf>
    <xf numFmtId="0" fontId="30" fillId="7" borderId="90" xfId="8" applyFont="1" applyFill="1" applyBorder="1" applyAlignment="1">
      <alignment horizontal="center" vertical="center" wrapText="1"/>
    </xf>
    <xf numFmtId="0" fontId="30" fillId="7" borderId="91" xfId="8" applyFont="1" applyFill="1" applyBorder="1" applyAlignment="1">
      <alignment horizontal="center" vertical="center" wrapText="1"/>
    </xf>
    <xf numFmtId="180" fontId="30" fillId="0" borderId="0" xfId="8" quotePrefix="1" applyNumberFormat="1" applyFont="1" applyAlignment="1">
      <alignment horizontal="center" vertical="center"/>
    </xf>
    <xf numFmtId="180" fontId="30" fillId="0" borderId="92" xfId="8" quotePrefix="1" applyNumberFormat="1" applyFont="1" applyBorder="1" applyAlignment="1">
      <alignment horizontal="center" vertical="center"/>
    </xf>
    <xf numFmtId="0" fontId="28" fillId="0" borderId="85" xfId="11" applyFont="1" applyBorder="1" applyAlignment="1">
      <alignment horizontal="center" wrapText="1"/>
    </xf>
    <xf numFmtId="0" fontId="28" fillId="0" borderId="86" xfId="11" applyFont="1" applyBorder="1" applyAlignment="1">
      <alignment horizontal="center" wrapText="1"/>
    </xf>
    <xf numFmtId="0" fontId="28" fillId="0" borderId="87" xfId="11" applyFont="1" applyBorder="1" applyAlignment="1">
      <alignment horizontal="center" wrapText="1"/>
    </xf>
    <xf numFmtId="0" fontId="28" fillId="0" borderId="88" xfId="11" applyFont="1" applyBorder="1" applyAlignment="1">
      <alignment horizontal="center" wrapText="1"/>
    </xf>
    <xf numFmtId="0" fontId="28" fillId="0" borderId="0" xfId="11" applyFont="1" applyAlignment="1">
      <alignment horizontal="center" wrapText="1"/>
    </xf>
    <xf numFmtId="0" fontId="28" fillId="0" borderId="92" xfId="11" applyFont="1" applyBorder="1" applyAlignment="1">
      <alignment horizontal="center" wrapText="1"/>
    </xf>
    <xf numFmtId="0" fontId="15" fillId="7" borderId="0" xfId="2" applyNumberFormat="1" applyFont="1" applyFill="1" applyBorder="1" applyAlignment="1">
      <alignment horizontal="center" vertical="center"/>
    </xf>
    <xf numFmtId="0" fontId="15" fillId="7" borderId="92" xfId="2" applyNumberFormat="1" applyFont="1" applyFill="1" applyBorder="1" applyAlignment="1">
      <alignment horizontal="center" vertical="center"/>
    </xf>
    <xf numFmtId="0" fontId="30" fillId="0" borderId="0" xfId="8" quotePrefix="1" applyFont="1" applyAlignment="1">
      <alignment horizontal="center" vertical="center"/>
    </xf>
    <xf numFmtId="0" fontId="30" fillId="0" borderId="92" xfId="8" quotePrefix="1" applyFont="1" applyBorder="1" applyAlignment="1">
      <alignment horizontal="center" vertical="center"/>
    </xf>
    <xf numFmtId="181" fontId="21" fillId="0" borderId="0" xfId="9" applyNumberFormat="1" applyFont="1" applyAlignment="1">
      <alignment horizontal="center" vertical="center"/>
    </xf>
    <xf numFmtId="181" fontId="21" fillId="0" borderId="92" xfId="9" applyNumberFormat="1" applyFont="1" applyBorder="1" applyAlignment="1">
      <alignment horizontal="center" vertical="center"/>
    </xf>
    <xf numFmtId="40" fontId="97" fillId="35" borderId="0" xfId="26" applyNumberFormat="1" applyFont="1" applyFill="1" applyAlignment="1">
      <alignment horizontal="left" vertical="center"/>
    </xf>
    <xf numFmtId="188" fontId="106" fillId="33" borderId="103" xfId="27" applyNumberFormat="1" applyFont="1" applyFill="1" applyBorder="1" applyAlignment="1">
      <alignment horizontal="center" vertical="center"/>
    </xf>
    <xf numFmtId="188" fontId="106" fillId="33" borderId="104" xfId="27" applyNumberFormat="1" applyFont="1" applyFill="1" applyBorder="1" applyAlignment="1">
      <alignment horizontal="center" vertical="center"/>
    </xf>
    <xf numFmtId="165" fontId="106" fillId="33" borderId="4" xfId="27" applyNumberFormat="1" applyFont="1" applyFill="1" applyBorder="1" applyAlignment="1">
      <alignment horizontal="center" vertical="center" wrapText="1"/>
    </xf>
    <xf numFmtId="165" fontId="113" fillId="0" borderId="4" xfId="27" applyNumberFormat="1" applyFont="1" applyBorder="1" applyAlignment="1">
      <alignment horizontal="center"/>
    </xf>
    <xf numFmtId="0" fontId="81" fillId="0" borderId="0" xfId="0" applyFont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/>
    </xf>
    <xf numFmtId="165" fontId="93" fillId="7" borderId="29" xfId="23" applyFont="1" applyFill="1" applyBorder="1" applyAlignment="1">
      <alignment horizontal="left"/>
    </xf>
    <xf numFmtId="165" fontId="93" fillId="7" borderId="11" xfId="23" applyFont="1" applyFill="1" applyBorder="1" applyAlignment="1">
      <alignment horizontal="left"/>
    </xf>
    <xf numFmtId="4" fontId="95" fillId="35" borderId="103" xfId="23" applyNumberFormat="1" applyFont="1" applyFill="1" applyBorder="1" applyAlignment="1">
      <alignment horizontal="center" vertical="center"/>
    </xf>
    <xf numFmtId="4" fontId="95" fillId="35" borderId="105" xfId="23" applyNumberFormat="1" applyFont="1" applyFill="1" applyBorder="1" applyAlignment="1">
      <alignment horizontal="center" vertical="center"/>
    </xf>
    <xf numFmtId="43" fontId="93" fillId="7" borderId="29" xfId="23" applyNumberFormat="1" applyFont="1" applyFill="1" applyBorder="1" applyAlignment="1">
      <alignment horizontal="left"/>
    </xf>
    <xf numFmtId="2" fontId="93" fillId="0" borderId="117" xfId="7" applyNumberFormat="1" applyFont="1" applyBorder="1" applyAlignment="1">
      <alignment horizontal="center"/>
    </xf>
    <xf numFmtId="2" fontId="93" fillId="0" borderId="118" xfId="7" applyNumberFormat="1" applyFont="1" applyBorder="1" applyAlignment="1">
      <alignment horizontal="center"/>
    </xf>
    <xf numFmtId="182" fontId="93" fillId="7" borderId="117" xfId="23" applyNumberFormat="1" applyFont="1" applyFill="1" applyBorder="1" applyAlignment="1">
      <alignment horizontal="center"/>
    </xf>
    <xf numFmtId="182" fontId="93" fillId="7" borderId="118" xfId="23" applyNumberFormat="1" applyFont="1" applyFill="1" applyBorder="1" applyAlignment="1">
      <alignment horizontal="center"/>
    </xf>
    <xf numFmtId="0" fontId="81" fillId="0" borderId="0" xfId="7" applyFont="1" applyAlignment="1">
      <alignment horizontal="center" vertical="center" wrapText="1"/>
    </xf>
    <xf numFmtId="0" fontId="81" fillId="0" borderId="74" xfId="7" applyFont="1" applyBorder="1" applyAlignment="1">
      <alignment horizontal="center" vertical="center" wrapText="1"/>
    </xf>
    <xf numFmtId="0" fontId="92" fillId="35" borderId="103" xfId="7" applyFont="1" applyFill="1" applyBorder="1" applyAlignment="1">
      <alignment horizontal="center" vertical="center"/>
    </xf>
    <xf numFmtId="0" fontId="92" fillId="35" borderId="104" xfId="7" applyFont="1" applyFill="1" applyBorder="1" applyAlignment="1">
      <alignment horizontal="center" vertical="center"/>
    </xf>
    <xf numFmtId="0" fontId="92" fillId="35" borderId="105" xfId="7" applyFont="1" applyFill="1" applyBorder="1" applyAlignment="1">
      <alignment horizontal="center" vertical="center"/>
    </xf>
    <xf numFmtId="0" fontId="93" fillId="0" borderId="38" xfId="7" applyFont="1" applyBorder="1" applyAlignment="1">
      <alignment horizontal="center" vertical="center"/>
    </xf>
    <xf numFmtId="0" fontId="93" fillId="0" borderId="43" xfId="7" applyFont="1" applyBorder="1" applyAlignment="1">
      <alignment horizontal="center" vertical="center"/>
    </xf>
    <xf numFmtId="17" fontId="93" fillId="0" borderId="119" xfId="7" applyNumberFormat="1" applyFont="1" applyBorder="1" applyAlignment="1">
      <alignment horizontal="center" vertical="center"/>
    </xf>
    <xf numFmtId="17" fontId="93" fillId="0" borderId="121" xfId="7" applyNumberFormat="1" applyFont="1" applyBorder="1" applyAlignment="1">
      <alignment horizontal="center" vertical="center"/>
    </xf>
    <xf numFmtId="17" fontId="93" fillId="0" borderId="40" xfId="7" applyNumberFormat="1" applyFont="1" applyBorder="1" applyAlignment="1">
      <alignment horizontal="center" vertical="center"/>
    </xf>
    <xf numFmtId="17" fontId="93" fillId="0" borderId="45" xfId="7" applyNumberFormat="1" applyFont="1" applyBorder="1" applyAlignment="1">
      <alignment horizontal="center" vertical="center"/>
    </xf>
    <xf numFmtId="1" fontId="93" fillId="0" borderId="119" xfId="23" applyNumberFormat="1" applyFont="1" applyFill="1" applyBorder="1" applyAlignment="1">
      <alignment horizontal="center" vertical="center"/>
    </xf>
    <xf numFmtId="1" fontId="93" fillId="0" borderId="121" xfId="23" applyNumberFormat="1" applyFont="1" applyFill="1" applyBorder="1" applyAlignment="1">
      <alignment horizontal="center" vertical="center"/>
    </xf>
    <xf numFmtId="0" fontId="92" fillId="2" borderId="103" xfId="7" applyFont="1" applyFill="1" applyBorder="1" applyAlignment="1">
      <alignment horizontal="center" vertical="center"/>
    </xf>
    <xf numFmtId="0" fontId="92" fillId="2" borderId="104" xfId="7" applyFont="1" applyFill="1" applyBorder="1" applyAlignment="1">
      <alignment horizontal="center" vertical="center"/>
    </xf>
    <xf numFmtId="0" fontId="92" fillId="2" borderId="105" xfId="7" applyFont="1" applyFill="1" applyBorder="1" applyAlignment="1">
      <alignment horizontal="center" vertical="center"/>
    </xf>
    <xf numFmtId="0" fontId="114" fillId="0" borderId="0" xfId="0" applyFont="1" applyAlignment="1">
      <alignment horizontal="center" vertical="center"/>
    </xf>
    <xf numFmtId="0" fontId="114" fillId="0" borderId="148" xfId="0" applyFont="1" applyBorder="1" applyAlignment="1">
      <alignment horizontal="center" vertical="center"/>
    </xf>
    <xf numFmtId="0" fontId="21" fillId="0" borderId="2" xfId="0" applyFont="1" applyBorder="1" applyAlignment="1">
      <alignment horizontal="left" vertical="center" wrapText="1"/>
    </xf>
    <xf numFmtId="0" fontId="81" fillId="0" borderId="0" xfId="0" applyFont="1" applyAlignment="1">
      <alignment horizontal="center" vertical="center"/>
    </xf>
    <xf numFmtId="0" fontId="81" fillId="0" borderId="74" xfId="0" applyFont="1" applyBorder="1" applyAlignment="1">
      <alignment horizontal="center" vertical="center"/>
    </xf>
    <xf numFmtId="0" fontId="10" fillId="2" borderId="0" xfId="0" applyFont="1" applyFill="1" applyAlignment="1">
      <alignment horizontal="center"/>
    </xf>
    <xf numFmtId="49" fontId="10" fillId="2" borderId="0" xfId="0" applyNumberFormat="1" applyFont="1" applyFill="1" applyAlignment="1">
      <alignment horizontal="center"/>
    </xf>
    <xf numFmtId="43" fontId="9" fillId="0" borderId="0" xfId="15" applyFont="1" applyBorder="1" applyAlignment="1">
      <alignment horizontal="center" vertical="center"/>
    </xf>
    <xf numFmtId="43" fontId="10" fillId="2" borderId="0" xfId="15" applyFont="1" applyFill="1" applyBorder="1" applyAlignment="1">
      <alignment horizontal="center"/>
    </xf>
    <xf numFmtId="0" fontId="10" fillId="2" borderId="55" xfId="0" applyFont="1" applyFill="1" applyBorder="1" applyAlignment="1">
      <alignment horizontal="center" vertical="center"/>
    </xf>
    <xf numFmtId="0" fontId="10" fillId="2" borderId="56" xfId="0" applyFont="1" applyFill="1" applyBorder="1" applyAlignment="1">
      <alignment horizontal="center" vertical="center"/>
    </xf>
    <xf numFmtId="0" fontId="65" fillId="3" borderId="0" xfId="0" applyFont="1" applyFill="1" applyAlignment="1">
      <alignment horizontal="center" vertical="center"/>
    </xf>
    <xf numFmtId="43" fontId="10" fillId="3" borderId="49" xfId="0" applyNumberFormat="1" applyFont="1" applyFill="1" applyBorder="1" applyAlignment="1">
      <alignment horizontal="center" vertical="center"/>
    </xf>
    <xf numFmtId="43" fontId="10" fillId="3" borderId="51" xfId="0" applyNumberFormat="1" applyFont="1" applyFill="1" applyBorder="1" applyAlignment="1">
      <alignment horizontal="center" vertical="center"/>
    </xf>
    <xf numFmtId="43" fontId="10" fillId="3" borderId="50" xfId="0" applyNumberFormat="1" applyFont="1" applyFill="1" applyBorder="1" applyAlignment="1">
      <alignment horizontal="center" vertical="center"/>
    </xf>
    <xf numFmtId="43" fontId="10" fillId="3" borderId="52" xfId="0" applyNumberFormat="1" applyFont="1" applyFill="1" applyBorder="1" applyAlignment="1">
      <alignment horizontal="center" vertical="center"/>
    </xf>
    <xf numFmtId="43" fontId="10" fillId="3" borderId="56" xfId="0" applyNumberFormat="1" applyFont="1" applyFill="1" applyBorder="1" applyAlignment="1">
      <alignment horizontal="center" vertical="center"/>
    </xf>
    <xf numFmtId="43" fontId="10" fillId="3" borderId="57" xfId="0" applyNumberFormat="1" applyFont="1" applyFill="1" applyBorder="1" applyAlignment="1">
      <alignment horizontal="center" vertical="center"/>
    </xf>
    <xf numFmtId="0" fontId="10" fillId="2" borderId="61" xfId="0" applyFont="1" applyFill="1" applyBorder="1" applyAlignment="1">
      <alignment horizontal="center" vertical="center"/>
    </xf>
    <xf numFmtId="0" fontId="10" fillId="2" borderId="62" xfId="0" applyFont="1" applyFill="1" applyBorder="1" applyAlignment="1">
      <alignment horizontal="center" vertical="center"/>
    </xf>
    <xf numFmtId="43" fontId="10" fillId="3" borderId="46" xfId="0" applyNumberFormat="1" applyFont="1" applyFill="1" applyBorder="1" applyAlignment="1">
      <alignment horizontal="center" vertical="center"/>
    </xf>
    <xf numFmtId="43" fontId="10" fillId="3" borderId="54" xfId="0" applyNumberFormat="1" applyFont="1" applyFill="1" applyBorder="1" applyAlignment="1">
      <alignment horizontal="center" vertical="center"/>
    </xf>
    <xf numFmtId="0" fontId="15" fillId="2" borderId="80" xfId="8" applyFont="1" applyFill="1" applyBorder="1" applyAlignment="1">
      <alignment horizontal="center" vertical="center" wrapText="1"/>
    </xf>
    <xf numFmtId="0" fontId="15" fillId="2" borderId="81" xfId="8" applyFont="1" applyFill="1" applyBorder="1" applyAlignment="1">
      <alignment horizontal="center" vertical="center" wrapText="1"/>
    </xf>
    <xf numFmtId="0" fontId="28" fillId="0" borderId="85" xfId="11" applyFont="1" applyBorder="1" applyAlignment="1">
      <alignment horizontal="center" vertical="center" wrapText="1"/>
    </xf>
    <xf numFmtId="0" fontId="28" fillId="0" borderId="86" xfId="11" applyFont="1" applyBorder="1" applyAlignment="1">
      <alignment horizontal="center" vertical="center" wrapText="1"/>
    </xf>
    <xf numFmtId="0" fontId="28" fillId="0" borderId="88" xfId="11" applyFont="1" applyBorder="1" applyAlignment="1">
      <alignment horizontal="center" vertical="center" wrapText="1"/>
    </xf>
    <xf numFmtId="0" fontId="28" fillId="0" borderId="0" xfId="11" applyFont="1" applyAlignment="1">
      <alignment horizontal="center" vertical="center" wrapText="1"/>
    </xf>
    <xf numFmtId="0" fontId="15" fillId="2" borderId="3" xfId="0" applyFont="1" applyFill="1" applyBorder="1" applyAlignment="1">
      <alignment horizontal="center"/>
    </xf>
    <xf numFmtId="0" fontId="16" fillId="0" borderId="0" xfId="0" applyFont="1" applyAlignment="1">
      <alignment horizontal="center" vertical="center"/>
    </xf>
    <xf numFmtId="0" fontId="15" fillId="2" borderId="73" xfId="0" applyFont="1" applyFill="1" applyBorder="1" applyAlignment="1">
      <alignment horizontal="center"/>
    </xf>
    <xf numFmtId="0" fontId="15" fillId="2" borderId="0" xfId="0" applyFont="1" applyFill="1" applyAlignment="1">
      <alignment horizontal="center"/>
    </xf>
    <xf numFmtId="0" fontId="42" fillId="0" borderId="4" xfId="0" applyFont="1" applyBorder="1" applyAlignment="1">
      <alignment horizontal="center" vertical="center" wrapText="1"/>
    </xf>
    <xf numFmtId="0" fontId="17" fillId="0" borderId="63" xfId="0" applyFont="1" applyBorder="1" applyAlignment="1">
      <alignment horizontal="center" vertical="center"/>
    </xf>
    <xf numFmtId="0" fontId="17" fillId="0" borderId="24" xfId="0" applyFont="1" applyBorder="1" applyAlignment="1">
      <alignment horizontal="center" vertical="center"/>
    </xf>
    <xf numFmtId="0" fontId="43" fillId="3" borderId="22" xfId="0" applyFont="1" applyFill="1" applyBorder="1" applyAlignment="1">
      <alignment horizontal="right" vertical="center"/>
    </xf>
    <xf numFmtId="0" fontId="43" fillId="3" borderId="23" xfId="0" applyFont="1" applyFill="1" applyBorder="1" applyAlignment="1">
      <alignment horizontal="right" vertical="center"/>
    </xf>
    <xf numFmtId="0" fontId="43" fillId="3" borderId="21" xfId="0" applyFont="1" applyFill="1" applyBorder="1" applyAlignment="1">
      <alignment horizontal="right" vertical="center"/>
    </xf>
    <xf numFmtId="0" fontId="16" fillId="9" borderId="0" xfId="0" applyFont="1" applyFill="1" applyAlignment="1">
      <alignment horizontal="center"/>
    </xf>
    <xf numFmtId="0" fontId="17" fillId="0" borderId="64" xfId="0" applyFont="1" applyBorder="1" applyAlignment="1">
      <alignment horizontal="center" vertical="center"/>
    </xf>
    <xf numFmtId="0" fontId="17" fillId="0" borderId="25" xfId="0" applyFont="1" applyBorder="1" applyAlignment="1">
      <alignment horizontal="center" vertical="center"/>
    </xf>
    <xf numFmtId="0" fontId="17" fillId="0" borderId="65" xfId="0" applyFont="1" applyBorder="1" applyAlignment="1">
      <alignment horizontal="center" vertical="center"/>
    </xf>
    <xf numFmtId="0" fontId="17" fillId="0" borderId="66" xfId="0" applyFont="1" applyBorder="1" applyAlignment="1">
      <alignment horizontal="center" vertical="center"/>
    </xf>
    <xf numFmtId="0" fontId="17" fillId="0" borderId="67" xfId="0" applyFont="1" applyBorder="1" applyAlignment="1">
      <alignment horizontal="center" vertical="center"/>
    </xf>
    <xf numFmtId="0" fontId="17" fillId="0" borderId="68" xfId="0" applyFont="1" applyBorder="1" applyAlignment="1">
      <alignment horizontal="center" vertical="center"/>
    </xf>
    <xf numFmtId="0" fontId="15" fillId="11" borderId="4" xfId="0" applyFont="1" applyFill="1" applyBorder="1" applyAlignment="1">
      <alignment horizontal="center" vertical="center" wrapText="1"/>
    </xf>
    <xf numFmtId="0" fontId="50" fillId="2" borderId="4" xfId="0" applyFont="1" applyFill="1" applyBorder="1" applyAlignment="1">
      <alignment horizontal="center" vertical="center"/>
    </xf>
    <xf numFmtId="0" fontId="43" fillId="2" borderId="4" xfId="0" applyFont="1" applyFill="1" applyBorder="1" applyAlignment="1">
      <alignment horizontal="center" vertical="center" wrapText="1"/>
    </xf>
    <xf numFmtId="0" fontId="15" fillId="10" borderId="22" xfId="0" applyFont="1" applyFill="1" applyBorder="1" applyAlignment="1">
      <alignment horizontal="center" vertical="center"/>
    </xf>
    <xf numFmtId="0" fontId="15" fillId="10" borderId="23" xfId="0" applyFont="1" applyFill="1" applyBorder="1" applyAlignment="1">
      <alignment horizontal="center" vertical="center"/>
    </xf>
    <xf numFmtId="0" fontId="15" fillId="10" borderId="21" xfId="0" applyFont="1" applyFill="1" applyBorder="1" applyAlignment="1">
      <alignment horizontal="center" vertical="center"/>
    </xf>
    <xf numFmtId="0" fontId="15" fillId="11" borderId="22" xfId="0" applyFont="1" applyFill="1" applyBorder="1" applyAlignment="1">
      <alignment horizontal="center" vertical="center"/>
    </xf>
    <xf numFmtId="0" fontId="15" fillId="11" borderId="23" xfId="0" applyFont="1" applyFill="1" applyBorder="1" applyAlignment="1">
      <alignment horizontal="center" vertical="center"/>
    </xf>
    <xf numFmtId="0" fontId="15" fillId="11" borderId="21" xfId="0" applyFont="1" applyFill="1" applyBorder="1" applyAlignment="1">
      <alignment horizontal="center" vertical="center"/>
    </xf>
    <xf numFmtId="0" fontId="15" fillId="10" borderId="58" xfId="0" applyFont="1" applyFill="1" applyBorder="1" applyAlignment="1">
      <alignment horizontal="center" vertical="center" wrapText="1"/>
    </xf>
    <xf numFmtId="0" fontId="15" fillId="10" borderId="59" xfId="0" applyFont="1" applyFill="1" applyBorder="1" applyAlignment="1">
      <alignment horizontal="center" vertical="center" wrapText="1"/>
    </xf>
    <xf numFmtId="0" fontId="15" fillId="10" borderId="58" xfId="0" applyFont="1" applyFill="1" applyBorder="1" applyAlignment="1">
      <alignment horizontal="center" vertical="center"/>
    </xf>
    <xf numFmtId="0" fontId="15" fillId="10" borderId="59" xfId="0" applyFont="1" applyFill="1" applyBorder="1" applyAlignment="1">
      <alignment horizontal="center" vertical="center"/>
    </xf>
    <xf numFmtId="0" fontId="15" fillId="10" borderId="4" xfId="0" applyFont="1" applyFill="1" applyBorder="1" applyAlignment="1">
      <alignment horizontal="center" vertical="center"/>
    </xf>
    <xf numFmtId="0" fontId="15" fillId="10" borderId="4" xfId="0" applyFont="1" applyFill="1" applyBorder="1" applyAlignment="1">
      <alignment horizontal="center" vertical="center" wrapText="1"/>
    </xf>
    <xf numFmtId="0" fontId="15" fillId="11" borderId="58" xfId="0" applyFont="1" applyFill="1" applyBorder="1" applyAlignment="1">
      <alignment horizontal="center" vertical="center" wrapText="1"/>
    </xf>
    <xf numFmtId="0" fontId="15" fillId="11" borderId="59" xfId="0" applyFont="1" applyFill="1" applyBorder="1" applyAlignment="1">
      <alignment horizontal="center" vertical="center" wrapText="1"/>
    </xf>
    <xf numFmtId="0" fontId="66" fillId="10" borderId="58" xfId="0" applyFont="1" applyFill="1" applyBorder="1" applyAlignment="1">
      <alignment horizontal="center" vertical="center" wrapText="1"/>
    </xf>
    <xf numFmtId="0" fontId="66" fillId="10" borderId="59" xfId="0" applyFont="1" applyFill="1" applyBorder="1" applyAlignment="1">
      <alignment horizontal="center" vertical="center" wrapText="1"/>
    </xf>
    <xf numFmtId="0" fontId="50" fillId="2" borderId="70" xfId="0" applyFont="1" applyFill="1" applyBorder="1" applyAlignment="1">
      <alignment horizontal="center" vertical="center" wrapText="1"/>
    </xf>
    <xf numFmtId="0" fontId="50" fillId="2" borderId="71" xfId="0" applyFont="1" applyFill="1" applyBorder="1" applyAlignment="1">
      <alignment horizontal="center" vertical="center" wrapText="1"/>
    </xf>
    <xf numFmtId="0" fontId="50" fillId="2" borderId="72" xfId="0" applyFont="1" applyFill="1" applyBorder="1" applyAlignment="1">
      <alignment horizontal="center" vertical="center" wrapText="1"/>
    </xf>
    <xf numFmtId="0" fontId="50" fillId="2" borderId="16" xfId="0" applyFont="1" applyFill="1" applyBorder="1" applyAlignment="1">
      <alignment horizontal="center" vertical="center" wrapText="1"/>
    </xf>
    <xf numFmtId="0" fontId="17" fillId="0" borderId="30" xfId="0" applyFont="1" applyBorder="1" applyAlignment="1">
      <alignment horizontal="center" vertical="center"/>
    </xf>
    <xf numFmtId="0" fontId="17" fillId="0" borderId="69" xfId="0" applyFont="1" applyBorder="1" applyAlignment="1">
      <alignment horizontal="center" vertical="center"/>
    </xf>
    <xf numFmtId="0" fontId="16" fillId="18" borderId="0" xfId="0" applyFont="1" applyFill="1" applyAlignment="1">
      <alignment horizontal="center"/>
    </xf>
    <xf numFmtId="0" fontId="15" fillId="2" borderId="8" xfId="0" applyFont="1" applyFill="1" applyBorder="1" applyAlignment="1">
      <alignment horizontal="center"/>
    </xf>
    <xf numFmtId="0" fontId="42" fillId="0" borderId="22" xfId="0" applyFont="1" applyBorder="1" applyAlignment="1">
      <alignment horizontal="center" vertical="center" wrapText="1"/>
    </xf>
    <xf numFmtId="0" fontId="42" fillId="0" borderId="21" xfId="0" applyFont="1" applyBorder="1" applyAlignment="1">
      <alignment horizontal="center" vertical="center" wrapText="1"/>
    </xf>
    <xf numFmtId="0" fontId="17" fillId="0" borderId="28" xfId="0" applyFont="1" applyBorder="1" applyAlignment="1">
      <alignment horizontal="center" vertical="center"/>
    </xf>
    <xf numFmtId="0" fontId="17" fillId="0" borderId="9" xfId="0" applyFont="1" applyBorder="1" applyAlignment="1">
      <alignment horizontal="center" vertical="center"/>
    </xf>
    <xf numFmtId="0" fontId="17" fillId="0" borderId="29" xfId="0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15" fillId="11" borderId="4" xfId="0" applyFont="1" applyFill="1" applyBorder="1" applyAlignment="1">
      <alignment horizontal="center" vertical="center"/>
    </xf>
    <xf numFmtId="0" fontId="0" fillId="26" borderId="8" xfId="0" applyFill="1" applyBorder="1" applyAlignment="1">
      <alignment horizontal="center"/>
    </xf>
    <xf numFmtId="0" fontId="0" fillId="26" borderId="0" xfId="0" applyFill="1" applyAlignment="1">
      <alignment horizontal="center"/>
    </xf>
    <xf numFmtId="43" fontId="0" fillId="25" borderId="0" xfId="15" applyFont="1" applyFill="1"/>
  </cellXfs>
  <cellStyles count="30">
    <cellStyle name="Hiperlink" xfId="21" builtinId="8"/>
    <cellStyle name="Moeda" xfId="1" builtinId="4"/>
    <cellStyle name="Moeda 2" xfId="2" xr:uid="{00000000-0005-0000-0000-000002000000}"/>
    <cellStyle name="Moeda 2 2" xfId="3" xr:uid="{00000000-0005-0000-0000-000003000000}"/>
    <cellStyle name="Moeda 2 3" xfId="25" xr:uid="{8E0D3A15-3992-4247-BCFF-534423319C60}"/>
    <cellStyle name="Moeda 3" xfId="4" xr:uid="{00000000-0005-0000-0000-000004000000}"/>
    <cellStyle name="Moeda 4" xfId="20" xr:uid="{E4C1D262-7627-4126-8FF9-980E013E5BBD}"/>
    <cellStyle name="Normal" xfId="0" builtinId="0"/>
    <cellStyle name="Normal 11" xfId="27" xr:uid="{B1803F42-E66B-4147-9C2A-ED955A28DB34}"/>
    <cellStyle name="Normal 12" xfId="5" xr:uid="{00000000-0005-0000-0000-000006000000}"/>
    <cellStyle name="Normal 12 4" xfId="6" xr:uid="{00000000-0005-0000-0000-000007000000}"/>
    <cellStyle name="Normal 2" xfId="7" xr:uid="{00000000-0005-0000-0000-000008000000}"/>
    <cellStyle name="Normal 2 2" xfId="8" xr:uid="{00000000-0005-0000-0000-000009000000}"/>
    <cellStyle name="Normal 2 4" xfId="9" xr:uid="{00000000-0005-0000-0000-00000A000000}"/>
    <cellStyle name="Normal 3" xfId="10" xr:uid="{00000000-0005-0000-0000-00000B000000}"/>
    <cellStyle name="Normal 4" xfId="22" xr:uid="{AB76CE5C-6158-43F8-9ECA-55D15E79A658}"/>
    <cellStyle name="Normal_SERIDÓ - Informações Recebidas - R00 - 11-09-08 - SADP" xfId="11" xr:uid="{00000000-0005-0000-0000-00000C000000}"/>
    <cellStyle name="Percent" xfId="12" xr:uid="{00000000-0005-0000-0000-00000D000000}"/>
    <cellStyle name="Porcentagem" xfId="13" builtinId="5"/>
    <cellStyle name="Porcentagem 10" xfId="29" xr:uid="{859F4158-25A8-4A08-A962-C638B7FEAAFF}"/>
    <cellStyle name="Porcentagem 2" xfId="24" xr:uid="{6D4CDDA4-869D-49F5-B0A2-3465228A1CBA}"/>
    <cellStyle name="Separador de milhares 2" xfId="14" xr:uid="{00000000-0005-0000-0000-00000F000000}"/>
    <cellStyle name="Separador de milhares_2º reorç TCO_abril 2" xfId="26" xr:uid="{10AC3FC3-478F-463D-95A1-6ED17CA18EEB}"/>
    <cellStyle name="Separador de milhares_Reorçamento2" xfId="28" xr:uid="{4C4D57FC-B29B-4F0A-A266-D7FA5CD0F9FB}"/>
    <cellStyle name="Vírgula" xfId="15" builtinId="3"/>
    <cellStyle name="Vírgula 2" xfId="16" xr:uid="{00000000-0005-0000-0000-000011000000}"/>
    <cellStyle name="Vírgula 3" xfId="19" xr:uid="{C4EF9E67-94CE-40CA-AF91-FCDCAA851DB2}"/>
    <cellStyle name="Vírgula 3 2" xfId="17" xr:uid="{00000000-0005-0000-0000-000012000000}"/>
    <cellStyle name="Vírgula 3 2 2" xfId="18" xr:uid="{00000000-0005-0000-0000-000013000000}"/>
    <cellStyle name="Vírgula 4" xfId="23" xr:uid="{56490704-4781-4388-9A79-4F6F5C2B43F2}"/>
  </cellStyles>
  <dxfs count="19">
    <dxf>
      <font>
        <color theme="1"/>
        <name val="Calibri Light"/>
        <scheme val="none"/>
      </font>
      <fill>
        <patternFill>
          <bgColor theme="0" tint="-0.24994659260841701"/>
        </patternFill>
      </fill>
    </dxf>
    <dxf>
      <font>
        <color auto="1"/>
      </font>
      <fill>
        <patternFill>
          <bgColor theme="0"/>
        </patternFill>
      </fill>
    </dxf>
    <dxf>
      <font>
        <color auto="1"/>
      </font>
      <fill>
        <patternFill>
          <bgColor theme="0"/>
        </patternFill>
      </fill>
    </dxf>
    <dxf>
      <font>
        <color auto="1"/>
      </font>
      <fill>
        <patternFill>
          <bgColor theme="0"/>
        </patternFill>
      </fill>
    </dxf>
    <dxf>
      <font>
        <color auto="1"/>
      </font>
      <fill>
        <patternFill>
          <bgColor theme="0"/>
        </patternFill>
      </fill>
    </dxf>
    <dxf>
      <font>
        <color auto="1"/>
      </font>
      <fill>
        <patternFill>
          <bgColor theme="0"/>
        </patternFill>
      </fill>
    </dxf>
    <dxf>
      <font>
        <color auto="1"/>
      </font>
      <fill>
        <patternFill>
          <bgColor theme="0"/>
        </patternFill>
      </fill>
    </dxf>
    <dxf>
      <font>
        <color auto="1"/>
      </font>
      <fill>
        <patternFill>
          <bgColor theme="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ont>
        <color auto="1"/>
      </font>
      <fill>
        <patternFill>
          <bgColor theme="0"/>
        </patternFill>
      </fill>
    </dxf>
    <dxf>
      <fill>
        <patternFill patternType="solid">
          <fgColor theme="0"/>
          <bgColor theme="0"/>
        </patternFill>
      </fill>
    </dxf>
    <dxf>
      <font>
        <color auto="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bgColor rgb="FFFFFF00"/>
        </patternFill>
      </fill>
    </dxf>
    <dxf>
      <font>
        <color auto="1"/>
      </font>
      <fill>
        <patternFill>
          <bgColor theme="0"/>
        </patternFill>
      </fill>
    </dxf>
    <dxf>
      <fill>
        <patternFill patternType="solid">
          <fgColor theme="0"/>
          <bgColor theme="0"/>
        </patternFill>
      </fill>
    </dxf>
    <dxf>
      <font>
        <color auto="1"/>
      </font>
      <fill>
        <patternFill>
          <bgColor theme="0"/>
        </patternFill>
      </fill>
    </dxf>
    <dxf>
      <font>
        <color auto="1"/>
      </font>
      <fill>
        <patternFill>
          <bgColor theme="0"/>
        </patternFill>
      </fill>
    </dxf>
  </dxfs>
  <tableStyles count="0" defaultTableStyle="TableStyleMedium2" defaultPivotStyle="PivotStyleLight16"/>
  <colors>
    <mruColors>
      <color rgb="FFC00000"/>
      <color rgb="FFEB5B2F"/>
      <color rgb="FFDEDEDE"/>
      <color rgb="FF15333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microsoft.com/office/2017/10/relationships/person" Target="persons/perso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alcChain" Target="calcChain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cid:image003.jpg@01CE87C9.B98301F0" TargetMode="External"/><Relationship Id="rId1" Type="http://schemas.openxmlformats.org/officeDocument/2006/relationships/image" Target="../media/image5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133350</xdr:colOff>
      <xdr:row>0</xdr:row>
      <xdr:rowOff>38100</xdr:rowOff>
    </xdr:from>
    <xdr:to>
      <xdr:col>3</xdr:col>
      <xdr:colOff>409575</xdr:colOff>
      <xdr:row>2</xdr:row>
      <xdr:rowOff>85725</xdr:rowOff>
    </xdr:to>
    <xdr:pic>
      <xdr:nvPicPr>
        <xdr:cNvPr id="7340" name="Imagem 2">
          <a:extLst>
            <a:ext uri="{FF2B5EF4-FFF2-40B4-BE49-F238E27FC236}">
              <a16:creationId xmlns:a16="http://schemas.microsoft.com/office/drawing/2014/main" id="{00000000-0008-0000-0100-0000AC1C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9575" y="38100"/>
          <a:ext cx="885825" cy="457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0</xdr:row>
      <xdr:rowOff>38100</xdr:rowOff>
    </xdr:from>
    <xdr:to>
      <xdr:col>3</xdr:col>
      <xdr:colOff>619125</xdr:colOff>
      <xdr:row>2</xdr:row>
      <xdr:rowOff>133350</xdr:rowOff>
    </xdr:to>
    <xdr:pic>
      <xdr:nvPicPr>
        <xdr:cNvPr id="2" name="Imagem 4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607" t="15201" r="7031" b="15889"/>
        <a:stretch>
          <a:fillRect/>
        </a:stretch>
      </xdr:blipFill>
      <xdr:spPr bwMode="auto">
        <a:xfrm>
          <a:off x="47625" y="38100"/>
          <a:ext cx="1095375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8</xdr:col>
          <xdr:colOff>0</xdr:colOff>
          <xdr:row>0</xdr:row>
          <xdr:rowOff>0</xdr:rowOff>
        </xdr:from>
        <xdr:to>
          <xdr:col>8</xdr:col>
          <xdr:colOff>0</xdr:colOff>
          <xdr:row>0</xdr:row>
          <xdr:rowOff>0</xdr:rowOff>
        </xdr:to>
        <xdr:sp macro="" textlink="">
          <xdr:nvSpPr>
            <xdr:cNvPr id="34817" name="Button 1" hidden="1">
              <a:extLst>
                <a:ext uri="{63B3BB69-23CF-44E3-9099-C40C66FF867C}">
                  <a14:compatExt spid="_x0000_s34817"/>
                </a:ext>
                <a:ext uri="{FF2B5EF4-FFF2-40B4-BE49-F238E27FC236}">
                  <a16:creationId xmlns:a16="http://schemas.microsoft.com/office/drawing/2014/main" id="{00000000-0008-0000-0300-0000018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pt-B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MIGRAÇÃO SAP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1</xdr:col>
      <xdr:colOff>337930</xdr:colOff>
      <xdr:row>1</xdr:row>
      <xdr:rowOff>190498</xdr:rowOff>
    </xdr:from>
    <xdr:to>
      <xdr:col>2</xdr:col>
      <xdr:colOff>677517</xdr:colOff>
      <xdr:row>2</xdr:row>
      <xdr:rowOff>327427</xdr:rowOff>
    </xdr:to>
    <xdr:pic>
      <xdr:nvPicPr>
        <xdr:cNvPr id="4" name="Imagem 3" descr="Texto&#10;&#10;Descrição gerada automaticamente com confiança média">
          <a:extLst>
            <a:ext uri="{FF2B5EF4-FFF2-40B4-BE49-F238E27FC236}">
              <a16:creationId xmlns:a16="http://schemas.microsoft.com/office/drawing/2014/main" id="{238007EE-03C1-41C6-A3D3-28114537BB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23460" y="382655"/>
          <a:ext cx="1360005" cy="329085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4</xdr:col>
      <xdr:colOff>304801</xdr:colOff>
      <xdr:row>2</xdr:row>
      <xdr:rowOff>14742</xdr:rowOff>
    </xdr:from>
    <xdr:to>
      <xdr:col>5</xdr:col>
      <xdr:colOff>629479</xdr:colOff>
      <xdr:row>3</xdr:row>
      <xdr:rowOff>5300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FC8A0BE-2C98-8B4B-E7E1-67EF059952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461514" y="399055"/>
          <a:ext cx="1239078" cy="34174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1380565</xdr:colOff>
      <xdr:row>3</xdr:row>
      <xdr:rowOff>188259</xdr:rowOff>
    </xdr:from>
    <xdr:to>
      <xdr:col>6</xdr:col>
      <xdr:colOff>786264</xdr:colOff>
      <xdr:row>5</xdr:row>
      <xdr:rowOff>15321</xdr:rowOff>
    </xdr:to>
    <xdr:pic>
      <xdr:nvPicPr>
        <xdr:cNvPr id="3" name="Imagem 2" descr="Texto&#10;&#10;Descrição gerada automaticamente com confiança média">
          <a:extLst>
            <a:ext uri="{FF2B5EF4-FFF2-40B4-BE49-F238E27FC236}">
              <a16:creationId xmlns:a16="http://schemas.microsoft.com/office/drawing/2014/main" id="{2083802E-01E4-4033-B55D-1F09D0F50A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29200" y="627530"/>
          <a:ext cx="1360005" cy="32908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104775</xdr:colOff>
      <xdr:row>0</xdr:row>
      <xdr:rowOff>47625</xdr:rowOff>
    </xdr:from>
    <xdr:to>
      <xdr:col>1</xdr:col>
      <xdr:colOff>1495425</xdr:colOff>
      <xdr:row>3</xdr:row>
      <xdr:rowOff>85214</xdr:rowOff>
    </xdr:to>
    <xdr:pic>
      <xdr:nvPicPr>
        <xdr:cNvPr id="2" name="Imagem 1" descr="http://www.pdg.com.br/_images/assinaturaEmailPDG.jpg">
          <a:extLst>
            <a:ext uri="{FF2B5EF4-FFF2-40B4-BE49-F238E27FC236}">
              <a16:creationId xmlns:a16="http://schemas.microsoft.com/office/drawing/2014/main" id="{DF435445-1662-4257-8464-A0B4851BF02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317" t="20833" r="17073" b="20833"/>
        <a:stretch>
          <a:fillRect/>
        </a:stretch>
      </xdr:blipFill>
      <xdr:spPr bwMode="auto">
        <a:xfrm>
          <a:off x="371475" y="47625"/>
          <a:ext cx="1390650" cy="5862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67734</xdr:colOff>
      <xdr:row>0</xdr:row>
      <xdr:rowOff>135467</xdr:rowOff>
    </xdr:from>
    <xdr:to>
      <xdr:col>4</xdr:col>
      <xdr:colOff>200072</xdr:colOff>
      <xdr:row>2</xdr:row>
      <xdr:rowOff>58152</xdr:rowOff>
    </xdr:to>
    <xdr:pic>
      <xdr:nvPicPr>
        <xdr:cNvPr id="3" name="Imagem 2" descr="Texto&#10;&#10;Descrição gerada automaticamente com confiança média">
          <a:extLst>
            <a:ext uri="{FF2B5EF4-FFF2-40B4-BE49-F238E27FC236}">
              <a16:creationId xmlns:a16="http://schemas.microsoft.com/office/drawing/2014/main" id="{103DACB8-D28A-486D-84A5-89A61CCF48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0934" y="135467"/>
          <a:ext cx="1360005" cy="32908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457200</xdr:colOff>
      <xdr:row>1</xdr:row>
      <xdr:rowOff>125896</xdr:rowOff>
    </xdr:from>
    <xdr:to>
      <xdr:col>0</xdr:col>
      <xdr:colOff>1583635</xdr:colOff>
      <xdr:row>3</xdr:row>
      <xdr:rowOff>10471</xdr:rowOff>
    </xdr:to>
    <xdr:pic>
      <xdr:nvPicPr>
        <xdr:cNvPr id="3" name="Imagem 2" descr="Texto&#10;&#10;Descrição gerada automaticamente com confiança média">
          <a:extLst>
            <a:ext uri="{FF2B5EF4-FFF2-40B4-BE49-F238E27FC236}">
              <a16:creationId xmlns:a16="http://schemas.microsoft.com/office/drawing/2014/main" id="{B2E565DD-3A02-4F6C-93F8-84BE07E13B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" y="271670"/>
          <a:ext cx="1126435" cy="288766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257386</xdr:colOff>
      <xdr:row>0</xdr:row>
      <xdr:rowOff>59690</xdr:rowOff>
    </xdr:from>
    <xdr:to>
      <xdr:col>0</xdr:col>
      <xdr:colOff>1394035</xdr:colOff>
      <xdr:row>3</xdr:row>
      <xdr:rowOff>74543</xdr:rowOff>
    </xdr:to>
    <xdr:pic>
      <xdr:nvPicPr>
        <xdr:cNvPr id="2" name="Imagem 4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607" t="15201" r="7031" b="15889"/>
        <a:stretch>
          <a:fillRect/>
        </a:stretch>
      </xdr:blipFill>
      <xdr:spPr bwMode="auto">
        <a:xfrm>
          <a:off x="257386" y="59690"/>
          <a:ext cx="1136649" cy="55322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190500</xdr:colOff>
      <xdr:row>0</xdr:row>
      <xdr:rowOff>114300</xdr:rowOff>
    </xdr:from>
    <xdr:to>
      <xdr:col>1</xdr:col>
      <xdr:colOff>1550505</xdr:colOff>
      <xdr:row>2</xdr:row>
      <xdr:rowOff>49685</xdr:rowOff>
    </xdr:to>
    <xdr:pic>
      <xdr:nvPicPr>
        <xdr:cNvPr id="3" name="Imagem 2" descr="Texto&#10;&#10;Descrição gerada automaticamente com confiança média">
          <a:extLst>
            <a:ext uri="{FF2B5EF4-FFF2-40B4-BE49-F238E27FC236}">
              <a16:creationId xmlns:a16="http://schemas.microsoft.com/office/drawing/2014/main" id="{04B85116-C6A2-4F81-A289-77858921E0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1800" y="114300"/>
          <a:ext cx="1360005" cy="329085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0</xdr:row>
      <xdr:rowOff>38100</xdr:rowOff>
    </xdr:from>
    <xdr:to>
      <xdr:col>2</xdr:col>
      <xdr:colOff>666222</xdr:colOff>
      <xdr:row>2</xdr:row>
      <xdr:rowOff>133350</xdr:rowOff>
    </xdr:to>
    <xdr:pic>
      <xdr:nvPicPr>
        <xdr:cNvPr id="2" name="Imagem 4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607" t="15201" r="7031" b="15889"/>
        <a:stretch>
          <a:fillRect/>
        </a:stretch>
      </xdr:blipFill>
      <xdr:spPr bwMode="auto">
        <a:xfrm>
          <a:off x="209550" y="38100"/>
          <a:ext cx="1113897" cy="495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6</xdr:col>
          <xdr:colOff>0</xdr:colOff>
          <xdr:row>0</xdr:row>
          <xdr:rowOff>0</xdr:rowOff>
        </xdr:from>
        <xdr:to>
          <xdr:col>6</xdr:col>
          <xdr:colOff>0</xdr:colOff>
          <xdr:row>0</xdr:row>
          <xdr:rowOff>0</xdr:rowOff>
        </xdr:to>
        <xdr:sp macro="" textlink="">
          <xdr:nvSpPr>
            <xdr:cNvPr id="23553" name="Button 1" hidden="1">
              <a:extLst>
                <a:ext uri="{63B3BB69-23CF-44E3-9099-C40C66FF867C}">
                  <a14:compatExt spid="_x0000_s23553"/>
                </a:ext>
                <a:ext uri="{FF2B5EF4-FFF2-40B4-BE49-F238E27FC236}">
                  <a16:creationId xmlns:a16="http://schemas.microsoft.com/office/drawing/2014/main" id="{00000000-0008-0000-1000-0000015C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36576" tIns="32004" rIns="36576" bIns="32004" anchor="ctr" upright="1"/>
            <a:lstStyle/>
            <a:p>
              <a:pPr algn="ctr" rtl="0">
                <a:defRPr sz="1000"/>
              </a:pPr>
              <a:r>
                <a:rPr lang="pt-BR" sz="1100" b="0" i="0" u="none" strike="noStrike" baseline="0">
                  <a:solidFill>
                    <a:srgbClr val="000000"/>
                  </a:solidFill>
                  <a:latin typeface="Calibri"/>
                  <a:ea typeface="Calibri"/>
                  <a:cs typeface="Calibri"/>
                </a:rPr>
                <a:t>MIGRAÇÃO SAP</a:t>
              </a:r>
            </a:p>
          </xdr:txBody>
        </xdr:sp>
        <xdr:clientData fPrintsWithSheet="0"/>
      </xdr:twoCellAnchor>
    </mc:Choice>
    <mc:Fallback/>
  </mc:AlternateContent>
  <xdr:twoCellAnchor editAs="oneCell">
    <xdr:from>
      <xdr:col>6</xdr:col>
      <xdr:colOff>180975</xdr:colOff>
      <xdr:row>7</xdr:row>
      <xdr:rowOff>95250</xdr:rowOff>
    </xdr:from>
    <xdr:to>
      <xdr:col>7</xdr:col>
      <xdr:colOff>371475</xdr:colOff>
      <xdr:row>11</xdr:row>
      <xdr:rowOff>133350</xdr:rowOff>
    </xdr:to>
    <xdr:pic>
      <xdr:nvPicPr>
        <xdr:cNvPr id="23725" name="Imagem 2">
          <a:extLst>
            <a:ext uri="{FF2B5EF4-FFF2-40B4-BE49-F238E27FC236}">
              <a16:creationId xmlns:a16="http://schemas.microsoft.com/office/drawing/2014/main" id="{00000000-0008-0000-0D00-0000AD5C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852" t="16136" r="7480" b="15790"/>
        <a:stretch>
          <a:fillRect/>
        </a:stretch>
      </xdr:blipFill>
      <xdr:spPr bwMode="auto">
        <a:xfrm>
          <a:off x="6029325" y="1590675"/>
          <a:ext cx="1095375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0</xdr:row>
      <xdr:rowOff>38100</xdr:rowOff>
    </xdr:from>
    <xdr:to>
      <xdr:col>3</xdr:col>
      <xdr:colOff>542925</xdr:colOff>
      <xdr:row>2</xdr:row>
      <xdr:rowOff>133350</xdr:rowOff>
    </xdr:to>
    <xdr:pic>
      <xdr:nvPicPr>
        <xdr:cNvPr id="20653" name="Imagem 4">
          <a:extLst>
            <a:ext uri="{FF2B5EF4-FFF2-40B4-BE49-F238E27FC236}">
              <a16:creationId xmlns:a16="http://schemas.microsoft.com/office/drawing/2014/main" id="{00000000-0008-0000-0E00-0000AD5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607" t="15201" r="7031" b="15889"/>
        <a:stretch>
          <a:fillRect/>
        </a:stretch>
      </xdr:blipFill>
      <xdr:spPr bwMode="auto">
        <a:xfrm>
          <a:off x="361950" y="38100"/>
          <a:ext cx="1066800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47625</xdr:colOff>
      <xdr:row>0</xdr:row>
      <xdr:rowOff>38100</xdr:rowOff>
    </xdr:from>
    <xdr:to>
      <xdr:col>3</xdr:col>
      <xdr:colOff>523875</xdr:colOff>
      <xdr:row>2</xdr:row>
      <xdr:rowOff>133350</xdr:rowOff>
    </xdr:to>
    <xdr:pic>
      <xdr:nvPicPr>
        <xdr:cNvPr id="25772" name="Imagem 4">
          <a:extLst>
            <a:ext uri="{FF2B5EF4-FFF2-40B4-BE49-F238E27FC236}">
              <a16:creationId xmlns:a16="http://schemas.microsoft.com/office/drawing/2014/main" id="{00000000-0008-0000-0F00-0000AC6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607" t="15201" r="7031" b="15889"/>
        <a:stretch>
          <a:fillRect/>
        </a:stretch>
      </xdr:blipFill>
      <xdr:spPr bwMode="auto">
        <a:xfrm>
          <a:off x="333375" y="38100"/>
          <a:ext cx="1076325" cy="504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123825</xdr:colOff>
      <xdr:row>0</xdr:row>
      <xdr:rowOff>19050</xdr:rowOff>
    </xdr:from>
    <xdr:to>
      <xdr:col>1</xdr:col>
      <xdr:colOff>466725</xdr:colOff>
      <xdr:row>2</xdr:row>
      <xdr:rowOff>85725</xdr:rowOff>
    </xdr:to>
    <xdr:pic>
      <xdr:nvPicPr>
        <xdr:cNvPr id="30892" name="Imagem 1">
          <a:extLst>
            <a:ext uri="{FF2B5EF4-FFF2-40B4-BE49-F238E27FC236}">
              <a16:creationId xmlns:a16="http://schemas.microsoft.com/office/drawing/2014/main" id="{00000000-0008-0000-1000-0000AC7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3825" y="19050"/>
          <a:ext cx="847725" cy="3905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Relationship Id="rId4" Type="http://schemas.openxmlformats.org/officeDocument/2006/relationships/ctrlProp" Target="../ctrlProps/ctrlProp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bcdaconstrucao.com.br/produto/ralo-rotativo-de-inox-15x15cm-com-caixilho-1415-meber-80567?gclid=CjwKCAjw2bmLBhBREiwAZ6ugo8Wt_65x5oI-WNQmulksUFNHWrVnwxVxRcLjNUIQeqIab2jUZUbHvRoCFawQAvD_BwE" TargetMode="External"/><Relationship Id="rId7" Type="http://schemas.openxmlformats.org/officeDocument/2006/relationships/comments" Target="../comments1.xml"/><Relationship Id="rId2" Type="http://schemas.openxmlformats.org/officeDocument/2006/relationships/hyperlink" Target="https://www.americanas.com.br/produto/46483915?sellerId=30491528000171&amp;opn=YSMESP" TargetMode="External"/><Relationship Id="rId1" Type="http://schemas.openxmlformats.org/officeDocument/2006/relationships/hyperlink" Target="https://www.amoedo.com.br/rodape-3611-boleado-100x13x2400mm-branco-rhodes.html" TargetMode="External"/><Relationship Id="rId6" Type="http://schemas.openxmlformats.org/officeDocument/2006/relationships/vmlDrawing" Target="../drawings/vmlDrawing2.vml"/><Relationship Id="rId5" Type="http://schemas.openxmlformats.org/officeDocument/2006/relationships/printerSettings" Target="../printerSettings/printerSettings8.bin"/><Relationship Id="rId4" Type="http://schemas.openxmlformats.org/officeDocument/2006/relationships/hyperlink" Target="https://www.diba695.com.br/ralo-linear-70cm-com-grelha-areia--27265260-14662/p?idsku=26777&amp;utm_source=googleMerchant&amp;utm_medium=XML&amp;utm_keywords=googleshoppingv2&amp;gclid=CjwKCAjwn8SLBhAyEiwAHNTJbbFVdnDcvxtQxZQvI95kCMarWm86A0oypZ1YLMXD8AZ2QXnLy8M81hoCpWIQAvD_BwE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4.bin"/><Relationship Id="rId4" Type="http://schemas.openxmlformats.org/officeDocument/2006/relationships/ctrlProp" Target="../ctrlProps/ctrlProp2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5.bin"/><Relationship Id="rId4" Type="http://schemas.openxmlformats.org/officeDocument/2006/relationships/comments" Target="../comments2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6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7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AEE423-BBA9-4BE9-A52A-76816D5A17D8}">
  <sheetPr>
    <pageSetUpPr fitToPage="1"/>
  </sheetPr>
  <dimension ref="A1:O35"/>
  <sheetViews>
    <sheetView showGridLines="0" zoomScale="119" zoomScaleNormal="119" workbookViewId="0">
      <selection activeCell="M3" sqref="M3:M8"/>
    </sheetView>
  </sheetViews>
  <sheetFormatPr defaultColWidth="9.109375" defaultRowHeight="13.2" x14ac:dyDescent="0.3"/>
  <cols>
    <col min="1" max="1" width="8.109375" style="792" customWidth="1"/>
    <col min="2" max="2" width="14.5546875" style="792" customWidth="1"/>
    <col min="3" max="3" width="1.5546875" style="792" customWidth="1"/>
    <col min="4" max="4" width="7.88671875" style="792" customWidth="1"/>
    <col min="5" max="5" width="33" style="792" customWidth="1"/>
    <col min="6" max="6" width="4.109375" style="792" customWidth="1"/>
    <col min="7" max="7" width="4.5546875" style="792" bestFit="1" customWidth="1"/>
    <col min="8" max="8" width="9.44140625" style="792" bestFit="1" customWidth="1"/>
    <col min="9" max="10" width="9" style="792" bestFit="1" customWidth="1"/>
    <col min="11" max="11" width="3" style="792" customWidth="1"/>
    <col min="12" max="14" width="9.109375" style="792"/>
    <col min="15" max="15" width="13.6640625" style="792" bestFit="1" customWidth="1"/>
    <col min="16" max="16384" width="9.109375" style="792"/>
  </cols>
  <sheetData>
    <row r="1" spans="1:15" ht="5.25" customHeight="1" x14ac:dyDescent="0.3">
      <c r="A1" s="799"/>
      <c r="B1" s="800"/>
      <c r="C1" s="800"/>
      <c r="D1" s="800"/>
      <c r="E1" s="801"/>
      <c r="F1" s="802"/>
      <c r="G1" s="802"/>
      <c r="H1" s="802"/>
      <c r="I1" s="802"/>
    </row>
    <row r="2" spans="1:15" ht="18" customHeight="1" x14ac:dyDescent="0.3">
      <c r="A2" s="1101" t="s">
        <v>7021</v>
      </c>
      <c r="B2" s="1102"/>
      <c r="C2" s="1102"/>
      <c r="D2" s="1102"/>
      <c r="E2" s="1102"/>
      <c r="F2" s="1102"/>
      <c r="G2" s="1102"/>
      <c r="H2" s="1102"/>
      <c r="I2" s="1102"/>
      <c r="J2" s="1106"/>
      <c r="L2" s="1101" t="s">
        <v>7263</v>
      </c>
      <c r="M2" s="1102"/>
      <c r="N2" s="1102"/>
      <c r="O2" s="1102"/>
    </row>
    <row r="3" spans="1:15" ht="24.9" customHeight="1" x14ac:dyDescent="0.3">
      <c r="A3" s="1107" t="s">
        <v>7031</v>
      </c>
      <c r="B3" s="1086" t="s">
        <v>7224</v>
      </c>
      <c r="C3" s="1087"/>
      <c r="D3" s="1088"/>
      <c r="E3" s="793" t="s">
        <v>7019</v>
      </c>
      <c r="F3" s="794">
        <v>1</v>
      </c>
      <c r="G3" s="795">
        <v>1</v>
      </c>
      <c r="H3" s="796">
        <f>133.91-H4-H5</f>
        <v>62.72</v>
      </c>
      <c r="I3" s="796">
        <f>F3*1*H3</f>
        <v>62.72</v>
      </c>
      <c r="J3" s="797">
        <f t="shared" ref="J3:J19" si="0">F3*H3*G3</f>
        <v>62.72</v>
      </c>
      <c r="L3" s="819">
        <v>101</v>
      </c>
      <c r="M3" s="794">
        <v>1</v>
      </c>
      <c r="N3" s="795">
        <v>62.03</v>
      </c>
      <c r="O3" s="796">
        <f>N3*M3</f>
        <v>62.03</v>
      </c>
    </row>
    <row r="4" spans="1:15" ht="24.9" customHeight="1" x14ac:dyDescent="0.3">
      <c r="A4" s="1108"/>
      <c r="B4" s="1089"/>
      <c r="C4" s="1090"/>
      <c r="D4" s="1091"/>
      <c r="E4" s="816" t="s">
        <v>7261</v>
      </c>
      <c r="F4" s="794">
        <v>1</v>
      </c>
      <c r="G4" s="795">
        <v>0.5</v>
      </c>
      <c r="H4" s="796">
        <f>6.4+3.08+4.26</f>
        <v>13.74</v>
      </c>
      <c r="I4" s="796">
        <f t="shared" ref="I4" si="1">F4*1*H4</f>
        <v>13.74</v>
      </c>
      <c r="J4" s="796">
        <f t="shared" ref="J4" si="2">F4*H4*G4</f>
        <v>6.87</v>
      </c>
      <c r="L4" s="819">
        <v>102</v>
      </c>
      <c r="M4" s="794">
        <v>1</v>
      </c>
      <c r="N4" s="795">
        <v>62.07</v>
      </c>
      <c r="O4" s="796">
        <f t="shared" ref="O4:O8" si="3">N4*M4</f>
        <v>62.07</v>
      </c>
    </row>
    <row r="5" spans="1:15" ht="24.9" customHeight="1" x14ac:dyDescent="0.3">
      <c r="A5" s="1108"/>
      <c r="B5" s="1089"/>
      <c r="C5" s="1090"/>
      <c r="D5" s="1091"/>
      <c r="E5" s="816" t="s">
        <v>7257</v>
      </c>
      <c r="F5" s="794">
        <v>1</v>
      </c>
      <c r="G5" s="795">
        <v>0.5</v>
      </c>
      <c r="H5" s="796">
        <v>57.45</v>
      </c>
      <c r="I5" s="796">
        <f t="shared" ref="I5" si="4">F5*1*H5</f>
        <v>57.45</v>
      </c>
      <c r="J5" s="797">
        <f t="shared" ref="J5" si="5">F5*H5*G5</f>
        <v>28.725000000000001</v>
      </c>
      <c r="L5" s="820" t="s">
        <v>7273</v>
      </c>
      <c r="M5" s="794">
        <v>3</v>
      </c>
      <c r="N5" s="795">
        <f>45.25+9.78</f>
        <v>55.03</v>
      </c>
      <c r="O5" s="796">
        <f t="shared" si="3"/>
        <v>165.09</v>
      </c>
    </row>
    <row r="6" spans="1:15" ht="24.9" customHeight="1" x14ac:dyDescent="0.3">
      <c r="A6" s="1108"/>
      <c r="B6" s="1092"/>
      <c r="C6" s="1093"/>
      <c r="D6" s="1094"/>
      <c r="E6" s="816" t="s">
        <v>7280</v>
      </c>
      <c r="F6" s="794">
        <v>1</v>
      </c>
      <c r="G6" s="795">
        <v>0.25</v>
      </c>
      <c r="H6" s="796">
        <v>8.6199999999999992</v>
      </c>
      <c r="I6" s="796"/>
      <c r="J6" s="797">
        <f t="shared" si="0"/>
        <v>2.1549999999999998</v>
      </c>
      <c r="L6" s="820" t="s">
        <v>7274</v>
      </c>
      <c r="M6" s="794">
        <v>3</v>
      </c>
      <c r="N6" s="795">
        <f>45.36+9.79</f>
        <v>55.15</v>
      </c>
      <c r="O6" s="796">
        <f t="shared" si="3"/>
        <v>165.45</v>
      </c>
    </row>
    <row r="7" spans="1:15" ht="24.9" customHeight="1" x14ac:dyDescent="0.3">
      <c r="A7" s="1108"/>
      <c r="B7" s="1086" t="s">
        <v>7276</v>
      </c>
      <c r="C7" s="1087"/>
      <c r="D7" s="1088"/>
      <c r="E7" s="793" t="s">
        <v>7019</v>
      </c>
      <c r="F7" s="794">
        <v>1</v>
      </c>
      <c r="G7" s="795">
        <v>1</v>
      </c>
      <c r="H7" s="796">
        <f>131.58-H8</f>
        <v>114.67000000000002</v>
      </c>
      <c r="I7" s="796">
        <f t="shared" ref="I7:I18" si="6">F7*1*H7</f>
        <v>114.67000000000002</v>
      </c>
      <c r="J7" s="797">
        <f t="shared" si="0"/>
        <v>114.67000000000002</v>
      </c>
      <c r="L7" s="820">
        <v>501</v>
      </c>
      <c r="M7" s="794">
        <v>1</v>
      </c>
      <c r="N7" s="795">
        <v>118.74</v>
      </c>
      <c r="O7" s="796">
        <f t="shared" si="3"/>
        <v>118.74</v>
      </c>
    </row>
    <row r="8" spans="1:15" ht="24.9" customHeight="1" x14ac:dyDescent="0.3">
      <c r="A8" s="1108"/>
      <c r="B8" s="1089"/>
      <c r="C8" s="1090"/>
      <c r="D8" s="1091"/>
      <c r="E8" s="793" t="s">
        <v>7020</v>
      </c>
      <c r="F8" s="794">
        <v>1</v>
      </c>
      <c r="G8" s="795">
        <v>1</v>
      </c>
      <c r="H8" s="796">
        <v>16.91</v>
      </c>
      <c r="I8" s="796">
        <f t="shared" ref="I8" si="7">F8*1*H8</f>
        <v>16.91</v>
      </c>
      <c r="J8" s="797">
        <f t="shared" ref="J8" si="8">F8*H8*G8</f>
        <v>16.91</v>
      </c>
      <c r="L8" s="820">
        <v>502</v>
      </c>
      <c r="M8" s="794">
        <v>1</v>
      </c>
      <c r="N8" s="795">
        <v>118.08</v>
      </c>
      <c r="O8" s="796">
        <f t="shared" si="3"/>
        <v>118.08</v>
      </c>
    </row>
    <row r="9" spans="1:15" ht="24.9" customHeight="1" x14ac:dyDescent="0.3">
      <c r="A9" s="1108"/>
      <c r="B9" s="1092"/>
      <c r="C9" s="1093"/>
      <c r="D9" s="1094"/>
      <c r="E9" s="816" t="s">
        <v>7275</v>
      </c>
      <c r="F9" s="794">
        <v>1</v>
      </c>
      <c r="G9" s="795">
        <v>0.5</v>
      </c>
      <c r="H9" s="796">
        <v>13.33</v>
      </c>
      <c r="I9" s="796"/>
      <c r="J9" s="797">
        <f t="shared" si="0"/>
        <v>6.665</v>
      </c>
      <c r="L9" s="1103" t="s">
        <v>7030</v>
      </c>
      <c r="M9" s="1104"/>
      <c r="N9" s="1105"/>
      <c r="O9" s="803">
        <f>SUM(O3:O8)</f>
        <v>691.46</v>
      </c>
    </row>
    <row r="10" spans="1:15" ht="24.9" customHeight="1" x14ac:dyDescent="0.3">
      <c r="A10" s="1108"/>
      <c r="B10" s="1086" t="s">
        <v>7277</v>
      </c>
      <c r="C10" s="1087"/>
      <c r="D10" s="1088"/>
      <c r="E10" s="793" t="s">
        <v>7019</v>
      </c>
      <c r="F10" s="794">
        <v>3</v>
      </c>
      <c r="G10" s="795">
        <v>1</v>
      </c>
      <c r="H10" s="796">
        <f>131.58-H11</f>
        <v>120.06000000000002</v>
      </c>
      <c r="I10" s="796">
        <f t="shared" si="6"/>
        <v>360.18000000000006</v>
      </c>
      <c r="J10" s="797">
        <f t="shared" si="0"/>
        <v>360.18000000000006</v>
      </c>
    </row>
    <row r="11" spans="1:15" ht="24.9" customHeight="1" x14ac:dyDescent="0.3">
      <c r="A11" s="1108"/>
      <c r="B11" s="1092"/>
      <c r="C11" s="1093"/>
      <c r="D11" s="1094"/>
      <c r="E11" s="793" t="s">
        <v>7020</v>
      </c>
      <c r="F11" s="794">
        <v>3</v>
      </c>
      <c r="G11" s="795">
        <v>1</v>
      </c>
      <c r="H11" s="796">
        <v>11.52</v>
      </c>
      <c r="I11" s="796">
        <f t="shared" si="6"/>
        <v>34.56</v>
      </c>
      <c r="J11" s="797">
        <f t="shared" si="0"/>
        <v>34.56</v>
      </c>
      <c r="O11" s="818"/>
    </row>
    <row r="12" spans="1:15" ht="24.9" customHeight="1" x14ac:dyDescent="0.3">
      <c r="A12" s="1108"/>
      <c r="B12" s="1086" t="s">
        <v>7279</v>
      </c>
      <c r="C12" s="1087"/>
      <c r="D12" s="1088"/>
      <c r="E12" s="793" t="s">
        <v>7019</v>
      </c>
      <c r="F12" s="794">
        <v>1</v>
      </c>
      <c r="G12" s="795">
        <v>1</v>
      </c>
      <c r="H12" s="796">
        <f>131.58-H13</f>
        <v>114.68</v>
      </c>
      <c r="I12" s="796">
        <f>F12*1*H12</f>
        <v>114.68</v>
      </c>
      <c r="J12" s="797">
        <f t="shared" si="0"/>
        <v>114.68</v>
      </c>
      <c r="O12" s="818"/>
    </row>
    <row r="13" spans="1:15" ht="24.9" customHeight="1" x14ac:dyDescent="0.3">
      <c r="A13" s="1108"/>
      <c r="B13" s="1092"/>
      <c r="C13" s="1093"/>
      <c r="D13" s="1094"/>
      <c r="E13" s="793" t="s">
        <v>7020</v>
      </c>
      <c r="F13" s="794">
        <v>1</v>
      </c>
      <c r="G13" s="795">
        <v>1</v>
      </c>
      <c r="H13" s="796">
        <v>16.899999999999999</v>
      </c>
      <c r="I13" s="796">
        <f t="shared" si="6"/>
        <v>16.899999999999999</v>
      </c>
      <c r="J13" s="797">
        <f t="shared" si="0"/>
        <v>16.899999999999999</v>
      </c>
      <c r="O13" s="818"/>
    </row>
    <row r="14" spans="1:15" ht="24.9" customHeight="1" x14ac:dyDescent="0.3">
      <c r="A14" s="1108"/>
      <c r="B14" s="1095" t="s">
        <v>7278</v>
      </c>
      <c r="C14" s="1096"/>
      <c r="D14" s="1097"/>
      <c r="E14" s="793" t="s">
        <v>7019</v>
      </c>
      <c r="F14" s="794">
        <v>1</v>
      </c>
      <c r="G14" s="795">
        <v>1</v>
      </c>
      <c r="H14" s="796">
        <f>87.37-H15</f>
        <v>87.37</v>
      </c>
      <c r="I14" s="796">
        <f>F14*1*H14</f>
        <v>87.37</v>
      </c>
      <c r="J14" s="797">
        <f t="shared" ref="J14:J15" si="9">F14*H14*G14</f>
        <v>87.37</v>
      </c>
      <c r="O14" s="818"/>
    </row>
    <row r="15" spans="1:15" ht="24.9" customHeight="1" x14ac:dyDescent="0.3">
      <c r="A15" s="1108"/>
      <c r="B15" s="1098"/>
      <c r="C15" s="1099"/>
      <c r="D15" s="1100"/>
      <c r="E15" s="793" t="s">
        <v>7020</v>
      </c>
      <c r="F15" s="794">
        <v>1</v>
      </c>
      <c r="G15" s="795">
        <v>1</v>
      </c>
      <c r="H15" s="796"/>
      <c r="I15" s="796">
        <f t="shared" ref="I15" si="10">F15*1*H15</f>
        <v>0</v>
      </c>
      <c r="J15" s="797">
        <f t="shared" si="9"/>
        <v>0</v>
      </c>
    </row>
    <row r="16" spans="1:15" ht="24.9" customHeight="1" x14ac:dyDescent="0.3">
      <c r="A16" s="1108"/>
      <c r="B16" s="1095" t="s">
        <v>7225</v>
      </c>
      <c r="C16" s="1096"/>
      <c r="D16" s="1097"/>
      <c r="E16" s="793" t="s">
        <v>7019</v>
      </c>
      <c r="F16" s="794">
        <v>1</v>
      </c>
      <c r="G16" s="795">
        <v>1</v>
      </c>
      <c r="H16" s="796">
        <f>22.94-H17</f>
        <v>22.94</v>
      </c>
      <c r="I16" s="796">
        <f t="shared" si="6"/>
        <v>22.94</v>
      </c>
      <c r="J16" s="797">
        <f t="shared" si="0"/>
        <v>22.94</v>
      </c>
    </row>
    <row r="17" spans="1:10" ht="24.9" customHeight="1" x14ac:dyDescent="0.3">
      <c r="A17" s="1108"/>
      <c r="B17" s="1098"/>
      <c r="C17" s="1099"/>
      <c r="D17" s="1100"/>
      <c r="E17" s="793" t="s">
        <v>7222</v>
      </c>
      <c r="F17" s="794">
        <v>1</v>
      </c>
      <c r="G17" s="795">
        <v>0.5</v>
      </c>
      <c r="H17" s="796"/>
      <c r="I17" s="796">
        <f t="shared" si="6"/>
        <v>0</v>
      </c>
      <c r="J17" s="797">
        <f t="shared" si="0"/>
        <v>0</v>
      </c>
    </row>
    <row r="18" spans="1:10" ht="24.9" customHeight="1" x14ac:dyDescent="0.3">
      <c r="A18" s="1108"/>
      <c r="B18" s="1095" t="s">
        <v>7223</v>
      </c>
      <c r="C18" s="1096"/>
      <c r="D18" s="1097"/>
      <c r="E18" s="793" t="s">
        <v>7019</v>
      </c>
      <c r="F18" s="794">
        <v>1</v>
      </c>
      <c r="G18" s="795">
        <v>0.5</v>
      </c>
      <c r="H18" s="796"/>
      <c r="I18" s="796">
        <f t="shared" si="6"/>
        <v>0</v>
      </c>
      <c r="J18" s="797">
        <f t="shared" si="0"/>
        <v>0</v>
      </c>
    </row>
    <row r="19" spans="1:10" ht="24.9" customHeight="1" x14ac:dyDescent="0.3">
      <c r="A19" s="1109"/>
      <c r="B19" s="1098"/>
      <c r="C19" s="1099"/>
      <c r="D19" s="1100"/>
      <c r="E19" s="793" t="s">
        <v>7222</v>
      </c>
      <c r="F19" s="794">
        <v>1</v>
      </c>
      <c r="G19" s="795">
        <v>0.25</v>
      </c>
      <c r="H19" s="796">
        <v>51.26</v>
      </c>
      <c r="I19" s="796"/>
      <c r="J19" s="797">
        <f t="shared" si="0"/>
        <v>12.815</v>
      </c>
    </row>
    <row r="20" spans="1:10" ht="24.9" customHeight="1" x14ac:dyDescent="0.3">
      <c r="A20" s="1083" t="s">
        <v>7030</v>
      </c>
      <c r="B20" s="1084"/>
      <c r="C20" s="1084"/>
      <c r="D20" s="1084"/>
      <c r="E20" s="1084"/>
      <c r="F20" s="1084"/>
      <c r="G20" s="1084"/>
      <c r="H20" s="1085"/>
      <c r="I20" s="803">
        <f>SUM(I3:I19)</f>
        <v>902.12000000000012</v>
      </c>
      <c r="J20" s="803">
        <f>SUM(J3:J19)</f>
        <v>888.16000000000031</v>
      </c>
    </row>
    <row r="21" spans="1:10" ht="24.9" customHeight="1" x14ac:dyDescent="0.3">
      <c r="I21" s="818"/>
      <c r="J21" s="815"/>
    </row>
    <row r="22" spans="1:10" ht="24.9" customHeight="1" x14ac:dyDescent="0.3"/>
    <row r="23" spans="1:10" ht="24.9" customHeight="1" x14ac:dyDescent="0.3"/>
    <row r="24" spans="1:10" ht="24.9" customHeight="1" x14ac:dyDescent="0.3"/>
    <row r="25" spans="1:10" ht="24.9" customHeight="1" x14ac:dyDescent="0.3"/>
    <row r="26" spans="1:10" ht="24.9" customHeight="1" x14ac:dyDescent="0.3"/>
    <row r="27" spans="1:10" ht="24.9" customHeight="1" x14ac:dyDescent="0.3"/>
    <row r="28" spans="1:10" ht="24.9" customHeight="1" x14ac:dyDescent="0.3"/>
    <row r="29" spans="1:10" ht="24.9" customHeight="1" x14ac:dyDescent="0.3"/>
    <row r="30" spans="1:10" ht="24.9" customHeight="1" x14ac:dyDescent="0.3"/>
    <row r="31" spans="1:10" ht="24.9" customHeight="1" x14ac:dyDescent="0.3"/>
    <row r="32" spans="1:10" ht="24.9" customHeight="1" x14ac:dyDescent="0.3"/>
    <row r="33" spans="11:11" ht="24.9" customHeight="1" x14ac:dyDescent="0.3"/>
    <row r="34" spans="11:11" ht="18" customHeight="1" x14ac:dyDescent="0.3">
      <c r="K34" s="815"/>
    </row>
    <row r="35" spans="11:11" x14ac:dyDescent="0.3">
      <c r="K35" s="815"/>
    </row>
  </sheetData>
  <mergeCells count="12">
    <mergeCell ref="L2:O2"/>
    <mergeCell ref="L9:N9"/>
    <mergeCell ref="A2:J2"/>
    <mergeCell ref="B18:D19"/>
    <mergeCell ref="B3:D6"/>
    <mergeCell ref="A3:A19"/>
    <mergeCell ref="A20:H20"/>
    <mergeCell ref="B7:D9"/>
    <mergeCell ref="B10:D11"/>
    <mergeCell ref="B12:D13"/>
    <mergeCell ref="B14:D15"/>
    <mergeCell ref="B16:D17"/>
  </mergeCells>
  <pageMargins left="0.7" right="0.7" top="0.75" bottom="0.75" header="0.3" footer="0.3"/>
  <pageSetup paperSize="9" scale="93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R838"/>
  <sheetViews>
    <sheetView showGridLines="0" topLeftCell="B1" zoomScale="90" zoomScaleNormal="90" zoomScaleSheetLayoutView="85" workbookViewId="0">
      <pane ySplit="7" topLeftCell="A805" activePane="bottomLeft" state="frozen"/>
      <selection pane="bottomLeft" activeCell="K836" sqref="K836"/>
    </sheetView>
  </sheetViews>
  <sheetFormatPr defaultColWidth="9.109375" defaultRowHeight="13.8" outlineLevelRow="1" outlineLevelCol="1" x14ac:dyDescent="0.3"/>
  <cols>
    <col min="1" max="1" width="4.33203125" style="290" customWidth="1" outlineLevel="1"/>
    <col min="2" max="2" width="1.88671875" style="39" customWidth="1"/>
    <col min="3" max="3" width="7.109375" style="39" customWidth="1"/>
    <col min="4" max="4" width="8.6640625" style="39" customWidth="1"/>
    <col min="5" max="5" width="68.5546875" style="39" customWidth="1"/>
    <col min="6" max="6" width="14" style="9" customWidth="1"/>
    <col min="7" max="7" width="10.33203125" style="9" customWidth="1"/>
    <col min="8" max="8" width="9" style="44" customWidth="1"/>
    <col min="9" max="9" width="11.6640625" style="44" customWidth="1"/>
    <col min="10" max="10" width="17.6640625" style="43" bestFit="1" customWidth="1"/>
    <col min="11" max="11" width="17.6640625" style="43" customWidth="1" outlineLevel="1"/>
    <col min="12" max="12" width="22.109375" style="43" customWidth="1"/>
    <col min="13" max="13" width="11.109375" style="150" customWidth="1"/>
    <col min="14" max="14" width="17" style="13" customWidth="1" outlineLevel="1"/>
    <col min="15" max="15" width="17.88671875" style="13" customWidth="1" outlineLevel="1"/>
    <col min="16" max="16" width="16" style="13" customWidth="1" outlineLevel="1"/>
    <col min="17" max="17" width="1.44140625" style="13" customWidth="1"/>
    <col min="18" max="18" width="15.6640625" style="13" customWidth="1"/>
    <col min="19" max="20" width="13.5546875" style="13" customWidth="1"/>
    <col min="21" max="16384" width="9.109375" style="13"/>
  </cols>
  <sheetData>
    <row r="1" spans="1:18" ht="15" customHeight="1" x14ac:dyDescent="0.3">
      <c r="D1" s="23"/>
      <c r="E1" s="1110" t="s">
        <v>1263</v>
      </c>
      <c r="F1" s="1110"/>
      <c r="G1" s="1110"/>
      <c r="H1" s="1110"/>
      <c r="K1" s="192" t="s">
        <v>1155</v>
      </c>
      <c r="L1" s="229" t="s">
        <v>1000</v>
      </c>
      <c r="M1" s="149"/>
    </row>
    <row r="2" spans="1:18" ht="17.25" customHeight="1" x14ac:dyDescent="0.3">
      <c r="D2" s="23"/>
      <c r="E2" s="1110"/>
      <c r="F2" s="1110"/>
      <c r="G2" s="1110"/>
      <c r="H2" s="1110"/>
      <c r="I2" s="315"/>
      <c r="L2" s="230">
        <v>8</v>
      </c>
      <c r="M2" s="149"/>
    </row>
    <row r="3" spans="1:18" ht="14.4" thickBot="1" x14ac:dyDescent="0.35">
      <c r="B3" s="40"/>
      <c r="C3" s="40"/>
      <c r="D3" s="50"/>
      <c r="E3" s="50"/>
      <c r="F3" s="279"/>
      <c r="G3" s="41"/>
      <c r="H3" s="41"/>
      <c r="I3" s="41"/>
      <c r="J3" s="41"/>
      <c r="L3" s="42"/>
      <c r="M3" s="149"/>
    </row>
    <row r="4" spans="1:18" ht="15" thickTop="1" thickBot="1" x14ac:dyDescent="0.35">
      <c r="H4" s="9"/>
      <c r="I4" s="9"/>
      <c r="K4" s="228" t="s">
        <v>1261</v>
      </c>
    </row>
    <row r="5" spans="1:18" ht="13.5" customHeight="1" thickBot="1" x14ac:dyDescent="0.35">
      <c r="B5" s="24"/>
      <c r="C5" s="24"/>
      <c r="D5" s="24"/>
      <c r="E5" s="24"/>
      <c r="F5" s="3" t="s">
        <v>1593</v>
      </c>
      <c r="G5" s="3" t="s">
        <v>28</v>
      </c>
      <c r="H5" s="3" t="s">
        <v>1596</v>
      </c>
      <c r="I5" s="3" t="s">
        <v>88</v>
      </c>
      <c r="J5" s="25" t="s">
        <v>26</v>
      </c>
      <c r="K5" s="228">
        <v>1</v>
      </c>
      <c r="L5" s="25" t="s">
        <v>27</v>
      </c>
      <c r="M5" s="151"/>
      <c r="O5" s="148" t="s">
        <v>1262</v>
      </c>
    </row>
    <row r="6" spans="1:18" ht="5.25" customHeight="1" x14ac:dyDescent="0.3">
      <c r="B6" s="88"/>
      <c r="C6" s="88"/>
      <c r="D6" s="88"/>
      <c r="E6" s="88"/>
      <c r="F6" s="10"/>
      <c r="G6" s="10"/>
      <c r="H6" s="10"/>
      <c r="I6" s="10"/>
      <c r="J6" s="89"/>
      <c r="K6" s="89"/>
      <c r="L6" s="89"/>
      <c r="M6" s="152"/>
      <c r="O6" s="148"/>
    </row>
    <row r="7" spans="1:18" ht="13.5" customHeight="1" x14ac:dyDescent="0.3">
      <c r="B7" s="76" t="s">
        <v>30</v>
      </c>
      <c r="C7" s="90"/>
      <c r="D7" s="90"/>
      <c r="E7" s="90"/>
      <c r="F7" s="91"/>
      <c r="G7" s="91"/>
      <c r="H7" s="92"/>
      <c r="I7" s="92"/>
      <c r="J7" s="93"/>
      <c r="K7" s="93"/>
      <c r="L7" s="93">
        <f>SUM(L9+L177)</f>
        <v>3655161.1436120686</v>
      </c>
      <c r="M7" s="153">
        <f t="shared" ref="M7:M143" si="0">L7/$L$7</f>
        <v>1</v>
      </c>
      <c r="N7" s="13" t="b">
        <f>P7=L7</f>
        <v>0</v>
      </c>
      <c r="O7" s="227">
        <f>SUM(O10:O819)</f>
        <v>3261116.9974792968</v>
      </c>
      <c r="P7" s="225">
        <f>O7*K5</f>
        <v>3261116.9974792968</v>
      </c>
      <c r="Q7" s="226"/>
    </row>
    <row r="8" spans="1:18" ht="5.25" customHeight="1" x14ac:dyDescent="0.3">
      <c r="B8" s="63">
        <v>0</v>
      </c>
      <c r="C8" s="72">
        <v>0</v>
      </c>
      <c r="D8" s="72">
        <v>0</v>
      </c>
      <c r="E8" s="72">
        <v>0</v>
      </c>
      <c r="F8" s="73"/>
      <c r="G8" s="73">
        <v>0</v>
      </c>
      <c r="H8" s="74">
        <v>0</v>
      </c>
      <c r="I8" s="74"/>
      <c r="J8" s="75">
        <f>IFERROR(IF(K8&lt;&gt;0,K8*$K$5,0),0)</f>
        <v>0</v>
      </c>
      <c r="K8" s="75"/>
      <c r="L8" s="75"/>
      <c r="M8" s="153">
        <f t="shared" si="0"/>
        <v>0</v>
      </c>
      <c r="O8" s="148"/>
    </row>
    <row r="9" spans="1:18" ht="13.5" customHeight="1" x14ac:dyDescent="0.3">
      <c r="A9" s="290">
        <f t="shared" ref="A9:A145" si="1">LEN(C9)</f>
        <v>1</v>
      </c>
      <c r="B9" s="20"/>
      <c r="C9" s="20" t="s">
        <v>352</v>
      </c>
      <c r="D9" s="20" t="s">
        <v>90</v>
      </c>
      <c r="E9" s="21"/>
      <c r="F9" s="22"/>
      <c r="G9" s="22"/>
      <c r="H9" s="28"/>
      <c r="I9" s="28"/>
      <c r="J9" s="26"/>
      <c r="K9" s="26"/>
      <c r="L9" s="26">
        <f>SUMIF(A10:A176,3,L10:L176)</f>
        <v>198955.94</v>
      </c>
      <c r="M9" s="153">
        <f t="shared" si="0"/>
        <v>5.44315099069448E-2</v>
      </c>
      <c r="O9" s="148">
        <f t="shared" ref="O9:O20" si="2">IF(I9&lt;&gt;0,I9*H9*K9,)</f>
        <v>0</v>
      </c>
      <c r="R9" s="12">
        <f t="shared" ref="R9:R24" si="3">IF(J9&lt;&gt;0,J9/1.03-K9,0)</f>
        <v>0</v>
      </c>
    </row>
    <row r="10" spans="1:18" s="18" customFormat="1" ht="13.5" customHeight="1" x14ac:dyDescent="0.3">
      <c r="A10" s="290">
        <f t="shared" si="1"/>
        <v>3</v>
      </c>
      <c r="B10" s="35"/>
      <c r="C10" s="35" t="s">
        <v>354</v>
      </c>
      <c r="D10" s="35" t="s">
        <v>76</v>
      </c>
      <c r="E10" s="35"/>
      <c r="F10" s="36"/>
      <c r="G10" s="36"/>
      <c r="H10" s="37"/>
      <c r="I10" s="37"/>
      <c r="J10" s="38"/>
      <c r="K10" s="38"/>
      <c r="L10" s="38">
        <f>SUMIF(A11:A24,4,L11:L24)</f>
        <v>1</v>
      </c>
      <c r="M10" s="153">
        <f t="shared" si="0"/>
        <v>2.7358574922138438E-7</v>
      </c>
      <c r="O10" s="148">
        <f t="shared" si="2"/>
        <v>0</v>
      </c>
      <c r="R10" s="12">
        <f t="shared" si="3"/>
        <v>0</v>
      </c>
    </row>
    <row r="11" spans="1:18" s="18" customFormat="1" ht="5.25" hidden="1" customHeight="1" outlineLevel="1" x14ac:dyDescent="0.3">
      <c r="A11" s="290">
        <f t="shared" si="1"/>
        <v>0</v>
      </c>
      <c r="B11" s="63"/>
      <c r="C11" s="63"/>
      <c r="D11" s="63"/>
      <c r="E11" s="63"/>
      <c r="F11" s="64"/>
      <c r="G11" s="64"/>
      <c r="H11" s="65"/>
      <c r="I11" s="65"/>
      <c r="J11" s="66">
        <f>IFERROR(IF(K11&lt;&gt;0,K11*$K$5,0),0)</f>
        <v>0</v>
      </c>
      <c r="K11" s="66" t="e">
        <f>IF(A11=0,VLOOKUP(D11,'03. Insumos'!A:F,4,0),"")</f>
        <v>#N/A</v>
      </c>
      <c r="L11" s="66"/>
      <c r="M11" s="153">
        <f t="shared" si="0"/>
        <v>0</v>
      </c>
      <c r="O11" s="148">
        <f t="shared" si="2"/>
        <v>0</v>
      </c>
      <c r="R11" s="12">
        <f t="shared" si="3"/>
        <v>0</v>
      </c>
    </row>
    <row r="12" spans="1:18" s="18" customFormat="1" ht="13.5" hidden="1" customHeight="1" outlineLevel="1" x14ac:dyDescent="0.3">
      <c r="A12" s="290">
        <f t="shared" si="1"/>
        <v>4</v>
      </c>
      <c r="B12" s="45"/>
      <c r="C12" s="45" t="s">
        <v>388</v>
      </c>
      <c r="D12" s="45" t="s">
        <v>1361</v>
      </c>
      <c r="E12" s="45"/>
      <c r="F12" s="60"/>
      <c r="G12" s="60"/>
      <c r="H12" s="61"/>
      <c r="I12" s="61"/>
      <c r="J12" s="62"/>
      <c r="K12" s="62" t="str">
        <f>IF(A12=0,VLOOKUP(D12,'03. Insumos'!A:F,4,0),"")</f>
        <v/>
      </c>
      <c r="L12" s="62">
        <f>SUMIF(A13:A14,6,L13:L14)</f>
        <v>0</v>
      </c>
      <c r="M12" s="153">
        <f t="shared" si="0"/>
        <v>0</v>
      </c>
      <c r="O12" s="148">
        <f t="shared" si="2"/>
        <v>0</v>
      </c>
      <c r="R12" s="12">
        <f t="shared" si="3"/>
        <v>0</v>
      </c>
    </row>
    <row r="13" spans="1:18" s="71" customFormat="1" ht="13.5" hidden="1" customHeight="1" outlineLevel="1" x14ac:dyDescent="0.3">
      <c r="A13" s="290">
        <f t="shared" si="1"/>
        <v>6</v>
      </c>
      <c r="B13" s="67"/>
      <c r="C13" s="67" t="s">
        <v>910</v>
      </c>
      <c r="D13" s="67" t="s">
        <v>31</v>
      </c>
      <c r="E13" s="67"/>
      <c r="F13" s="68"/>
      <c r="G13" s="68"/>
      <c r="H13" s="69"/>
      <c r="I13" s="69"/>
      <c r="J13" s="70"/>
      <c r="K13" s="70" t="str">
        <f>IF(A13=0,VLOOKUP(D13,'03. Insumos'!A:F,4,0),"")</f>
        <v/>
      </c>
      <c r="L13" s="70"/>
      <c r="M13" s="153">
        <f t="shared" si="0"/>
        <v>0</v>
      </c>
      <c r="O13" s="148">
        <f t="shared" si="2"/>
        <v>0</v>
      </c>
      <c r="R13" s="12">
        <f t="shared" si="3"/>
        <v>0</v>
      </c>
    </row>
    <row r="14" spans="1:18" s="51" customFormat="1" ht="13.5" hidden="1" customHeight="1" outlineLevel="1" x14ac:dyDescent="0.3">
      <c r="A14" s="290">
        <f t="shared" si="1"/>
        <v>0</v>
      </c>
      <c r="B14" s="49"/>
      <c r="C14" s="49"/>
      <c r="D14" s="140" t="s">
        <v>117</v>
      </c>
      <c r="E14" s="49" t="str">
        <f>VLOOKUP(D14,'03. Insumos'!A:D,2,0)</f>
        <v>Placa de Obra</v>
      </c>
      <c r="F14" s="52"/>
      <c r="G14" s="52" t="str">
        <f>VLOOKUP(D14,'03. Insumos'!A:F,3,0)</f>
        <v>vb</v>
      </c>
      <c r="H14" s="53">
        <v>1</v>
      </c>
      <c r="I14" s="191"/>
      <c r="J14" s="54">
        <f>IFERROR(IF(K14&lt;&gt;0,K14*$K$5,0),0)</f>
        <v>1</v>
      </c>
      <c r="K14" s="54">
        <f>IF(A14=0,VLOOKUP(D14,'03. Insumos'!A:F,4,0),"")</f>
        <v>1</v>
      </c>
      <c r="L14" s="274">
        <f>H14*J14*I14</f>
        <v>0</v>
      </c>
      <c r="M14" s="153">
        <f t="shared" si="0"/>
        <v>0</v>
      </c>
      <c r="O14" s="148">
        <f t="shared" si="2"/>
        <v>0</v>
      </c>
      <c r="R14" s="12">
        <f t="shared" si="3"/>
        <v>-2.9126213592232997E-2</v>
      </c>
    </row>
    <row r="15" spans="1:18" s="18" customFormat="1" ht="13.5" customHeight="1" outlineLevel="1" x14ac:dyDescent="0.3">
      <c r="A15" s="290">
        <f t="shared" si="1"/>
        <v>4</v>
      </c>
      <c r="B15" s="45"/>
      <c r="C15" s="45" t="s">
        <v>389</v>
      </c>
      <c r="D15" s="45" t="s">
        <v>342</v>
      </c>
      <c r="E15" s="45"/>
      <c r="F15" s="60"/>
      <c r="G15" s="60"/>
      <c r="H15" s="61"/>
      <c r="I15" s="61"/>
      <c r="J15" s="62"/>
      <c r="K15" s="62" t="str">
        <f>IF(A15=0,VLOOKUP(D15,'03. Insumos'!A:F,4,0),"")</f>
        <v/>
      </c>
      <c r="L15" s="62">
        <f>SUMIF(A16:A24,6,L16:L24)</f>
        <v>1</v>
      </c>
      <c r="M15" s="153">
        <f t="shared" si="0"/>
        <v>2.7358574922138438E-7</v>
      </c>
      <c r="O15" s="148">
        <f t="shared" si="2"/>
        <v>0</v>
      </c>
      <c r="R15" s="12">
        <f t="shared" si="3"/>
        <v>0</v>
      </c>
    </row>
    <row r="16" spans="1:18" s="34" customFormat="1" ht="13.5" hidden="1" customHeight="1" outlineLevel="1" x14ac:dyDescent="0.3">
      <c r="A16" s="290">
        <f t="shared" si="1"/>
        <v>6</v>
      </c>
      <c r="B16" s="30"/>
      <c r="C16" s="30" t="s">
        <v>911</v>
      </c>
      <c r="D16" s="30" t="s">
        <v>32</v>
      </c>
      <c r="E16" s="30"/>
      <c r="F16" s="31"/>
      <c r="G16" s="31"/>
      <c r="H16" s="32"/>
      <c r="I16" s="32"/>
      <c r="J16" s="33"/>
      <c r="K16" s="33" t="str">
        <f>IF(A16=0,VLOOKUP(D16,'03. Insumos'!A:F,4,0),"")</f>
        <v/>
      </c>
      <c r="L16" s="33">
        <f>SUM(L17:L20)</f>
        <v>0</v>
      </c>
      <c r="M16" s="153">
        <f t="shared" si="0"/>
        <v>0</v>
      </c>
      <c r="O16" s="148">
        <f t="shared" si="2"/>
        <v>0</v>
      </c>
      <c r="R16" s="12">
        <f t="shared" si="3"/>
        <v>0</v>
      </c>
    </row>
    <row r="17" spans="1:18" s="51" customFormat="1" ht="13.5" hidden="1" customHeight="1" outlineLevel="1" x14ac:dyDescent="0.3">
      <c r="A17" s="290">
        <f t="shared" si="1"/>
        <v>0</v>
      </c>
      <c r="B17" s="49"/>
      <c r="C17" s="49"/>
      <c r="D17" s="140" t="s">
        <v>226</v>
      </c>
      <c r="E17" s="49" t="str">
        <f>VLOOKUP(D17,'03. Insumos'!A:D,2,0)</f>
        <v xml:space="preserve">Controle Tecnológico - Ensaio compressão simples concreto NBR 7215 </v>
      </c>
      <c r="F17" s="52"/>
      <c r="G17" s="52" t="str">
        <f>VLOOKUP(D17,'03. Insumos'!A:F,3,0)</f>
        <v>cp</v>
      </c>
      <c r="H17" s="53">
        <v>1</v>
      </c>
      <c r="I17" s="141"/>
      <c r="J17" s="54">
        <f>IFERROR(IF(K17&lt;&gt;0,K17*$K$5,0),0)</f>
        <v>12</v>
      </c>
      <c r="K17" s="54">
        <f>IF(A17=0,VLOOKUP(D17,'03. Insumos'!A:F,4,0),"")</f>
        <v>12</v>
      </c>
      <c r="L17" s="274">
        <f>H17*J17*I17</f>
        <v>0</v>
      </c>
      <c r="M17" s="153">
        <f t="shared" si="0"/>
        <v>0</v>
      </c>
      <c r="O17" s="148">
        <f t="shared" si="2"/>
        <v>0</v>
      </c>
      <c r="R17" s="12">
        <f t="shared" si="3"/>
        <v>-0.34951456310679596</v>
      </c>
    </row>
    <row r="18" spans="1:18" s="51" customFormat="1" ht="13.5" hidden="1" customHeight="1" outlineLevel="1" x14ac:dyDescent="0.3">
      <c r="A18" s="290">
        <f t="shared" si="1"/>
        <v>0</v>
      </c>
      <c r="B18" s="49"/>
      <c r="C18" s="49"/>
      <c r="D18" s="140" t="s">
        <v>224</v>
      </c>
      <c r="E18" s="49" t="str">
        <f>VLOOKUP(D18,'03. Insumos'!A:D,2,0)</f>
        <v>Controle Tecnológico - Diária Moldador</v>
      </c>
      <c r="F18" s="52"/>
      <c r="G18" s="52" t="str">
        <f>VLOOKUP(D18,'03. Insumos'!A:F,3,0)</f>
        <v>dia</v>
      </c>
      <c r="H18" s="53">
        <v>1</v>
      </c>
      <c r="I18" s="141"/>
      <c r="J18" s="54">
        <f>IFERROR(IF(K18&lt;&gt;0,K18*$K$5,0),0)</f>
        <v>225</v>
      </c>
      <c r="K18" s="54">
        <f>IF(A18=0,VLOOKUP(D18,'03. Insumos'!A:F,4,0),"")</f>
        <v>225</v>
      </c>
      <c r="L18" s="274">
        <f>H18*J18*I18</f>
        <v>0</v>
      </c>
      <c r="M18" s="153">
        <f t="shared" si="0"/>
        <v>0</v>
      </c>
      <c r="O18" s="148">
        <f t="shared" si="2"/>
        <v>0</v>
      </c>
      <c r="R18" s="12">
        <f t="shared" si="3"/>
        <v>-6.5533980582524407</v>
      </c>
    </row>
    <row r="19" spans="1:18" s="51" customFormat="1" ht="13.5" hidden="1" customHeight="1" outlineLevel="1" x14ac:dyDescent="0.3">
      <c r="A19" s="290">
        <f t="shared" si="1"/>
        <v>0</v>
      </c>
      <c r="B19" s="49"/>
      <c r="C19" s="49"/>
      <c r="D19" s="140" t="s">
        <v>225</v>
      </c>
      <c r="E19" s="49" t="str">
        <f>VLOOKUP(D19,'03. Insumos'!A:D,2,0)</f>
        <v>Controle Tecnológico - Mobilização</v>
      </c>
      <c r="F19" s="52"/>
      <c r="G19" s="52" t="str">
        <f>VLOOKUP(D19,'03. Insumos'!A:F,3,0)</f>
        <v>uni</v>
      </c>
      <c r="H19" s="53">
        <v>1</v>
      </c>
      <c r="I19" s="141"/>
      <c r="J19" s="54">
        <f>IFERROR(IF(K19&lt;&gt;0,K19*$K$5,0),0)</f>
        <v>155</v>
      </c>
      <c r="K19" s="54">
        <f>IF(A19=0,VLOOKUP(D19,'03. Insumos'!A:F,4,0),"")</f>
        <v>155</v>
      </c>
      <c r="L19" s="274">
        <f>H19*J19*I19</f>
        <v>0</v>
      </c>
      <c r="M19" s="153">
        <f t="shared" si="0"/>
        <v>0</v>
      </c>
      <c r="O19" s="148">
        <f t="shared" si="2"/>
        <v>0</v>
      </c>
      <c r="R19" s="12">
        <f t="shared" si="3"/>
        <v>-4.5145631067961176</v>
      </c>
    </row>
    <row r="20" spans="1:18" s="51" customFormat="1" ht="13.5" hidden="1" customHeight="1" outlineLevel="1" x14ac:dyDescent="0.3">
      <c r="A20" s="290">
        <f t="shared" si="1"/>
        <v>0</v>
      </c>
      <c r="B20" s="49"/>
      <c r="C20" s="49"/>
      <c r="D20" s="140" t="s">
        <v>228</v>
      </c>
      <c r="E20" s="49" t="str">
        <f>VLOOKUP(D20,'03. Insumos'!A:D,2,0)</f>
        <v xml:space="preserve">Controle Tecnológico - Coleta de materiais na obra </v>
      </c>
      <c r="F20" s="52"/>
      <c r="G20" s="52" t="str">
        <f>VLOOKUP(D20,'03. Insumos'!A:F,3,0)</f>
        <v>uni</v>
      </c>
      <c r="H20" s="53">
        <v>1</v>
      </c>
      <c r="I20" s="141"/>
      <c r="J20" s="54">
        <f>IFERROR(IF(K20&lt;&gt;0,K20*$K$5,0),0)</f>
        <v>155</v>
      </c>
      <c r="K20" s="54">
        <f>IF(A20=0,VLOOKUP(D20,'03. Insumos'!A:F,4,0),"")</f>
        <v>155</v>
      </c>
      <c r="L20" s="274">
        <f>H20*J20*I20</f>
        <v>0</v>
      </c>
      <c r="M20" s="153">
        <f t="shared" si="0"/>
        <v>0</v>
      </c>
      <c r="O20" s="148">
        <f t="shared" si="2"/>
        <v>0</v>
      </c>
      <c r="R20" s="12">
        <f t="shared" si="3"/>
        <v>-4.5145631067961176</v>
      </c>
    </row>
    <row r="21" spans="1:18" s="34" customFormat="1" ht="13.5" hidden="1" customHeight="1" outlineLevel="1" x14ac:dyDescent="0.3">
      <c r="A21" s="290">
        <f t="shared" si="1"/>
        <v>6</v>
      </c>
      <c r="B21" s="30"/>
      <c r="C21" s="30" t="s">
        <v>912</v>
      </c>
      <c r="D21" s="30" t="s">
        <v>94</v>
      </c>
      <c r="E21" s="30"/>
      <c r="F21" s="31"/>
      <c r="G21" s="31"/>
      <c r="H21" s="32"/>
      <c r="I21" s="197"/>
      <c r="J21" s="33"/>
      <c r="K21" s="33" t="str">
        <f>IF(A21=0,VLOOKUP(D21,'03. Insumos'!A:F,4,0),"")</f>
        <v/>
      </c>
      <c r="L21" s="33">
        <f>SUM(L22:L22)</f>
        <v>0</v>
      </c>
      <c r="M21" s="153">
        <f t="shared" si="0"/>
        <v>0</v>
      </c>
      <c r="O21" s="148"/>
      <c r="R21" s="12">
        <f t="shared" si="3"/>
        <v>0</v>
      </c>
    </row>
    <row r="22" spans="1:18" s="51" customFormat="1" ht="13.5" hidden="1" customHeight="1" outlineLevel="1" x14ac:dyDescent="0.3">
      <c r="A22" s="290">
        <f t="shared" si="1"/>
        <v>0</v>
      </c>
      <c r="B22" s="49"/>
      <c r="C22" s="49"/>
      <c r="D22" s="140" t="s">
        <v>126</v>
      </c>
      <c r="E22" s="49" t="str">
        <f>VLOOKUP(D22,'03. Insumos'!A:D,2,0)</f>
        <v>Consultoria Estrutura</v>
      </c>
      <c r="F22" s="52"/>
      <c r="G22" s="52" t="str">
        <f>VLOOKUP(D22,'03. Insumos'!A:F,3,0)</f>
        <v>mês</v>
      </c>
      <c r="H22" s="53">
        <v>1</v>
      </c>
      <c r="I22" s="193"/>
      <c r="J22" s="54">
        <f>IFERROR(IF(K22&lt;&gt;0,K22*$K$5,0),0)</f>
        <v>3000</v>
      </c>
      <c r="K22" s="54">
        <f>IF(A22=0,VLOOKUP(D22,'03. Insumos'!A:F,4,0),"")</f>
        <v>3000</v>
      </c>
      <c r="L22" s="274">
        <f>H22*J22*I22</f>
        <v>0</v>
      </c>
      <c r="M22" s="153">
        <f t="shared" si="0"/>
        <v>0</v>
      </c>
      <c r="O22" s="148">
        <f>IF(I22&lt;&gt;0,I22*H22*K22,)</f>
        <v>0</v>
      </c>
      <c r="R22" s="12">
        <f t="shared" si="3"/>
        <v>-87.378640776699285</v>
      </c>
    </row>
    <row r="23" spans="1:18" s="34" customFormat="1" ht="13.5" customHeight="1" outlineLevel="1" x14ac:dyDescent="0.3">
      <c r="A23" s="290">
        <f t="shared" si="1"/>
        <v>6</v>
      </c>
      <c r="B23" s="30"/>
      <c r="C23" s="30" t="s">
        <v>913</v>
      </c>
      <c r="D23" s="30" t="s">
        <v>1001</v>
      </c>
      <c r="E23" s="30"/>
      <c r="F23" s="31"/>
      <c r="G23" s="31"/>
      <c r="H23" s="32"/>
      <c r="I23" s="197"/>
      <c r="J23" s="33"/>
      <c r="K23" s="33" t="str">
        <f>IF(A23=0,VLOOKUP(D23,'03. Insumos'!A:F,4,0),"")</f>
        <v/>
      </c>
      <c r="L23" s="33">
        <f>SUM(L24:L26)</f>
        <v>1</v>
      </c>
      <c r="M23" s="153">
        <f t="shared" si="0"/>
        <v>2.7358574922138438E-7</v>
      </c>
      <c r="O23" s="148"/>
      <c r="R23" s="12">
        <f t="shared" si="3"/>
        <v>0</v>
      </c>
    </row>
    <row r="24" spans="1:18" s="51" customFormat="1" ht="13.5" customHeight="1" outlineLevel="1" x14ac:dyDescent="0.3">
      <c r="A24" s="290">
        <f t="shared" si="1"/>
        <v>0</v>
      </c>
      <c r="B24" s="49"/>
      <c r="C24" s="49"/>
      <c r="D24" s="140" t="s">
        <v>1875</v>
      </c>
      <c r="E24" s="49" t="str">
        <f>VLOOKUP(D24,'03. Insumos'!A:D,2,0)</f>
        <v>Seguro responsabilidade civil e cruzada</v>
      </c>
      <c r="F24" s="52" t="s">
        <v>2599</v>
      </c>
      <c r="G24" s="52" t="str">
        <f>VLOOKUP(D24,'03. Insumos'!A:F,3,0)</f>
        <v>vb</v>
      </c>
      <c r="H24" s="53">
        <v>1</v>
      </c>
      <c r="I24" s="282">
        <v>1</v>
      </c>
      <c r="J24" s="54">
        <f>IFERROR(IF(K24&lt;&gt;0,K24*$K$5,0),0)</f>
        <v>1</v>
      </c>
      <c r="K24" s="54">
        <f>IF(A24=0,VLOOKUP(D24,'03. Insumos'!A:F,4,0),"")</f>
        <v>1</v>
      </c>
      <c r="L24" s="274">
        <f>H24*J24*I24</f>
        <v>1</v>
      </c>
      <c r="M24" s="153">
        <f t="shared" si="0"/>
        <v>2.7358574922138438E-7</v>
      </c>
      <c r="O24" s="148">
        <f>IF(I24&lt;&gt;0,I24*H24*K24,)</f>
        <v>1</v>
      </c>
      <c r="R24" s="12">
        <f t="shared" si="3"/>
        <v>-2.9126213592232997E-2</v>
      </c>
    </row>
    <row r="25" spans="1:18" s="51" customFormat="1" ht="13.5" hidden="1" customHeight="1" outlineLevel="1" x14ac:dyDescent="0.3">
      <c r="A25" s="290">
        <f t="shared" si="1"/>
        <v>0</v>
      </c>
      <c r="B25" s="49"/>
      <c r="C25" s="49"/>
      <c r="D25" s="140" t="s">
        <v>1876</v>
      </c>
      <c r="E25" s="49" t="str">
        <f>VLOOKUP(D25,'03. Insumos'!A:D,2,0)</f>
        <v>Seguro Performance Bond</v>
      </c>
      <c r="F25" s="52"/>
      <c r="G25" s="52" t="str">
        <f>VLOOKUP(D25,'03. Insumos'!A:F,3,0)</f>
        <v>vb</v>
      </c>
      <c r="H25" s="53">
        <v>12</v>
      </c>
      <c r="I25" s="282"/>
      <c r="J25" s="54">
        <f>IFERROR(IF(K25&lt;&gt;0,K25*$K$5,0),0)</f>
        <v>1</v>
      </c>
      <c r="K25" s="54">
        <f>IF(A25=0,VLOOKUP(D25,'03. Insumos'!A:F,4,0),"")</f>
        <v>1</v>
      </c>
      <c r="L25" s="274">
        <f>H25*J25*I25</f>
        <v>0</v>
      </c>
      <c r="M25" s="153">
        <f t="shared" si="0"/>
        <v>0</v>
      </c>
      <c r="O25" s="148"/>
      <c r="R25" s="12"/>
    </row>
    <row r="26" spans="1:18" s="51" customFormat="1" ht="13.5" hidden="1" customHeight="1" outlineLevel="1" x14ac:dyDescent="0.3">
      <c r="A26" s="290">
        <f t="shared" si="1"/>
        <v>0</v>
      </c>
      <c r="B26" s="49"/>
      <c r="C26" s="49"/>
      <c r="D26" s="140" t="s">
        <v>2018</v>
      </c>
      <c r="E26" s="49" t="str">
        <f>VLOOKUP(D26,'03. Insumos'!A:D,2,0)</f>
        <v>Carta fiança (10% valor)</v>
      </c>
      <c r="F26" s="52"/>
      <c r="G26" s="52" t="str">
        <f>VLOOKUP(D26,'03. Insumos'!A:F,3,0)</f>
        <v>vb</v>
      </c>
      <c r="H26" s="53">
        <v>1</v>
      </c>
      <c r="I26" s="282"/>
      <c r="J26" s="54">
        <f>IFERROR(IF(K26&lt;&gt;0,K26*$K$5,0),0)</f>
        <v>85135.684800000003</v>
      </c>
      <c r="K26" s="54">
        <f>0.03*2837856.16</f>
        <v>85135.684800000003</v>
      </c>
      <c r="L26" s="274">
        <f>H26*J26*I26</f>
        <v>0</v>
      </c>
      <c r="M26" s="153">
        <f t="shared" si="0"/>
        <v>0</v>
      </c>
      <c r="O26" s="148"/>
      <c r="R26" s="12"/>
    </row>
    <row r="27" spans="1:18" s="18" customFormat="1" ht="13.5" customHeight="1" x14ac:dyDescent="0.3">
      <c r="A27" s="290">
        <f t="shared" si="1"/>
        <v>3</v>
      </c>
      <c r="B27" s="35"/>
      <c r="C27" s="35" t="s">
        <v>355</v>
      </c>
      <c r="D27" s="35" t="s">
        <v>77</v>
      </c>
      <c r="E27" s="35"/>
      <c r="F27" s="36"/>
      <c r="G27" s="36"/>
      <c r="H27" s="37"/>
      <c r="I27" s="37"/>
      <c r="J27" s="38"/>
      <c r="K27" s="38"/>
      <c r="L27" s="38">
        <f>SUMIF(A28:A49,4,L28:L49)</f>
        <v>2139</v>
      </c>
      <c r="M27" s="153">
        <f t="shared" si="0"/>
        <v>5.8519991758454123E-4</v>
      </c>
      <c r="O27" s="148">
        <f>IF(I27&lt;&gt;0,I27*H27*K27,)</f>
        <v>0</v>
      </c>
      <c r="R27" s="12">
        <f>IF(J27&lt;&gt;0,J27/1.03-K27,0)</f>
        <v>0</v>
      </c>
    </row>
    <row r="28" spans="1:18" s="18" customFormat="1" ht="5.25" customHeight="1" x14ac:dyDescent="0.3">
      <c r="A28" s="290">
        <f t="shared" si="1"/>
        <v>0</v>
      </c>
      <c r="B28" s="63"/>
      <c r="C28" s="63"/>
      <c r="D28" s="63"/>
      <c r="E28" s="63"/>
      <c r="F28" s="64"/>
      <c r="G28" s="64"/>
      <c r="H28" s="65"/>
      <c r="I28" s="65"/>
      <c r="J28" s="66">
        <f>IFERROR(IF(K28&lt;&gt;0,K28*$K$5,0),0)</f>
        <v>0</v>
      </c>
      <c r="K28" s="66" t="e">
        <f>IF(A28=0,VLOOKUP(D28,'03. Insumos'!A:F,4,0),"")</f>
        <v>#N/A</v>
      </c>
      <c r="L28" s="66"/>
      <c r="M28" s="153">
        <f t="shared" si="0"/>
        <v>0</v>
      </c>
      <c r="O28" s="148">
        <f>IF(I28&lt;&gt;0,I28*H28*K28,)</f>
        <v>0</v>
      </c>
      <c r="R28" s="12">
        <f>IF(J28&lt;&gt;0,J28/1.03-K28,0)</f>
        <v>0</v>
      </c>
    </row>
    <row r="29" spans="1:18" s="18" customFormat="1" ht="13.5" customHeight="1" x14ac:dyDescent="0.3">
      <c r="A29" s="290">
        <f t="shared" si="1"/>
        <v>4</v>
      </c>
      <c r="B29" s="45"/>
      <c r="C29" s="45" t="s">
        <v>387</v>
      </c>
      <c r="D29" s="45" t="s">
        <v>36</v>
      </c>
      <c r="E29" s="45"/>
      <c r="F29" s="60"/>
      <c r="G29" s="60"/>
      <c r="H29" s="61"/>
      <c r="I29" s="61"/>
      <c r="J29" s="62"/>
      <c r="K29" s="62" t="str">
        <f>IF(A29=0,VLOOKUP(D29,'03. Insumos'!A:F,4,0),"")</f>
        <v/>
      </c>
      <c r="L29" s="62">
        <f>SUMIF(A30:A49,6,L30:L49)</f>
        <v>2139</v>
      </c>
      <c r="M29" s="153">
        <f t="shared" si="0"/>
        <v>5.8519991758454123E-4</v>
      </c>
      <c r="O29" s="148">
        <f>IF(I29&lt;&gt;0,I29*H29*K29,)</f>
        <v>0</v>
      </c>
      <c r="R29" s="12">
        <f>IF(J29&lt;&gt;0,J29/1.03-K29,0)</f>
        <v>0</v>
      </c>
    </row>
    <row r="30" spans="1:18" s="59" customFormat="1" ht="13.5" hidden="1" customHeight="1" x14ac:dyDescent="0.3">
      <c r="A30" s="290">
        <f t="shared" si="1"/>
        <v>6</v>
      </c>
      <c r="B30" s="55"/>
      <c r="C30" s="55" t="s">
        <v>914</v>
      </c>
      <c r="D30" s="55" t="s">
        <v>877</v>
      </c>
      <c r="E30" s="55"/>
      <c r="F30" s="56"/>
      <c r="G30" s="56"/>
      <c r="H30" s="57"/>
      <c r="I30" s="57"/>
      <c r="J30" s="58"/>
      <c r="K30" s="58" t="str">
        <f>IF(A30=0,VLOOKUP(D30,'03. Insumos'!A:F,4,0),"")</f>
        <v/>
      </c>
      <c r="L30" s="58">
        <f>SUM(L31:L36)</f>
        <v>0</v>
      </c>
      <c r="M30" s="153">
        <f t="shared" si="0"/>
        <v>0</v>
      </c>
      <c r="O30" s="148">
        <f>IF(I30&lt;&gt;0,I30*H30*K30,)</f>
        <v>0</v>
      </c>
      <c r="R30" s="12">
        <f>IF(J30&lt;&gt;0,J30/1.03-K30,0)</f>
        <v>0</v>
      </c>
    </row>
    <row r="31" spans="1:18" s="51" customFormat="1" ht="13.5" hidden="1" customHeight="1" x14ac:dyDescent="0.3">
      <c r="A31" s="290">
        <f t="shared" si="1"/>
        <v>0</v>
      </c>
      <c r="B31" s="49"/>
      <c r="C31" s="49"/>
      <c r="D31" s="140" t="s">
        <v>1883</v>
      </c>
      <c r="E31" s="49" t="str">
        <f>VLOOKUP(D31,'03. Insumos'!A:D,2,0)</f>
        <v>Barraco de Obra</v>
      </c>
      <c r="F31" s="52"/>
      <c r="G31" s="52" t="str">
        <f>VLOOKUP(D31,'03. Insumos'!A:F,3,0)</f>
        <v>vb</v>
      </c>
      <c r="H31" s="53">
        <v>1</v>
      </c>
      <c r="I31" s="141"/>
      <c r="J31" s="54">
        <f t="shared" ref="J31:J36" si="4">IFERROR(IF(K31&lt;&gt;0,K31*$K$5,0),0)</f>
        <v>45169.279999999999</v>
      </c>
      <c r="K31" s="54">
        <v>45169.279999999999</v>
      </c>
      <c r="L31" s="274">
        <f t="shared" ref="L31:L36" si="5">H31*J31*I31</f>
        <v>0</v>
      </c>
      <c r="M31" s="153">
        <f t="shared" si="0"/>
        <v>0</v>
      </c>
      <c r="O31" s="148">
        <f>IF(I31&lt;&gt;0,I31*H31*K31,)</f>
        <v>0</v>
      </c>
      <c r="R31" s="12">
        <f>IF(J31&lt;&gt;0,J31/1.03-K31,0)</f>
        <v>-1315.6100970873813</v>
      </c>
    </row>
    <row r="32" spans="1:18" s="51" customFormat="1" ht="13.5" hidden="1" customHeight="1" x14ac:dyDescent="0.3">
      <c r="A32" s="290">
        <f t="shared" si="1"/>
        <v>0</v>
      </c>
      <c r="B32" s="49"/>
      <c r="C32" s="49"/>
      <c r="D32" s="140" t="s">
        <v>1882</v>
      </c>
      <c r="E32" s="49" t="str">
        <f>VLOOKUP(D32,'03. Insumos'!A:D,2,0)</f>
        <v>Mobiliário para barraco</v>
      </c>
      <c r="F32" s="52"/>
      <c r="G32" s="52" t="str">
        <f>VLOOKUP(D32,'03. Insumos'!A:F,3,0)</f>
        <v>vb</v>
      </c>
      <c r="H32" s="53">
        <v>1</v>
      </c>
      <c r="I32" s="141"/>
      <c r="J32" s="54">
        <f t="shared" si="4"/>
        <v>20143.759999999998</v>
      </c>
      <c r="K32" s="54">
        <v>20143.759999999998</v>
      </c>
      <c r="L32" s="274">
        <f t="shared" si="5"/>
        <v>0</v>
      </c>
      <c r="M32" s="153">
        <f t="shared" si="0"/>
        <v>0</v>
      </c>
      <c r="O32" s="148"/>
      <c r="R32" s="12"/>
    </row>
    <row r="33" spans="1:18" s="51" customFormat="1" ht="13.5" hidden="1" customHeight="1" x14ac:dyDescent="0.3">
      <c r="A33" s="290">
        <f t="shared" si="1"/>
        <v>0</v>
      </c>
      <c r="B33" s="49"/>
      <c r="C33" s="49"/>
      <c r="D33" s="140" t="s">
        <v>1997</v>
      </c>
      <c r="E33" s="49" t="str">
        <f>VLOOKUP(D33,'03. Insumos'!A:D,2,0)</f>
        <v>Módulo habitacional banheiro</v>
      </c>
      <c r="F33" s="52"/>
      <c r="G33" s="52" t="str">
        <f>VLOOKUP(D33,'03. Insumos'!A:F,3,0)</f>
        <v>mês</v>
      </c>
      <c r="H33" s="53">
        <v>1</v>
      </c>
      <c r="I33" s="141"/>
      <c r="J33" s="54">
        <f t="shared" si="4"/>
        <v>620</v>
      </c>
      <c r="K33" s="54">
        <f>IF(A33=0,VLOOKUP(D33,'03. Insumos'!A:F,4,0),"")</f>
        <v>620</v>
      </c>
      <c r="L33" s="274">
        <f t="shared" si="5"/>
        <v>0</v>
      </c>
      <c r="M33" s="153">
        <f t="shared" si="0"/>
        <v>0</v>
      </c>
      <c r="O33" s="148"/>
      <c r="R33" s="12"/>
    </row>
    <row r="34" spans="1:18" s="51" customFormat="1" ht="13.5" hidden="1" customHeight="1" x14ac:dyDescent="0.3">
      <c r="A34" s="290">
        <f t="shared" si="1"/>
        <v>0</v>
      </c>
      <c r="B34" s="49"/>
      <c r="C34" s="49"/>
      <c r="D34" s="140" t="s">
        <v>2007</v>
      </c>
      <c r="E34" s="49" t="str">
        <f>VLOOKUP(D34,'03. Insumos'!A:D,2,0)</f>
        <v>Banheiro químico</v>
      </c>
      <c r="F34" s="52"/>
      <c r="G34" s="52" t="str">
        <f>VLOOKUP(D34,'03. Insumos'!A:F,3,0)</f>
        <v>mês</v>
      </c>
      <c r="H34" s="53">
        <v>2</v>
      </c>
      <c r="I34" s="141"/>
      <c r="J34" s="54">
        <f t="shared" si="4"/>
        <v>700</v>
      </c>
      <c r="K34" s="54">
        <f>IF(A34=0,VLOOKUP(D34,'03. Insumos'!A:F,4,0),"")</f>
        <v>700</v>
      </c>
      <c r="L34" s="274">
        <f t="shared" si="5"/>
        <v>0</v>
      </c>
      <c r="M34" s="153">
        <f t="shared" si="0"/>
        <v>0</v>
      </c>
      <c r="O34" s="148"/>
      <c r="R34" s="12"/>
    </row>
    <row r="35" spans="1:18" s="51" customFormat="1" ht="13.5" hidden="1" customHeight="1" x14ac:dyDescent="0.3">
      <c r="A35" s="290">
        <f t="shared" si="1"/>
        <v>0</v>
      </c>
      <c r="B35" s="49"/>
      <c r="C35" s="49"/>
      <c r="D35" s="140" t="s">
        <v>1910</v>
      </c>
      <c r="E35" s="49" t="str">
        <f>VLOOKUP(D35,'03. Insumos'!A:D,2,0)</f>
        <v>Container marítimo 20 pés</v>
      </c>
      <c r="F35" s="52"/>
      <c r="G35" s="52" t="str">
        <f>VLOOKUP(D35,'03. Insumos'!A:F,3,0)</f>
        <v>unid</v>
      </c>
      <c r="H35" s="53">
        <v>2</v>
      </c>
      <c r="I35" s="141"/>
      <c r="J35" s="54">
        <f t="shared" si="4"/>
        <v>500</v>
      </c>
      <c r="K35" s="54">
        <f>IF(A35=0,VLOOKUP(D35,'03. Insumos'!A:F,4,0),"")</f>
        <v>500</v>
      </c>
      <c r="L35" s="274">
        <f t="shared" si="5"/>
        <v>0</v>
      </c>
      <c r="M35" s="153">
        <f t="shared" si="0"/>
        <v>0</v>
      </c>
      <c r="O35" s="148"/>
      <c r="R35" s="12"/>
    </row>
    <row r="36" spans="1:18" s="51" customFormat="1" ht="13.5" hidden="1" customHeight="1" x14ac:dyDescent="0.3">
      <c r="A36" s="290">
        <f t="shared" si="1"/>
        <v>0</v>
      </c>
      <c r="B36" s="49"/>
      <c r="C36" s="49"/>
      <c r="D36" s="140" t="s">
        <v>1913</v>
      </c>
      <c r="E36" s="49" t="str">
        <f>VLOOKUP(D36,'03. Insumos'!A:D,2,0)</f>
        <v>Frete container marítimo</v>
      </c>
      <c r="F36" s="52"/>
      <c r="G36" s="52" t="str">
        <f>VLOOKUP(D36,'03. Insumos'!A:F,3,0)</f>
        <v>unid</v>
      </c>
      <c r="H36" s="53">
        <v>1</v>
      </c>
      <c r="I36" s="141"/>
      <c r="J36" s="54">
        <f t="shared" si="4"/>
        <v>800</v>
      </c>
      <c r="K36" s="54">
        <f>IF(A36=0,VLOOKUP(D36,'03. Insumos'!A:F,4,0),"")</f>
        <v>800</v>
      </c>
      <c r="L36" s="274">
        <f t="shared" si="5"/>
        <v>0</v>
      </c>
      <c r="M36" s="153">
        <f t="shared" si="0"/>
        <v>0</v>
      </c>
      <c r="O36" s="148"/>
      <c r="R36" s="12"/>
    </row>
    <row r="37" spans="1:18" s="59" customFormat="1" ht="13.5" hidden="1" customHeight="1" x14ac:dyDescent="0.3">
      <c r="A37" s="290">
        <f t="shared" si="1"/>
        <v>6</v>
      </c>
      <c r="B37" s="55"/>
      <c r="C37" s="55" t="s">
        <v>915</v>
      </c>
      <c r="D37" s="55" t="s">
        <v>2023</v>
      </c>
      <c r="E37" s="55"/>
      <c r="F37" s="56"/>
      <c r="G37" s="56"/>
      <c r="H37" s="57"/>
      <c r="I37" s="57"/>
      <c r="J37" s="58"/>
      <c r="K37" s="58" t="str">
        <f>IF(A37=0,VLOOKUP(D37,'03. Insumos'!A:F,4,0),"")</f>
        <v/>
      </c>
      <c r="L37" s="58">
        <f>SUM(L38:L38)</f>
        <v>0</v>
      </c>
      <c r="M37" s="153">
        <f t="shared" si="0"/>
        <v>0</v>
      </c>
      <c r="O37" s="148">
        <f>IF(I37&lt;&gt;0,I37*H37*K37,)</f>
        <v>0</v>
      </c>
      <c r="R37" s="12">
        <f>IF(J37&lt;&gt;0,J37/1.03-K37,0)</f>
        <v>0</v>
      </c>
    </row>
    <row r="38" spans="1:18" s="51" customFormat="1" ht="13.5" hidden="1" customHeight="1" x14ac:dyDescent="0.3">
      <c r="A38" s="290">
        <f t="shared" si="1"/>
        <v>0</v>
      </c>
      <c r="B38" s="49"/>
      <c r="C38" s="49"/>
      <c r="D38" s="140" t="s">
        <v>717</v>
      </c>
      <c r="E38" s="49" t="str">
        <f>VLOOKUP(D38,'03. Insumos'!A:D,2,0)</f>
        <v>Tapume metálico</v>
      </c>
      <c r="F38" s="52"/>
      <c r="G38" s="52" t="s">
        <v>29</v>
      </c>
      <c r="H38" s="53">
        <v>1</v>
      </c>
      <c r="I38" s="141"/>
      <c r="J38" s="54">
        <f>IFERROR(IF(K38&lt;&gt;0,K38*$K$5,0),0)</f>
        <v>100</v>
      </c>
      <c r="K38" s="54">
        <f>IF(A38=0,VLOOKUP(D38,'03. Insumos'!A:F,4,0),"")</f>
        <v>100</v>
      </c>
      <c r="L38" s="274">
        <f>H38*J38*I38</f>
        <v>0</v>
      </c>
      <c r="M38" s="153">
        <f t="shared" si="0"/>
        <v>0</v>
      </c>
      <c r="O38" s="148">
        <f>IF(I38&lt;&gt;0,I38*H38*K38,)</f>
        <v>0</v>
      </c>
      <c r="R38" s="12">
        <f>IF(J38&lt;&gt;0,J38/1.03-K38,0)</f>
        <v>-2.9126213592233086</v>
      </c>
    </row>
    <row r="39" spans="1:18" s="59" customFormat="1" ht="13.5" customHeight="1" x14ac:dyDescent="0.3">
      <c r="A39" s="290">
        <f t="shared" si="1"/>
        <v>6</v>
      </c>
      <c r="B39" s="55"/>
      <c r="C39" s="55" t="s">
        <v>916</v>
      </c>
      <c r="D39" s="55" t="s">
        <v>904</v>
      </c>
      <c r="E39" s="55"/>
      <c r="F39" s="56"/>
      <c r="G39" s="56"/>
      <c r="H39" s="57"/>
      <c r="I39" s="57"/>
      <c r="J39" s="58"/>
      <c r="K39" s="58" t="str">
        <f>IF(A39=0,VLOOKUP(D39,'03. Insumos'!A:F,4,0),"")</f>
        <v/>
      </c>
      <c r="L39" s="58">
        <f>SUM(L40:L49)</f>
        <v>2139</v>
      </c>
      <c r="M39" s="153">
        <f t="shared" si="0"/>
        <v>5.8519991758454123E-4</v>
      </c>
      <c r="O39" s="148">
        <f>IF(I39&lt;&gt;0,I39*H39*K39,)</f>
        <v>0</v>
      </c>
      <c r="R39" s="12">
        <f>IF(J39&lt;&gt;0,J39/1.03-K39,0)</f>
        <v>0</v>
      </c>
    </row>
    <row r="40" spans="1:18" s="51" customFormat="1" ht="13.5" customHeight="1" x14ac:dyDescent="0.3">
      <c r="A40" s="290">
        <f t="shared" si="1"/>
        <v>0</v>
      </c>
      <c r="B40" s="49"/>
      <c r="C40" s="49"/>
      <c r="D40" s="140" t="s">
        <v>712</v>
      </c>
      <c r="E40" s="49" t="str">
        <f>VLOOKUP(D40,'03. Insumos'!A:D,2,0)</f>
        <v>Cabo PP (2 x 2,5 mm)</v>
      </c>
      <c r="F40" s="52" t="s">
        <v>2612</v>
      </c>
      <c r="G40" s="52" t="str">
        <f>VLOOKUP(D40,'03. Insumos'!A:F,3,0)</f>
        <v>m</v>
      </c>
      <c r="H40" s="53">
        <v>1</v>
      </c>
      <c r="I40" s="141">
        <v>200</v>
      </c>
      <c r="J40" s="54">
        <f t="shared" ref="J40:J49" si="6">IFERROR(IF(K40&lt;&gt;0,K40*$K$5,0),0)</f>
        <v>3.22</v>
      </c>
      <c r="K40" s="54">
        <f>IF(A40=0,VLOOKUP(D40,'03. Insumos'!A:F,4,0),"")</f>
        <v>3.22</v>
      </c>
      <c r="L40" s="274">
        <f t="shared" ref="L40:L49" si="7">H40*J40*I40</f>
        <v>644</v>
      </c>
      <c r="M40" s="153">
        <f t="shared" si="0"/>
        <v>1.7618922249857156E-4</v>
      </c>
      <c r="O40" s="148">
        <f>IF(I40&lt;&gt;0,I40*H40*K40,)</f>
        <v>644</v>
      </c>
      <c r="R40" s="12">
        <f>IF(J40&lt;&gt;0,J40/1.03-K40,0)</f>
        <v>-9.3786407766990543E-2</v>
      </c>
    </row>
    <row r="41" spans="1:18" s="51" customFormat="1" ht="13.5" customHeight="1" x14ac:dyDescent="0.3">
      <c r="A41" s="290">
        <f t="shared" si="1"/>
        <v>0</v>
      </c>
      <c r="B41" s="49"/>
      <c r="C41" s="49"/>
      <c r="D41" s="140" t="s">
        <v>713</v>
      </c>
      <c r="E41" s="49" t="str">
        <f>VLOOKUP(D41,'03. Insumos'!A:D,2,0)</f>
        <v>Bocal para lâmpada</v>
      </c>
      <c r="F41" s="52" t="s">
        <v>2612</v>
      </c>
      <c r="G41" s="52" t="str">
        <f>VLOOKUP(D41,'03. Insumos'!A:F,3,0)</f>
        <v>unid</v>
      </c>
      <c r="H41" s="53">
        <v>1</v>
      </c>
      <c r="I41" s="141">
        <v>10</v>
      </c>
      <c r="J41" s="54">
        <f t="shared" si="6"/>
        <v>3.5</v>
      </c>
      <c r="K41" s="54">
        <f>IF(A41=0,VLOOKUP(D41,'03. Insumos'!A:F,4,0),"")</f>
        <v>3.5</v>
      </c>
      <c r="L41" s="274">
        <f t="shared" si="7"/>
        <v>35</v>
      </c>
      <c r="M41" s="153">
        <f t="shared" si="0"/>
        <v>9.5755012227484532E-6</v>
      </c>
      <c r="O41" s="148"/>
      <c r="R41" s="12"/>
    </row>
    <row r="42" spans="1:18" s="51" customFormat="1" ht="13.5" customHeight="1" x14ac:dyDescent="0.3">
      <c r="A42" s="290">
        <f t="shared" si="1"/>
        <v>0</v>
      </c>
      <c r="B42" s="49"/>
      <c r="C42" s="49"/>
      <c r="D42" s="140" t="s">
        <v>714</v>
      </c>
      <c r="E42" s="49" t="str">
        <f>VLOOKUP(D42,'03. Insumos'!A:D,2,0)</f>
        <v>Lâmpada</v>
      </c>
      <c r="F42" s="52" t="s">
        <v>2612</v>
      </c>
      <c r="G42" s="52" t="str">
        <f>VLOOKUP(D42,'03. Insumos'!A:F,3,0)</f>
        <v>unid</v>
      </c>
      <c r="H42" s="53">
        <v>1</v>
      </c>
      <c r="I42" s="141">
        <v>20</v>
      </c>
      <c r="J42" s="54">
        <f t="shared" si="6"/>
        <v>6</v>
      </c>
      <c r="K42" s="54">
        <f>IF(A42=0,VLOOKUP(D42,'03. Insumos'!A:F,4,0),"")</f>
        <v>6</v>
      </c>
      <c r="L42" s="274">
        <f>H42*J42*I42</f>
        <v>120</v>
      </c>
      <c r="M42" s="153">
        <f t="shared" si="0"/>
        <v>3.2830289906566129E-5</v>
      </c>
      <c r="O42" s="148"/>
      <c r="R42" s="12"/>
    </row>
    <row r="43" spans="1:18" s="51" customFormat="1" ht="13.5" customHeight="1" x14ac:dyDescent="0.3">
      <c r="A43" s="290">
        <f t="shared" si="1"/>
        <v>0</v>
      </c>
      <c r="B43" s="49"/>
      <c r="C43" s="49"/>
      <c r="D43" s="140" t="s">
        <v>2039</v>
      </c>
      <c r="E43" s="49" t="str">
        <f>VLOOKUP(D43,'03. Insumos'!A:D,2,0)</f>
        <v>Refletores 400 W</v>
      </c>
      <c r="F43" s="52" t="s">
        <v>2612</v>
      </c>
      <c r="G43" s="52" t="str">
        <f>VLOOKUP(D43,'03. Insumos'!A:F,3,0)</f>
        <v>unid</v>
      </c>
      <c r="H43" s="53">
        <v>1</v>
      </c>
      <c r="I43" s="141">
        <v>2</v>
      </c>
      <c r="J43" s="54">
        <f t="shared" si="6"/>
        <v>134</v>
      </c>
      <c r="K43" s="54">
        <f>IF(A43=0,VLOOKUP(D43,'03. Insumos'!A:F,4,0),"")</f>
        <v>134</v>
      </c>
      <c r="L43" s="274">
        <f>H43*J43*I43</f>
        <v>268</v>
      </c>
      <c r="M43" s="153">
        <f t="shared" si="0"/>
        <v>7.3320980791331014E-5</v>
      </c>
      <c r="O43" s="148"/>
      <c r="R43" s="12"/>
    </row>
    <row r="44" spans="1:18" s="51" customFormat="1" ht="13.5" customHeight="1" x14ac:dyDescent="0.3">
      <c r="A44" s="290">
        <f t="shared" si="1"/>
        <v>0</v>
      </c>
      <c r="B44" s="49"/>
      <c r="C44" s="49"/>
      <c r="D44" s="140" t="s">
        <v>715</v>
      </c>
      <c r="E44" s="49" t="str">
        <f>VLOOKUP(D44,'03. Insumos'!A:D,2,0)</f>
        <v>Plug macho</v>
      </c>
      <c r="F44" s="52" t="s">
        <v>2612</v>
      </c>
      <c r="G44" s="52" t="str">
        <f>VLOOKUP(D44,'03. Insumos'!A:F,3,0)</f>
        <v>unid</v>
      </c>
      <c r="H44" s="53">
        <v>1</v>
      </c>
      <c r="I44" s="141">
        <v>10</v>
      </c>
      <c r="J44" s="54">
        <f t="shared" si="6"/>
        <v>2.75</v>
      </c>
      <c r="K44" s="54">
        <f>IF(A44=0,VLOOKUP(D44,'03. Insumos'!A:F,4,0),"")</f>
        <v>2.75</v>
      </c>
      <c r="L44" s="274">
        <f t="shared" si="7"/>
        <v>27.5</v>
      </c>
      <c r="M44" s="153">
        <f t="shared" si="0"/>
        <v>7.523608103588071E-6</v>
      </c>
      <c r="O44" s="148"/>
      <c r="R44" s="12"/>
    </row>
    <row r="45" spans="1:18" s="51" customFormat="1" ht="13.5" customHeight="1" x14ac:dyDescent="0.3">
      <c r="A45" s="290">
        <f t="shared" si="1"/>
        <v>0</v>
      </c>
      <c r="B45" s="49"/>
      <c r="C45" s="49"/>
      <c r="D45" s="140" t="s">
        <v>716</v>
      </c>
      <c r="E45" s="49" t="str">
        <f>VLOOKUP(D45,'03. Insumos'!A:D,2,0)</f>
        <v>Plug fêmea</v>
      </c>
      <c r="F45" s="52" t="s">
        <v>2612</v>
      </c>
      <c r="G45" s="52" t="str">
        <f>VLOOKUP(D45,'03. Insumos'!A:F,3,0)</f>
        <v>unid</v>
      </c>
      <c r="H45" s="53">
        <v>1</v>
      </c>
      <c r="I45" s="141">
        <v>10</v>
      </c>
      <c r="J45" s="54">
        <f t="shared" si="6"/>
        <v>4.45</v>
      </c>
      <c r="K45" s="54">
        <f>IF(A45=0,VLOOKUP(D45,'03. Insumos'!A:F,4,0),"")</f>
        <v>4.45</v>
      </c>
      <c r="L45" s="274">
        <f t="shared" si="7"/>
        <v>44.5</v>
      </c>
      <c r="M45" s="153">
        <f t="shared" si="0"/>
        <v>1.2174565840351605E-5</v>
      </c>
      <c r="O45" s="148"/>
      <c r="R45" s="12"/>
    </row>
    <row r="46" spans="1:18" s="51" customFormat="1" ht="13.5" hidden="1" customHeight="1" x14ac:dyDescent="0.3">
      <c r="A46" s="290">
        <f t="shared" si="1"/>
        <v>0</v>
      </c>
      <c r="B46" s="49"/>
      <c r="C46" s="49"/>
      <c r="D46" s="140" t="s">
        <v>1600</v>
      </c>
      <c r="E46" s="49" t="str">
        <f>VLOOKUP(D46,'03. Insumos'!A:D,2,0)</f>
        <v>Robozinho para instalação provisória</v>
      </c>
      <c r="F46" s="52"/>
      <c r="G46" s="52" t="str">
        <f>VLOOKUP(D46,'03. Insumos'!A:F,3,0)</f>
        <v>unid</v>
      </c>
      <c r="H46" s="53">
        <v>1</v>
      </c>
      <c r="I46" s="141"/>
      <c r="J46" s="54">
        <f t="shared" si="6"/>
        <v>2700</v>
      </c>
      <c r="K46" s="54">
        <f>IF(A46=0,VLOOKUP(D46,'03. Insumos'!A:F,4,0),"")</f>
        <v>2700</v>
      </c>
      <c r="L46" s="274">
        <f t="shared" si="7"/>
        <v>0</v>
      </c>
      <c r="M46" s="153">
        <f t="shared" si="0"/>
        <v>0</v>
      </c>
      <c r="O46" s="148"/>
      <c r="R46" s="12"/>
    </row>
    <row r="47" spans="1:18" s="51" customFormat="1" ht="13.5" hidden="1" customHeight="1" x14ac:dyDescent="0.3">
      <c r="A47" s="290">
        <f t="shared" si="1"/>
        <v>0</v>
      </c>
      <c r="B47" s="49"/>
      <c r="C47" s="49"/>
      <c r="D47" s="140" t="s">
        <v>2060</v>
      </c>
      <c r="E47" s="49" t="str">
        <f>VLOOKUP(D47,'03. Insumos'!A:D,2,0)</f>
        <v>Caixa d' agua 10.000 L</v>
      </c>
      <c r="F47" s="52"/>
      <c r="G47" s="52" t="str">
        <f>VLOOKUP(D47,'03. Insumos'!A:F,3,0)</f>
        <v>unid</v>
      </c>
      <c r="H47" s="53">
        <v>1</v>
      </c>
      <c r="I47" s="141"/>
      <c r="J47" s="54">
        <f t="shared" si="6"/>
        <v>3800</v>
      </c>
      <c r="K47" s="54">
        <f>IF(A47=0,VLOOKUP(D47,'03. Insumos'!A:F,4,0),"")</f>
        <v>3800</v>
      </c>
      <c r="L47" s="274">
        <f>H47*J47*I47</f>
        <v>0</v>
      </c>
      <c r="M47" s="153">
        <f t="shared" si="0"/>
        <v>0</v>
      </c>
      <c r="O47" s="148"/>
      <c r="R47" s="12"/>
    </row>
    <row r="48" spans="1:18" s="51" customFormat="1" ht="13.5" hidden="1" customHeight="1" x14ac:dyDescent="0.3">
      <c r="A48" s="290">
        <f t="shared" si="1"/>
        <v>0</v>
      </c>
      <c r="B48" s="49"/>
      <c r="C48" s="49"/>
      <c r="D48" s="140" t="s">
        <v>2062</v>
      </c>
      <c r="E48" s="49" t="str">
        <f>VLOOKUP(D48,'03. Insumos'!A:D,2,0)</f>
        <v>Bomba de recalque água</v>
      </c>
      <c r="F48" s="52"/>
      <c r="G48" s="52" t="str">
        <f>VLOOKUP(D48,'03. Insumos'!A:F,3,0)</f>
        <v>unid</v>
      </c>
      <c r="H48" s="53">
        <v>1</v>
      </c>
      <c r="I48" s="141"/>
      <c r="J48" s="54">
        <f t="shared" si="6"/>
        <v>780</v>
      </c>
      <c r="K48" s="54">
        <f>IF(A48=0,VLOOKUP(D48,'03. Insumos'!A:F,4,0),"")</f>
        <v>780</v>
      </c>
      <c r="L48" s="274">
        <f>H48*J48*I48</f>
        <v>0</v>
      </c>
      <c r="M48" s="153">
        <f t="shared" si="0"/>
        <v>0</v>
      </c>
      <c r="O48" s="148"/>
      <c r="R48" s="12"/>
    </row>
    <row r="49" spans="1:18" s="51" customFormat="1" ht="13.5" customHeight="1" x14ac:dyDescent="0.3">
      <c r="A49" s="290">
        <f t="shared" si="1"/>
        <v>0</v>
      </c>
      <c r="B49" s="49"/>
      <c r="C49" s="49"/>
      <c r="D49" s="140" t="s">
        <v>1885</v>
      </c>
      <c r="E49" s="49" t="str">
        <f>VLOOKUP(D49,'03. Insumos'!A:D,2,0)</f>
        <v>Itens diversos de instalações provisórias</v>
      </c>
      <c r="F49" s="52" t="s">
        <v>2612</v>
      </c>
      <c r="G49" s="52" t="str">
        <f>VLOOKUP(D49,'03. Insumos'!A:F,3,0)</f>
        <v>vb</v>
      </c>
      <c r="H49" s="53">
        <v>1</v>
      </c>
      <c r="I49" s="141">
        <v>1</v>
      </c>
      <c r="J49" s="54">
        <f t="shared" si="6"/>
        <v>1000</v>
      </c>
      <c r="K49" s="54">
        <v>1000</v>
      </c>
      <c r="L49" s="274">
        <f t="shared" si="7"/>
        <v>1000</v>
      </c>
      <c r="M49" s="153">
        <f t="shared" si="0"/>
        <v>2.7358574922138439E-4</v>
      </c>
      <c r="O49" s="148"/>
      <c r="R49" s="12"/>
    </row>
    <row r="50" spans="1:18" s="18" customFormat="1" ht="13.5" customHeight="1" x14ac:dyDescent="0.3">
      <c r="A50" s="290">
        <f t="shared" si="1"/>
        <v>3</v>
      </c>
      <c r="B50" s="35"/>
      <c r="C50" s="35" t="s">
        <v>359</v>
      </c>
      <c r="D50" s="35" t="s">
        <v>75</v>
      </c>
      <c r="E50" s="35"/>
      <c r="F50" s="36"/>
      <c r="G50" s="36"/>
      <c r="H50" s="37"/>
      <c r="I50" s="37"/>
      <c r="J50" s="38"/>
      <c r="K50" s="38"/>
      <c r="L50" s="38">
        <f>SUMIF(A51:A79,4,L51:L79)</f>
        <v>36387.120000000003</v>
      </c>
      <c r="M50" s="153">
        <f t="shared" si="0"/>
        <v>9.9549974872084213E-3</v>
      </c>
      <c r="O50" s="148">
        <f t="shared" ref="O50:O55" si="8">IF(I50&lt;&gt;0,I50*H50*K50,)</f>
        <v>0</v>
      </c>
      <c r="R50" s="12">
        <f t="shared" ref="R50:R55" si="9">IF(J50&lt;&gt;0,J50/1.03-K50,0)</f>
        <v>0</v>
      </c>
    </row>
    <row r="51" spans="1:18" s="18" customFormat="1" ht="5.25" customHeight="1" x14ac:dyDescent="0.3">
      <c r="A51" s="290">
        <f t="shared" si="1"/>
        <v>0</v>
      </c>
      <c r="B51" s="63"/>
      <c r="C51" s="63"/>
      <c r="D51" s="63"/>
      <c r="E51" s="63"/>
      <c r="F51" s="64"/>
      <c r="G51" s="64"/>
      <c r="H51" s="65"/>
      <c r="I51" s="65"/>
      <c r="J51" s="66"/>
      <c r="K51" s="66" t="e">
        <f>IF(A51=0,VLOOKUP(D51,'03. Insumos'!A:F,4,0),"")</f>
        <v>#N/A</v>
      </c>
      <c r="L51" s="66"/>
      <c r="M51" s="153">
        <f t="shared" si="0"/>
        <v>0</v>
      </c>
      <c r="O51" s="148">
        <f t="shared" si="8"/>
        <v>0</v>
      </c>
      <c r="R51" s="12">
        <f t="shared" si="9"/>
        <v>0</v>
      </c>
    </row>
    <row r="52" spans="1:18" s="18" customFormat="1" ht="13.5" customHeight="1" x14ac:dyDescent="0.3">
      <c r="A52" s="290">
        <f t="shared" si="1"/>
        <v>4</v>
      </c>
      <c r="B52" s="45"/>
      <c r="C52" s="45" t="s">
        <v>385</v>
      </c>
      <c r="D52" s="45" t="s">
        <v>44</v>
      </c>
      <c r="E52" s="45"/>
      <c r="F52" s="60"/>
      <c r="G52" s="60"/>
      <c r="H52" s="61"/>
      <c r="I52" s="61"/>
      <c r="J52" s="62"/>
      <c r="K52" s="62" t="str">
        <f>IF(A52=0,VLOOKUP(D52,'03. Insumos'!A:F,4,0),"")</f>
        <v/>
      </c>
      <c r="L52" s="62">
        <f>SUMIF(A53:A55,6,L53:L55)</f>
        <v>910</v>
      </c>
      <c r="M52" s="153">
        <f t="shared" si="0"/>
        <v>2.4896303179145981E-4</v>
      </c>
      <c r="O52" s="148">
        <f t="shared" si="8"/>
        <v>0</v>
      </c>
      <c r="R52" s="12">
        <f t="shared" si="9"/>
        <v>0</v>
      </c>
    </row>
    <row r="53" spans="1:18" ht="13.5" customHeight="1" x14ac:dyDescent="0.3">
      <c r="A53" s="290">
        <f t="shared" si="1"/>
        <v>6</v>
      </c>
      <c r="B53" s="4"/>
      <c r="C53" s="4" t="s">
        <v>917</v>
      </c>
      <c r="D53" s="4" t="s">
        <v>45</v>
      </c>
      <c r="E53" s="4"/>
      <c r="F53" s="2"/>
      <c r="G53" s="2"/>
      <c r="H53" s="29"/>
      <c r="I53" s="29"/>
      <c r="J53" s="27"/>
      <c r="K53" s="27" t="str">
        <f>IF(A53=0,VLOOKUP(D53,'03. Insumos'!A:F,4,0),"")</f>
        <v/>
      </c>
      <c r="L53" s="27">
        <f>SUM(L54:L55)</f>
        <v>910</v>
      </c>
      <c r="M53" s="153">
        <f t="shared" si="0"/>
        <v>2.4896303179145981E-4</v>
      </c>
      <c r="O53" s="148">
        <f t="shared" si="8"/>
        <v>0</v>
      </c>
      <c r="R53" s="12">
        <f t="shared" si="9"/>
        <v>0</v>
      </c>
    </row>
    <row r="54" spans="1:18" s="51" customFormat="1" ht="13.5" customHeight="1" x14ac:dyDescent="0.3">
      <c r="A54" s="290">
        <f t="shared" si="1"/>
        <v>0</v>
      </c>
      <c r="B54" s="49"/>
      <c r="C54" s="49"/>
      <c r="D54" s="140" t="s">
        <v>146</v>
      </c>
      <c r="E54" s="49" t="str">
        <f>VLOOKUP(D54,'03. Insumos'!A:D,2,0)</f>
        <v>Extintor de Pó Químico 4kg</v>
      </c>
      <c r="F54" s="52" t="s">
        <v>2612</v>
      </c>
      <c r="G54" s="52" t="str">
        <f>VLOOKUP(D54,'03. Insumos'!A:F,3,0)</f>
        <v>uni</v>
      </c>
      <c r="H54" s="53">
        <v>1</v>
      </c>
      <c r="I54" s="141">
        <v>1</v>
      </c>
      <c r="J54" s="54">
        <f>IFERROR(IF(K54&lt;&gt;0,K54*$K$5,0),0)</f>
        <v>540</v>
      </c>
      <c r="K54" s="54">
        <f>IF(A54=0,VLOOKUP(D54,'03. Insumos'!A:F,4,0),"")</f>
        <v>540</v>
      </c>
      <c r="L54" s="274">
        <f>H54*J54*I54</f>
        <v>540</v>
      </c>
      <c r="M54" s="153">
        <f t="shared" si="0"/>
        <v>1.4773630457954757E-4</v>
      </c>
      <c r="O54" s="148">
        <f t="shared" si="8"/>
        <v>540</v>
      </c>
      <c r="R54" s="12">
        <f t="shared" si="9"/>
        <v>-15.72815533980588</v>
      </c>
    </row>
    <row r="55" spans="1:18" s="51" customFormat="1" ht="13.5" customHeight="1" x14ac:dyDescent="0.3">
      <c r="A55" s="290">
        <f t="shared" si="1"/>
        <v>0</v>
      </c>
      <c r="B55" s="49"/>
      <c r="C55" s="49"/>
      <c r="D55" s="140" t="s">
        <v>147</v>
      </c>
      <c r="E55" s="49" t="str">
        <f>VLOOKUP(D55,'03. Insumos'!A:D,2,0)</f>
        <v>Extintor CO2 4Kg</v>
      </c>
      <c r="F55" s="52" t="s">
        <v>2612</v>
      </c>
      <c r="G55" s="52" t="str">
        <f>VLOOKUP(D55,'03. Insumos'!A:F,3,0)</f>
        <v>uni</v>
      </c>
      <c r="H55" s="53">
        <v>1</v>
      </c>
      <c r="I55" s="141">
        <v>1</v>
      </c>
      <c r="J55" s="54">
        <f>IFERROR(IF(K55&lt;&gt;0,K55*$K$5,0),0)</f>
        <v>370</v>
      </c>
      <c r="K55" s="54">
        <f>IF(A55=0,VLOOKUP(D55,'03. Insumos'!A:F,4,0),"")</f>
        <v>370</v>
      </c>
      <c r="L55" s="274">
        <f>H55*J55*I55</f>
        <v>370</v>
      </c>
      <c r="M55" s="153">
        <f t="shared" si="0"/>
        <v>1.0122672721191223E-4</v>
      </c>
      <c r="O55" s="148">
        <f t="shared" si="8"/>
        <v>370</v>
      </c>
      <c r="R55" s="12">
        <f t="shared" si="9"/>
        <v>-10.776699029126235</v>
      </c>
    </row>
    <row r="56" spans="1:18" s="51" customFormat="1" ht="13.5" hidden="1" customHeight="1" x14ac:dyDescent="0.3">
      <c r="A56" s="290">
        <f t="shared" si="1"/>
        <v>4</v>
      </c>
      <c r="B56" s="45"/>
      <c r="C56" s="45" t="s">
        <v>386</v>
      </c>
      <c r="D56" s="45" t="s">
        <v>2063</v>
      </c>
      <c r="E56" s="45"/>
      <c r="F56" s="60"/>
      <c r="G56" s="60"/>
      <c r="H56" s="61"/>
      <c r="I56" s="61"/>
      <c r="J56" s="62"/>
      <c r="K56" s="62" t="str">
        <f>IF(A56=0,VLOOKUP(D56,'03. Insumos'!A:F,4,0),"")</f>
        <v/>
      </c>
      <c r="L56" s="62">
        <f>SUMIF(A57:A58,6,L57:L66)</f>
        <v>0</v>
      </c>
      <c r="M56" s="153">
        <f t="shared" si="0"/>
        <v>0</v>
      </c>
      <c r="O56" s="148"/>
      <c r="R56" s="12"/>
    </row>
    <row r="57" spans="1:18" s="51" customFormat="1" ht="13.5" hidden="1" customHeight="1" x14ac:dyDescent="0.3">
      <c r="A57" s="290">
        <f t="shared" si="1"/>
        <v>6</v>
      </c>
      <c r="B57" s="4"/>
      <c r="C57" s="4" t="s">
        <v>918</v>
      </c>
      <c r="D57" s="4" t="s">
        <v>2063</v>
      </c>
      <c r="E57" s="4"/>
      <c r="F57" s="2"/>
      <c r="G57" s="2"/>
      <c r="H57" s="29"/>
      <c r="I57" s="29"/>
      <c r="J57" s="27"/>
      <c r="K57" s="27" t="str">
        <f>IF(A57=0,VLOOKUP(D57,'03. Insumos'!A:F,4,0),"")</f>
        <v/>
      </c>
      <c r="L57" s="27">
        <f>SUM(L58:L66)</f>
        <v>0</v>
      </c>
      <c r="M57" s="153">
        <f t="shared" si="0"/>
        <v>0</v>
      </c>
      <c r="O57" s="148"/>
      <c r="R57" s="12"/>
    </row>
    <row r="58" spans="1:18" s="51" customFormat="1" ht="13.5" hidden="1" customHeight="1" x14ac:dyDescent="0.3">
      <c r="A58" s="290">
        <f t="shared" si="1"/>
        <v>0</v>
      </c>
      <c r="B58" s="49"/>
      <c r="C58" s="49"/>
      <c r="D58" s="140" t="s">
        <v>2070</v>
      </c>
      <c r="E58" s="49" t="str">
        <f>VLOOKUP(D58,'03. Insumos'!A:D,2,0)</f>
        <v>PCMAT por fase da obra</v>
      </c>
      <c r="F58" s="52"/>
      <c r="G58" s="52" t="str">
        <f>VLOOKUP(D58,'03. Insumos'!A:F,3,0)</f>
        <v>unid</v>
      </c>
      <c r="H58" s="53">
        <v>1</v>
      </c>
      <c r="I58" s="141"/>
      <c r="J58" s="54">
        <f t="shared" ref="J58:J66" si="10">IFERROR(IF(K58&lt;&gt;0,K58*$K$5,0),0)</f>
        <v>1200</v>
      </c>
      <c r="K58" s="54">
        <f>IF(A58=0,VLOOKUP(D58,'03. Insumos'!A:F,4,0),"")</f>
        <v>1200</v>
      </c>
      <c r="L58" s="274">
        <f>H58*J58*I58</f>
        <v>0</v>
      </c>
      <c r="M58" s="153">
        <f t="shared" si="0"/>
        <v>0</v>
      </c>
      <c r="O58" s="148"/>
      <c r="R58" s="12"/>
    </row>
    <row r="59" spans="1:18" s="51" customFormat="1" ht="13.5" hidden="1" customHeight="1" x14ac:dyDescent="0.3">
      <c r="A59" s="290">
        <f t="shared" si="1"/>
        <v>0</v>
      </c>
      <c r="B59" s="49"/>
      <c r="C59" s="49"/>
      <c r="D59" s="140" t="s">
        <v>2071</v>
      </c>
      <c r="E59" s="49" t="str">
        <f>VLOOKUP(D59,'03. Insumos'!A:D,2,0)</f>
        <v>Revisão do PCMAT</v>
      </c>
      <c r="F59" s="52"/>
      <c r="G59" s="52" t="str">
        <f>VLOOKUP(D59,'03. Insumos'!A:F,3,0)</f>
        <v>unid</v>
      </c>
      <c r="H59" s="53">
        <v>1</v>
      </c>
      <c r="I59" s="141"/>
      <c r="J59" s="54">
        <f t="shared" si="10"/>
        <v>300</v>
      </c>
      <c r="K59" s="54">
        <f>IF(A59=0,VLOOKUP(D59,'03. Insumos'!A:F,4,0),"")</f>
        <v>300</v>
      </c>
      <c r="L59" s="274">
        <f t="shared" ref="L59:L64" si="11">H59*J59*I59</f>
        <v>0</v>
      </c>
      <c r="M59" s="153">
        <f t="shared" si="0"/>
        <v>0</v>
      </c>
      <c r="O59" s="148"/>
      <c r="R59" s="12"/>
    </row>
    <row r="60" spans="1:18" s="51" customFormat="1" ht="13.5" hidden="1" customHeight="1" x14ac:dyDescent="0.3">
      <c r="A60" s="290">
        <f t="shared" si="1"/>
        <v>0</v>
      </c>
      <c r="B60" s="49"/>
      <c r="C60" s="49"/>
      <c r="D60" s="140" t="s">
        <v>2072</v>
      </c>
      <c r="E60" s="49" t="str">
        <f>VLOOKUP(D60,'03. Insumos'!A:D,2,0)</f>
        <v>PGR por fase da obra</v>
      </c>
      <c r="F60" s="52"/>
      <c r="G60" s="52" t="str">
        <f>VLOOKUP(D60,'03. Insumos'!A:F,3,0)</f>
        <v>unid</v>
      </c>
      <c r="H60" s="53">
        <v>1</v>
      </c>
      <c r="I60" s="141"/>
      <c r="J60" s="54">
        <f t="shared" si="10"/>
        <v>1500</v>
      </c>
      <c r="K60" s="54">
        <f>IF(A60=0,VLOOKUP(D60,'03. Insumos'!A:F,4,0),"")</f>
        <v>1500</v>
      </c>
      <c r="L60" s="274">
        <f t="shared" si="11"/>
        <v>0</v>
      </c>
      <c r="M60" s="153">
        <f t="shared" si="0"/>
        <v>0</v>
      </c>
      <c r="O60" s="148"/>
      <c r="R60" s="12"/>
    </row>
    <row r="61" spans="1:18" s="51" customFormat="1" ht="13.5" hidden="1" customHeight="1" x14ac:dyDescent="0.3">
      <c r="A61" s="290">
        <f t="shared" si="1"/>
        <v>0</v>
      </c>
      <c r="B61" s="49"/>
      <c r="C61" s="49"/>
      <c r="D61" s="140" t="s">
        <v>2073</v>
      </c>
      <c r="E61" s="49" t="str">
        <f>VLOOKUP(D61,'03. Insumos'!A:D,2,0)</f>
        <v>Revisão PGR</v>
      </c>
      <c r="F61" s="52"/>
      <c r="G61" s="52" t="str">
        <f>VLOOKUP(D61,'03. Insumos'!A:F,3,0)</f>
        <v>unid</v>
      </c>
      <c r="H61" s="53">
        <v>1</v>
      </c>
      <c r="I61" s="141"/>
      <c r="J61" s="54">
        <f t="shared" si="10"/>
        <v>369</v>
      </c>
      <c r="K61" s="54">
        <f>IF(A61=0,VLOOKUP(D61,'03. Insumos'!A:F,4,0),"")</f>
        <v>369</v>
      </c>
      <c r="L61" s="274">
        <f t="shared" si="11"/>
        <v>0</v>
      </c>
      <c r="M61" s="153">
        <f t="shared" si="0"/>
        <v>0</v>
      </c>
      <c r="O61" s="148"/>
      <c r="R61" s="12"/>
    </row>
    <row r="62" spans="1:18" s="51" customFormat="1" ht="13.5" hidden="1" customHeight="1" x14ac:dyDescent="0.3">
      <c r="A62" s="290">
        <f t="shared" si="1"/>
        <v>0</v>
      </c>
      <c r="B62" s="49"/>
      <c r="C62" s="49"/>
      <c r="D62" s="140" t="s">
        <v>2074</v>
      </c>
      <c r="E62" s="49" t="str">
        <f>VLOOKUP(D62,'03. Insumos'!A:D,2,0)</f>
        <v>Mapa de risco por fase da obra</v>
      </c>
      <c r="F62" s="52"/>
      <c r="G62" s="52" t="str">
        <f>VLOOKUP(D62,'03. Insumos'!A:F,3,0)</f>
        <v>unid</v>
      </c>
      <c r="H62" s="53">
        <v>1</v>
      </c>
      <c r="I62" s="141"/>
      <c r="J62" s="54">
        <f t="shared" si="10"/>
        <v>180</v>
      </c>
      <c r="K62" s="54">
        <f>IF(A62=0,VLOOKUP(D62,'03. Insumos'!A:F,4,0),"")</f>
        <v>180</v>
      </c>
      <c r="L62" s="274">
        <f t="shared" si="11"/>
        <v>0</v>
      </c>
      <c r="M62" s="153">
        <f t="shared" si="0"/>
        <v>0</v>
      </c>
      <c r="O62" s="148"/>
      <c r="R62" s="12"/>
    </row>
    <row r="63" spans="1:18" s="51" customFormat="1" ht="13.5" hidden="1" customHeight="1" x14ac:dyDescent="0.3">
      <c r="A63" s="290">
        <f t="shared" si="1"/>
        <v>0</v>
      </c>
      <c r="B63" s="49"/>
      <c r="C63" s="49"/>
      <c r="D63" s="140" t="s">
        <v>2075</v>
      </c>
      <c r="E63" s="49" t="str">
        <f>VLOOKUP(D63,'03. Insumos'!A:D,2,0)</f>
        <v>PCMAT por fase da obra</v>
      </c>
      <c r="F63" s="52"/>
      <c r="G63" s="52" t="str">
        <f>VLOOKUP(D63,'03. Insumos'!A:F,3,0)</f>
        <v>unid</v>
      </c>
      <c r="H63" s="53">
        <v>1</v>
      </c>
      <c r="I63" s="141"/>
      <c r="J63" s="54">
        <f t="shared" si="10"/>
        <v>1800</v>
      </c>
      <c r="K63" s="54">
        <f>IF(A63=0,VLOOKUP(D63,'03. Insumos'!A:F,4,0),"")</f>
        <v>1800</v>
      </c>
      <c r="L63" s="274">
        <f t="shared" si="11"/>
        <v>0</v>
      </c>
      <c r="M63" s="153">
        <f t="shared" si="0"/>
        <v>0</v>
      </c>
      <c r="O63" s="148"/>
      <c r="R63" s="12"/>
    </row>
    <row r="64" spans="1:18" s="51" customFormat="1" ht="13.5" hidden="1" customHeight="1" x14ac:dyDescent="0.3">
      <c r="A64" s="290">
        <f t="shared" si="1"/>
        <v>0</v>
      </c>
      <c r="B64" s="49"/>
      <c r="C64" s="49"/>
      <c r="D64" s="140" t="s">
        <v>2076</v>
      </c>
      <c r="E64" s="49" t="str">
        <f>VLOOKUP(D64,'03. Insumos'!A:D,2,0)</f>
        <v>Revisão do PCMSO</v>
      </c>
      <c r="F64" s="52"/>
      <c r="G64" s="52" t="str">
        <f>VLOOKUP(D64,'03. Insumos'!A:F,3,0)</f>
        <v>unid</v>
      </c>
      <c r="H64" s="53">
        <v>1</v>
      </c>
      <c r="I64" s="141"/>
      <c r="J64" s="54">
        <f t="shared" si="10"/>
        <v>300</v>
      </c>
      <c r="K64" s="54">
        <f>IF(A64=0,VLOOKUP(D64,'03. Insumos'!A:F,4,0),"")</f>
        <v>300</v>
      </c>
      <c r="L64" s="274">
        <f t="shared" si="11"/>
        <v>0</v>
      </c>
      <c r="M64" s="153">
        <f t="shared" si="0"/>
        <v>0</v>
      </c>
      <c r="O64" s="148"/>
      <c r="R64" s="12"/>
    </row>
    <row r="65" spans="1:18" s="51" customFormat="1" ht="13.5" hidden="1" customHeight="1" x14ac:dyDescent="0.3">
      <c r="A65" s="290">
        <f t="shared" si="1"/>
        <v>0</v>
      </c>
      <c r="B65" s="49"/>
      <c r="C65" s="49"/>
      <c r="D65" s="140" t="s">
        <v>2077</v>
      </c>
      <c r="E65" s="49" t="str">
        <f>VLOOKUP(D65,'03. Insumos'!A:D,2,0)</f>
        <v>Implantação e gerenciamento da CIPA</v>
      </c>
      <c r="F65" s="52"/>
      <c r="G65" s="52" t="str">
        <f>VLOOKUP(D65,'03. Insumos'!A:F,3,0)</f>
        <v>mês</v>
      </c>
      <c r="H65" s="53">
        <v>1</v>
      </c>
      <c r="I65" s="141"/>
      <c r="J65" s="54">
        <f t="shared" si="10"/>
        <v>300</v>
      </c>
      <c r="K65" s="54">
        <f>IF(A65=0,VLOOKUP(D65,'03. Insumos'!A:F,4,0),"")</f>
        <v>300</v>
      </c>
      <c r="L65" s="274">
        <f>H65*J65*I65</f>
        <v>0</v>
      </c>
      <c r="M65" s="153">
        <f t="shared" si="0"/>
        <v>0</v>
      </c>
      <c r="O65" s="148"/>
      <c r="R65" s="12"/>
    </row>
    <row r="66" spans="1:18" s="51" customFormat="1" ht="13.5" hidden="1" customHeight="1" x14ac:dyDescent="0.3">
      <c r="A66" s="290">
        <f t="shared" si="1"/>
        <v>0</v>
      </c>
      <c r="B66" s="49"/>
      <c r="C66" s="49"/>
      <c r="D66" s="140" t="s">
        <v>2078</v>
      </c>
      <c r="E66" s="49" t="str">
        <f>VLOOKUP(D66,'03. Insumos'!A:D,2,0)</f>
        <v>Treinamento para CIPA</v>
      </c>
      <c r="F66" s="52"/>
      <c r="G66" s="52" t="str">
        <f>VLOOKUP(D66,'03. Insumos'!A:F,3,0)</f>
        <v>unid</v>
      </c>
      <c r="H66" s="53">
        <v>1</v>
      </c>
      <c r="I66" s="141"/>
      <c r="J66" s="54">
        <f t="shared" si="10"/>
        <v>2000</v>
      </c>
      <c r="K66" s="54">
        <f>IF(A66=0,VLOOKUP(D66,'03. Insumos'!A:F,4,0),"")</f>
        <v>2000</v>
      </c>
      <c r="L66" s="274">
        <f>H66*J66*I66</f>
        <v>0</v>
      </c>
      <c r="M66" s="153">
        <f t="shared" si="0"/>
        <v>0</v>
      </c>
      <c r="O66" s="148"/>
      <c r="R66" s="12"/>
    </row>
    <row r="67" spans="1:18" s="18" customFormat="1" ht="13.5" customHeight="1" x14ac:dyDescent="0.3">
      <c r="A67" s="290">
        <f t="shared" si="1"/>
        <v>4</v>
      </c>
      <c r="B67" s="45"/>
      <c r="C67" s="45" t="s">
        <v>1941</v>
      </c>
      <c r="D67" s="45" t="s">
        <v>47</v>
      </c>
      <c r="E67" s="45"/>
      <c r="F67" s="60"/>
      <c r="G67" s="60"/>
      <c r="H67" s="61"/>
      <c r="I67" s="61"/>
      <c r="J67" s="62"/>
      <c r="K67" s="62" t="str">
        <f>IF(A67=0,VLOOKUP(D67,'03. Insumos'!A:F,4,0),"")</f>
        <v/>
      </c>
      <c r="L67" s="62">
        <f>SUMIF(A68:A75,6,L68:L75)</f>
        <v>35477.120000000003</v>
      </c>
      <c r="M67" s="153">
        <f t="shared" si="0"/>
        <v>9.7060344554169616E-3</v>
      </c>
      <c r="O67" s="148">
        <f>IF(I67&lt;&gt;0,I67*H67*K67,)</f>
        <v>0</v>
      </c>
      <c r="R67" s="12">
        <f>IF(J67&lt;&gt;0,J67/1.03-K67,0)</f>
        <v>0</v>
      </c>
    </row>
    <row r="68" spans="1:18" ht="13.5" customHeight="1" x14ac:dyDescent="0.3">
      <c r="A68" s="290">
        <f t="shared" si="1"/>
        <v>6</v>
      </c>
      <c r="B68" s="4"/>
      <c r="C68" s="4" t="s">
        <v>1942</v>
      </c>
      <c r="D68" s="4" t="s">
        <v>47</v>
      </c>
      <c r="E68" s="4"/>
      <c r="F68" s="2"/>
      <c r="G68" s="2"/>
      <c r="H68" s="29"/>
      <c r="I68" s="29"/>
      <c r="J68" s="27"/>
      <c r="K68" s="27" t="str">
        <f>IF(A68=0,VLOOKUP(D68,'03. Insumos'!A:F,4,0),"")</f>
        <v/>
      </c>
      <c r="L68" s="27">
        <f>SUM(L69:L75)</f>
        <v>35477.120000000003</v>
      </c>
      <c r="M68" s="153">
        <f t="shared" si="0"/>
        <v>9.7060344554169616E-3</v>
      </c>
      <c r="O68" s="148">
        <f>IF(I68&lt;&gt;0,I68*H68*K68,)</f>
        <v>0</v>
      </c>
      <c r="R68" s="12">
        <f>IF(J68&lt;&gt;0,J68/1.03-K68,0)</f>
        <v>0</v>
      </c>
    </row>
    <row r="69" spans="1:18" s="51" customFormat="1" ht="13.5" customHeight="1" x14ac:dyDescent="0.3">
      <c r="A69" s="290">
        <f t="shared" si="1"/>
        <v>0</v>
      </c>
      <c r="B69" s="49"/>
      <c r="C69" s="49"/>
      <c r="D69" s="140" t="s">
        <v>718</v>
      </c>
      <c r="E69" s="49" t="str">
        <f>VLOOKUP(D69,'03. Insumos'!A:D,2,0)</f>
        <v>Máscara</v>
      </c>
      <c r="F69" s="52" t="s">
        <v>2612</v>
      </c>
      <c r="G69" s="52" t="str">
        <f>VLOOKUP(D69,'03. Insumos'!A:F,3,0)</f>
        <v>unid</v>
      </c>
      <c r="H69" s="53">
        <v>1</v>
      </c>
      <c r="I69" s="141">
        <f>6*6*2</f>
        <v>72</v>
      </c>
      <c r="J69" s="54">
        <f t="shared" ref="J69:J75" si="12">IFERROR(IF(K69&lt;&gt;0,K69*$K$5,0),0)</f>
        <v>0.47333333333333333</v>
      </c>
      <c r="K69" s="54">
        <f>IF(A69=0,VLOOKUP(D69,'03. Insumos'!A:F,4,0),"")</f>
        <v>0.47333333333333333</v>
      </c>
      <c r="L69" s="274">
        <f t="shared" ref="L69:L75" si="13">H69*J69*I69</f>
        <v>34.08</v>
      </c>
      <c r="M69" s="153">
        <f t="shared" si="0"/>
        <v>9.32380233346478E-6</v>
      </c>
      <c r="O69" s="148">
        <f>IF(I69&lt;&gt;0,I69*H69*K69,)</f>
        <v>34.08</v>
      </c>
      <c r="R69" s="12">
        <f>IF(J69&lt;&gt;0,J69/1.03-K69,0)</f>
        <v>-1.3786407766990305E-2</v>
      </c>
    </row>
    <row r="70" spans="1:18" s="51" customFormat="1" ht="13.5" hidden="1" customHeight="1" x14ac:dyDescent="0.3">
      <c r="A70" s="290">
        <f t="shared" si="1"/>
        <v>0</v>
      </c>
      <c r="B70" s="49"/>
      <c r="C70" s="49"/>
      <c r="D70" s="140" t="s">
        <v>719</v>
      </c>
      <c r="E70" s="49" t="str">
        <f>VLOOKUP(D70,'03. Insumos'!A:D,2,0)</f>
        <v>Bota</v>
      </c>
      <c r="F70" s="52"/>
      <c r="G70" s="52" t="str">
        <f>VLOOKUP(D70,'03. Insumos'!A:F,3,0)</f>
        <v>unid</v>
      </c>
      <c r="H70" s="53">
        <v>1</v>
      </c>
      <c r="I70" s="141"/>
      <c r="J70" s="54">
        <f t="shared" si="12"/>
        <v>27</v>
      </c>
      <c r="K70" s="54">
        <f>IF(A70=0,VLOOKUP(D70,'03. Insumos'!A:F,4,0),"")</f>
        <v>27</v>
      </c>
      <c r="L70" s="274">
        <f t="shared" si="13"/>
        <v>0</v>
      </c>
      <c r="M70" s="153">
        <f t="shared" si="0"/>
        <v>0</v>
      </c>
      <c r="O70" s="148"/>
      <c r="R70" s="12"/>
    </row>
    <row r="71" spans="1:18" s="51" customFormat="1" ht="13.5" hidden="1" customHeight="1" x14ac:dyDescent="0.3">
      <c r="A71" s="290">
        <f t="shared" si="1"/>
        <v>0</v>
      </c>
      <c r="B71" s="49"/>
      <c r="C71" s="49"/>
      <c r="D71" s="140" t="s">
        <v>720</v>
      </c>
      <c r="E71" s="49" t="str">
        <f>VLOOKUP(D71,'03. Insumos'!A:D,2,0)</f>
        <v>Capacete</v>
      </c>
      <c r="F71" s="52"/>
      <c r="G71" s="52" t="str">
        <f>VLOOKUP(D71,'03. Insumos'!A:F,3,0)</f>
        <v>unid</v>
      </c>
      <c r="H71" s="53">
        <v>1</v>
      </c>
      <c r="I71" s="141"/>
      <c r="J71" s="54">
        <f t="shared" si="12"/>
        <v>9.73</v>
      </c>
      <c r="K71" s="54">
        <f>IF(A71=0,VLOOKUP(D71,'03. Insumos'!A:F,4,0),"")</f>
        <v>9.73</v>
      </c>
      <c r="L71" s="274">
        <f t="shared" si="13"/>
        <v>0</v>
      </c>
      <c r="M71" s="153">
        <f t="shared" si="0"/>
        <v>0</v>
      </c>
      <c r="O71" s="148"/>
      <c r="R71" s="12"/>
    </row>
    <row r="72" spans="1:18" s="51" customFormat="1" ht="13.5" customHeight="1" x14ac:dyDescent="0.3">
      <c r="A72" s="290">
        <f t="shared" si="1"/>
        <v>0</v>
      </c>
      <c r="B72" s="49"/>
      <c r="C72" s="49"/>
      <c r="D72" s="140" t="s">
        <v>721</v>
      </c>
      <c r="E72" s="49" t="str">
        <f>VLOOKUP(D72,'03. Insumos'!A:D,2,0)</f>
        <v>Cinto de segurança</v>
      </c>
      <c r="F72" s="52" t="s">
        <v>2612</v>
      </c>
      <c r="G72" s="52" t="str">
        <f>VLOOKUP(D72,'03. Insumos'!A:F,3,0)</f>
        <v>unid</v>
      </c>
      <c r="H72" s="53">
        <v>1</v>
      </c>
      <c r="I72" s="141">
        <v>2</v>
      </c>
      <c r="J72" s="54">
        <f t="shared" si="12"/>
        <v>46.2</v>
      </c>
      <c r="K72" s="54">
        <f>IF(A72=0,VLOOKUP(D72,'03. Insumos'!A:F,4,0),"")</f>
        <v>46.2</v>
      </c>
      <c r="L72" s="274">
        <f t="shared" si="13"/>
        <v>92.4</v>
      </c>
      <c r="M72" s="153">
        <f t="shared" si="0"/>
        <v>2.527932322805592E-5</v>
      </c>
      <c r="O72" s="148"/>
      <c r="R72" s="12"/>
    </row>
    <row r="73" spans="1:18" s="51" customFormat="1" ht="13.5" customHeight="1" x14ac:dyDescent="0.3">
      <c r="A73" s="290">
        <f t="shared" si="1"/>
        <v>0</v>
      </c>
      <c r="B73" s="49"/>
      <c r="C73" s="49"/>
      <c r="D73" s="140" t="s">
        <v>722</v>
      </c>
      <c r="E73" s="49" t="str">
        <f>VLOOKUP(D73,'03. Insumos'!A:D,2,0)</f>
        <v>Corda de poliamida (50 m)</v>
      </c>
      <c r="F73" s="52" t="s">
        <v>2612</v>
      </c>
      <c r="G73" s="52" t="str">
        <f>VLOOKUP(D73,'03. Insumos'!A:F,3,0)</f>
        <v>rolo</v>
      </c>
      <c r="H73" s="53">
        <v>1</v>
      </c>
      <c r="I73" s="141">
        <v>100</v>
      </c>
      <c r="J73" s="54">
        <f t="shared" si="12"/>
        <v>350</v>
      </c>
      <c r="K73" s="54">
        <f>IF(A73=0,VLOOKUP(D73,'03. Insumos'!A:F,4,0),"")</f>
        <v>350</v>
      </c>
      <c r="L73" s="274">
        <f t="shared" si="13"/>
        <v>35000</v>
      </c>
      <c r="M73" s="153">
        <f t="shared" si="0"/>
        <v>9.5755012227484535E-3</v>
      </c>
      <c r="O73" s="148"/>
      <c r="R73" s="12"/>
    </row>
    <row r="74" spans="1:18" s="51" customFormat="1" ht="13.5" customHeight="1" x14ac:dyDescent="0.3">
      <c r="A74" s="290">
        <f t="shared" si="1"/>
        <v>0</v>
      </c>
      <c r="B74" s="49"/>
      <c r="C74" s="49"/>
      <c r="D74" s="140" t="s">
        <v>723</v>
      </c>
      <c r="E74" s="49" t="str">
        <f>VLOOKUP(D74,'03. Insumos'!A:D,2,0)</f>
        <v>Luva</v>
      </c>
      <c r="F74" s="52" t="s">
        <v>2612</v>
      </c>
      <c r="G74" s="52" t="str">
        <f>VLOOKUP(D74,'03. Insumos'!A:F,3,0)</f>
        <v>unid</v>
      </c>
      <c r="H74" s="53">
        <v>1</v>
      </c>
      <c r="I74" s="141">
        <f>I69/2</f>
        <v>36</v>
      </c>
      <c r="J74" s="54">
        <f t="shared" si="12"/>
        <v>7.74</v>
      </c>
      <c r="K74" s="54">
        <f>IF(A74=0,VLOOKUP(D74,'03. Insumos'!A:F,4,0),"")</f>
        <v>7.74</v>
      </c>
      <c r="L74" s="274">
        <f t="shared" si="13"/>
        <v>278.64</v>
      </c>
      <c r="M74" s="153">
        <f t="shared" si="0"/>
        <v>7.6231933163046546E-5</v>
      </c>
      <c r="O74" s="148"/>
      <c r="R74" s="12"/>
    </row>
    <row r="75" spans="1:18" s="51" customFormat="1" ht="13.5" customHeight="1" x14ac:dyDescent="0.3">
      <c r="A75" s="290">
        <f t="shared" si="1"/>
        <v>0</v>
      </c>
      <c r="B75" s="49"/>
      <c r="C75" s="49"/>
      <c r="D75" s="140" t="s">
        <v>724</v>
      </c>
      <c r="E75" s="49" t="str">
        <f>VLOOKUP(D75,'03. Insumos'!A:D,2,0)</f>
        <v>Óculos</v>
      </c>
      <c r="F75" s="52" t="s">
        <v>2612</v>
      </c>
      <c r="G75" s="52" t="str">
        <f>VLOOKUP(D75,'03. Insumos'!A:F,3,0)</f>
        <v>unid</v>
      </c>
      <c r="H75" s="53">
        <v>1</v>
      </c>
      <c r="I75" s="141">
        <f>I69/2</f>
        <v>36</v>
      </c>
      <c r="J75" s="54">
        <f t="shared" si="12"/>
        <v>2</v>
      </c>
      <c r="K75" s="54">
        <f>IF(A75=0,VLOOKUP(D75,'03. Insumos'!A:F,4,0),"")</f>
        <v>2</v>
      </c>
      <c r="L75" s="274">
        <f t="shared" si="13"/>
        <v>72</v>
      </c>
      <c r="M75" s="153">
        <f t="shared" si="0"/>
        <v>1.9698173943939676E-5</v>
      </c>
      <c r="O75" s="148"/>
      <c r="R75" s="12"/>
    </row>
    <row r="76" spans="1:18" s="18" customFormat="1" ht="13.5" hidden="1" customHeight="1" x14ac:dyDescent="0.3">
      <c r="A76" s="290">
        <f>LEN(C76)</f>
        <v>4</v>
      </c>
      <c r="B76" s="45"/>
      <c r="C76" s="45" t="s">
        <v>1941</v>
      </c>
      <c r="D76" s="45" t="s">
        <v>1940</v>
      </c>
      <c r="E76" s="45"/>
      <c r="F76" s="60"/>
      <c r="G76" s="60"/>
      <c r="H76" s="61"/>
      <c r="I76" s="61"/>
      <c r="J76" s="62"/>
      <c r="K76" s="62" t="str">
        <f>IF(A76=0,VLOOKUP(D76,'03. Insumos'!A:F,4,0),"")</f>
        <v/>
      </c>
      <c r="L76" s="62">
        <f>SUMIF(A77:A79,6,L77:L79)</f>
        <v>0</v>
      </c>
      <c r="M76" s="153">
        <f>L76/$L$7</f>
        <v>0</v>
      </c>
      <c r="O76" s="148">
        <f>IF(I76&lt;&gt;0,I76*H76*K76,)</f>
        <v>0</v>
      </c>
      <c r="R76" s="12">
        <f>IF(J76&lt;&gt;0,J76/1.03-K76,0)</f>
        <v>0</v>
      </c>
    </row>
    <row r="77" spans="1:18" ht="13.5" hidden="1" customHeight="1" x14ac:dyDescent="0.3">
      <c r="A77" s="290">
        <f>LEN(C77)</f>
        <v>6</v>
      </c>
      <c r="B77" s="4"/>
      <c r="C77" s="4" t="s">
        <v>1942</v>
      </c>
      <c r="D77" s="4" t="s">
        <v>1940</v>
      </c>
      <c r="E77" s="4"/>
      <c r="F77" s="2"/>
      <c r="G77" s="2"/>
      <c r="H77" s="29"/>
      <c r="I77" s="29"/>
      <c r="J77" s="27"/>
      <c r="K77" s="27" t="str">
        <f>IF(A77=0,VLOOKUP(D77,'03. Insumos'!A:F,4,0),"")</f>
        <v/>
      </c>
      <c r="L77" s="27">
        <f>SUM(L78:L79)</f>
        <v>0</v>
      </c>
      <c r="M77" s="153">
        <f>L77/$L$7</f>
        <v>0</v>
      </c>
      <c r="O77" s="148">
        <f>IF(I77&lt;&gt;0,I77*H77*K77,)</f>
        <v>0</v>
      </c>
      <c r="R77" s="12">
        <f>IF(J77&lt;&gt;0,J77/1.03-K77,0)</f>
        <v>0</v>
      </c>
    </row>
    <row r="78" spans="1:18" ht="13.5" hidden="1" customHeight="1" x14ac:dyDescent="0.3">
      <c r="A78" s="290">
        <f>LEN(C78)</f>
        <v>0</v>
      </c>
      <c r="B78" s="4"/>
      <c r="C78" s="4"/>
      <c r="D78" s="140" t="s">
        <v>1945</v>
      </c>
      <c r="E78" s="49" t="str">
        <f>VLOOKUP(D78,'03. Insumos'!A:D,2,0)</f>
        <v>Proteção de periferia</v>
      </c>
      <c r="F78" s="52"/>
      <c r="G78" s="52" t="str">
        <f>VLOOKUP(D78,'03. Insumos'!A:F,3,0)</f>
        <v>vb</v>
      </c>
      <c r="H78" s="53">
        <v>1</v>
      </c>
      <c r="I78" s="141"/>
      <c r="J78" s="54">
        <f>IFERROR(IF(K78&lt;&gt;0,K78*$K$5,0),0)</f>
        <v>1683.2</v>
      </c>
      <c r="K78" s="54">
        <f>(40*5.58)+(60*16)+(10*50)</f>
        <v>1683.2</v>
      </c>
      <c r="L78" s="274">
        <f>H78*J78*I78</f>
        <v>0</v>
      </c>
      <c r="M78" s="153">
        <f>L78/$L$7</f>
        <v>0</v>
      </c>
      <c r="O78" s="148"/>
      <c r="R78" s="12"/>
    </row>
    <row r="79" spans="1:18" s="51" customFormat="1" ht="13.5" hidden="1" customHeight="1" x14ac:dyDescent="0.3">
      <c r="A79" s="290">
        <f>LEN(C79)</f>
        <v>0</v>
      </c>
      <c r="B79" s="49"/>
      <c r="C79" s="49"/>
      <c r="D79" s="140" t="s">
        <v>1946</v>
      </c>
      <c r="E79" s="49" t="str">
        <f>VLOOKUP(D79,'03. Insumos'!A:D,2,0)</f>
        <v>Linha de vida</v>
      </c>
      <c r="F79" s="52"/>
      <c r="G79" s="52" t="str">
        <f>VLOOKUP(D79,'03. Insumos'!A:F,3,0)</f>
        <v>vb</v>
      </c>
      <c r="H79" s="53">
        <v>1</v>
      </c>
      <c r="I79" s="141"/>
      <c r="J79" s="54">
        <f>IFERROR(IF(K79&lt;&gt;0,K79*$K$5,0),0)</f>
        <v>11688.62</v>
      </c>
      <c r="K79" s="54">
        <f>IF(A79=0,VLOOKUP(D79,'03. Insumos'!A:F,4,0),"")</f>
        <v>11688.62</v>
      </c>
      <c r="L79" s="274">
        <f>H79*J79*I79</f>
        <v>0</v>
      </c>
      <c r="M79" s="153">
        <f>L79/$L$7</f>
        <v>0</v>
      </c>
      <c r="O79" s="148">
        <f>IF(I79&lt;&gt;0,I79*H79*K79,)</f>
        <v>0</v>
      </c>
      <c r="R79" s="12">
        <f>IF(J79&lt;&gt;0,J79/1.03-K79,0)</f>
        <v>-340.44524271844602</v>
      </c>
    </row>
    <row r="80" spans="1:18" s="18" customFormat="1" ht="13.5" customHeight="1" x14ac:dyDescent="0.3">
      <c r="A80" s="290">
        <f t="shared" si="1"/>
        <v>3</v>
      </c>
      <c r="B80" s="35"/>
      <c r="C80" s="35" t="s">
        <v>356</v>
      </c>
      <c r="D80" s="35" t="s">
        <v>78</v>
      </c>
      <c r="E80" s="35"/>
      <c r="F80" s="36"/>
      <c r="G80" s="36"/>
      <c r="H80" s="37"/>
      <c r="I80" s="37"/>
      <c r="J80" s="38"/>
      <c r="K80" s="38"/>
      <c r="L80" s="38">
        <f>SUMIF(A81:A137,4,L81:L137)</f>
        <v>15444.82</v>
      </c>
      <c r="M80" s="153">
        <f t="shared" si="0"/>
        <v>4.2254826512894217E-3</v>
      </c>
      <c r="O80" s="148">
        <f>IF(I80&lt;&gt;0,I80*H80*K80,)</f>
        <v>0</v>
      </c>
      <c r="R80" s="12">
        <f>IF(J80&lt;&gt;0,J80/1.03-K80,0)</f>
        <v>0</v>
      </c>
    </row>
    <row r="81" spans="1:18" s="18" customFormat="1" ht="5.25" customHeight="1" x14ac:dyDescent="0.3">
      <c r="A81" s="290">
        <f t="shared" si="1"/>
        <v>0</v>
      </c>
      <c r="B81" s="63"/>
      <c r="C81" s="63"/>
      <c r="D81" s="63"/>
      <c r="E81" s="63"/>
      <c r="F81" s="64"/>
      <c r="G81" s="64"/>
      <c r="H81" s="65"/>
      <c r="I81" s="65"/>
      <c r="J81" s="66">
        <f>IFERROR(IF(K81&lt;&gt;0,K81*$K$5,0),0)</f>
        <v>0</v>
      </c>
      <c r="K81" s="66" t="e">
        <f>IF(A81=0,VLOOKUP(D81,'03. Insumos'!A:F,4,0),"")</f>
        <v>#N/A</v>
      </c>
      <c r="L81" s="66"/>
      <c r="M81" s="153">
        <f t="shared" si="0"/>
        <v>0</v>
      </c>
      <c r="O81" s="148">
        <f>IF(I81&lt;&gt;0,I81*H81*K81,)</f>
        <v>0</v>
      </c>
      <c r="R81" s="12">
        <f>IF(J81&lt;&gt;0,J81/1.03-K81,0)</f>
        <v>0</v>
      </c>
    </row>
    <row r="82" spans="1:18" s="18" customFormat="1" ht="13.5" customHeight="1" x14ac:dyDescent="0.3">
      <c r="A82" s="290">
        <f t="shared" si="1"/>
        <v>4</v>
      </c>
      <c r="B82" s="45"/>
      <c r="C82" s="45" t="s">
        <v>382</v>
      </c>
      <c r="D82" s="45" t="s">
        <v>112</v>
      </c>
      <c r="E82" s="45"/>
      <c r="F82" s="60"/>
      <c r="G82" s="60"/>
      <c r="H82" s="61"/>
      <c r="I82" s="61"/>
      <c r="J82" s="62"/>
      <c r="K82" s="62" t="str">
        <f>IF(A82=0,VLOOKUP(D82,'03. Insumos'!A:F,4,0),"")</f>
        <v/>
      </c>
      <c r="L82" s="62">
        <f>SUMIF(A83:A112,6,L83:L112)</f>
        <v>4737</v>
      </c>
      <c r="M82" s="153">
        <f t="shared" si="0"/>
        <v>1.2959756940616979E-3</v>
      </c>
      <c r="O82" s="148">
        <f>IF(I82&lt;&gt;0,I82*H82*K82,)</f>
        <v>0</v>
      </c>
      <c r="R82" s="12">
        <f>IF(J82&lt;&gt;0,J82/1.03-K82,0)</f>
        <v>0</v>
      </c>
    </row>
    <row r="83" spans="1:18" ht="13.5" customHeight="1" x14ac:dyDescent="0.3">
      <c r="A83" s="290">
        <f t="shared" si="1"/>
        <v>6</v>
      </c>
      <c r="B83" s="4"/>
      <c r="C83" s="4" t="s">
        <v>919</v>
      </c>
      <c r="D83" s="4" t="s">
        <v>2004</v>
      </c>
      <c r="E83" s="4"/>
      <c r="F83" s="2"/>
      <c r="G83" s="2"/>
      <c r="H83" s="29"/>
      <c r="I83" s="29"/>
      <c r="J83" s="27"/>
      <c r="K83" s="54" t="str">
        <f>IF(A83=0,VLOOKUP(D83,'03. Insumos'!A:F,4,0),"")</f>
        <v/>
      </c>
      <c r="L83" s="27">
        <f>SUM(L84:L110)</f>
        <v>4737</v>
      </c>
      <c r="M83" s="153">
        <f t="shared" si="0"/>
        <v>1.2959756940616979E-3</v>
      </c>
      <c r="O83" s="148">
        <f>IF(I83&lt;&gt;0,I83*H83*K83,)</f>
        <v>0</v>
      </c>
      <c r="R83" s="12">
        <f>IF(J83&lt;&gt;0,J83/1.03-K83,0)</f>
        <v>0</v>
      </c>
    </row>
    <row r="84" spans="1:18" ht="13.5" customHeight="1" x14ac:dyDescent="0.3">
      <c r="A84" s="290">
        <f t="shared" si="1"/>
        <v>0</v>
      </c>
      <c r="B84" s="4"/>
      <c r="C84" s="4"/>
      <c r="D84" s="140" t="s">
        <v>726</v>
      </c>
      <c r="E84" s="49" t="str">
        <f>VLOOKUP(D84,'03. Insumos'!A:D,2,0)</f>
        <v>Serra mármore</v>
      </c>
      <c r="F84" s="52" t="s">
        <v>2612</v>
      </c>
      <c r="G84" s="52" t="str">
        <f>VLOOKUP(D84,'03. Insumos'!A:F,3,0)</f>
        <v>mês</v>
      </c>
      <c r="H84" s="53">
        <v>6</v>
      </c>
      <c r="I84" s="141">
        <v>2</v>
      </c>
      <c r="J84" s="54">
        <f t="shared" ref="J84:J110" si="14">IFERROR(IF(K84&lt;&gt;0,K84*$K$5,0),0)</f>
        <v>80</v>
      </c>
      <c r="K84" s="54">
        <f>IF(A84=0,VLOOKUP(D84,'03. Insumos'!A:F,4,0),"")</f>
        <v>80</v>
      </c>
      <c r="L84" s="274">
        <f>H84*J84*I84</f>
        <v>960</v>
      </c>
      <c r="M84" s="153">
        <f t="shared" si="0"/>
        <v>2.6264231925252903E-4</v>
      </c>
      <c r="O84" s="148"/>
      <c r="R84" s="12"/>
    </row>
    <row r="85" spans="1:18" ht="13.5" hidden="1" customHeight="1" x14ac:dyDescent="0.3">
      <c r="A85" s="290">
        <f t="shared" si="1"/>
        <v>0</v>
      </c>
      <c r="B85" s="4"/>
      <c r="C85" s="4"/>
      <c r="D85" s="140" t="s">
        <v>1987</v>
      </c>
      <c r="E85" s="49" t="str">
        <f>VLOOKUP(D85,'03. Insumos'!A:D,2,0)</f>
        <v>Torre de iluminação</v>
      </c>
      <c r="F85" s="52"/>
      <c r="G85" s="52" t="str">
        <f>VLOOKUP(D85,'03. Insumos'!A:F,3,0)</f>
        <v>mês</v>
      </c>
      <c r="H85" s="53">
        <v>1</v>
      </c>
      <c r="I85" s="141"/>
      <c r="J85" s="54">
        <f t="shared" si="14"/>
        <v>1490</v>
      </c>
      <c r="K85" s="54">
        <f>IF(A85=0,VLOOKUP(D85,'03. Insumos'!A:F,4,0),"")</f>
        <v>1490</v>
      </c>
      <c r="L85" s="274">
        <f t="shared" ref="L85:L110" si="15">H85*J85*I85</f>
        <v>0</v>
      </c>
      <c r="M85" s="153">
        <f t="shared" si="0"/>
        <v>0</v>
      </c>
      <c r="O85" s="148"/>
      <c r="R85" s="12"/>
    </row>
    <row r="86" spans="1:18" ht="13.5" hidden="1" customHeight="1" x14ac:dyDescent="0.3">
      <c r="A86" s="290">
        <f t="shared" si="1"/>
        <v>0</v>
      </c>
      <c r="B86" s="4"/>
      <c r="C86" s="4"/>
      <c r="D86" s="140" t="s">
        <v>2049</v>
      </c>
      <c r="E86" s="49" t="str">
        <f>VLOOKUP(D86,'03. Insumos'!A:D,2,0)</f>
        <v>Traçador</v>
      </c>
      <c r="F86" s="52"/>
      <c r="G86" s="52" t="str">
        <f>VLOOKUP(D86,'03. Insumos'!A:F,3,0)</f>
        <v>mês</v>
      </c>
      <c r="H86" s="53">
        <v>1</v>
      </c>
      <c r="I86" s="141"/>
      <c r="J86" s="54">
        <f t="shared" si="14"/>
        <v>105</v>
      </c>
      <c r="K86" s="54">
        <f>IF(A86=0,VLOOKUP(D86,'03. Insumos'!A:F,4,0),"")</f>
        <v>105</v>
      </c>
      <c r="L86" s="274">
        <f>H86*J86*I86</f>
        <v>0</v>
      </c>
      <c r="M86" s="153">
        <f t="shared" si="0"/>
        <v>0</v>
      </c>
      <c r="O86" s="148"/>
      <c r="R86" s="12"/>
    </row>
    <row r="87" spans="1:18" ht="13.5" hidden="1" customHeight="1" x14ac:dyDescent="0.3">
      <c r="A87" s="290">
        <f t="shared" si="1"/>
        <v>0</v>
      </c>
      <c r="B87" s="4"/>
      <c r="C87" s="4"/>
      <c r="D87" s="140" t="s">
        <v>153</v>
      </c>
      <c r="E87" s="49" t="str">
        <f>VLOOKUP(D87,'03. Insumos'!A:D,2,0)</f>
        <v>Velox Locação</v>
      </c>
      <c r="F87" s="52"/>
      <c r="G87" s="52" t="str">
        <f>VLOOKUP(D87,'03. Insumos'!A:F,3,0)</f>
        <v>mês</v>
      </c>
      <c r="H87" s="53">
        <v>1</v>
      </c>
      <c r="I87" s="141"/>
      <c r="J87" s="54">
        <f t="shared" si="14"/>
        <v>290</v>
      </c>
      <c r="K87" s="54">
        <f>IF(A87=0,VLOOKUP(D87,'03. Insumos'!A:F,4,0),"")</f>
        <v>290</v>
      </c>
      <c r="L87" s="274">
        <f>H87*J87*I87</f>
        <v>0</v>
      </c>
      <c r="M87" s="153">
        <f t="shared" si="0"/>
        <v>0</v>
      </c>
      <c r="O87" s="148"/>
      <c r="R87" s="12"/>
    </row>
    <row r="88" spans="1:18" ht="13.5" hidden="1" customHeight="1" x14ac:dyDescent="0.3">
      <c r="A88" s="290">
        <f t="shared" si="1"/>
        <v>0</v>
      </c>
      <c r="B88" s="4"/>
      <c r="C88" s="4"/>
      <c r="D88" s="140" t="s">
        <v>2044</v>
      </c>
      <c r="E88" s="49" t="str">
        <f>VLOOKUP(D88,'03. Insumos'!A:D,2,0)</f>
        <v>Bomba submersa</v>
      </c>
      <c r="F88" s="52"/>
      <c r="G88" s="52" t="str">
        <f>VLOOKUP(D88,'03. Insumos'!A:F,3,0)</f>
        <v>mês</v>
      </c>
      <c r="H88" s="53">
        <v>1</v>
      </c>
      <c r="I88" s="141"/>
      <c r="J88" s="54">
        <f t="shared" si="14"/>
        <v>230</v>
      </c>
      <c r="K88" s="54">
        <f>IF(A88=0,VLOOKUP(D88,'03. Insumos'!A:F,4,0),"")</f>
        <v>230</v>
      </c>
      <c r="L88" s="274">
        <f>H88*J88*I88</f>
        <v>0</v>
      </c>
      <c r="M88" s="153">
        <f t="shared" si="0"/>
        <v>0</v>
      </c>
      <c r="O88" s="148"/>
      <c r="R88" s="12"/>
    </row>
    <row r="89" spans="1:18" ht="13.5" hidden="1" customHeight="1" x14ac:dyDescent="0.3">
      <c r="A89" s="290">
        <f t="shared" si="1"/>
        <v>0</v>
      </c>
      <c r="B89" s="4"/>
      <c r="C89" s="4"/>
      <c r="D89" s="140" t="s">
        <v>2047</v>
      </c>
      <c r="E89" s="49" t="str">
        <f>VLOOKUP(D89,'03. Insumos'!A:D,2,0)</f>
        <v>Mangote para bomba 20 m</v>
      </c>
      <c r="F89" s="52"/>
      <c r="G89" s="52" t="str">
        <f>VLOOKUP(D89,'03. Insumos'!A:F,3,0)</f>
        <v>mês</v>
      </c>
      <c r="H89" s="53">
        <v>1</v>
      </c>
      <c r="I89" s="141"/>
      <c r="J89" s="54">
        <f t="shared" si="14"/>
        <v>96</v>
      </c>
      <c r="K89" s="54">
        <f>IF(A89=0,VLOOKUP(D89,'03. Insumos'!A:F,4,0),"")</f>
        <v>96</v>
      </c>
      <c r="L89" s="274">
        <f>H89*J89*I89</f>
        <v>0</v>
      </c>
      <c r="M89" s="153">
        <f t="shared" si="0"/>
        <v>0</v>
      </c>
      <c r="O89" s="148"/>
      <c r="R89" s="12"/>
    </row>
    <row r="90" spans="1:18" ht="13.5" hidden="1" customHeight="1" x14ac:dyDescent="0.3">
      <c r="A90" s="290">
        <f t="shared" si="1"/>
        <v>0</v>
      </c>
      <c r="B90" s="4"/>
      <c r="C90" s="4"/>
      <c r="D90" s="140" t="s">
        <v>1988</v>
      </c>
      <c r="E90" s="49" t="str">
        <f>VLOOKUP(D90,'03. Insumos'!A:D,2,0)</f>
        <v>Martelete 10 Kg</v>
      </c>
      <c r="F90" s="52"/>
      <c r="G90" s="52" t="str">
        <f>VLOOKUP(D90,'03. Insumos'!A:F,3,0)</f>
        <v>mês</v>
      </c>
      <c r="H90" s="53">
        <v>1</v>
      </c>
      <c r="I90" s="141"/>
      <c r="J90" s="54">
        <f t="shared" si="14"/>
        <v>490</v>
      </c>
      <c r="K90" s="54">
        <f>IF(A90=0,VLOOKUP(D90,'03. Insumos'!A:F,4,0),"")</f>
        <v>490</v>
      </c>
      <c r="L90" s="274">
        <f t="shared" si="15"/>
        <v>0</v>
      </c>
      <c r="M90" s="153">
        <f t="shared" si="0"/>
        <v>0</v>
      </c>
      <c r="O90" s="148"/>
      <c r="R90" s="12"/>
    </row>
    <row r="91" spans="1:18" ht="13.5" customHeight="1" x14ac:dyDescent="0.3">
      <c r="A91" s="290">
        <f t="shared" si="1"/>
        <v>0</v>
      </c>
      <c r="B91" s="4"/>
      <c r="C91" s="4"/>
      <c r="D91" s="140" t="s">
        <v>411</v>
      </c>
      <c r="E91" s="49" t="str">
        <f>VLOOKUP(D91,'03. Insumos'!A:D,2,0)</f>
        <v>Martelete de 2,5 Kg</v>
      </c>
      <c r="F91" s="52" t="s">
        <v>2612</v>
      </c>
      <c r="G91" s="52" t="str">
        <f>VLOOKUP(D91,'03. Insumos'!A:F,3,0)</f>
        <v>mês</v>
      </c>
      <c r="H91" s="53">
        <v>2</v>
      </c>
      <c r="I91" s="141">
        <v>2</v>
      </c>
      <c r="J91" s="54">
        <f t="shared" si="14"/>
        <v>185</v>
      </c>
      <c r="K91" s="54">
        <f>IF(A91=0,VLOOKUP(D91,'03. Insumos'!A:F,4,0),"")</f>
        <v>185</v>
      </c>
      <c r="L91" s="274">
        <f>H91*J91*I91</f>
        <v>740</v>
      </c>
      <c r="M91" s="153">
        <f t="shared" si="0"/>
        <v>2.0245345442382445E-4</v>
      </c>
      <c r="O91" s="148"/>
      <c r="R91" s="12"/>
    </row>
    <row r="92" spans="1:18" ht="13.5" customHeight="1" x14ac:dyDescent="0.3">
      <c r="A92" s="290">
        <f t="shared" si="1"/>
        <v>0</v>
      </c>
      <c r="B92" s="4"/>
      <c r="C92" s="4"/>
      <c r="D92" s="140" t="s">
        <v>727</v>
      </c>
      <c r="E92" s="49" t="str">
        <f>VLOOKUP(D92,'03. Insumos'!A:D,2,0)</f>
        <v>MARTELETE (SDS PLUS) 220VOLTS BIF</v>
      </c>
      <c r="F92" s="52" t="s">
        <v>2612</v>
      </c>
      <c r="G92" s="52" t="str">
        <f>VLOOKUP(D92,'03. Insumos'!A:F,3,0)</f>
        <v>mês</v>
      </c>
      <c r="H92" s="53">
        <v>1</v>
      </c>
      <c r="I92" s="141">
        <v>2</v>
      </c>
      <c r="J92" s="54">
        <f t="shared" si="14"/>
        <v>125</v>
      </c>
      <c r="K92" s="54">
        <f>IF(A92=0,VLOOKUP(D92,'03. Insumos'!A:F,4,0),"")</f>
        <v>125</v>
      </c>
      <c r="L92" s="274">
        <f>H92*J92*I92</f>
        <v>250</v>
      </c>
      <c r="M92" s="153">
        <f t="shared" si="0"/>
        <v>6.8396437305346097E-5</v>
      </c>
      <c r="O92" s="148"/>
      <c r="R92" s="12"/>
    </row>
    <row r="93" spans="1:18" ht="13.5" hidden="1" customHeight="1" x14ac:dyDescent="0.3">
      <c r="A93" s="290">
        <f t="shared" si="1"/>
        <v>0</v>
      </c>
      <c r="B93" s="4"/>
      <c r="C93" s="4"/>
      <c r="D93" s="140" t="s">
        <v>1990</v>
      </c>
      <c r="E93" s="49" t="str">
        <f>VLOOKUP(D93,'03. Insumos'!A:D,2,0)</f>
        <v>Compressor 185 PCM para 2 marteletes</v>
      </c>
      <c r="F93" s="52"/>
      <c r="G93" s="52" t="str">
        <f>VLOOKUP(D93,'03. Insumos'!A:F,3,0)</f>
        <v>mês</v>
      </c>
      <c r="H93" s="53">
        <v>1</v>
      </c>
      <c r="I93" s="141"/>
      <c r="J93" s="54">
        <f t="shared" si="14"/>
        <v>2100</v>
      </c>
      <c r="K93" s="54">
        <f>IF(A93=0,VLOOKUP(D93,'03. Insumos'!A:F,4,0),"")</f>
        <v>2100</v>
      </c>
      <c r="L93" s="274">
        <f t="shared" si="15"/>
        <v>0</v>
      </c>
      <c r="M93" s="153">
        <f t="shared" si="0"/>
        <v>0</v>
      </c>
      <c r="O93" s="148"/>
      <c r="R93" s="12"/>
    </row>
    <row r="94" spans="1:18" ht="13.5" hidden="1" customHeight="1" x14ac:dyDescent="0.3">
      <c r="A94" s="290">
        <f t="shared" si="1"/>
        <v>0</v>
      </c>
      <c r="B94" s="4"/>
      <c r="C94" s="4"/>
      <c r="D94" s="140" t="s">
        <v>1991</v>
      </c>
      <c r="E94" s="49" t="str">
        <f>VLOOKUP(D94,'03. Insumos'!A:D,2,0)</f>
        <v>Lance de mangueira c/ 20 m</v>
      </c>
      <c r="F94" s="52"/>
      <c r="G94" s="52" t="str">
        <f>VLOOKUP(D94,'03. Insumos'!A:F,3,0)</f>
        <v>mês</v>
      </c>
      <c r="H94" s="53">
        <v>1</v>
      </c>
      <c r="I94" s="141"/>
      <c r="J94" s="54">
        <f t="shared" si="14"/>
        <v>98</v>
      </c>
      <c r="K94" s="54">
        <f>IF(A94=0,VLOOKUP(D94,'03. Insumos'!A:F,4,0),"")</f>
        <v>98</v>
      </c>
      <c r="L94" s="274">
        <f t="shared" si="15"/>
        <v>0</v>
      </c>
      <c r="M94" s="153">
        <f t="shared" si="0"/>
        <v>0</v>
      </c>
      <c r="O94" s="148"/>
      <c r="R94" s="12"/>
    </row>
    <row r="95" spans="1:18" ht="13.5" hidden="1" customHeight="1" x14ac:dyDescent="0.3">
      <c r="A95" s="290">
        <f t="shared" si="1"/>
        <v>0</v>
      </c>
      <c r="B95" s="4"/>
      <c r="C95" s="4"/>
      <c r="D95" s="140" t="s">
        <v>1992</v>
      </c>
      <c r="E95" s="49" t="str">
        <f>VLOOKUP(D95,'03. Insumos'!A:D,2,0)</f>
        <v>Mini escavadeira</v>
      </c>
      <c r="F95" s="52"/>
      <c r="G95" s="52" t="str">
        <f>VLOOKUP(D95,'03. Insumos'!A:F,3,0)</f>
        <v>mês</v>
      </c>
      <c r="H95" s="53">
        <v>1</v>
      </c>
      <c r="I95" s="141"/>
      <c r="J95" s="54">
        <f t="shared" si="14"/>
        <v>24000</v>
      </c>
      <c r="K95" s="54">
        <f>IF(A95=0,VLOOKUP(D95,'03. Insumos'!A:F,4,0),"")</f>
        <v>24000</v>
      </c>
      <c r="L95" s="274">
        <f t="shared" si="15"/>
        <v>0</v>
      </c>
      <c r="M95" s="153">
        <f t="shared" si="0"/>
        <v>0</v>
      </c>
      <c r="O95" s="148"/>
      <c r="R95" s="12"/>
    </row>
    <row r="96" spans="1:18" ht="13.5" hidden="1" customHeight="1" x14ac:dyDescent="0.3">
      <c r="A96" s="290">
        <f t="shared" si="1"/>
        <v>0</v>
      </c>
      <c r="B96" s="4"/>
      <c r="C96" s="4"/>
      <c r="D96" s="140" t="s">
        <v>2043</v>
      </c>
      <c r="E96" s="49" t="str">
        <f>VLOOKUP(D96,'03. Insumos'!A:D,2,0)</f>
        <v>Retroescavadeira com operador</v>
      </c>
      <c r="F96" s="52"/>
      <c r="G96" s="52" t="str">
        <f>VLOOKUP(D96,'03. Insumos'!A:F,3,0)</f>
        <v>mês</v>
      </c>
      <c r="H96" s="53">
        <v>1</v>
      </c>
      <c r="I96" s="141"/>
      <c r="J96" s="54">
        <f t="shared" si="14"/>
        <v>16000</v>
      </c>
      <c r="K96" s="54">
        <f>IF(A96=0,VLOOKUP(D96,'03. Insumos'!A:F,4,0),"")</f>
        <v>16000</v>
      </c>
      <c r="L96" s="274">
        <f>H96*J96*I96</f>
        <v>0</v>
      </c>
      <c r="M96" s="153">
        <f t="shared" si="0"/>
        <v>0</v>
      </c>
      <c r="O96" s="148"/>
      <c r="R96" s="12"/>
    </row>
    <row r="97" spans="1:18" ht="13.5" hidden="1" customHeight="1" x14ac:dyDescent="0.3">
      <c r="A97" s="290">
        <f t="shared" si="1"/>
        <v>0</v>
      </c>
      <c r="B97" s="4"/>
      <c r="C97" s="4"/>
      <c r="D97" s="140" t="s">
        <v>1970</v>
      </c>
      <c r="E97" s="49" t="str">
        <f>VLOOKUP(D97,'03. Insumos'!A:D,2,0)</f>
        <v>Plataforma elevatória de 7 m (tesourinha)</v>
      </c>
      <c r="F97" s="52"/>
      <c r="G97" s="52" t="str">
        <f>VLOOKUP(D97,'03. Insumos'!A:F,3,0)</f>
        <v>mês</v>
      </c>
      <c r="H97" s="53">
        <v>1</v>
      </c>
      <c r="I97" s="141"/>
      <c r="J97" s="54">
        <f t="shared" si="14"/>
        <v>1600</v>
      </c>
      <c r="K97" s="54">
        <f>IF(A97=0,VLOOKUP(D97,'03. Insumos'!A:F,4,0),"")</f>
        <v>1600</v>
      </c>
      <c r="L97" s="274">
        <f>H97*J97*I97</f>
        <v>0</v>
      </c>
      <c r="M97" s="153">
        <f t="shared" si="0"/>
        <v>0</v>
      </c>
      <c r="O97" s="148"/>
      <c r="R97" s="12"/>
    </row>
    <row r="98" spans="1:18" ht="13.5" hidden="1" customHeight="1" x14ac:dyDescent="0.3">
      <c r="A98" s="290">
        <f t="shared" si="1"/>
        <v>0</v>
      </c>
      <c r="B98" s="4"/>
      <c r="C98" s="4"/>
      <c r="D98" s="140" t="s">
        <v>1993</v>
      </c>
      <c r="E98" s="49" t="str">
        <f>VLOOKUP(D98,'03. Insumos'!A:D,2,0)</f>
        <v>Gerador portátil 8 Kva</v>
      </c>
      <c r="F98" s="52"/>
      <c r="G98" s="52" t="str">
        <f>VLOOKUP(D98,'03. Insumos'!A:F,3,0)</f>
        <v>mês</v>
      </c>
      <c r="H98" s="53">
        <v>1</v>
      </c>
      <c r="I98" s="141"/>
      <c r="J98" s="54">
        <f t="shared" si="14"/>
        <v>600</v>
      </c>
      <c r="K98" s="54">
        <f>IF(A98=0,VLOOKUP(D98,'03. Insumos'!A:F,4,0),"")</f>
        <v>600</v>
      </c>
      <c r="L98" s="274">
        <f t="shared" si="15"/>
        <v>0</v>
      </c>
      <c r="M98" s="153">
        <f t="shared" si="0"/>
        <v>0</v>
      </c>
      <c r="O98" s="148"/>
      <c r="R98" s="12"/>
    </row>
    <row r="99" spans="1:18" ht="13.5" hidden="1" customHeight="1" x14ac:dyDescent="0.3">
      <c r="A99" s="290">
        <f t="shared" si="1"/>
        <v>0</v>
      </c>
      <c r="B99" s="4"/>
      <c r="C99" s="4"/>
      <c r="D99" s="140" t="s">
        <v>1994</v>
      </c>
      <c r="E99" s="49" t="str">
        <f>VLOOKUP(D99,'03. Insumos'!A:D,2,0)</f>
        <v>Cortador de piso</v>
      </c>
      <c r="F99" s="52"/>
      <c r="G99" s="52" t="str">
        <f>VLOOKUP(D99,'03. Insumos'!A:F,3,0)</f>
        <v>mês</v>
      </c>
      <c r="H99" s="53">
        <v>1</v>
      </c>
      <c r="I99" s="141"/>
      <c r="J99" s="54">
        <f t="shared" si="14"/>
        <v>350</v>
      </c>
      <c r="K99" s="54">
        <f>IF(A99=0,VLOOKUP(D99,'03. Insumos'!A:F,4,0),"")</f>
        <v>350</v>
      </c>
      <c r="L99" s="274">
        <f t="shared" si="15"/>
        <v>0</v>
      </c>
      <c r="M99" s="153">
        <f t="shared" si="0"/>
        <v>0</v>
      </c>
      <c r="O99" s="148"/>
      <c r="R99" s="12"/>
    </row>
    <row r="100" spans="1:18" ht="13.5" hidden="1" customHeight="1" x14ac:dyDescent="0.3">
      <c r="A100" s="290">
        <f t="shared" si="1"/>
        <v>0</v>
      </c>
      <c r="B100" s="4"/>
      <c r="C100" s="4"/>
      <c r="D100" s="140" t="s">
        <v>1995</v>
      </c>
      <c r="E100" s="49" t="str">
        <f>VLOOKUP(D100,'03. Insumos'!A:D,2,0)</f>
        <v>Disco corte</v>
      </c>
      <c r="F100" s="52"/>
      <c r="G100" s="52" t="str">
        <f>VLOOKUP(D100,'03. Insumos'!A:F,3,0)</f>
        <v>unid</v>
      </c>
      <c r="H100" s="53">
        <v>1</v>
      </c>
      <c r="I100" s="141"/>
      <c r="J100" s="54">
        <f t="shared" si="14"/>
        <v>260</v>
      </c>
      <c r="K100" s="54">
        <f>IF(A100=0,VLOOKUP(D100,'03. Insumos'!A:F,4,0),"")</f>
        <v>260</v>
      </c>
      <c r="L100" s="274">
        <f t="shared" si="15"/>
        <v>0</v>
      </c>
      <c r="M100" s="153">
        <f t="shared" si="0"/>
        <v>0</v>
      </c>
      <c r="O100" s="148"/>
      <c r="R100" s="12"/>
    </row>
    <row r="101" spans="1:18" ht="13.5" customHeight="1" x14ac:dyDescent="0.3">
      <c r="A101" s="290">
        <f t="shared" si="1"/>
        <v>0</v>
      </c>
      <c r="B101" s="4"/>
      <c r="C101" s="4"/>
      <c r="D101" s="140" t="s">
        <v>2014</v>
      </c>
      <c r="E101" s="49" t="str">
        <f>VLOOKUP(D101,'03. Insumos'!A:D,2,0)</f>
        <v>Compactador de solo</v>
      </c>
      <c r="F101" s="52" t="s">
        <v>2612</v>
      </c>
      <c r="G101" s="52" t="str">
        <f>VLOOKUP(D101,'03. Insumos'!A:F,3,0)</f>
        <v>mês</v>
      </c>
      <c r="H101" s="53">
        <v>1</v>
      </c>
      <c r="I101" s="141">
        <v>1</v>
      </c>
      <c r="J101" s="54">
        <f t="shared" si="14"/>
        <v>495</v>
      </c>
      <c r="K101" s="54">
        <f>IF(A101=0,VLOOKUP(D101,'03. Insumos'!A:F,4,0),"")</f>
        <v>495</v>
      </c>
      <c r="L101" s="274">
        <f t="shared" si="15"/>
        <v>495</v>
      </c>
      <c r="M101" s="153">
        <f t="shared" si="0"/>
        <v>1.3542494586458529E-4</v>
      </c>
      <c r="O101" s="148"/>
      <c r="R101" s="12"/>
    </row>
    <row r="102" spans="1:18" ht="13.5" hidden="1" customHeight="1" x14ac:dyDescent="0.3">
      <c r="A102" s="290">
        <f t="shared" si="1"/>
        <v>0</v>
      </c>
      <c r="B102" s="4"/>
      <c r="C102" s="4"/>
      <c r="D102" s="140" t="s">
        <v>2016</v>
      </c>
      <c r="E102" s="49" t="str">
        <f>VLOOKUP(D102,'03. Insumos'!A:D,2,0)</f>
        <v>Giranda com 100 metros</v>
      </c>
      <c r="F102" s="52"/>
      <c r="G102" s="52" t="str">
        <f>VLOOKUP(D102,'03. Insumos'!A:F,3,0)</f>
        <v>unid</v>
      </c>
      <c r="H102" s="53">
        <v>1</v>
      </c>
      <c r="I102" s="141"/>
      <c r="J102" s="54">
        <f t="shared" si="14"/>
        <v>1300</v>
      </c>
      <c r="K102" s="54">
        <f>IF(A102=0,VLOOKUP(D102,'03. Insumos'!A:F,4,0),"")</f>
        <v>1300</v>
      </c>
      <c r="L102" s="274">
        <f t="shared" si="15"/>
        <v>0</v>
      </c>
      <c r="M102" s="153">
        <f t="shared" si="0"/>
        <v>0</v>
      </c>
      <c r="O102" s="148"/>
      <c r="R102" s="12"/>
    </row>
    <row r="103" spans="1:18" ht="13.5" customHeight="1" x14ac:dyDescent="0.3">
      <c r="A103" s="290">
        <f t="shared" si="1"/>
        <v>0</v>
      </c>
      <c r="B103" s="4"/>
      <c r="C103" s="4"/>
      <c r="D103" s="140" t="s">
        <v>729</v>
      </c>
      <c r="E103" s="49" t="str">
        <f>VLOOKUP(D103,'03. Insumos'!A:D,2,0)</f>
        <v>Lixadeira</v>
      </c>
      <c r="F103" s="52" t="s">
        <v>2612</v>
      </c>
      <c r="G103" s="52" t="str">
        <f>VLOOKUP(D103,'03. Insumos'!A:F,3,0)</f>
        <v>mês</v>
      </c>
      <c r="H103" s="53">
        <v>6</v>
      </c>
      <c r="I103" s="141">
        <v>1</v>
      </c>
      <c r="J103" s="54">
        <f t="shared" si="14"/>
        <v>105</v>
      </c>
      <c r="K103" s="54">
        <f>IF(A103=0,VLOOKUP(D103,'03. Insumos'!A:F,4,0),"")</f>
        <v>105</v>
      </c>
      <c r="L103" s="274">
        <f t="shared" si="15"/>
        <v>630</v>
      </c>
      <c r="M103" s="153">
        <f t="shared" si="0"/>
        <v>1.7235902200947217E-4</v>
      </c>
      <c r="O103" s="148"/>
      <c r="R103" s="12"/>
    </row>
    <row r="104" spans="1:18" ht="13.5" hidden="1" customHeight="1" x14ac:dyDescent="0.3">
      <c r="A104" s="290">
        <f t="shared" si="1"/>
        <v>0</v>
      </c>
      <c r="B104" s="4"/>
      <c r="C104" s="4"/>
      <c r="D104" s="140" t="s">
        <v>2177</v>
      </c>
      <c r="E104" s="49" t="str">
        <f>VLOOKUP(D104,'03. Insumos'!A:D,2,0)</f>
        <v>Betoneira</v>
      </c>
      <c r="F104" s="52"/>
      <c r="G104" s="52" t="str">
        <f>VLOOKUP(D104,'03. Insumos'!A:F,3,0)</f>
        <v>mês</v>
      </c>
      <c r="H104" s="53">
        <v>1</v>
      </c>
      <c r="I104" s="141"/>
      <c r="J104" s="54">
        <f t="shared" si="14"/>
        <v>500</v>
      </c>
      <c r="K104" s="54">
        <f>IF(A104=0,VLOOKUP(D104,'03. Insumos'!A:F,4,0),"")</f>
        <v>500</v>
      </c>
      <c r="L104" s="274">
        <f>H104*J104*I104</f>
        <v>0</v>
      </c>
      <c r="M104" s="153">
        <f t="shared" si="0"/>
        <v>0</v>
      </c>
      <c r="O104" s="148"/>
      <c r="R104" s="12"/>
    </row>
    <row r="105" spans="1:18" ht="13.5" customHeight="1" x14ac:dyDescent="0.3">
      <c r="A105" s="290">
        <f t="shared" si="1"/>
        <v>0</v>
      </c>
      <c r="B105" s="4"/>
      <c r="C105" s="4"/>
      <c r="D105" s="140" t="s">
        <v>730</v>
      </c>
      <c r="E105" s="49" t="str">
        <f>VLOOKUP(D105,'03. Insumos'!A:D,2,0)</f>
        <v>Furadeira</v>
      </c>
      <c r="F105" s="52" t="s">
        <v>2612</v>
      </c>
      <c r="G105" s="52" t="str">
        <f>VLOOKUP(D105,'03. Insumos'!A:F,3,0)</f>
        <v>mês</v>
      </c>
      <c r="H105" s="53">
        <v>6</v>
      </c>
      <c r="I105" s="141">
        <v>2</v>
      </c>
      <c r="J105" s="54">
        <f t="shared" si="14"/>
        <v>125</v>
      </c>
      <c r="K105" s="54">
        <f>IF(A105=0,VLOOKUP(D105,'03. Insumos'!A:F,4,0),"")</f>
        <v>125</v>
      </c>
      <c r="L105" s="274">
        <f t="shared" si="15"/>
        <v>1500</v>
      </c>
      <c r="M105" s="153">
        <f t="shared" si="0"/>
        <v>4.1037862383207658E-4</v>
      </c>
      <c r="O105" s="148"/>
      <c r="R105" s="12"/>
    </row>
    <row r="106" spans="1:18" ht="13.5" customHeight="1" x14ac:dyDescent="0.3">
      <c r="A106" s="290">
        <f t="shared" si="1"/>
        <v>0</v>
      </c>
      <c r="B106" s="4"/>
      <c r="C106" s="4"/>
      <c r="D106" s="140" t="s">
        <v>2025</v>
      </c>
      <c r="E106" s="49" t="str">
        <f>VLOOKUP(D106,'03. Insumos'!A:D,2,0)</f>
        <v>Vibrador de concreto de 35 mm com motor</v>
      </c>
      <c r="F106" s="52" t="s">
        <v>2612</v>
      </c>
      <c r="G106" s="52" t="str">
        <f>VLOOKUP(D106,'03. Insumos'!A:F,3,0)</f>
        <v>mês</v>
      </c>
      <c r="H106" s="53">
        <v>1</v>
      </c>
      <c r="I106" s="141">
        <v>1</v>
      </c>
      <c r="J106" s="54">
        <f t="shared" si="14"/>
        <v>160</v>
      </c>
      <c r="K106" s="54">
        <f>IF(A106=0,VLOOKUP(D106,'03. Insumos'!A:F,4,0),"")</f>
        <v>160</v>
      </c>
      <c r="L106" s="274">
        <f>H106*J106*I106</f>
        <v>160</v>
      </c>
      <c r="M106" s="153">
        <f t="shared" si="0"/>
        <v>4.3773719875421503E-5</v>
      </c>
      <c r="O106" s="148"/>
      <c r="R106" s="12"/>
    </row>
    <row r="107" spans="1:18" ht="13.5" hidden="1" customHeight="1" x14ac:dyDescent="0.3">
      <c r="A107" s="290">
        <f t="shared" si="1"/>
        <v>0</v>
      </c>
      <c r="B107" s="4"/>
      <c r="C107" s="4"/>
      <c r="D107" s="140" t="s">
        <v>2027</v>
      </c>
      <c r="E107" s="49" t="str">
        <f>VLOOKUP(D107,'03. Insumos'!A:D,2,0)</f>
        <v>Hidrojato</v>
      </c>
      <c r="F107" s="52"/>
      <c r="G107" s="52" t="str">
        <f>VLOOKUP(D107,'03. Insumos'!A:F,3,0)</f>
        <v>mês</v>
      </c>
      <c r="H107" s="53">
        <v>1</v>
      </c>
      <c r="I107" s="141"/>
      <c r="J107" s="54">
        <f t="shared" si="14"/>
        <v>400</v>
      </c>
      <c r="K107" s="54">
        <f>IF(A107=0,VLOOKUP(D107,'03. Insumos'!A:F,4,0),"")</f>
        <v>400</v>
      </c>
      <c r="L107" s="274">
        <f>H107*J107*I107</f>
        <v>0</v>
      </c>
      <c r="M107" s="153">
        <f t="shared" si="0"/>
        <v>0</v>
      </c>
      <c r="O107" s="148"/>
      <c r="R107" s="12"/>
    </row>
    <row r="108" spans="1:18" ht="13.5" hidden="1" customHeight="1" x14ac:dyDescent="0.3">
      <c r="A108" s="290">
        <f t="shared" si="1"/>
        <v>0</v>
      </c>
      <c r="B108" s="4"/>
      <c r="C108" s="4"/>
      <c r="D108" s="140" t="s">
        <v>2033</v>
      </c>
      <c r="E108" s="49" t="str">
        <f>VLOOKUP(D108,'03. Insumos'!A:D,2,0)</f>
        <v>Caminhão Munck  (com peça para transporte )</v>
      </c>
      <c r="F108" s="52"/>
      <c r="G108" s="52" t="str">
        <f>VLOOKUP(D108,'03. Insumos'!A:F,3,0)</f>
        <v>Diária</v>
      </c>
      <c r="H108" s="53">
        <v>1</v>
      </c>
      <c r="I108" s="141"/>
      <c r="J108" s="54">
        <f t="shared" si="14"/>
        <v>1000</v>
      </c>
      <c r="K108" s="54">
        <f>IF(A108=0,VLOOKUP(D108,'03. Insumos'!A:F,4,0),"")</f>
        <v>1000</v>
      </c>
      <c r="L108" s="274">
        <f>H108*J108*I108</f>
        <v>0</v>
      </c>
      <c r="M108" s="153">
        <f t="shared" si="0"/>
        <v>0</v>
      </c>
      <c r="O108" s="148"/>
      <c r="R108" s="12"/>
    </row>
    <row r="109" spans="1:18" ht="13.5" customHeight="1" x14ac:dyDescent="0.3">
      <c r="A109" s="290">
        <f t="shared" si="1"/>
        <v>0</v>
      </c>
      <c r="B109" s="4"/>
      <c r="C109" s="4"/>
      <c r="D109" s="140" t="s">
        <v>2009</v>
      </c>
      <c r="E109" s="49" t="str">
        <f>VLOOKUP(D109,'03. Insumos'!A:D,2,0)</f>
        <v xml:space="preserve">Frete equipamentos </v>
      </c>
      <c r="F109" s="52" t="s">
        <v>2612</v>
      </c>
      <c r="G109" s="52" t="str">
        <f>VLOOKUP(D109,'03. Insumos'!A:F,3,0)</f>
        <v>vb</v>
      </c>
      <c r="H109" s="53">
        <v>1</v>
      </c>
      <c r="I109" s="141">
        <v>2</v>
      </c>
      <c r="J109" s="54">
        <f t="shared" si="14"/>
        <v>1</v>
      </c>
      <c r="K109" s="54">
        <f>IF(A109=0,VLOOKUP(D109,'03. Insumos'!A:F,4,0),"")</f>
        <v>1</v>
      </c>
      <c r="L109" s="274">
        <f t="shared" si="15"/>
        <v>2</v>
      </c>
      <c r="M109" s="153">
        <f t="shared" si="0"/>
        <v>5.4717149844276877E-7</v>
      </c>
      <c r="O109" s="148"/>
      <c r="R109" s="12"/>
    </row>
    <row r="110" spans="1:18" ht="13.5" hidden="1" customHeight="1" x14ac:dyDescent="0.3">
      <c r="A110" s="290">
        <f t="shared" si="1"/>
        <v>0</v>
      </c>
      <c r="B110" s="4"/>
      <c r="C110" s="4"/>
      <c r="D110" s="140" t="s">
        <v>2012</v>
      </c>
      <c r="E110" s="49" t="str">
        <f>VLOOKUP(D110,'03. Insumos'!A:D,2,0)</f>
        <v>Diesel</v>
      </c>
      <c r="F110" s="52"/>
      <c r="G110" s="52" t="str">
        <f>VLOOKUP(D110,'03. Insumos'!A:F,3,0)</f>
        <v>L</v>
      </c>
      <c r="H110" s="53">
        <v>1</v>
      </c>
      <c r="I110" s="141"/>
      <c r="J110" s="54">
        <f t="shared" si="14"/>
        <v>3.25</v>
      </c>
      <c r="K110" s="54">
        <f>IF(A110=0,VLOOKUP(D110,'03. Insumos'!A:F,4,0),"")</f>
        <v>3.25</v>
      </c>
      <c r="L110" s="274">
        <f t="shared" si="15"/>
        <v>0</v>
      </c>
      <c r="M110" s="153">
        <f t="shared" si="0"/>
        <v>0</v>
      </c>
      <c r="O110" s="148"/>
      <c r="R110" s="12"/>
    </row>
    <row r="111" spans="1:18" ht="13.5" hidden="1" customHeight="1" x14ac:dyDescent="0.3">
      <c r="A111" s="290">
        <f t="shared" si="1"/>
        <v>6</v>
      </c>
      <c r="B111" s="4"/>
      <c r="C111" s="4" t="s">
        <v>1329</v>
      </c>
      <c r="D111" s="4" t="s">
        <v>2003</v>
      </c>
      <c r="E111" s="49"/>
      <c r="F111" s="52"/>
      <c r="G111" s="2"/>
      <c r="H111" s="29"/>
      <c r="I111" s="29"/>
      <c r="J111" s="27"/>
      <c r="K111" s="54" t="str">
        <f>IF(A111=0,VLOOKUP(D111,'03. Insumos'!A:F,4,0),"")</f>
        <v/>
      </c>
      <c r="L111" s="27">
        <f>SUM(L112:L112)</f>
        <v>0</v>
      </c>
      <c r="M111" s="153">
        <f t="shared" si="0"/>
        <v>0</v>
      </c>
      <c r="O111" s="148">
        <f t="shared" ref="O111:O146" si="16">IF(I111&lt;&gt;0,I111*H111*K111,)</f>
        <v>0</v>
      </c>
      <c r="R111" s="12">
        <f>IF(J111&lt;&gt;0,J111/1.03-K111,0)</f>
        <v>0</v>
      </c>
    </row>
    <row r="112" spans="1:18" s="51" customFormat="1" ht="13.5" hidden="1" customHeight="1" x14ac:dyDescent="0.3">
      <c r="A112" s="290">
        <f t="shared" si="1"/>
        <v>0</v>
      </c>
      <c r="B112" s="49"/>
      <c r="C112" s="49"/>
      <c r="D112" s="140" t="s">
        <v>1996</v>
      </c>
      <c r="E112" s="49" t="str">
        <f>VLOOKUP(D112,'03. Insumos'!A:D,2,0)</f>
        <v>Veículo (Kombi, Bongo,etc)</v>
      </c>
      <c r="F112" s="52"/>
      <c r="G112" s="52" t="str">
        <f>VLOOKUP(D112,'03. Insumos'!A:F,3,0)</f>
        <v>mês</v>
      </c>
      <c r="H112" s="53">
        <v>1</v>
      </c>
      <c r="I112" s="141"/>
      <c r="J112" s="54">
        <f>IFERROR(IF(K112&lt;&gt;0,K112*$K$5,0),0)</f>
        <v>8300</v>
      </c>
      <c r="K112" s="54">
        <f>IF(A112=0,VLOOKUP(D112,'03. Insumos'!A:F,4,0),"")</f>
        <v>8300</v>
      </c>
      <c r="L112" s="274">
        <f>H112*J112*I112</f>
        <v>0</v>
      </c>
      <c r="M112" s="153">
        <f t="shared" si="0"/>
        <v>0</v>
      </c>
      <c r="O112" s="148">
        <f t="shared" si="16"/>
        <v>0</v>
      </c>
      <c r="R112" s="12">
        <f>IF(J112&lt;&gt;0,J112/1.03-K112,0)</f>
        <v>-241.74757281553411</v>
      </c>
    </row>
    <row r="113" spans="1:18" s="18" customFormat="1" ht="13.5" customHeight="1" x14ac:dyDescent="0.3">
      <c r="A113" s="290">
        <f t="shared" si="1"/>
        <v>4</v>
      </c>
      <c r="B113" s="45"/>
      <c r="C113" s="45" t="s">
        <v>383</v>
      </c>
      <c r="D113" s="45" t="s">
        <v>48</v>
      </c>
      <c r="E113" s="45"/>
      <c r="F113" s="60"/>
      <c r="G113" s="46"/>
      <c r="H113" s="47"/>
      <c r="I113" s="47"/>
      <c r="J113" s="48"/>
      <c r="K113" s="48" t="str">
        <f>IF(A113=0,VLOOKUP(D113,'03. Insumos'!A:F,4,0),"")</f>
        <v/>
      </c>
      <c r="L113" s="62">
        <f>SUMIF(A114:A122,6,L114:L122)</f>
        <v>7604.3</v>
      </c>
      <c r="M113" s="153">
        <f t="shared" si="0"/>
        <v>2.0804281128041736E-3</v>
      </c>
      <c r="O113" s="148">
        <f t="shared" si="16"/>
        <v>0</v>
      </c>
      <c r="R113" s="12">
        <f>IF(J113&lt;&gt;0,J113/1.03-K113,0)</f>
        <v>0</v>
      </c>
    </row>
    <row r="114" spans="1:18" ht="13.5" customHeight="1" x14ac:dyDescent="0.3">
      <c r="A114" s="290">
        <f t="shared" si="1"/>
        <v>6</v>
      </c>
      <c r="B114" s="4"/>
      <c r="C114" s="4" t="s">
        <v>920</v>
      </c>
      <c r="D114" s="4" t="s">
        <v>49</v>
      </c>
      <c r="E114" s="4"/>
      <c r="F114" s="2"/>
      <c r="G114" s="2"/>
      <c r="H114" s="29"/>
      <c r="I114" s="29"/>
      <c r="J114" s="27"/>
      <c r="K114" s="27" t="str">
        <f>IF(A114=0,VLOOKUP(D114,'03. Insumos'!A:F,4,0),"")</f>
        <v/>
      </c>
      <c r="L114" s="27">
        <f>SUM(L115:L115)</f>
        <v>5600</v>
      </c>
      <c r="M114" s="153">
        <f t="shared" si="0"/>
        <v>1.5320801956397526E-3</v>
      </c>
      <c r="O114" s="148">
        <f t="shared" si="16"/>
        <v>0</v>
      </c>
      <c r="R114" s="12">
        <f>IF(J114&lt;&gt;0,J114/1.03-K114,0)</f>
        <v>0</v>
      </c>
    </row>
    <row r="115" spans="1:18" s="51" customFormat="1" ht="13.5" customHeight="1" x14ac:dyDescent="0.3">
      <c r="A115" s="290">
        <f t="shared" si="1"/>
        <v>0</v>
      </c>
      <c r="B115" s="49"/>
      <c r="C115" s="49"/>
      <c r="D115" s="140" t="s">
        <v>164</v>
      </c>
      <c r="E115" s="49" t="str">
        <f>VLOOKUP(D115,'03. Insumos'!A:D,2,0)</f>
        <v>Diversos materiais de canteiro</v>
      </c>
      <c r="F115" s="52" t="s">
        <v>2612</v>
      </c>
      <c r="G115" s="52" t="str">
        <f>VLOOKUP(D115,'03. Insumos'!A:F,3,0)</f>
        <v>uni</v>
      </c>
      <c r="H115" s="53">
        <v>1</v>
      </c>
      <c r="I115" s="193">
        <f>L2</f>
        <v>8</v>
      </c>
      <c r="J115" s="54">
        <f>IFERROR(IF(K115&lt;&gt;0,K115*$K$5,0),0)</f>
        <v>700</v>
      </c>
      <c r="K115" s="54">
        <v>700</v>
      </c>
      <c r="L115" s="274">
        <f>H115*J115*I115</f>
        <v>5600</v>
      </c>
      <c r="M115" s="153">
        <f t="shared" si="0"/>
        <v>1.5320801956397526E-3</v>
      </c>
      <c r="O115" s="148">
        <f t="shared" si="16"/>
        <v>5600</v>
      </c>
      <c r="R115" s="12">
        <f>IF(J115&lt;&gt;0,J115/1.03-K115,0)</f>
        <v>-20.388349514563174</v>
      </c>
    </row>
    <row r="116" spans="1:18" s="51" customFormat="1" ht="13.5" customHeight="1" x14ac:dyDescent="0.3">
      <c r="A116" s="290">
        <f t="shared" si="1"/>
        <v>6</v>
      </c>
      <c r="B116" s="49"/>
      <c r="C116" s="4" t="s">
        <v>1890</v>
      </c>
      <c r="D116" s="4" t="s">
        <v>1962</v>
      </c>
      <c r="E116" s="49"/>
      <c r="F116" s="52"/>
      <c r="G116" s="52"/>
      <c r="H116" s="53"/>
      <c r="I116" s="282"/>
      <c r="J116" s="54"/>
      <c r="K116" s="54"/>
      <c r="L116" s="27">
        <f>SUM(L117:L120)</f>
        <v>2004.3000000000002</v>
      </c>
      <c r="M116" s="153">
        <f t="shared" si="0"/>
        <v>5.4834791716442083E-4</v>
      </c>
      <c r="O116" s="148"/>
      <c r="R116" s="12"/>
    </row>
    <row r="117" spans="1:18" s="51" customFormat="1" ht="13.5" customHeight="1" x14ac:dyDescent="0.3">
      <c r="A117" s="290">
        <f t="shared" si="1"/>
        <v>0</v>
      </c>
      <c r="B117" s="49"/>
      <c r="C117" s="4"/>
      <c r="D117" s="140" t="s">
        <v>1893</v>
      </c>
      <c r="E117" s="49" t="str">
        <f>VLOOKUP(D117,'03. Insumos'!A:D,2,0)</f>
        <v>Plástico bolha</v>
      </c>
      <c r="F117" s="52" t="s">
        <v>2612</v>
      </c>
      <c r="G117" s="52" t="str">
        <f>VLOOKUP(D117,'03. Insumos'!A:F,3,0)</f>
        <v>rolo</v>
      </c>
      <c r="H117" s="53">
        <v>1</v>
      </c>
      <c r="I117" s="282">
        <v>10</v>
      </c>
      <c r="J117" s="54">
        <f>IFERROR(IF(K117&lt;&gt;0,K117*$K$5,0),0)</f>
        <v>75.930000000000007</v>
      </c>
      <c r="K117" s="54">
        <f>IF(A117=0,VLOOKUP(D117,'03. Insumos'!A:F,4,0),"")</f>
        <v>75.930000000000007</v>
      </c>
      <c r="L117" s="274">
        <f>H117*J117*I117</f>
        <v>759.30000000000007</v>
      </c>
      <c r="M117" s="153">
        <f t="shared" si="0"/>
        <v>2.077336593837972E-4</v>
      </c>
      <c r="O117" s="148"/>
      <c r="R117" s="12"/>
    </row>
    <row r="118" spans="1:18" s="51" customFormat="1" ht="13.5" hidden="1" customHeight="1" x14ac:dyDescent="0.3">
      <c r="A118" s="290">
        <f t="shared" si="1"/>
        <v>0</v>
      </c>
      <c r="B118" s="49"/>
      <c r="C118" s="49"/>
      <c r="D118" s="140" t="s">
        <v>1894</v>
      </c>
      <c r="E118" s="49" t="str">
        <f>VLOOKUP(D118,'03. Insumos'!A:D,2,0)</f>
        <v>Chapa compensando 10 mm (1,1 x 2,2)</v>
      </c>
      <c r="F118" s="52"/>
      <c r="G118" s="52" t="str">
        <f>VLOOKUP(D118,'03. Insumos'!A:F,3,0)</f>
        <v>unid</v>
      </c>
      <c r="H118" s="53">
        <v>1</v>
      </c>
      <c r="I118" s="282"/>
      <c r="J118" s="54">
        <f>IFERROR(IF(K118&lt;&gt;0,K118*$K$5,0),0)</f>
        <v>35.799999999999997</v>
      </c>
      <c r="K118" s="54">
        <f>IF(A118=0,VLOOKUP(D118,'03. Insumos'!A:F,4,0),"")</f>
        <v>35.799999999999997</v>
      </c>
      <c r="L118" s="274">
        <f>H118*J118*I118</f>
        <v>0</v>
      </c>
      <c r="M118" s="153">
        <f t="shared" si="0"/>
        <v>0</v>
      </c>
      <c r="O118" s="148"/>
      <c r="R118" s="12"/>
    </row>
    <row r="119" spans="1:18" s="51" customFormat="1" ht="13.5" hidden="1" customHeight="1" x14ac:dyDescent="0.3">
      <c r="A119" s="290">
        <f t="shared" si="1"/>
        <v>0</v>
      </c>
      <c r="B119" s="49"/>
      <c r="C119" s="49"/>
      <c r="D119" s="140" t="s">
        <v>1965</v>
      </c>
      <c r="E119" s="49" t="str">
        <f>VLOOKUP(D119,'03. Insumos'!A:D,2,0)</f>
        <v>Lycra</v>
      </c>
      <c r="F119" s="52"/>
      <c r="G119" s="52" t="str">
        <f>VLOOKUP(D119,'03. Insumos'!A:F,3,0)</f>
        <v>m²</v>
      </c>
      <c r="H119" s="53">
        <v>1</v>
      </c>
      <c r="I119" s="282"/>
      <c r="J119" s="54">
        <f>IFERROR(IF(K119&lt;&gt;0,K119*$K$5,0),0)</f>
        <v>5.65</v>
      </c>
      <c r="K119" s="54">
        <f>IF(A119=0,VLOOKUP(D119,'03. Insumos'!A:F,4,0),"")</f>
        <v>5.65</v>
      </c>
      <c r="L119" s="274">
        <f>H119*J119*I119</f>
        <v>0</v>
      </c>
      <c r="M119" s="153">
        <f t="shared" si="0"/>
        <v>0</v>
      </c>
      <c r="O119" s="148"/>
      <c r="R119" s="12"/>
    </row>
    <row r="120" spans="1:18" s="51" customFormat="1" ht="13.5" customHeight="1" x14ac:dyDescent="0.3">
      <c r="A120" s="290">
        <f t="shared" si="1"/>
        <v>0</v>
      </c>
      <c r="B120" s="49"/>
      <c r="C120" s="49"/>
      <c r="D120" s="140" t="s">
        <v>2050</v>
      </c>
      <c r="E120" s="49" t="str">
        <f>VLOOKUP(D120,'03. Insumos'!A:D,2,0)</f>
        <v xml:space="preserve">Protetor de Piso 25 metros Salva Piso
</v>
      </c>
      <c r="F120" s="52" t="s">
        <v>2612</v>
      </c>
      <c r="G120" s="52" t="str">
        <f>VLOOKUP(D120,'03. Insumos'!A:F,3,0)</f>
        <v>RL</v>
      </c>
      <c r="H120" s="53">
        <v>1</v>
      </c>
      <c r="I120" s="282">
        <v>10</v>
      </c>
      <c r="J120" s="54">
        <f>IFERROR(IF(K120&lt;&gt;0,K120*$K$5,0),0)</f>
        <v>124.50000000000001</v>
      </c>
      <c r="K120" s="54">
        <f>IF(A120=0,VLOOKUP(D120,'03. Insumos'!A:F,4,0),"")</f>
        <v>124.50000000000001</v>
      </c>
      <c r="L120" s="274">
        <f>H120*J120*I120</f>
        <v>1245.0000000000002</v>
      </c>
      <c r="M120" s="153">
        <f t="shared" si="0"/>
        <v>3.4061425778062366E-4</v>
      </c>
      <c r="O120" s="148"/>
      <c r="R120" s="12"/>
    </row>
    <row r="121" spans="1:18" s="51" customFormat="1" ht="13.5" hidden="1" customHeight="1" x14ac:dyDescent="0.3">
      <c r="A121" s="290">
        <f t="shared" si="1"/>
        <v>6</v>
      </c>
      <c r="B121" s="49"/>
      <c r="C121" s="4" t="s">
        <v>1938</v>
      </c>
      <c r="D121" s="4" t="s">
        <v>1939</v>
      </c>
      <c r="E121" s="49"/>
      <c r="F121" s="52"/>
      <c r="G121" s="52"/>
      <c r="H121" s="53"/>
      <c r="I121" s="282"/>
      <c r="J121" s="54"/>
      <c r="K121" s="54"/>
      <c r="L121" s="27">
        <f>L122</f>
        <v>0</v>
      </c>
      <c r="M121" s="153">
        <f t="shared" si="0"/>
        <v>0</v>
      </c>
      <c r="O121" s="148"/>
      <c r="R121" s="12"/>
    </row>
    <row r="122" spans="1:18" s="51" customFormat="1" ht="13.5" hidden="1" customHeight="1" x14ac:dyDescent="0.3">
      <c r="A122" s="290">
        <f t="shared" si="1"/>
        <v>0</v>
      </c>
      <c r="B122" s="49"/>
      <c r="C122" s="49"/>
      <c r="D122" s="140" t="s">
        <v>1937</v>
      </c>
      <c r="E122" s="49" t="str">
        <f>VLOOKUP(D122,'03. Insumos'!A:D,2,0)</f>
        <v>Furos no concreto</v>
      </c>
      <c r="F122" s="52"/>
      <c r="G122" s="52" t="str">
        <f>VLOOKUP(D122,'03. Insumos'!A:F,3,0)</f>
        <v>Unid</v>
      </c>
      <c r="H122" s="53">
        <v>1</v>
      </c>
      <c r="I122" s="282"/>
      <c r="J122" s="54">
        <f>IFERROR(IF(K122&lt;&gt;0,K122*$K$5,0),0)</f>
        <v>140</v>
      </c>
      <c r="K122" s="54">
        <f>IF(A122=0,VLOOKUP(D122,'03. Insumos'!A:F,4,0),"")</f>
        <v>140</v>
      </c>
      <c r="L122" s="274">
        <f>H122*J122*I122</f>
        <v>0</v>
      </c>
      <c r="M122" s="153">
        <f t="shared" si="0"/>
        <v>0</v>
      </c>
      <c r="O122" s="148"/>
      <c r="R122" s="12"/>
    </row>
    <row r="123" spans="1:18" s="18" customFormat="1" ht="13.5" customHeight="1" x14ac:dyDescent="0.3">
      <c r="A123" s="290">
        <f t="shared" si="1"/>
        <v>4</v>
      </c>
      <c r="B123" s="45"/>
      <c r="C123" s="45" t="s">
        <v>384</v>
      </c>
      <c r="D123" s="45" t="s">
        <v>1294</v>
      </c>
      <c r="E123" s="45"/>
      <c r="F123" s="60"/>
      <c r="G123" s="60"/>
      <c r="H123" s="61"/>
      <c r="I123" s="61"/>
      <c r="J123" s="62"/>
      <c r="K123" s="62" t="str">
        <f>IF(A123=0,VLOOKUP(D123,'03. Insumos'!A:F,4,0),"")</f>
        <v/>
      </c>
      <c r="L123" s="62">
        <f>SUMIF(A124:A137,6,L124:L137)</f>
        <v>3103.52</v>
      </c>
      <c r="M123" s="153">
        <f t="shared" si="0"/>
        <v>8.490788444235509E-4</v>
      </c>
      <c r="O123" s="148">
        <f t="shared" si="16"/>
        <v>0</v>
      </c>
      <c r="R123" s="12">
        <f>IF(J123&lt;&gt;0,J123/1.03-K123,0)</f>
        <v>0</v>
      </c>
    </row>
    <row r="124" spans="1:18" ht="13.5" customHeight="1" x14ac:dyDescent="0.3">
      <c r="A124" s="290">
        <f t="shared" si="1"/>
        <v>6</v>
      </c>
      <c r="B124" s="4"/>
      <c r="C124" s="4" t="s">
        <v>921</v>
      </c>
      <c r="D124" s="4" t="s">
        <v>2056</v>
      </c>
      <c r="E124" s="4"/>
      <c r="F124" s="2"/>
      <c r="G124" s="2"/>
      <c r="H124" s="29"/>
      <c r="I124" s="29"/>
      <c r="J124" s="27"/>
      <c r="K124" s="27" t="str">
        <f>IF(A124=0,VLOOKUP(D124,'03. Insumos'!A:F,4,0),"")</f>
        <v/>
      </c>
      <c r="L124" s="27">
        <f>SUM(L125:L137)</f>
        <v>3103.52</v>
      </c>
      <c r="M124" s="153">
        <f t="shared" si="0"/>
        <v>8.490788444235509E-4</v>
      </c>
      <c r="O124" s="148">
        <f t="shared" si="16"/>
        <v>0</v>
      </c>
      <c r="R124" s="12">
        <f>IF(J124&lt;&gt;0,J124/1.03-K124,0)</f>
        <v>0</v>
      </c>
    </row>
    <row r="125" spans="1:18" ht="13.5" hidden="1" customHeight="1" x14ac:dyDescent="0.3">
      <c r="A125" s="290">
        <f t="shared" si="1"/>
        <v>0</v>
      </c>
      <c r="B125" s="4"/>
      <c r="C125" s="4"/>
      <c r="D125" s="140" t="s">
        <v>2054</v>
      </c>
      <c r="E125" s="49" t="str">
        <f>VLOOKUP(D125,'03. Insumos'!A:D,2,0)</f>
        <v>Locação andaime fachadeiro</v>
      </c>
      <c r="F125" s="52"/>
      <c r="G125" s="52" t="str">
        <f>VLOOKUP(D125,'03. Insumos'!A:F,3,0)</f>
        <v>m²</v>
      </c>
      <c r="H125" s="53">
        <v>3</v>
      </c>
      <c r="I125" s="141"/>
      <c r="J125" s="54">
        <f t="shared" ref="J125:J137" si="17">IFERROR(IF(K125&lt;&gt;0,K125*$K$5,0),0)</f>
        <v>3.5</v>
      </c>
      <c r="K125" s="54">
        <f>IF(A125=0,VLOOKUP(D125,'03. Insumos'!A:F,4,0),"")</f>
        <v>3.5</v>
      </c>
      <c r="L125" s="274">
        <f t="shared" ref="L125:L136" si="18">H125*J125*I125</f>
        <v>0</v>
      </c>
      <c r="M125" s="153">
        <f t="shared" si="0"/>
        <v>0</v>
      </c>
      <c r="O125" s="148"/>
      <c r="R125" s="12"/>
    </row>
    <row r="126" spans="1:18" ht="13.5" hidden="1" customHeight="1" x14ac:dyDescent="0.3">
      <c r="A126" s="290">
        <f t="shared" si="1"/>
        <v>0</v>
      </c>
      <c r="B126" s="4"/>
      <c r="C126" s="4"/>
      <c r="D126" s="140" t="s">
        <v>2055</v>
      </c>
      <c r="E126" s="49" t="str">
        <f>VLOOKUP(D126,'03. Insumos'!A:D,2,0)</f>
        <v>Mão de obra para montagem e desmontagem de andaime fachadeiro</v>
      </c>
      <c r="F126" s="52"/>
      <c r="G126" s="52" t="str">
        <f>VLOOKUP(D126,'03. Insumos'!A:F,3,0)</f>
        <v>m²</v>
      </c>
      <c r="H126" s="53">
        <v>1</v>
      </c>
      <c r="I126" s="141"/>
      <c r="J126" s="54">
        <f t="shared" si="17"/>
        <v>18</v>
      </c>
      <c r="K126" s="54">
        <f>IF(A126=0,VLOOKUP(D126,'03. Insumos'!A:F,4,0),"")</f>
        <v>18</v>
      </c>
      <c r="L126" s="274">
        <f t="shared" si="18"/>
        <v>0</v>
      </c>
      <c r="M126" s="153">
        <f t="shared" si="0"/>
        <v>0</v>
      </c>
      <c r="O126" s="148"/>
      <c r="R126" s="12"/>
    </row>
    <row r="127" spans="1:18" ht="13.5" customHeight="1" x14ac:dyDescent="0.3">
      <c r="A127" s="290">
        <f t="shared" si="1"/>
        <v>0</v>
      </c>
      <c r="B127" s="4"/>
      <c r="C127" s="4"/>
      <c r="D127" s="140" t="s">
        <v>2057</v>
      </c>
      <c r="E127" s="49" t="str">
        <f>VLOOKUP(D127,'03. Insumos'!A:D,2,0)</f>
        <v>Locação torre de andaime com  2 m de altura com rodízio</v>
      </c>
      <c r="F127" s="52" t="s">
        <v>2612</v>
      </c>
      <c r="G127" s="52" t="str">
        <f>VLOOKUP(D127,'03. Insumos'!A:F,3,0)</f>
        <v>mês</v>
      </c>
      <c r="H127" s="53">
        <v>6</v>
      </c>
      <c r="I127" s="141">
        <v>2</v>
      </c>
      <c r="J127" s="54">
        <f t="shared" si="17"/>
        <v>115.52</v>
      </c>
      <c r="K127" s="54">
        <f>IF(A127=0,VLOOKUP(D127,'03. Insumos'!A:F,4,0),"")</f>
        <v>115.52</v>
      </c>
      <c r="L127" s="274">
        <f t="shared" si="18"/>
        <v>1386.24</v>
      </c>
      <c r="M127" s="153">
        <f t="shared" si="0"/>
        <v>3.792555090006519E-4</v>
      </c>
      <c r="O127" s="148"/>
      <c r="R127" s="12"/>
    </row>
    <row r="128" spans="1:18" s="51" customFormat="1" ht="13.5" customHeight="1" x14ac:dyDescent="0.3">
      <c r="A128" s="290">
        <f t="shared" si="1"/>
        <v>0</v>
      </c>
      <c r="B128" s="49"/>
      <c r="C128" s="49"/>
      <c r="D128" s="140" t="s">
        <v>1920</v>
      </c>
      <c r="E128" s="49" t="str">
        <f>VLOOKUP(D128,'03. Insumos'!A:D,2,0)</f>
        <v>Locação Andaime com rodízio, 6 m de altura</v>
      </c>
      <c r="F128" s="52" t="s">
        <v>2612</v>
      </c>
      <c r="G128" s="52" t="str">
        <f>VLOOKUP(D128,'03. Insumos'!A:F,3,0)</f>
        <v>unid</v>
      </c>
      <c r="H128" s="53">
        <v>4</v>
      </c>
      <c r="I128" s="141">
        <v>2</v>
      </c>
      <c r="J128" s="54">
        <f t="shared" si="17"/>
        <v>164.66</v>
      </c>
      <c r="K128" s="54">
        <f>IF(A128=0,VLOOKUP(D128,'03. Insumos'!A:F,4,0),"")</f>
        <v>164.66</v>
      </c>
      <c r="L128" s="274">
        <f t="shared" si="18"/>
        <v>1317.28</v>
      </c>
      <c r="M128" s="153">
        <f t="shared" si="0"/>
        <v>3.6038903573434525E-4</v>
      </c>
      <c r="O128" s="148">
        <f t="shared" si="16"/>
        <v>1317.28</v>
      </c>
      <c r="R128" s="12">
        <f>IF(J128&lt;&gt;0,J128/1.03-K128,0)</f>
        <v>-4.7959223300970848</v>
      </c>
    </row>
    <row r="129" spans="1:18" s="51" customFormat="1" ht="13.5" hidden="1" customHeight="1" x14ac:dyDescent="0.3">
      <c r="A129" s="290">
        <f t="shared" si="1"/>
        <v>0</v>
      </c>
      <c r="B129" s="49"/>
      <c r="C129" s="49"/>
      <c r="D129" s="140" t="s">
        <v>2266</v>
      </c>
      <c r="E129" s="49" t="str">
        <f>VLOOKUP(D129,'03. Insumos'!A:D,2,0)</f>
        <v>Locação de escoras metálicas para até 750 Kg</v>
      </c>
      <c r="F129" s="52"/>
      <c r="G129" s="52" t="str">
        <f>VLOOKUP(D129,'03. Insumos'!A:F,3,0)</f>
        <v>Unid/mês</v>
      </c>
      <c r="H129" s="53">
        <v>1</v>
      </c>
      <c r="I129" s="141"/>
      <c r="J129" s="54">
        <f t="shared" si="17"/>
        <v>13</v>
      </c>
      <c r="K129" s="54">
        <f>IF(A129=0,VLOOKUP(D129,'03. Insumos'!A:F,4,0),"")</f>
        <v>13</v>
      </c>
      <c r="L129" s="274">
        <f t="shared" si="18"/>
        <v>0</v>
      </c>
      <c r="M129" s="153">
        <f t="shared" si="0"/>
        <v>0</v>
      </c>
      <c r="O129" s="148"/>
      <c r="R129" s="12"/>
    </row>
    <row r="130" spans="1:18" s="51" customFormat="1" ht="13.5" hidden="1" customHeight="1" x14ac:dyDescent="0.3">
      <c r="A130" s="290">
        <f t="shared" si="1"/>
        <v>0</v>
      </c>
      <c r="B130" s="49"/>
      <c r="C130" s="49"/>
      <c r="D130" s="140" t="s">
        <v>1923</v>
      </c>
      <c r="E130" s="49" t="str">
        <f>VLOOKUP(D130,'03. Insumos'!A:D,2,0)</f>
        <v xml:space="preserve">Locação conjunto de cadeira suspensa </v>
      </c>
      <c r="F130" s="52"/>
      <c r="G130" s="52" t="str">
        <f>VLOOKUP(D130,'03. Insumos'!A:F,3,0)</f>
        <v>unid</v>
      </c>
      <c r="H130" s="53">
        <v>1</v>
      </c>
      <c r="I130" s="141"/>
      <c r="J130" s="54">
        <f t="shared" si="17"/>
        <v>190</v>
      </c>
      <c r="K130" s="54">
        <f>IF(A130=0,VLOOKUP(D130,'03. Insumos'!A:F,4,0),"")</f>
        <v>190</v>
      </c>
      <c r="L130" s="274">
        <f t="shared" si="18"/>
        <v>0</v>
      </c>
      <c r="M130" s="153">
        <f t="shared" si="0"/>
        <v>0</v>
      </c>
      <c r="O130" s="148">
        <f t="shared" si="16"/>
        <v>0</v>
      </c>
      <c r="R130" s="12">
        <f>IF(J130&lt;&gt;0,J130/1.03-K130,0)</f>
        <v>-5.5339805825242649</v>
      </c>
    </row>
    <row r="131" spans="1:18" s="51" customFormat="1" ht="13.5" hidden="1" customHeight="1" x14ac:dyDescent="0.3">
      <c r="A131" s="290">
        <f t="shared" si="1"/>
        <v>0</v>
      </c>
      <c r="B131" s="49"/>
      <c r="C131" s="49"/>
      <c r="D131" s="140" t="s">
        <v>1925</v>
      </c>
      <c r="E131" s="49" t="str">
        <f>VLOOKUP(D131,'03. Insumos'!A:D,2,0)</f>
        <v>Montagem e desmontagem conjunto cadeira suspensa</v>
      </c>
      <c r="F131" s="52"/>
      <c r="G131" s="52" t="str">
        <f>VLOOKUP(D131,'03. Insumos'!A:F,3,0)</f>
        <v>unid</v>
      </c>
      <c r="H131" s="53">
        <v>1</v>
      </c>
      <c r="I131" s="141"/>
      <c r="J131" s="54">
        <f t="shared" si="17"/>
        <v>950</v>
      </c>
      <c r="K131" s="54">
        <f>IF(A131=0,VLOOKUP(D131,'03. Insumos'!A:F,4,0),"")</f>
        <v>950</v>
      </c>
      <c r="L131" s="274">
        <f t="shared" si="18"/>
        <v>0</v>
      </c>
      <c r="M131" s="153">
        <f t="shared" si="0"/>
        <v>0</v>
      </c>
      <c r="O131" s="148"/>
      <c r="R131" s="12"/>
    </row>
    <row r="132" spans="1:18" s="51" customFormat="1" ht="13.5" hidden="1" customHeight="1" x14ac:dyDescent="0.3">
      <c r="A132" s="290">
        <f t="shared" si="1"/>
        <v>0</v>
      </c>
      <c r="B132" s="49"/>
      <c r="C132" s="49"/>
      <c r="D132" s="140" t="s">
        <v>1948</v>
      </c>
      <c r="E132" s="49" t="str">
        <f>VLOOKUP(D132,'03. Insumos'!A:D,2,0)</f>
        <v>Locação andaime de 8 m extensão com balanço</v>
      </c>
      <c r="F132" s="52"/>
      <c r="G132" s="52" t="str">
        <f>VLOOKUP(D132,'03. Insumos'!A:F,3,0)</f>
        <v>unid</v>
      </c>
      <c r="H132" s="53">
        <v>1</v>
      </c>
      <c r="I132" s="141"/>
      <c r="J132" s="54">
        <f t="shared" si="17"/>
        <v>680</v>
      </c>
      <c r="K132" s="54">
        <f>IF(A132=0,VLOOKUP(D132,'03. Insumos'!A:F,4,0),"")</f>
        <v>680</v>
      </c>
      <c r="L132" s="274">
        <f>H132*J132*I132</f>
        <v>0</v>
      </c>
      <c r="M132" s="153">
        <f t="shared" si="0"/>
        <v>0</v>
      </c>
      <c r="O132" s="148"/>
      <c r="R132" s="12"/>
    </row>
    <row r="133" spans="1:18" s="51" customFormat="1" ht="13.5" hidden="1" customHeight="1" x14ac:dyDescent="0.3">
      <c r="A133" s="290">
        <f t="shared" si="1"/>
        <v>0</v>
      </c>
      <c r="B133" s="49"/>
      <c r="C133" s="49"/>
      <c r="D133" s="140" t="s">
        <v>1950</v>
      </c>
      <c r="E133" s="49" t="str">
        <f>VLOOKUP(D133,'03. Insumos'!A:D,2,0)</f>
        <v>Montagem e desmontagem de andaime de 8 m de extensão com balanço</v>
      </c>
      <c r="F133" s="52"/>
      <c r="G133" s="52" t="str">
        <f>VLOOKUP(D133,'03. Insumos'!A:F,3,0)</f>
        <v>unid</v>
      </c>
      <c r="H133" s="53">
        <v>1</v>
      </c>
      <c r="I133" s="141"/>
      <c r="J133" s="54">
        <f t="shared" si="17"/>
        <v>9986.4</v>
      </c>
      <c r="K133" s="54">
        <f>IF(A133=0,VLOOKUP(D133,'03. Insumos'!A:F,4,0),"")</f>
        <v>9986.4</v>
      </c>
      <c r="L133" s="274">
        <f>H133*J133*I133</f>
        <v>0</v>
      </c>
      <c r="M133" s="153">
        <f t="shared" si="0"/>
        <v>0</v>
      </c>
      <c r="O133" s="148"/>
      <c r="R133" s="12"/>
    </row>
    <row r="134" spans="1:18" s="51" customFormat="1" ht="13.5" hidden="1" customHeight="1" x14ac:dyDescent="0.3">
      <c r="A134" s="290">
        <f t="shared" si="1"/>
        <v>0</v>
      </c>
      <c r="B134" s="49"/>
      <c r="C134" s="49"/>
      <c r="D134" s="140" t="s">
        <v>1926</v>
      </c>
      <c r="E134" s="49" t="str">
        <f>VLOOKUP(D134,'03. Insumos'!A:D,2,0)</f>
        <v>Locação balancim elétrico de 8 m</v>
      </c>
      <c r="F134" s="52"/>
      <c r="G134" s="52" t="str">
        <f>VLOOKUP(D134,'03. Insumos'!A:F,3,0)</f>
        <v>unid</v>
      </c>
      <c r="H134" s="53">
        <v>1</v>
      </c>
      <c r="I134" s="141"/>
      <c r="J134" s="54">
        <f t="shared" si="17"/>
        <v>850</v>
      </c>
      <c r="K134" s="54">
        <f>IF(A134=0,VLOOKUP(D134,'03. Insumos'!A:F,4,0),"")</f>
        <v>850</v>
      </c>
      <c r="L134" s="274">
        <f t="shared" si="18"/>
        <v>0</v>
      </c>
      <c r="M134" s="153">
        <f t="shared" si="0"/>
        <v>0</v>
      </c>
      <c r="O134" s="148"/>
      <c r="R134" s="12"/>
    </row>
    <row r="135" spans="1:18" s="51" customFormat="1" ht="13.5" hidden="1" customHeight="1" x14ac:dyDescent="0.3">
      <c r="A135" s="290">
        <f t="shared" si="1"/>
        <v>0</v>
      </c>
      <c r="B135" s="49"/>
      <c r="C135" s="49"/>
      <c r="D135" s="140" t="s">
        <v>1927</v>
      </c>
      <c r="E135" s="49" t="str">
        <f>VLOOKUP(D135,'03. Insumos'!A:D,2,0)</f>
        <v>Locação torre auxiliar para fixação balancim elétrico  com contrapeso</v>
      </c>
      <c r="F135" s="52"/>
      <c r="G135" s="52" t="str">
        <f>VLOOKUP(D135,'03. Insumos'!A:F,3,0)</f>
        <v>unid</v>
      </c>
      <c r="H135" s="53">
        <v>1</v>
      </c>
      <c r="I135" s="141"/>
      <c r="J135" s="54">
        <f t="shared" si="17"/>
        <v>610</v>
      </c>
      <c r="K135" s="54">
        <f>IF(A135=0,VLOOKUP(D135,'03. Insumos'!A:F,4,0),"")</f>
        <v>610</v>
      </c>
      <c r="L135" s="274">
        <f>H135*J135*I135</f>
        <v>0</v>
      </c>
      <c r="M135" s="153">
        <f t="shared" si="0"/>
        <v>0</v>
      </c>
      <c r="O135" s="148"/>
      <c r="R135" s="12"/>
    </row>
    <row r="136" spans="1:18" s="51" customFormat="1" ht="13.5" hidden="1" customHeight="1" x14ac:dyDescent="0.3">
      <c r="A136" s="290">
        <f t="shared" si="1"/>
        <v>0</v>
      </c>
      <c r="B136" s="49"/>
      <c r="C136" s="49"/>
      <c r="D136" s="140" t="s">
        <v>1931</v>
      </c>
      <c r="E136" s="49" t="str">
        <f>VLOOKUP(D136,'03. Insumos'!A:D,2,0)</f>
        <v>Montagem e desmontagem de balancim elétrico fixado em torre auxiliar com contrapeso</v>
      </c>
      <c r="F136" s="52"/>
      <c r="G136" s="52" t="str">
        <f>VLOOKUP(D136,'03. Insumos'!A:F,3,0)</f>
        <v>unid</v>
      </c>
      <c r="H136" s="53">
        <v>1</v>
      </c>
      <c r="I136" s="141"/>
      <c r="J136" s="54">
        <f t="shared" si="17"/>
        <v>2700</v>
      </c>
      <c r="K136" s="54">
        <f>IF(A136=0,VLOOKUP(D136,'03. Insumos'!A:F,4,0),"")</f>
        <v>2700</v>
      </c>
      <c r="L136" s="274">
        <f t="shared" si="18"/>
        <v>0</v>
      </c>
      <c r="M136" s="153">
        <f t="shared" si="0"/>
        <v>0</v>
      </c>
      <c r="O136" s="148"/>
      <c r="R136" s="12"/>
    </row>
    <row r="137" spans="1:18" s="51" customFormat="1" ht="13.5" customHeight="1" x14ac:dyDescent="0.3">
      <c r="A137" s="290">
        <f t="shared" si="1"/>
        <v>0</v>
      </c>
      <c r="B137" s="49"/>
      <c r="C137" s="49"/>
      <c r="D137" s="140" t="s">
        <v>1933</v>
      </c>
      <c r="E137" s="49" t="str">
        <f>VLOOKUP(D137,'03. Insumos'!A:D,2,0)</f>
        <v>Frete equipamentos de acesso</v>
      </c>
      <c r="F137" s="52" t="s">
        <v>2612</v>
      </c>
      <c r="G137" s="52" t="str">
        <f>VLOOKUP(D137,'03. Insumos'!A:F,3,0)</f>
        <v>vb</v>
      </c>
      <c r="H137" s="53">
        <v>1</v>
      </c>
      <c r="I137" s="141">
        <v>4</v>
      </c>
      <c r="J137" s="54">
        <f t="shared" si="17"/>
        <v>100</v>
      </c>
      <c r="K137" s="54">
        <f>IF(A137=0,VLOOKUP(D137,'03. Insumos'!A:F,4,0),"")</f>
        <v>100</v>
      </c>
      <c r="L137" s="274">
        <f>H137*J137*I137</f>
        <v>400</v>
      </c>
      <c r="M137" s="153">
        <f t="shared" si="0"/>
        <v>1.0943429968855375E-4</v>
      </c>
      <c r="O137" s="148">
        <f t="shared" si="16"/>
        <v>400</v>
      </c>
      <c r="R137" s="12">
        <f t="shared" ref="R137:R148" si="19">IF(J137&lt;&gt;0,J137/1.03-K137,0)</f>
        <v>-2.9126213592233086</v>
      </c>
    </row>
    <row r="138" spans="1:18" s="18" customFormat="1" ht="13.5" customHeight="1" x14ac:dyDescent="0.3">
      <c r="A138" s="290">
        <f t="shared" si="1"/>
        <v>3</v>
      </c>
      <c r="B138" s="35"/>
      <c r="C138" s="35" t="s">
        <v>357</v>
      </c>
      <c r="D138" s="35" t="s">
        <v>993</v>
      </c>
      <c r="E138" s="35"/>
      <c r="F138" s="36"/>
      <c r="G138" s="36"/>
      <c r="H138" s="37"/>
      <c r="I138" s="37"/>
      <c r="J138" s="38"/>
      <c r="K138" s="38"/>
      <c r="L138" s="38">
        <f>SUMIF(A139:A151,4,L139:L151)</f>
        <v>126504</v>
      </c>
      <c r="M138" s="153">
        <f t="shared" si="0"/>
        <v>3.460969161950201E-2</v>
      </c>
      <c r="O138" s="148">
        <f t="shared" si="16"/>
        <v>0</v>
      </c>
      <c r="R138" s="12">
        <f t="shared" si="19"/>
        <v>0</v>
      </c>
    </row>
    <row r="139" spans="1:18" s="18" customFormat="1" ht="5.25" customHeight="1" x14ac:dyDescent="0.3">
      <c r="A139" s="290">
        <f t="shared" si="1"/>
        <v>0</v>
      </c>
      <c r="B139" s="63"/>
      <c r="C139" s="63"/>
      <c r="D139" s="63"/>
      <c r="E139" s="63"/>
      <c r="F139" s="64"/>
      <c r="G139" s="64"/>
      <c r="H139" s="65"/>
      <c r="I139" s="65"/>
      <c r="J139" s="66">
        <f>IFERROR(IF(K139&lt;&gt;0,K139*$K$5,0),0)</f>
        <v>0</v>
      </c>
      <c r="K139" s="66" t="e">
        <f>IF(A139=0,VLOOKUP(D139,'03. Insumos'!A:F,4,0),"")</f>
        <v>#N/A</v>
      </c>
      <c r="L139" s="66"/>
      <c r="M139" s="153">
        <f t="shared" si="0"/>
        <v>0</v>
      </c>
      <c r="O139" s="148">
        <f t="shared" si="16"/>
        <v>0</v>
      </c>
      <c r="R139" s="12">
        <f t="shared" si="19"/>
        <v>0</v>
      </c>
    </row>
    <row r="140" spans="1:18" s="18" customFormat="1" ht="13.5" customHeight="1" x14ac:dyDescent="0.3">
      <c r="A140" s="290">
        <f t="shared" si="1"/>
        <v>4</v>
      </c>
      <c r="B140" s="45"/>
      <c r="C140" s="45" t="s">
        <v>381</v>
      </c>
      <c r="D140" s="45" t="s">
        <v>994</v>
      </c>
      <c r="E140" s="45"/>
      <c r="F140" s="60"/>
      <c r="G140" s="46"/>
      <c r="H140" s="47"/>
      <c r="I140" s="47"/>
      <c r="J140" s="48"/>
      <c r="K140" s="48" t="str">
        <f>IF(A140=0,VLOOKUP(D140,'03. Insumos'!A:F,4,0),"")</f>
        <v/>
      </c>
      <c r="L140" s="62">
        <f>SUMIF(A141:A142,6,L141:L142)</f>
        <v>118650</v>
      </c>
      <c r="M140" s="153">
        <f t="shared" si="0"/>
        <v>3.2460949145117261E-2</v>
      </c>
      <c r="O140" s="148">
        <f t="shared" si="16"/>
        <v>0</v>
      </c>
      <c r="R140" s="12">
        <f t="shared" si="19"/>
        <v>0</v>
      </c>
    </row>
    <row r="141" spans="1:18" ht="13.5" customHeight="1" x14ac:dyDescent="0.3">
      <c r="A141" s="290">
        <f t="shared" si="1"/>
        <v>6</v>
      </c>
      <c r="B141" s="4"/>
      <c r="C141" s="4" t="s">
        <v>922</v>
      </c>
      <c r="D141" s="4" t="s">
        <v>994</v>
      </c>
      <c r="E141" s="4"/>
      <c r="F141" s="2"/>
      <c r="G141" s="2"/>
      <c r="H141" s="29"/>
      <c r="I141" s="29"/>
      <c r="J141" s="27"/>
      <c r="K141" s="27" t="str">
        <f>IF(A141=0,VLOOKUP(D141,'03. Insumos'!A:F,4,0),"")</f>
        <v/>
      </c>
      <c r="L141" s="27">
        <f>SUM(L142)</f>
        <v>118650</v>
      </c>
      <c r="M141" s="153">
        <f t="shared" si="0"/>
        <v>3.2460949145117261E-2</v>
      </c>
      <c r="O141" s="148">
        <f t="shared" si="16"/>
        <v>0</v>
      </c>
      <c r="R141" s="12">
        <f t="shared" si="19"/>
        <v>0</v>
      </c>
    </row>
    <row r="142" spans="1:18" s="51" customFormat="1" ht="13.5" customHeight="1" x14ac:dyDescent="0.3">
      <c r="A142" s="290">
        <f t="shared" si="1"/>
        <v>0</v>
      </c>
      <c r="B142" s="49"/>
      <c r="C142" s="49"/>
      <c r="D142" s="49"/>
      <c r="E142" s="49" t="s">
        <v>992</v>
      </c>
      <c r="F142" s="52" t="s">
        <v>2607</v>
      </c>
      <c r="G142" s="52" t="s">
        <v>29</v>
      </c>
      <c r="H142" s="53">
        <v>1</v>
      </c>
      <c r="I142" s="141">
        <v>1</v>
      </c>
      <c r="J142" s="54">
        <f>IFERROR(IF(K142&lt;&gt;0,K142*$K$5,0),0)</f>
        <v>118650</v>
      </c>
      <c r="K142" s="54">
        <f>('05. Histograma MO'!J21)</f>
        <v>118650</v>
      </c>
      <c r="L142" s="274">
        <f>H142*J142*I142</f>
        <v>118650</v>
      </c>
      <c r="M142" s="153">
        <f t="shared" si="0"/>
        <v>3.2460949145117261E-2</v>
      </c>
      <c r="O142" s="148">
        <f t="shared" si="16"/>
        <v>118650</v>
      </c>
      <c r="R142" s="12">
        <f t="shared" si="19"/>
        <v>-3455.8252427184489</v>
      </c>
    </row>
    <row r="143" spans="1:18" s="18" customFormat="1" ht="13.5" customHeight="1" x14ac:dyDescent="0.3">
      <c r="A143" s="290">
        <f t="shared" si="1"/>
        <v>4</v>
      </c>
      <c r="B143" s="45"/>
      <c r="C143" s="45" t="s">
        <v>54</v>
      </c>
      <c r="D143" s="45" t="s">
        <v>55</v>
      </c>
      <c r="E143" s="45"/>
      <c r="F143" s="60"/>
      <c r="G143" s="46"/>
      <c r="H143" s="47"/>
      <c r="I143" s="47"/>
      <c r="J143" s="48"/>
      <c r="K143" s="48"/>
      <c r="L143" s="62">
        <f>SUMIF(A144:A145,6,L144:L145)</f>
        <v>7854</v>
      </c>
      <c r="M143" s="153">
        <f t="shared" si="0"/>
        <v>2.1487424743847532E-3</v>
      </c>
      <c r="O143" s="148">
        <f t="shared" si="16"/>
        <v>0</v>
      </c>
      <c r="R143" s="12">
        <f t="shared" si="19"/>
        <v>0</v>
      </c>
    </row>
    <row r="144" spans="1:18" ht="13.5" customHeight="1" x14ac:dyDescent="0.3">
      <c r="A144" s="290">
        <f t="shared" si="1"/>
        <v>6</v>
      </c>
      <c r="B144" s="4"/>
      <c r="C144" s="4" t="s">
        <v>923</v>
      </c>
      <c r="D144" s="4" t="s">
        <v>56</v>
      </c>
      <c r="E144" s="4"/>
      <c r="F144" s="2"/>
      <c r="G144" s="2"/>
      <c r="H144" s="29"/>
      <c r="I144" s="29"/>
      <c r="J144" s="27"/>
      <c r="K144" s="27"/>
      <c r="L144" s="27">
        <f>SUM(L145)</f>
        <v>7854</v>
      </c>
      <c r="M144" s="153">
        <f t="shared" ref="M144:M216" si="20">L144/$L$7</f>
        <v>2.1487424743847532E-3</v>
      </c>
      <c r="O144" s="148">
        <f t="shared" si="16"/>
        <v>0</v>
      </c>
      <c r="R144" s="12">
        <f t="shared" si="19"/>
        <v>0</v>
      </c>
    </row>
    <row r="145" spans="1:18" s="51" customFormat="1" ht="13.5" customHeight="1" x14ac:dyDescent="0.3">
      <c r="A145" s="290">
        <f t="shared" si="1"/>
        <v>0</v>
      </c>
      <c r="B145" s="49"/>
      <c r="C145" s="49"/>
      <c r="D145" s="49"/>
      <c r="E145" s="49" t="s">
        <v>56</v>
      </c>
      <c r="F145" s="52" t="s">
        <v>2607</v>
      </c>
      <c r="G145" s="52" t="s">
        <v>29</v>
      </c>
      <c r="H145" s="53">
        <v>1</v>
      </c>
      <c r="I145" s="141">
        <v>1</v>
      </c>
      <c r="J145" s="54">
        <f>IFERROR(IF(K145&lt;&gt;0,K145*$K$5,0),0)</f>
        <v>7854</v>
      </c>
      <c r="K145" s="54">
        <f>'05. Histograma MO'!G22</f>
        <v>7854</v>
      </c>
      <c r="L145" s="274">
        <f>H145*J145*I145</f>
        <v>7854</v>
      </c>
      <c r="M145" s="153">
        <f t="shared" si="20"/>
        <v>2.1487424743847532E-3</v>
      </c>
      <c r="O145" s="148">
        <f t="shared" si="16"/>
        <v>7854</v>
      </c>
      <c r="R145" s="12">
        <f t="shared" si="19"/>
        <v>-228.75728155339857</v>
      </c>
    </row>
    <row r="146" spans="1:18" s="18" customFormat="1" ht="13.5" hidden="1" customHeight="1" x14ac:dyDescent="0.3">
      <c r="A146" s="290">
        <f t="shared" ref="A146:A218" si="21">LEN(C146)</f>
        <v>4</v>
      </c>
      <c r="B146" s="45"/>
      <c r="C146" s="45" t="s">
        <v>57</v>
      </c>
      <c r="D146" s="45" t="s">
        <v>58</v>
      </c>
      <c r="E146" s="45"/>
      <c r="F146" s="60"/>
      <c r="G146" s="46"/>
      <c r="H146" s="47"/>
      <c r="I146" s="47"/>
      <c r="J146" s="48"/>
      <c r="K146" s="48"/>
      <c r="L146" s="62">
        <f>SUMIF(A147:A148,6,L147:L148)</f>
        <v>0</v>
      </c>
      <c r="M146" s="153">
        <f t="shared" si="20"/>
        <v>0</v>
      </c>
      <c r="O146" s="148">
        <f t="shared" si="16"/>
        <v>0</v>
      </c>
      <c r="R146" s="12">
        <f t="shared" si="19"/>
        <v>0</v>
      </c>
    </row>
    <row r="147" spans="1:18" ht="13.5" hidden="1" customHeight="1" x14ac:dyDescent="0.3">
      <c r="A147" s="290">
        <f t="shared" si="21"/>
        <v>6</v>
      </c>
      <c r="B147" s="4"/>
      <c r="C147" s="4" t="s">
        <v>924</v>
      </c>
      <c r="D147" s="4" t="s">
        <v>58</v>
      </c>
      <c r="E147" s="4"/>
      <c r="F147" s="2"/>
      <c r="G147" s="2"/>
      <c r="H147" s="29"/>
      <c r="I147" s="197"/>
      <c r="J147" s="27"/>
      <c r="K147" s="27"/>
      <c r="L147" s="27">
        <f>SUM(L148)</f>
        <v>0</v>
      </c>
      <c r="M147" s="153">
        <f t="shared" si="20"/>
        <v>0</v>
      </c>
      <c r="O147" s="148"/>
      <c r="R147" s="12">
        <f t="shared" si="19"/>
        <v>0</v>
      </c>
    </row>
    <row r="148" spans="1:18" s="51" customFormat="1" ht="13.5" hidden="1" customHeight="1" x14ac:dyDescent="0.3">
      <c r="A148" s="290">
        <f t="shared" si="21"/>
        <v>0</v>
      </c>
      <c r="B148" s="49"/>
      <c r="C148" s="49"/>
      <c r="D148" s="140" t="s">
        <v>438</v>
      </c>
      <c r="E148" s="49" t="str">
        <f>VLOOKUP(D148,'03. Insumos'!A:D,2,0)</f>
        <v>Segurança Patrimonial (Posto 24hs)</v>
      </c>
      <c r="F148" s="52"/>
      <c r="G148" s="52" t="str">
        <f>VLOOKUP(D148,'03. Insumos'!A:F,3,0)</f>
        <v>uni</v>
      </c>
      <c r="H148" s="53">
        <v>1</v>
      </c>
      <c r="I148" s="141"/>
      <c r="J148" s="54">
        <f>IFERROR(IF(K148&lt;&gt;0,K148*$K$5,0),0)</f>
        <v>12960</v>
      </c>
      <c r="K148" s="54">
        <f>IF(A148=0,VLOOKUP(D148,'03. Insumos'!A:F,4,0),"")</f>
        <v>12960</v>
      </c>
      <c r="L148" s="274">
        <f>H148*J148*I148</f>
        <v>0</v>
      </c>
      <c r="M148" s="153">
        <f t="shared" si="20"/>
        <v>0</v>
      </c>
      <c r="O148" s="148">
        <f t="shared" ref="O148:O170" si="22">IF(I148&lt;&gt;0,I148*H148*K148,)</f>
        <v>0</v>
      </c>
      <c r="R148" s="12">
        <f t="shared" si="19"/>
        <v>-377.47572815533931</v>
      </c>
    </row>
    <row r="149" spans="1:18" s="51" customFormat="1" ht="13.5" hidden="1" customHeight="1" x14ac:dyDescent="0.3">
      <c r="A149" s="290">
        <f t="shared" si="21"/>
        <v>4</v>
      </c>
      <c r="B149" s="45"/>
      <c r="C149" s="45" t="s">
        <v>2028</v>
      </c>
      <c r="D149" s="45" t="s">
        <v>2029</v>
      </c>
      <c r="E149" s="45"/>
      <c r="F149" s="60"/>
      <c r="G149" s="46"/>
      <c r="H149" s="47"/>
      <c r="I149" s="47"/>
      <c r="J149" s="48"/>
      <c r="K149" s="48"/>
      <c r="L149" s="62">
        <f>SUMIF(A150:A151,6,L150:L151)</f>
        <v>0</v>
      </c>
      <c r="M149" s="153">
        <f t="shared" si="20"/>
        <v>0</v>
      </c>
      <c r="O149" s="148"/>
      <c r="R149" s="12"/>
    </row>
    <row r="150" spans="1:18" s="51" customFormat="1" ht="13.5" hidden="1" customHeight="1" x14ac:dyDescent="0.3">
      <c r="A150" s="290">
        <f t="shared" si="21"/>
        <v>6</v>
      </c>
      <c r="B150" s="4"/>
      <c r="C150" s="4" t="s">
        <v>924</v>
      </c>
      <c r="D150" s="4" t="s">
        <v>2029</v>
      </c>
      <c r="E150" s="4"/>
      <c r="F150" s="2"/>
      <c r="G150" s="2"/>
      <c r="H150" s="29"/>
      <c r="I150" s="197"/>
      <c r="J150" s="27"/>
      <c r="K150" s="27"/>
      <c r="L150" s="27">
        <f>SUM(L151)</f>
        <v>0</v>
      </c>
      <c r="M150" s="153">
        <f t="shared" si="20"/>
        <v>0</v>
      </c>
      <c r="O150" s="148"/>
      <c r="R150" s="12"/>
    </row>
    <row r="151" spans="1:18" s="51" customFormat="1" ht="13.5" hidden="1" customHeight="1" x14ac:dyDescent="0.3">
      <c r="A151" s="290">
        <f t="shared" si="21"/>
        <v>0</v>
      </c>
      <c r="B151" s="49"/>
      <c r="C151" s="49"/>
      <c r="D151" s="140" t="s">
        <v>2032</v>
      </c>
      <c r="E151" s="49" t="str">
        <f>VLOOKUP(D151,'03. Insumos'!A:D,2,0)</f>
        <v>Topógrafo</v>
      </c>
      <c r="F151" s="52"/>
      <c r="G151" s="52" t="str">
        <f>VLOOKUP(D151,'03. Insumos'!A:F,3,0)</f>
        <v>diária</v>
      </c>
      <c r="H151" s="53">
        <v>1</v>
      </c>
      <c r="I151" s="141"/>
      <c r="J151" s="54">
        <f>IFERROR(IF(K151&lt;&gt;0,K151*$K$5,0),0)</f>
        <v>1720.9599999999998</v>
      </c>
      <c r="K151" s="54">
        <f>IF(A151=0,VLOOKUP(D151,'03. Insumos'!A:F,4,0),"")</f>
        <v>1720.9599999999998</v>
      </c>
      <c r="L151" s="274">
        <f>H151*J151*I151</f>
        <v>0</v>
      </c>
      <c r="M151" s="153">
        <f t="shared" si="20"/>
        <v>0</v>
      </c>
      <c r="O151" s="148"/>
      <c r="R151" s="12"/>
    </row>
    <row r="152" spans="1:18" s="18" customFormat="1" ht="13.5" customHeight="1" x14ac:dyDescent="0.3">
      <c r="A152" s="290">
        <f t="shared" si="21"/>
        <v>3</v>
      </c>
      <c r="B152" s="35"/>
      <c r="C152" s="35" t="s">
        <v>358</v>
      </c>
      <c r="D152" s="35" t="s">
        <v>79</v>
      </c>
      <c r="E152" s="35"/>
      <c r="F152" s="36"/>
      <c r="G152" s="36"/>
      <c r="H152" s="37"/>
      <c r="I152" s="37"/>
      <c r="J152" s="38"/>
      <c r="K152" s="38"/>
      <c r="L152" s="38">
        <f>SUMIF(A153:A176,4,L153:L176)</f>
        <v>18480</v>
      </c>
      <c r="M152" s="153">
        <f t="shared" si="20"/>
        <v>5.0558646456111836E-3</v>
      </c>
      <c r="O152" s="148">
        <f t="shared" si="22"/>
        <v>0</v>
      </c>
      <c r="R152" s="12">
        <f>IF(J152&lt;&gt;0,J152/1.03-K152,0)</f>
        <v>0</v>
      </c>
    </row>
    <row r="153" spans="1:18" s="18" customFormat="1" ht="5.25" customHeight="1" x14ac:dyDescent="0.3">
      <c r="A153" s="290">
        <f t="shared" si="21"/>
        <v>0</v>
      </c>
      <c r="B153" s="63"/>
      <c r="C153" s="63"/>
      <c r="D153" s="63"/>
      <c r="E153" s="63"/>
      <c r="F153" s="64"/>
      <c r="G153" s="64"/>
      <c r="H153" s="65"/>
      <c r="I153" s="65"/>
      <c r="J153" s="66">
        <f>IFERROR(IF(K153&lt;&gt;0,K153*$K$5,0),0)</f>
        <v>0</v>
      </c>
      <c r="K153" s="66" t="e">
        <f>IF(A153=0,VLOOKUP(D153,'03. Insumos'!A:F,4,0),"")</f>
        <v>#N/A</v>
      </c>
      <c r="L153" s="66"/>
      <c r="M153" s="153">
        <f t="shared" si="20"/>
        <v>0</v>
      </c>
      <c r="O153" s="148">
        <f t="shared" si="22"/>
        <v>0</v>
      </c>
      <c r="R153" s="12">
        <f>IF(J153&lt;&gt;0,J153/1.03-K153,0)</f>
        <v>0</v>
      </c>
    </row>
    <row r="154" spans="1:18" s="18" customFormat="1" ht="13.5" customHeight="1" x14ac:dyDescent="0.3">
      <c r="A154" s="290">
        <f t="shared" si="21"/>
        <v>4</v>
      </c>
      <c r="B154" s="45"/>
      <c r="C154" s="45" t="s">
        <v>380</v>
      </c>
      <c r="D154" s="45" t="s">
        <v>59</v>
      </c>
      <c r="E154" s="45"/>
      <c r="F154" s="60"/>
      <c r="G154" s="46"/>
      <c r="H154" s="47"/>
      <c r="I154" s="47"/>
      <c r="J154" s="48"/>
      <c r="K154" s="48" t="str">
        <f>IF(A154=0,VLOOKUP(D154,'03. Insumos'!A:F,4,0),"")</f>
        <v/>
      </c>
      <c r="L154" s="62">
        <f>SUMIF(A155:A161,6,L155:L161)</f>
        <v>4080</v>
      </c>
      <c r="M154" s="153">
        <f t="shared" si="20"/>
        <v>1.1162298568232483E-3</v>
      </c>
      <c r="O154" s="148">
        <f t="shared" si="22"/>
        <v>0</v>
      </c>
      <c r="R154" s="12">
        <f t="shared" ref="R154:R223" si="23">IF(J154&lt;&gt;0,J154/1.03-K154,0)</f>
        <v>0</v>
      </c>
    </row>
    <row r="155" spans="1:18" ht="13.5" customHeight="1" x14ac:dyDescent="0.3">
      <c r="A155" s="290">
        <f t="shared" si="21"/>
        <v>6</v>
      </c>
      <c r="B155" s="4"/>
      <c r="C155" s="4" t="s">
        <v>926</v>
      </c>
      <c r="D155" s="4" t="s">
        <v>59</v>
      </c>
      <c r="E155" s="4"/>
      <c r="F155" s="2"/>
      <c r="G155" s="2"/>
      <c r="H155" s="29"/>
      <c r="I155" s="29"/>
      <c r="J155" s="27"/>
      <c r="K155" s="27" t="str">
        <f>IF(A155=0,VLOOKUP(D155,'03. Insumos'!A:F,4,0),"")</f>
        <v/>
      </c>
      <c r="L155" s="27">
        <f>SUM(L156:L161)</f>
        <v>4080</v>
      </c>
      <c r="M155" s="153">
        <f t="shared" si="20"/>
        <v>1.1162298568232483E-3</v>
      </c>
      <c r="O155" s="148">
        <f t="shared" si="22"/>
        <v>0</v>
      </c>
      <c r="R155" s="12">
        <f t="shared" si="23"/>
        <v>0</v>
      </c>
    </row>
    <row r="156" spans="1:18" s="51" customFormat="1" ht="13.5" hidden="1" customHeight="1" x14ac:dyDescent="0.3">
      <c r="A156" s="290">
        <f t="shared" si="21"/>
        <v>0</v>
      </c>
      <c r="B156" s="49"/>
      <c r="C156" s="49"/>
      <c r="D156" s="140" t="s">
        <v>166</v>
      </c>
      <c r="E156" s="49" t="str">
        <f>VLOOKUP(D156,'03. Insumos'!A:D,2,0)</f>
        <v>Material de escritório</v>
      </c>
      <c r="F156" s="52"/>
      <c r="G156" s="52" t="str">
        <f>VLOOKUP(D156,'03. Insumos'!A:F,3,0)</f>
        <v>mês</v>
      </c>
      <c r="H156" s="53"/>
      <c r="I156" s="193">
        <f t="shared" ref="I156:I161" si="24">$L$2</f>
        <v>8</v>
      </c>
      <c r="J156" s="54">
        <f t="shared" ref="J156:J161" si="25">IFERROR(IF(K156&lt;&gt;0,K156*$K$5,0),0)</f>
        <v>550</v>
      </c>
      <c r="K156" s="54">
        <f>IF(A156=0,VLOOKUP(D156,'03. Insumos'!A:F,4,0),"")</f>
        <v>550</v>
      </c>
      <c r="L156" s="274">
        <f t="shared" ref="L156:L161" si="26">H156*J156*I156</f>
        <v>0</v>
      </c>
      <c r="M156" s="153">
        <f t="shared" si="20"/>
        <v>0</v>
      </c>
      <c r="O156" s="148">
        <f t="shared" si="22"/>
        <v>0</v>
      </c>
      <c r="R156" s="12">
        <f t="shared" si="23"/>
        <v>-16.019417475728119</v>
      </c>
    </row>
    <row r="157" spans="1:18" s="51" customFormat="1" ht="13.5" hidden="1" customHeight="1" x14ac:dyDescent="0.3">
      <c r="A157" s="290">
        <f t="shared" si="21"/>
        <v>0</v>
      </c>
      <c r="B157" s="49"/>
      <c r="C157" s="49"/>
      <c r="D157" s="140" t="s">
        <v>167</v>
      </c>
      <c r="E157" s="49" t="str">
        <f>VLOOKUP(D157,'03. Insumos'!A:D,2,0)</f>
        <v>Material de limpeza e higiene</v>
      </c>
      <c r="F157" s="52"/>
      <c r="G157" s="52" t="str">
        <f>VLOOKUP(D157,'03. Insumos'!A:F,3,0)</f>
        <v>mês</v>
      </c>
      <c r="H157" s="53"/>
      <c r="I157" s="193">
        <f t="shared" si="24"/>
        <v>8</v>
      </c>
      <c r="J157" s="54">
        <f t="shared" si="25"/>
        <v>600</v>
      </c>
      <c r="K157" s="54">
        <f>IF(A157=0,VLOOKUP(D157,'03. Insumos'!A:F,4,0),"")</f>
        <v>600</v>
      </c>
      <c r="L157" s="274">
        <f t="shared" si="26"/>
        <v>0</v>
      </c>
      <c r="M157" s="153">
        <f t="shared" si="20"/>
        <v>0</v>
      </c>
      <c r="O157" s="148">
        <f t="shared" si="22"/>
        <v>0</v>
      </c>
      <c r="R157" s="12">
        <f t="shared" si="23"/>
        <v>-17.475728155339766</v>
      </c>
    </row>
    <row r="158" spans="1:18" s="51" customFormat="1" ht="13.5" customHeight="1" x14ac:dyDescent="0.3">
      <c r="A158" s="290">
        <f t="shared" si="21"/>
        <v>0</v>
      </c>
      <c r="B158" s="49"/>
      <c r="C158" s="49"/>
      <c r="D158" s="140" t="s">
        <v>168</v>
      </c>
      <c r="E158" s="49" t="str">
        <f>VLOOKUP(D158,'03. Insumos'!A:D,2,0)</f>
        <v>Material de higiene</v>
      </c>
      <c r="F158" s="52" t="s">
        <v>2612</v>
      </c>
      <c r="G158" s="52" t="str">
        <f>VLOOKUP(D158,'03. Insumos'!A:F,3,0)</f>
        <v>mês</v>
      </c>
      <c r="H158" s="53">
        <v>1</v>
      </c>
      <c r="I158" s="193">
        <f t="shared" si="24"/>
        <v>8</v>
      </c>
      <c r="J158" s="54">
        <f t="shared" si="25"/>
        <v>60</v>
      </c>
      <c r="K158" s="54">
        <f>IF(A158=0,VLOOKUP(D158,'03. Insumos'!A:F,4,0),"")</f>
        <v>60</v>
      </c>
      <c r="L158" s="274">
        <f t="shared" si="26"/>
        <v>480</v>
      </c>
      <c r="M158" s="153">
        <f t="shared" si="20"/>
        <v>1.3132115962626452E-4</v>
      </c>
      <c r="O158" s="148">
        <f t="shared" si="22"/>
        <v>480</v>
      </c>
      <c r="R158" s="12">
        <f t="shared" si="23"/>
        <v>-1.7475728155339851</v>
      </c>
    </row>
    <row r="159" spans="1:18" s="51" customFormat="1" ht="13.5" hidden="1" customHeight="1" x14ac:dyDescent="0.3">
      <c r="A159" s="290">
        <f t="shared" si="21"/>
        <v>0</v>
      </c>
      <c r="B159" s="49"/>
      <c r="C159" s="49"/>
      <c r="D159" s="140" t="s">
        <v>169</v>
      </c>
      <c r="E159" s="49" t="str">
        <f>VLOOKUP(D159,'03. Insumos'!A:D,2,0)</f>
        <v>Motoboy</v>
      </c>
      <c r="F159" s="52"/>
      <c r="G159" s="52" t="str">
        <f>VLOOKUP(D159,'03. Insumos'!A:F,3,0)</f>
        <v>mês</v>
      </c>
      <c r="H159" s="53"/>
      <c r="I159" s="193">
        <f t="shared" si="24"/>
        <v>8</v>
      </c>
      <c r="J159" s="54">
        <f t="shared" si="25"/>
        <v>100</v>
      </c>
      <c r="K159" s="54">
        <f>IF(A159=0,VLOOKUP(D159,'03. Insumos'!A:F,4,0),"")</f>
        <v>100</v>
      </c>
      <c r="L159" s="274">
        <f t="shared" si="26"/>
        <v>0</v>
      </c>
      <c r="M159" s="153">
        <f t="shared" si="20"/>
        <v>0</v>
      </c>
      <c r="O159" s="148">
        <f t="shared" si="22"/>
        <v>0</v>
      </c>
      <c r="R159" s="12">
        <f t="shared" si="23"/>
        <v>-2.9126213592233086</v>
      </c>
    </row>
    <row r="160" spans="1:18" s="51" customFormat="1" ht="13.5" customHeight="1" x14ac:dyDescent="0.3">
      <c r="A160" s="290">
        <f t="shared" si="21"/>
        <v>0</v>
      </c>
      <c r="B160" s="49"/>
      <c r="C160" s="49"/>
      <c r="D160" s="140" t="s">
        <v>170</v>
      </c>
      <c r="E160" s="49" t="str">
        <f>VLOOKUP(D160,'03. Insumos'!A:D,2,0)</f>
        <v>Cópias e plotagens</v>
      </c>
      <c r="F160" s="52" t="s">
        <v>2612</v>
      </c>
      <c r="G160" s="52" t="str">
        <f>VLOOKUP(D160,'03. Insumos'!A:F,3,0)</f>
        <v>mês</v>
      </c>
      <c r="H160" s="53">
        <v>1</v>
      </c>
      <c r="I160" s="193">
        <f t="shared" si="24"/>
        <v>8</v>
      </c>
      <c r="J160" s="54">
        <f t="shared" si="25"/>
        <v>450</v>
      </c>
      <c r="K160" s="54">
        <f>IF(A160=0,VLOOKUP(D160,'03. Insumos'!A:F,4,0),"")</f>
        <v>450</v>
      </c>
      <c r="L160" s="274">
        <f t="shared" si="26"/>
        <v>3600</v>
      </c>
      <c r="M160" s="153">
        <f t="shared" si="20"/>
        <v>9.8490869719698379E-4</v>
      </c>
      <c r="O160" s="148">
        <f t="shared" si="22"/>
        <v>3600</v>
      </c>
      <c r="R160" s="12">
        <f t="shared" si="23"/>
        <v>-13.106796116504881</v>
      </c>
    </row>
    <row r="161" spans="1:18" s="51" customFormat="1" ht="13.5" hidden="1" customHeight="1" x14ac:dyDescent="0.3">
      <c r="A161" s="290">
        <f t="shared" si="21"/>
        <v>0</v>
      </c>
      <c r="B161" s="49"/>
      <c r="C161" s="49"/>
      <c r="D161" s="140" t="s">
        <v>171</v>
      </c>
      <c r="E161" s="49" t="str">
        <f>VLOOKUP(D161,'03. Insumos'!A:D,2,0)</f>
        <v>Telefonia e Internet</v>
      </c>
      <c r="F161" s="52"/>
      <c r="G161" s="52" t="str">
        <f>VLOOKUP(D161,'03. Insumos'!A:F,3,0)</f>
        <v>mês</v>
      </c>
      <c r="H161" s="53"/>
      <c r="I161" s="193">
        <f t="shared" si="24"/>
        <v>8</v>
      </c>
      <c r="J161" s="54">
        <f t="shared" si="25"/>
        <v>100</v>
      </c>
      <c r="K161" s="54">
        <f>IF(A161=0,VLOOKUP(D161,'03. Insumos'!A:F,4,0),"")</f>
        <v>100</v>
      </c>
      <c r="L161" s="274">
        <f t="shared" si="26"/>
        <v>0</v>
      </c>
      <c r="M161" s="153">
        <f t="shared" si="20"/>
        <v>0</v>
      </c>
      <c r="O161" s="148">
        <f t="shared" si="22"/>
        <v>0</v>
      </c>
      <c r="R161" s="12">
        <f t="shared" si="23"/>
        <v>-2.9126213592233086</v>
      </c>
    </row>
    <row r="162" spans="1:18" s="18" customFormat="1" ht="13.5" customHeight="1" x14ac:dyDescent="0.3">
      <c r="A162" s="290">
        <f t="shared" si="21"/>
        <v>4</v>
      </c>
      <c r="B162" s="45"/>
      <c r="C162" s="45" t="s">
        <v>64</v>
      </c>
      <c r="D162" s="45" t="s">
        <v>65</v>
      </c>
      <c r="E162" s="45"/>
      <c r="F162" s="60"/>
      <c r="G162" s="46"/>
      <c r="H162" s="47"/>
      <c r="I162" s="47"/>
      <c r="J162" s="48"/>
      <c r="K162" s="48" t="str">
        <f>IF(A162=0,VLOOKUP(D162,'03. Insumos'!A:F,4,0),"")</f>
        <v/>
      </c>
      <c r="L162" s="62">
        <f>SUMIF(A163:A165,6,L163:L165)</f>
        <v>12800</v>
      </c>
      <c r="M162" s="153">
        <f t="shared" si="20"/>
        <v>3.5018975900337201E-3</v>
      </c>
      <c r="O162" s="148">
        <f t="shared" si="22"/>
        <v>0</v>
      </c>
      <c r="R162" s="12">
        <f t="shared" si="23"/>
        <v>0</v>
      </c>
    </row>
    <row r="163" spans="1:18" ht="13.5" customHeight="1" x14ac:dyDescent="0.3">
      <c r="A163" s="290">
        <f t="shared" si="21"/>
        <v>6</v>
      </c>
      <c r="B163" s="4"/>
      <c r="C163" s="4" t="s">
        <v>927</v>
      </c>
      <c r="D163" s="4" t="s">
        <v>66</v>
      </c>
      <c r="E163" s="4"/>
      <c r="F163" s="2"/>
      <c r="G163" s="2"/>
      <c r="H163" s="29"/>
      <c r="I163" s="29"/>
      <c r="J163" s="27"/>
      <c r="K163" s="27" t="str">
        <f>IF(A163=0,VLOOKUP(D163,'03. Insumos'!A:F,4,0),"")</f>
        <v/>
      </c>
      <c r="L163" s="27">
        <f>SUM(L164:L165)</f>
        <v>12800</v>
      </c>
      <c r="M163" s="153">
        <f t="shared" si="20"/>
        <v>3.5018975900337201E-3</v>
      </c>
      <c r="O163" s="148">
        <f t="shared" si="22"/>
        <v>0</v>
      </c>
      <c r="R163" s="12">
        <f t="shared" si="23"/>
        <v>0</v>
      </c>
    </row>
    <row r="164" spans="1:18" s="51" customFormat="1" ht="13.5" customHeight="1" x14ac:dyDescent="0.3">
      <c r="A164" s="290">
        <f t="shared" si="21"/>
        <v>0</v>
      </c>
      <c r="B164" s="49"/>
      <c r="C164" s="49"/>
      <c r="D164" s="140" t="s">
        <v>172</v>
      </c>
      <c r="E164" s="49" t="str">
        <f>VLOOKUP(D164,'03. Insumos'!A:D,2,0)</f>
        <v>Caçamba para entulho</v>
      </c>
      <c r="F164" s="52" t="s">
        <v>2612</v>
      </c>
      <c r="G164" s="52" t="str">
        <f>VLOOKUP(D164,'03. Insumos'!A:F,3,0)</f>
        <v>uni</v>
      </c>
      <c r="H164" s="53">
        <v>1</v>
      </c>
      <c r="I164" s="141">
        <f>(2*4*2)+(1*4*4)</f>
        <v>32</v>
      </c>
      <c r="J164" s="54">
        <f>IFERROR(IF(K164&lt;&gt;0,K164*$K$5,0),0)</f>
        <v>400</v>
      </c>
      <c r="K164" s="54">
        <f>IF(A164=0,VLOOKUP(D164,'03. Insumos'!A:F,4,0),"")</f>
        <v>400</v>
      </c>
      <c r="L164" s="274">
        <f>H164*J164*I164</f>
        <v>12800</v>
      </c>
      <c r="M164" s="153">
        <f t="shared" si="20"/>
        <v>3.5018975900337201E-3</v>
      </c>
      <c r="O164" s="148">
        <f t="shared" si="22"/>
        <v>12800</v>
      </c>
      <c r="R164" s="12">
        <f t="shared" si="23"/>
        <v>-11.650485436893234</v>
      </c>
    </row>
    <row r="165" spans="1:18" s="51" customFormat="1" ht="13.5" hidden="1" customHeight="1" x14ac:dyDescent="0.3">
      <c r="A165" s="290">
        <f t="shared" si="21"/>
        <v>0</v>
      </c>
      <c r="B165" s="49"/>
      <c r="C165" s="49"/>
      <c r="D165" s="140" t="s">
        <v>173</v>
      </c>
      <c r="E165" s="49" t="str">
        <f>VLOOKUP(D165,'03. Insumos'!A:D,2,0)</f>
        <v>Caçamba Classe D</v>
      </c>
      <c r="F165" s="52"/>
      <c r="G165" s="52" t="str">
        <f>VLOOKUP(D165,'03. Insumos'!A:F,3,0)</f>
        <v>uni</v>
      </c>
      <c r="H165" s="53">
        <v>1</v>
      </c>
      <c r="I165" s="141"/>
      <c r="J165" s="54">
        <f>IFERROR(IF(K165&lt;&gt;0,K165*$K$5,0),0)</f>
        <v>700</v>
      </c>
      <c r="K165" s="54">
        <f>IF(A165=0,VLOOKUP(D165,'03. Insumos'!A:F,4,0),"")</f>
        <v>700</v>
      </c>
      <c r="L165" s="274">
        <f>H165*J165*I165</f>
        <v>0</v>
      </c>
      <c r="M165" s="153">
        <f t="shared" si="20"/>
        <v>0</v>
      </c>
      <c r="O165" s="148">
        <f t="shared" si="22"/>
        <v>0</v>
      </c>
      <c r="R165" s="12">
        <f t="shared" si="23"/>
        <v>-20.388349514563174</v>
      </c>
    </row>
    <row r="166" spans="1:18" s="18" customFormat="1" ht="13.5" customHeight="1" x14ac:dyDescent="0.3">
      <c r="A166" s="290">
        <f t="shared" si="21"/>
        <v>4</v>
      </c>
      <c r="B166" s="45"/>
      <c r="C166" s="45" t="s">
        <v>68</v>
      </c>
      <c r="D166" s="45" t="s">
        <v>69</v>
      </c>
      <c r="E166" s="45"/>
      <c r="F166" s="60"/>
      <c r="G166" s="46"/>
      <c r="H166" s="47"/>
      <c r="I166" s="47"/>
      <c r="J166" s="48"/>
      <c r="K166" s="48" t="str">
        <f>IF(A166=0,VLOOKUP(D166,'03. Insumos'!A:F,4,0),"")</f>
        <v/>
      </c>
      <c r="L166" s="62">
        <f>SUMIF(A167:A172,6,L167:L172)</f>
        <v>1600</v>
      </c>
      <c r="M166" s="153">
        <f t="shared" si="20"/>
        <v>4.3773719875421502E-4</v>
      </c>
      <c r="O166" s="148">
        <f t="shared" si="22"/>
        <v>0</v>
      </c>
      <c r="R166" s="12">
        <f t="shared" si="23"/>
        <v>0</v>
      </c>
    </row>
    <row r="167" spans="1:18" ht="13.5" hidden="1" customHeight="1" x14ac:dyDescent="0.3">
      <c r="A167" s="290">
        <f t="shared" si="21"/>
        <v>6</v>
      </c>
      <c r="B167" s="4"/>
      <c r="C167" s="4" t="s">
        <v>928</v>
      </c>
      <c r="D167" s="4" t="s">
        <v>70</v>
      </c>
      <c r="E167" s="4"/>
      <c r="F167" s="2"/>
      <c r="G167" s="2"/>
      <c r="H167" s="29"/>
      <c r="I167" s="29"/>
      <c r="J167" s="27"/>
      <c r="K167" s="27" t="str">
        <f>IF(A167=0,VLOOKUP(D167,'03. Insumos'!A:F,4,0),"")</f>
        <v/>
      </c>
      <c r="L167" s="27">
        <f>SUM(L168)</f>
        <v>0</v>
      </c>
      <c r="M167" s="153">
        <f t="shared" si="20"/>
        <v>0</v>
      </c>
      <c r="O167" s="148">
        <f t="shared" si="22"/>
        <v>0</v>
      </c>
      <c r="R167" s="12">
        <f t="shared" si="23"/>
        <v>0</v>
      </c>
    </row>
    <row r="168" spans="1:18" s="51" customFormat="1" ht="13.5" hidden="1" customHeight="1" x14ac:dyDescent="0.3">
      <c r="A168" s="290">
        <f t="shared" si="21"/>
        <v>0</v>
      </c>
      <c r="B168" s="49"/>
      <c r="C168" s="49"/>
      <c r="D168" s="140" t="s">
        <v>174</v>
      </c>
      <c r="E168" s="49" t="str">
        <f>VLOOKUP(D168,'03. Insumos'!A:D,2,0)</f>
        <v>Caixinha de Obra</v>
      </c>
      <c r="F168" s="52"/>
      <c r="G168" s="52" t="str">
        <f>VLOOKUP(D168,'03. Insumos'!A:F,3,0)</f>
        <v>mês</v>
      </c>
      <c r="H168" s="53"/>
      <c r="I168" s="193">
        <f>L2</f>
        <v>8</v>
      </c>
      <c r="J168" s="54">
        <f>IFERROR(IF(K168&lt;&gt;0,K168*$K$5,0),0)</f>
        <v>1000</v>
      </c>
      <c r="K168" s="54">
        <f>IF(A168=0,VLOOKUP(D168,'03. Insumos'!A:F,4,0),"")</f>
        <v>1000</v>
      </c>
      <c r="L168" s="274">
        <f>H168*J168*I168</f>
        <v>0</v>
      </c>
      <c r="M168" s="153">
        <f t="shared" si="20"/>
        <v>0</v>
      </c>
      <c r="O168" s="148">
        <f t="shared" si="22"/>
        <v>0</v>
      </c>
      <c r="R168" s="12">
        <f t="shared" si="23"/>
        <v>-29.126213592233057</v>
      </c>
    </row>
    <row r="169" spans="1:18" ht="13.5" hidden="1" customHeight="1" x14ac:dyDescent="0.3">
      <c r="A169" s="290">
        <f t="shared" si="21"/>
        <v>6</v>
      </c>
      <c r="B169" s="4"/>
      <c r="C169" s="4" t="s">
        <v>987</v>
      </c>
      <c r="D169" s="4" t="s">
        <v>988</v>
      </c>
      <c r="E169" s="4"/>
      <c r="F169" s="2"/>
      <c r="G169" s="2"/>
      <c r="H169" s="29"/>
      <c r="I169" s="29"/>
      <c r="J169" s="27"/>
      <c r="K169" s="27" t="str">
        <f>IF(A169=0,VLOOKUP(D169,'03. Insumos'!A:F,4,0),"")</f>
        <v/>
      </c>
      <c r="L169" s="27">
        <f>SUM(L170)</f>
        <v>0</v>
      </c>
      <c r="M169" s="153">
        <f t="shared" si="20"/>
        <v>0</v>
      </c>
      <c r="O169" s="148">
        <f t="shared" si="22"/>
        <v>0</v>
      </c>
      <c r="R169" s="12">
        <f t="shared" si="23"/>
        <v>0</v>
      </c>
    </row>
    <row r="170" spans="1:18" s="51" customFormat="1" ht="13.5" hidden="1" customHeight="1" x14ac:dyDescent="0.3">
      <c r="A170" s="290">
        <f t="shared" si="21"/>
        <v>0</v>
      </c>
      <c r="B170" s="49"/>
      <c r="C170" s="49"/>
      <c r="D170" s="140"/>
      <c r="E170" s="49" t="s">
        <v>988</v>
      </c>
      <c r="F170" s="52"/>
      <c r="G170" s="52" t="s">
        <v>29</v>
      </c>
      <c r="H170" s="53"/>
      <c r="I170" s="193">
        <f>L2</f>
        <v>8</v>
      </c>
      <c r="J170" s="54">
        <f>IFERROR(IF(K170&lt;&gt;0,K170*$K$5,0),0)</f>
        <v>200</v>
      </c>
      <c r="K170" s="54">
        <f>200</f>
        <v>200</v>
      </c>
      <c r="L170" s="274">
        <f>H170*J170*I170</f>
        <v>0</v>
      </c>
      <c r="M170" s="153">
        <f t="shared" si="20"/>
        <v>0</v>
      </c>
      <c r="O170" s="148">
        <f t="shared" si="22"/>
        <v>0</v>
      </c>
      <c r="R170" s="12">
        <f t="shared" si="23"/>
        <v>-5.8252427184466171</v>
      </c>
    </row>
    <row r="171" spans="1:18" ht="13.5" customHeight="1" x14ac:dyDescent="0.3">
      <c r="A171" s="290">
        <f t="shared" si="21"/>
        <v>6</v>
      </c>
      <c r="B171" s="4"/>
      <c r="C171" s="4" t="s">
        <v>989</v>
      </c>
      <c r="D171" s="4" t="s">
        <v>990</v>
      </c>
      <c r="E171" s="4"/>
      <c r="F171" s="2"/>
      <c r="G171" s="2"/>
      <c r="H171" s="29"/>
      <c r="I171" s="197"/>
      <c r="J171" s="27"/>
      <c r="K171" s="27" t="str">
        <f>IF(A171=0,VLOOKUP(D171,'03. Insumos'!A:F,4,0),"")</f>
        <v/>
      </c>
      <c r="L171" s="27">
        <f>SUM(L172:L172)</f>
        <v>1600</v>
      </c>
      <c r="M171" s="153">
        <f t="shared" si="20"/>
        <v>4.3773719875421502E-4</v>
      </c>
      <c r="O171" s="148"/>
      <c r="R171" s="12">
        <f t="shared" si="23"/>
        <v>0</v>
      </c>
    </row>
    <row r="172" spans="1:18" s="51" customFormat="1" ht="13.5" customHeight="1" x14ac:dyDescent="0.3">
      <c r="A172" s="290">
        <f t="shared" si="21"/>
        <v>0</v>
      </c>
      <c r="B172" s="49"/>
      <c r="C172" s="49"/>
      <c r="D172" s="140"/>
      <c r="E172" s="49" t="s">
        <v>991</v>
      </c>
      <c r="F172" s="52" t="s">
        <v>2612</v>
      </c>
      <c r="G172" s="52" t="s">
        <v>37</v>
      </c>
      <c r="H172" s="53">
        <v>1</v>
      </c>
      <c r="I172" s="193">
        <f>L2</f>
        <v>8</v>
      </c>
      <c r="J172" s="54">
        <f>IFERROR(IF(K172&lt;&gt;0,K172*$K$5,0),0)</f>
        <v>200</v>
      </c>
      <c r="K172" s="54">
        <v>200</v>
      </c>
      <c r="L172" s="274">
        <f>H172*J172*I172</f>
        <v>1600</v>
      </c>
      <c r="M172" s="153">
        <f t="shared" si="20"/>
        <v>4.3773719875421502E-4</v>
      </c>
      <c r="O172" s="148">
        <f t="shared" ref="O172:O235" si="27">IF(I172&lt;&gt;0,I172*H172*K172,)</f>
        <v>1600</v>
      </c>
      <c r="R172" s="12">
        <f t="shared" si="23"/>
        <v>-5.8252427184466171</v>
      </c>
    </row>
    <row r="173" spans="1:18" s="18" customFormat="1" ht="13.5" hidden="1" customHeight="1" x14ac:dyDescent="0.3">
      <c r="A173" s="290">
        <f t="shared" si="21"/>
        <v>4</v>
      </c>
      <c r="B173" s="45"/>
      <c r="C173" s="45" t="s">
        <v>1362</v>
      </c>
      <c r="D173" s="45" t="s">
        <v>1363</v>
      </c>
      <c r="E173" s="45"/>
      <c r="F173" s="60"/>
      <c r="G173" s="46"/>
      <c r="H173" s="47"/>
      <c r="I173" s="47"/>
      <c r="J173" s="48"/>
      <c r="K173" s="48" t="str">
        <f>IF(A173=0,VLOOKUP(D173,'03. Insumos'!A:F,4,0),"")</f>
        <v/>
      </c>
      <c r="L173" s="62">
        <f>SUMIF(A174:A176,6,L174:L176)</f>
        <v>0</v>
      </c>
      <c r="M173" s="153">
        <f t="shared" si="20"/>
        <v>0</v>
      </c>
      <c r="O173" s="148">
        <f t="shared" si="27"/>
        <v>0</v>
      </c>
      <c r="R173" s="12">
        <f t="shared" si="23"/>
        <v>0</v>
      </c>
    </row>
    <row r="174" spans="1:18" ht="13.5" hidden="1" customHeight="1" x14ac:dyDescent="0.3">
      <c r="A174" s="290">
        <f t="shared" si="21"/>
        <v>6</v>
      </c>
      <c r="B174" s="4"/>
      <c r="C174" s="4" t="s">
        <v>928</v>
      </c>
      <c r="D174" s="4" t="s">
        <v>1363</v>
      </c>
      <c r="E174" s="4"/>
      <c r="F174" s="2"/>
      <c r="G174" s="2"/>
      <c r="H174" s="29"/>
      <c r="I174" s="29"/>
      <c r="J174" s="27"/>
      <c r="K174" s="27" t="str">
        <f>IF(A174=0,VLOOKUP(D174,'03. Insumos'!A:F,4,0),"")</f>
        <v/>
      </c>
      <c r="L174" s="27">
        <f>SUM(L175:L176)</f>
        <v>0</v>
      </c>
      <c r="M174" s="153">
        <f t="shared" si="20"/>
        <v>0</v>
      </c>
      <c r="O174" s="148">
        <f t="shared" si="27"/>
        <v>0</v>
      </c>
      <c r="R174" s="12">
        <f t="shared" si="23"/>
        <v>0</v>
      </c>
    </row>
    <row r="175" spans="1:18" s="51" customFormat="1" ht="13.5" hidden="1" customHeight="1" x14ac:dyDescent="0.3">
      <c r="A175" s="290">
        <f t="shared" si="21"/>
        <v>0</v>
      </c>
      <c r="B175" s="49"/>
      <c r="C175" s="49"/>
      <c r="D175" s="140"/>
      <c r="E175" s="49" t="s">
        <v>1364</v>
      </c>
      <c r="F175" s="52"/>
      <c r="G175" s="52" t="s">
        <v>37</v>
      </c>
      <c r="H175" s="53"/>
      <c r="I175" s="193">
        <f>L2</f>
        <v>8</v>
      </c>
      <c r="J175" s="54">
        <f>IFERROR(IF(K175&lt;&gt;0,K175*$K$5,0),0)</f>
        <v>2000</v>
      </c>
      <c r="K175" s="54">
        <f>2000</f>
        <v>2000</v>
      </c>
      <c r="L175" s="274">
        <f>H175*J175*I175</f>
        <v>0</v>
      </c>
      <c r="M175" s="153">
        <f t="shared" si="20"/>
        <v>0</v>
      </c>
      <c r="O175" s="148">
        <f t="shared" si="27"/>
        <v>0</v>
      </c>
      <c r="R175" s="12">
        <f t="shared" si="23"/>
        <v>-58.252427184466114</v>
      </c>
    </row>
    <row r="176" spans="1:18" s="51" customFormat="1" ht="13.5" hidden="1" customHeight="1" x14ac:dyDescent="0.3">
      <c r="A176" s="290">
        <f t="shared" si="21"/>
        <v>0</v>
      </c>
      <c r="B176" s="49"/>
      <c r="C176" s="49"/>
      <c r="D176" s="140"/>
      <c r="E176" s="49" t="s">
        <v>1365</v>
      </c>
      <c r="F176" s="52"/>
      <c r="G176" s="52" t="s">
        <v>37</v>
      </c>
      <c r="H176" s="53"/>
      <c r="I176" s="193">
        <f>L2</f>
        <v>8</v>
      </c>
      <c r="J176" s="54">
        <f>IFERROR(IF(K176&lt;&gt;0,K176*$K$5,0),0)</f>
        <v>3000</v>
      </c>
      <c r="K176" s="54">
        <f>3000</f>
        <v>3000</v>
      </c>
      <c r="L176" s="274">
        <f>H176*J176*I176</f>
        <v>0</v>
      </c>
      <c r="M176" s="153">
        <f t="shared" si="20"/>
        <v>0</v>
      </c>
      <c r="O176" s="148">
        <f t="shared" si="27"/>
        <v>0</v>
      </c>
      <c r="R176" s="12">
        <f t="shared" si="23"/>
        <v>-87.378640776699285</v>
      </c>
    </row>
    <row r="177" spans="1:18" ht="13.5" customHeight="1" x14ac:dyDescent="0.3">
      <c r="A177" s="290">
        <f t="shared" si="21"/>
        <v>1</v>
      </c>
      <c r="B177" s="20"/>
      <c r="C177" s="20" t="s">
        <v>353</v>
      </c>
      <c r="D177" s="20" t="s">
        <v>260</v>
      </c>
      <c r="E177" s="21"/>
      <c r="F177" s="22"/>
      <c r="G177" s="22"/>
      <c r="H177" s="28"/>
      <c r="I177" s="28"/>
      <c r="J177" s="26"/>
      <c r="K177" s="26"/>
      <c r="L177" s="26">
        <f>SUMIF(A178:A819,4,L178:L819)</f>
        <v>3456205.2036120687</v>
      </c>
      <c r="M177" s="153">
        <f t="shared" si="20"/>
        <v>0.94556849009305521</v>
      </c>
      <c r="O177" s="148">
        <f t="shared" si="27"/>
        <v>0</v>
      </c>
      <c r="R177" s="12">
        <f t="shared" si="23"/>
        <v>0</v>
      </c>
    </row>
    <row r="178" spans="1:18" s="18" customFormat="1" ht="13.5" customHeight="1" x14ac:dyDescent="0.3">
      <c r="A178" s="290">
        <f t="shared" si="21"/>
        <v>3</v>
      </c>
      <c r="B178" s="35"/>
      <c r="C178" s="35" t="s">
        <v>343</v>
      </c>
      <c r="D178" s="35" t="s">
        <v>340</v>
      </c>
      <c r="E178" s="35"/>
      <c r="F178" s="36"/>
      <c r="G178" s="36"/>
      <c r="H178" s="37"/>
      <c r="I178" s="37"/>
      <c r="J178" s="38"/>
      <c r="K178" s="38"/>
      <c r="L178" s="38">
        <f>SUMIF(A179:A182,4,L179:L182)</f>
        <v>0</v>
      </c>
      <c r="M178" s="153">
        <f t="shared" si="20"/>
        <v>0</v>
      </c>
      <c r="O178" s="148">
        <f t="shared" si="27"/>
        <v>0</v>
      </c>
      <c r="R178" s="12">
        <f t="shared" si="23"/>
        <v>0</v>
      </c>
    </row>
    <row r="179" spans="1:18" s="18" customFormat="1" ht="5.4" hidden="1" customHeight="1" outlineLevel="1" x14ac:dyDescent="0.3">
      <c r="A179" s="290">
        <f t="shared" si="21"/>
        <v>0</v>
      </c>
      <c r="B179" s="63"/>
      <c r="C179" s="63"/>
      <c r="D179" s="63"/>
      <c r="E179" s="63"/>
      <c r="F179" s="64"/>
      <c r="G179" s="64"/>
      <c r="H179" s="65"/>
      <c r="I179" s="65"/>
      <c r="J179" s="66">
        <f>IFERROR(IF(K179&lt;&gt;0,K179*$K$5,0),0)</f>
        <v>0</v>
      </c>
      <c r="K179" s="66" t="e">
        <f>IF(A179=0,VLOOKUP(D179,'03. Insumos'!A:F,4,0),"")</f>
        <v>#N/A</v>
      </c>
      <c r="L179" s="66"/>
      <c r="M179" s="153">
        <f t="shared" si="20"/>
        <v>0</v>
      </c>
      <c r="O179" s="148">
        <f t="shared" si="27"/>
        <v>0</v>
      </c>
      <c r="R179" s="12">
        <f t="shared" si="23"/>
        <v>0</v>
      </c>
    </row>
    <row r="180" spans="1:18" s="18" customFormat="1" ht="13.5" hidden="1" customHeight="1" outlineLevel="1" x14ac:dyDescent="0.3">
      <c r="A180" s="290">
        <f t="shared" si="21"/>
        <v>4</v>
      </c>
      <c r="B180" s="45"/>
      <c r="C180" s="45" t="s">
        <v>378</v>
      </c>
      <c r="D180" s="45" t="s">
        <v>1592</v>
      </c>
      <c r="E180" s="45"/>
      <c r="F180" s="60"/>
      <c r="G180" s="46"/>
      <c r="H180" s="47"/>
      <c r="I180" s="47"/>
      <c r="J180" s="48">
        <f>IFERROR(IF(K180&lt;&gt;0,K180*$K$5,0),0)</f>
        <v>0</v>
      </c>
      <c r="K180" s="48" t="str">
        <f>IF(A180=0,VLOOKUP(D180,'03. Insumos'!A:F,4,0),"")</f>
        <v/>
      </c>
      <c r="L180" s="62">
        <f>SUMIF(A181:A182,6,L181:L182)</f>
        <v>0</v>
      </c>
      <c r="M180" s="153">
        <f t="shared" si="20"/>
        <v>0</v>
      </c>
      <c r="O180" s="148">
        <f t="shared" si="27"/>
        <v>0</v>
      </c>
      <c r="R180" s="12">
        <f t="shared" si="23"/>
        <v>0</v>
      </c>
    </row>
    <row r="181" spans="1:18" ht="13.5" hidden="1" customHeight="1" outlineLevel="1" x14ac:dyDescent="0.3">
      <c r="A181" s="290">
        <f t="shared" si="21"/>
        <v>6</v>
      </c>
      <c r="B181" s="4"/>
      <c r="C181" s="4" t="s">
        <v>929</v>
      </c>
      <c r="D181" s="4" t="s">
        <v>1592</v>
      </c>
      <c r="E181" s="4"/>
      <c r="F181" s="2"/>
      <c r="G181" s="2" t="s">
        <v>29</v>
      </c>
      <c r="H181" s="29">
        <v>1</v>
      </c>
      <c r="I181" s="29"/>
      <c r="J181" s="27">
        <f>IFERROR(IF(K181&lt;&gt;0,K181*$K$5,0),0)</f>
        <v>0</v>
      </c>
      <c r="K181" s="27" t="str">
        <f>IF(A181=0,VLOOKUP(D181,'03. Insumos'!A:F,4,0),"")</f>
        <v/>
      </c>
      <c r="L181" s="27">
        <f>SUM(L182:L182)</f>
        <v>0</v>
      </c>
      <c r="M181" s="153">
        <f t="shared" si="20"/>
        <v>0</v>
      </c>
      <c r="O181" s="148">
        <f t="shared" si="27"/>
        <v>0</v>
      </c>
      <c r="R181" s="12">
        <f t="shared" si="23"/>
        <v>0</v>
      </c>
    </row>
    <row r="182" spans="1:18" s="51" customFormat="1" ht="13.5" hidden="1" customHeight="1" outlineLevel="1" x14ac:dyDescent="0.3">
      <c r="A182" s="290">
        <f t="shared" si="21"/>
        <v>0</v>
      </c>
      <c r="B182" s="49"/>
      <c r="C182" s="49"/>
      <c r="D182" s="140"/>
      <c r="E182" s="49"/>
      <c r="F182" s="52"/>
      <c r="G182" s="52" t="s">
        <v>29</v>
      </c>
      <c r="H182" s="53">
        <v>1</v>
      </c>
      <c r="I182" s="141"/>
      <c r="J182" s="54"/>
      <c r="K182" s="54"/>
      <c r="L182" s="274">
        <f>H182*J182*I182</f>
        <v>0</v>
      </c>
      <c r="M182" s="153">
        <f t="shared" si="20"/>
        <v>0</v>
      </c>
      <c r="O182" s="148">
        <f t="shared" si="27"/>
        <v>0</v>
      </c>
      <c r="R182" s="12">
        <f t="shared" si="23"/>
        <v>0</v>
      </c>
    </row>
    <row r="183" spans="1:18" s="18" customFormat="1" ht="13.5" customHeight="1" collapsed="1" x14ac:dyDescent="0.3">
      <c r="A183" s="290">
        <f t="shared" si="21"/>
        <v>3</v>
      </c>
      <c r="B183" s="35"/>
      <c r="C183" s="35" t="s">
        <v>344</v>
      </c>
      <c r="D183" s="35" t="s">
        <v>114</v>
      </c>
      <c r="E183" s="35"/>
      <c r="F183" s="36"/>
      <c r="G183" s="36"/>
      <c r="H183" s="37"/>
      <c r="I183" s="37"/>
      <c r="J183" s="38"/>
      <c r="K183" s="38"/>
      <c r="L183" s="38">
        <f>SUMIF(A184:A213,4,L184:L213)</f>
        <v>330322.25999999995</v>
      </c>
      <c r="M183" s="153">
        <f t="shared" si="20"/>
        <v>9.0371462986600926E-2</v>
      </c>
      <c r="O183" s="148">
        <f t="shared" si="27"/>
        <v>0</v>
      </c>
      <c r="R183" s="12">
        <f t="shared" si="23"/>
        <v>0</v>
      </c>
    </row>
    <row r="184" spans="1:18" s="18" customFormat="1" ht="5.4" customHeight="1" outlineLevel="1" x14ac:dyDescent="0.3">
      <c r="A184" s="290">
        <f t="shared" si="21"/>
        <v>0</v>
      </c>
      <c r="B184" s="63"/>
      <c r="C184" s="63"/>
      <c r="D184" s="63"/>
      <c r="E184" s="63"/>
      <c r="F184" s="64"/>
      <c r="G184" s="64"/>
      <c r="H184" s="65"/>
      <c r="I184" s="65"/>
      <c r="J184" s="66">
        <f>IFERROR(IF(K184&lt;&gt;0,K184*$K$5,0),0)</f>
        <v>0</v>
      </c>
      <c r="K184" s="66" t="e">
        <f>IF(A184=0,VLOOKUP(D184,'03. Insumos'!A:F,4,0),"")</f>
        <v>#N/A</v>
      </c>
      <c r="L184" s="66"/>
      <c r="M184" s="153">
        <f t="shared" si="20"/>
        <v>0</v>
      </c>
      <c r="O184" s="148">
        <f t="shared" si="27"/>
        <v>0</v>
      </c>
      <c r="R184" s="12">
        <f t="shared" si="23"/>
        <v>0</v>
      </c>
    </row>
    <row r="185" spans="1:18" s="18" customFormat="1" ht="13.5" customHeight="1" outlineLevel="1" x14ac:dyDescent="0.3">
      <c r="A185" s="290">
        <f t="shared" si="21"/>
        <v>4</v>
      </c>
      <c r="B185" s="45"/>
      <c r="C185" s="45" t="s">
        <v>377</v>
      </c>
      <c r="D185" s="45" t="s">
        <v>107</v>
      </c>
      <c r="E185" s="45"/>
      <c r="F185" s="60"/>
      <c r="G185" s="46"/>
      <c r="H185" s="47"/>
      <c r="I185" s="47"/>
      <c r="J185" s="48"/>
      <c r="K185" s="48" t="str">
        <f>IF(A185=0,VLOOKUP(D185,'03. Insumos'!A:F,4,0),"")</f>
        <v/>
      </c>
      <c r="L185" s="62">
        <f>SUMIF(A186:A213,6,L186:L213)</f>
        <v>330322.25999999995</v>
      </c>
      <c r="M185" s="153">
        <f t="shared" si="20"/>
        <v>9.0371462986600926E-2</v>
      </c>
      <c r="O185" s="148">
        <f t="shared" si="27"/>
        <v>0</v>
      </c>
      <c r="R185" s="12">
        <f t="shared" si="23"/>
        <v>0</v>
      </c>
    </row>
    <row r="186" spans="1:18" ht="13.5" customHeight="1" outlineLevel="1" x14ac:dyDescent="0.3">
      <c r="A186" s="290">
        <f t="shared" si="21"/>
        <v>6</v>
      </c>
      <c r="B186" s="4"/>
      <c r="C186" s="4" t="s">
        <v>930</v>
      </c>
      <c r="D186" s="4" t="s">
        <v>2278</v>
      </c>
      <c r="E186" s="4"/>
      <c r="F186" s="2"/>
      <c r="G186" s="2"/>
      <c r="H186" s="29"/>
      <c r="I186" s="29"/>
      <c r="J186" s="27"/>
      <c r="K186" s="27" t="str">
        <f>IF(A186=0,VLOOKUP(D186,'03. Insumos'!A:F,4,0),"")</f>
        <v/>
      </c>
      <c r="L186" s="27">
        <f>SUM(L187:L200)</f>
        <v>330322.25999999995</v>
      </c>
      <c r="M186" s="153">
        <f t="shared" si="20"/>
        <v>9.0371462986600926E-2</v>
      </c>
      <c r="O186" s="148">
        <f t="shared" si="27"/>
        <v>0</v>
      </c>
      <c r="R186" s="12">
        <f t="shared" si="23"/>
        <v>0</v>
      </c>
    </row>
    <row r="187" spans="1:18" ht="13.5" hidden="1" customHeight="1" outlineLevel="1" x14ac:dyDescent="0.3">
      <c r="A187" s="290">
        <f t="shared" si="21"/>
        <v>0</v>
      </c>
      <c r="B187" s="4"/>
      <c r="C187" s="4"/>
      <c r="D187" s="140" t="s">
        <v>2257</v>
      </c>
      <c r="E187" s="49" t="str">
        <f>VLOOKUP(D187,'03. Insumos'!A:D,2,0)</f>
        <v>Mobilização equipamento sondagem</v>
      </c>
      <c r="F187" s="52"/>
      <c r="G187" s="52" t="str">
        <f>VLOOKUP(D187,'03. Insumos'!A:F,3,0)</f>
        <v>vb</v>
      </c>
      <c r="H187" s="53">
        <v>1</v>
      </c>
      <c r="I187" s="141"/>
      <c r="J187" s="54">
        <f t="shared" ref="J187:J213" si="28">IFERROR(IF(K187&lt;&gt;0,K187*$K$5,0),0)</f>
        <v>900</v>
      </c>
      <c r="K187" s="54">
        <f>IF(A187=0,VLOOKUP(D187,'03. Insumos'!A:F,4,0),"")</f>
        <v>900</v>
      </c>
      <c r="L187" s="274">
        <f>H187*J187*I187</f>
        <v>0</v>
      </c>
      <c r="M187" s="153">
        <f t="shared" si="20"/>
        <v>0</v>
      </c>
      <c r="O187" s="148"/>
      <c r="R187" s="12"/>
    </row>
    <row r="188" spans="1:18" ht="13.5" hidden="1" customHeight="1" outlineLevel="1" x14ac:dyDescent="0.3">
      <c r="A188" s="290">
        <f t="shared" si="21"/>
        <v>0</v>
      </c>
      <c r="B188" s="4"/>
      <c r="C188" s="4"/>
      <c r="D188" s="140" t="s">
        <v>2258</v>
      </c>
      <c r="E188" s="49" t="str">
        <f>VLOOKUP(D188,'03. Insumos'!A:D,2,0)</f>
        <v>Execução sondagem</v>
      </c>
      <c r="F188" s="52"/>
      <c r="G188" s="52" t="str">
        <f>VLOOKUP(D188,'03. Insumos'!A:F,3,0)</f>
        <v>m</v>
      </c>
      <c r="H188" s="53">
        <v>1</v>
      </c>
      <c r="I188" s="141"/>
      <c r="J188" s="54">
        <f t="shared" si="28"/>
        <v>55</v>
      </c>
      <c r="K188" s="54">
        <f>IF(A188=0,VLOOKUP(D188,'03. Insumos'!A:F,4,0),"")</f>
        <v>55</v>
      </c>
      <c r="L188" s="274">
        <f>H188*J188*I188</f>
        <v>0</v>
      </c>
      <c r="M188" s="153">
        <f t="shared" si="20"/>
        <v>0</v>
      </c>
      <c r="O188" s="148"/>
      <c r="R188" s="12"/>
    </row>
    <row r="189" spans="1:18" ht="13.5" hidden="1" customHeight="1" outlineLevel="1" x14ac:dyDescent="0.3">
      <c r="A189" s="290">
        <f t="shared" si="21"/>
        <v>0</v>
      </c>
      <c r="B189" s="4"/>
      <c r="C189" s="4"/>
      <c r="D189" s="140" t="s">
        <v>197</v>
      </c>
      <c r="E189" s="49" t="str">
        <f>VLOOKUP(D189,'03. Insumos'!A:D,2,0)</f>
        <v>Lastro de concreto 5cm</v>
      </c>
      <c r="F189" s="52"/>
      <c r="G189" s="52" t="str">
        <f>VLOOKUP(D189,'03. Insumos'!A:F,3,0)</f>
        <v>m³</v>
      </c>
      <c r="H189" s="53">
        <v>1</v>
      </c>
      <c r="I189" s="141"/>
      <c r="J189" s="54">
        <f t="shared" si="28"/>
        <v>225</v>
      </c>
      <c r="K189" s="54">
        <f>IF(A189=0,VLOOKUP(D189,'03. Insumos'!A:F,4,0),"")</f>
        <v>225</v>
      </c>
      <c r="L189" s="274">
        <f>H189*J189*I189</f>
        <v>0</v>
      </c>
      <c r="M189" s="153">
        <f t="shared" si="20"/>
        <v>0</v>
      </c>
      <c r="O189" s="148"/>
      <c r="R189" s="12"/>
    </row>
    <row r="190" spans="1:18" ht="13.5" customHeight="1" outlineLevel="1" x14ac:dyDescent="0.3">
      <c r="A190" s="290">
        <f t="shared" si="21"/>
        <v>0</v>
      </c>
      <c r="B190" s="4"/>
      <c r="C190" s="4"/>
      <c r="D190" s="140" t="s">
        <v>184</v>
      </c>
      <c r="E190" s="49" t="str">
        <f>VLOOKUP(D190,'03. Insumos'!A:D,2,0)</f>
        <v>Brita 0</v>
      </c>
      <c r="F190" s="52" t="s">
        <v>2612</v>
      </c>
      <c r="G190" s="52" t="str">
        <f>VLOOKUP(D190,'03. Insumos'!A:F,3,0)</f>
        <v>m³</v>
      </c>
      <c r="H190" s="53">
        <v>1</v>
      </c>
      <c r="I190" s="141">
        <f>ROUNDUP((15*0.07),0)</f>
        <v>2</v>
      </c>
      <c r="J190" s="54">
        <f t="shared" si="28"/>
        <v>210</v>
      </c>
      <c r="K190" s="54">
        <f>IF(A190=0,VLOOKUP(D190,'03. Insumos'!A:F,4,0),"")</f>
        <v>210</v>
      </c>
      <c r="L190" s="274">
        <f>H190*J190*I190</f>
        <v>420</v>
      </c>
      <c r="M190" s="153">
        <f t="shared" si="20"/>
        <v>1.1490601467298144E-4</v>
      </c>
      <c r="O190" s="148"/>
      <c r="R190" s="12"/>
    </row>
    <row r="191" spans="1:18" ht="13.5" customHeight="1" outlineLevel="1" x14ac:dyDescent="0.3">
      <c r="A191" s="290">
        <f t="shared" si="21"/>
        <v>0</v>
      </c>
      <c r="B191" s="4"/>
      <c r="C191" s="4"/>
      <c r="D191" s="140" t="s">
        <v>2573</v>
      </c>
      <c r="E191" s="49" t="str">
        <f>VLOOKUP(D191,'03. Insumos'!A:D,2,0)</f>
        <v>Pré - laje para sobrecarga de 300 Kg/m²</v>
      </c>
      <c r="F191" s="52" t="s">
        <v>2612</v>
      </c>
      <c r="G191" s="52" t="str">
        <f>VLOOKUP(D191,'03. Insumos'!A:F,3,0)</f>
        <v>m²</v>
      </c>
      <c r="H191" s="53">
        <v>1</v>
      </c>
      <c r="I191" s="141">
        <v>15</v>
      </c>
      <c r="J191" s="54">
        <f t="shared" si="28"/>
        <v>215</v>
      </c>
      <c r="K191" s="54">
        <f>IF(A191=0,VLOOKUP(D191,'03. Insumos'!A:F,4,0),"")</f>
        <v>215</v>
      </c>
      <c r="L191" s="274">
        <f>H191*J191*I191</f>
        <v>3225</v>
      </c>
      <c r="M191" s="153">
        <f t="shared" si="20"/>
        <v>8.8231404123896465E-4</v>
      </c>
      <c r="O191" s="148"/>
      <c r="R191" s="12"/>
    </row>
    <row r="192" spans="1:18" s="51" customFormat="1" ht="13.5" customHeight="1" outlineLevel="1" x14ac:dyDescent="0.3">
      <c r="A192" s="290">
        <f t="shared" si="21"/>
        <v>0</v>
      </c>
      <c r="B192" s="49"/>
      <c r="C192" s="49"/>
      <c r="D192" s="140" t="s">
        <v>133</v>
      </c>
      <c r="E192" s="49" t="str">
        <f>VLOOKUP(D192,'03. Insumos'!A:D,2,0)</f>
        <v>Projeto, Ampliação em Estrutura Metálica, Reforço de Paredes internas</v>
      </c>
      <c r="F192" s="52" t="s">
        <v>2612</v>
      </c>
      <c r="G192" s="52" t="str">
        <f>VLOOKUP(D192,'03. Insumos'!A:F,3,0)</f>
        <v>vb</v>
      </c>
      <c r="H192" s="53">
        <v>1</v>
      </c>
      <c r="I192" s="141">
        <f>(15*0.09)+(20*0.05)</f>
        <v>2.3499999999999996</v>
      </c>
      <c r="J192" s="54">
        <f t="shared" si="28"/>
        <v>107600</v>
      </c>
      <c r="K192" s="54">
        <f>IF(A192=0,VLOOKUP(D192,'03. Insumos'!A:F,4,0),"")</f>
        <v>107600</v>
      </c>
      <c r="L192" s="274">
        <f t="shared" ref="L192:L200" si="29">H192*J192*I192</f>
        <v>252859.99999999997</v>
      </c>
      <c r="M192" s="153">
        <f t="shared" si="20"/>
        <v>6.917889254811925E-2</v>
      </c>
      <c r="O192" s="148">
        <f t="shared" si="27"/>
        <v>252859.99999999997</v>
      </c>
      <c r="R192" s="12">
        <f t="shared" si="23"/>
        <v>-3133.9805825242802</v>
      </c>
    </row>
    <row r="193" spans="1:18" s="51" customFormat="1" ht="13.5" hidden="1" customHeight="1" outlineLevel="1" x14ac:dyDescent="0.3">
      <c r="A193" s="290">
        <f t="shared" si="21"/>
        <v>0</v>
      </c>
      <c r="B193" s="49"/>
      <c r="C193" s="49"/>
      <c r="D193" s="140" t="s">
        <v>134</v>
      </c>
      <c r="E193" s="49" t="str">
        <f>VLOOKUP(D193,'03. Insumos'!A:D,2,0)</f>
        <v>Bombeamento de concreto - até 40m³</v>
      </c>
      <c r="F193" s="52"/>
      <c r="G193" s="52" t="str">
        <f>VLOOKUP(D193,'03. Insumos'!A:F,3,0)</f>
        <v>dia</v>
      </c>
      <c r="H193" s="53">
        <v>1</v>
      </c>
      <c r="I193" s="141"/>
      <c r="J193" s="54">
        <f t="shared" si="28"/>
        <v>2400</v>
      </c>
      <c r="K193" s="54">
        <f>IF(A193=0,VLOOKUP(D193,'03. Insumos'!A:F,4,0),"")</f>
        <v>2400</v>
      </c>
      <c r="L193" s="274">
        <f t="shared" si="29"/>
        <v>0</v>
      </c>
      <c r="M193" s="153">
        <f t="shared" si="20"/>
        <v>0</v>
      </c>
      <c r="O193" s="148">
        <f t="shared" si="27"/>
        <v>0</v>
      </c>
      <c r="R193" s="12">
        <f t="shared" si="23"/>
        <v>-69.902912621359064</v>
      </c>
    </row>
    <row r="194" spans="1:18" s="51" customFormat="1" ht="13.5" hidden="1" customHeight="1" outlineLevel="1" x14ac:dyDescent="0.3">
      <c r="A194" s="290">
        <f t="shared" si="21"/>
        <v>0</v>
      </c>
      <c r="B194" s="49"/>
      <c r="C194" s="49"/>
      <c r="D194" s="140" t="s">
        <v>442</v>
      </c>
      <c r="E194" s="49" t="str">
        <f>VLOOKUP(D194,'03. Insumos'!A:D,2,0)</f>
        <v>Compactação com Sapinho</v>
      </c>
      <c r="F194" s="52"/>
      <c r="G194" s="52" t="str">
        <f>VLOOKUP(D194,'03. Insumos'!A:F,3,0)</f>
        <v>mês</v>
      </c>
      <c r="H194" s="53">
        <v>1</v>
      </c>
      <c r="I194" s="141"/>
      <c r="J194" s="54">
        <f t="shared" si="28"/>
        <v>520</v>
      </c>
      <c r="K194" s="54">
        <f>IF(A194=0,VLOOKUP(D194,'03. Insumos'!A:F,4,0),"")</f>
        <v>520</v>
      </c>
      <c r="L194" s="274">
        <f t="shared" si="29"/>
        <v>0</v>
      </c>
      <c r="M194" s="153">
        <f t="shared" si="20"/>
        <v>0</v>
      </c>
      <c r="O194" s="148">
        <f t="shared" si="27"/>
        <v>0</v>
      </c>
      <c r="R194" s="12">
        <f t="shared" si="23"/>
        <v>-15.145631067961176</v>
      </c>
    </row>
    <row r="195" spans="1:18" s="51" customFormat="1" ht="13.5" customHeight="1" outlineLevel="1" x14ac:dyDescent="0.3">
      <c r="A195" s="290">
        <f t="shared" si="21"/>
        <v>0</v>
      </c>
      <c r="B195" s="49"/>
      <c r="C195" s="49"/>
      <c r="D195" s="140" t="s">
        <v>179</v>
      </c>
      <c r="E195" s="49" t="str">
        <f>VLOOKUP(D195,'03. Insumos'!A:D,2,0)</f>
        <v>Ampliação em Estr. Metálica + Laje</v>
      </c>
      <c r="F195" s="52" t="s">
        <v>2612</v>
      </c>
      <c r="G195" s="52" t="str">
        <f>VLOOKUP(D195,'03. Insumos'!A:F,3,0)</f>
        <v>m²</v>
      </c>
      <c r="H195" s="53">
        <v>1</v>
      </c>
      <c r="I195" s="141">
        <f>I192*50</f>
        <v>117.49999999999999</v>
      </c>
      <c r="J195" s="54">
        <f t="shared" si="28"/>
        <v>628.23199999999997</v>
      </c>
      <c r="K195" s="54">
        <f>IF(A195=0,VLOOKUP(D195,'03. Insumos'!A:F,4,0),"")</f>
        <v>628.23199999999997</v>
      </c>
      <c r="L195" s="274">
        <f t="shared" si="29"/>
        <v>73817.259999999995</v>
      </c>
      <c r="M195" s="153">
        <f t="shared" si="20"/>
        <v>2.0195350382569727E-2</v>
      </c>
      <c r="O195" s="148">
        <f t="shared" si="27"/>
        <v>73817.259999999995</v>
      </c>
      <c r="R195" s="12">
        <f t="shared" si="23"/>
        <v>-18.298019417475757</v>
      </c>
    </row>
    <row r="196" spans="1:18" s="51" customFormat="1" ht="13.5" hidden="1" customHeight="1" outlineLevel="1" x14ac:dyDescent="0.3">
      <c r="A196" s="290">
        <f t="shared" si="21"/>
        <v>0</v>
      </c>
      <c r="B196" s="49"/>
      <c r="C196" s="49"/>
      <c r="D196" s="140" t="s">
        <v>441</v>
      </c>
      <c r="E196" s="49" t="str">
        <f>VLOOKUP(D196,'03. Insumos'!A:D,2,0)</f>
        <v>Lançamento de Concreto - Mat</v>
      </c>
      <c r="F196" s="52"/>
      <c r="G196" s="52" t="str">
        <f>VLOOKUP(D196,'03. Insumos'!A:F,3,0)</f>
        <v>Kg</v>
      </c>
      <c r="H196" s="53"/>
      <c r="I196" s="141">
        <f>I195</f>
        <v>117.49999999999999</v>
      </c>
      <c r="J196" s="54">
        <f t="shared" si="28"/>
        <v>1.48</v>
      </c>
      <c r="K196" s="54">
        <f>IF(A196=0,VLOOKUP(D196,'03. Insumos'!A:F,4,0),"")</f>
        <v>1.48</v>
      </c>
      <c r="L196" s="274">
        <f t="shared" si="29"/>
        <v>0</v>
      </c>
      <c r="M196" s="153">
        <f t="shared" si="20"/>
        <v>0</v>
      </c>
      <c r="O196" s="148">
        <f t="shared" si="27"/>
        <v>0</v>
      </c>
      <c r="R196" s="12">
        <f t="shared" si="23"/>
        <v>-4.3106796116504809E-2</v>
      </c>
    </row>
    <row r="197" spans="1:18" s="51" customFormat="1" ht="13.5" hidden="1" customHeight="1" outlineLevel="1" x14ac:dyDescent="0.3">
      <c r="A197" s="290">
        <f t="shared" si="21"/>
        <v>0</v>
      </c>
      <c r="B197" s="49"/>
      <c r="C197" s="49"/>
      <c r="D197" s="140" t="s">
        <v>2260</v>
      </c>
      <c r="E197" s="49" t="str">
        <f>VLOOKUP(D197,'03. Insumos'!A:D,2,0)</f>
        <v>Forma (Mat - Chapa plastificada 12 mm+ perna 3'+ tábua)</v>
      </c>
      <c r="F197" s="52"/>
      <c r="G197" s="52" t="str">
        <f>VLOOKUP(D197,'03. Insumos'!A:F,3,0)</f>
        <v>m²</v>
      </c>
      <c r="H197" s="53">
        <v>1</v>
      </c>
      <c r="I197" s="141"/>
      <c r="J197" s="54">
        <f t="shared" si="28"/>
        <v>27.42</v>
      </c>
      <c r="K197" s="54">
        <f>IF(A197=0,VLOOKUP(D197,'03. Insumos'!A:F,4,0),"")</f>
        <v>27.42</v>
      </c>
      <c r="L197" s="274">
        <f t="shared" si="29"/>
        <v>0</v>
      </c>
      <c r="M197" s="153">
        <f t="shared" si="20"/>
        <v>0</v>
      </c>
      <c r="O197" s="148">
        <f t="shared" si="27"/>
        <v>0</v>
      </c>
      <c r="R197" s="12">
        <f t="shared" si="23"/>
        <v>-0.79864077669903111</v>
      </c>
    </row>
    <row r="198" spans="1:18" s="51" customFormat="1" ht="13.5" hidden="1" customHeight="1" outlineLevel="1" x14ac:dyDescent="0.3">
      <c r="A198" s="290">
        <f t="shared" si="21"/>
        <v>0</v>
      </c>
      <c r="B198" s="49"/>
      <c r="C198" s="49"/>
      <c r="D198" s="140" t="s">
        <v>454</v>
      </c>
      <c r="E198" s="49" t="str">
        <f>VLOOKUP(D198,'03. Insumos'!A:D,2,0)</f>
        <v>Escavação Manual</v>
      </c>
      <c r="F198" s="52"/>
      <c r="G198" s="52" t="str">
        <f>VLOOKUP(D198,'03. Insumos'!A:F,3,0)</f>
        <v>m³</v>
      </c>
      <c r="H198" s="53">
        <v>1</v>
      </c>
      <c r="I198" s="141"/>
      <c r="J198" s="54">
        <f t="shared" si="28"/>
        <v>150</v>
      </c>
      <c r="K198" s="54">
        <f>IF(A198=0,VLOOKUP(D198,'03. Insumos'!A:F,4,0),"")</f>
        <v>150</v>
      </c>
      <c r="L198" s="274">
        <f t="shared" si="29"/>
        <v>0</v>
      </c>
      <c r="M198" s="153">
        <f t="shared" si="20"/>
        <v>0</v>
      </c>
      <c r="O198" s="148">
        <f t="shared" si="27"/>
        <v>0</v>
      </c>
      <c r="P198" s="194"/>
      <c r="Q198" s="194"/>
      <c r="R198" s="12">
        <f t="shared" si="23"/>
        <v>-4.3689320388349415</v>
      </c>
    </row>
    <row r="199" spans="1:18" s="51" customFormat="1" ht="13.5" hidden="1" customHeight="1" outlineLevel="1" x14ac:dyDescent="0.3">
      <c r="A199" s="290">
        <f t="shared" si="21"/>
        <v>0</v>
      </c>
      <c r="B199" s="49"/>
      <c r="C199" s="49"/>
      <c r="D199" s="140" t="s">
        <v>2240</v>
      </c>
      <c r="E199" s="49" t="str">
        <f>VLOOKUP(D199,'03. Insumos'!A:D,2,0)</f>
        <v>Reaterro manual</v>
      </c>
      <c r="F199" s="52"/>
      <c r="G199" s="52" t="str">
        <f>VLOOKUP(D199,'03. Insumos'!A:F,3,0)</f>
        <v>m³</v>
      </c>
      <c r="H199" s="53">
        <v>2</v>
      </c>
      <c r="I199" s="141"/>
      <c r="J199" s="54">
        <f t="shared" si="28"/>
        <v>80</v>
      </c>
      <c r="K199" s="54">
        <f>IF(A199=0,VLOOKUP(D199,'03. Insumos'!A:F,4,0),"")</f>
        <v>80</v>
      </c>
      <c r="L199" s="274">
        <f>H199*J199*I199</f>
        <v>0</v>
      </c>
      <c r="M199" s="153">
        <f t="shared" si="20"/>
        <v>0</v>
      </c>
      <c r="O199" s="148"/>
      <c r="P199" s="194"/>
      <c r="Q199" s="194"/>
      <c r="R199" s="12"/>
    </row>
    <row r="200" spans="1:18" s="51" customFormat="1" ht="13.5" hidden="1" customHeight="1" outlineLevel="1" x14ac:dyDescent="0.3">
      <c r="A200" s="290">
        <f t="shared" si="21"/>
        <v>0</v>
      </c>
      <c r="B200" s="49"/>
      <c r="C200" s="49"/>
      <c r="D200" s="140" t="s">
        <v>455</v>
      </c>
      <c r="E200" s="49" t="str">
        <f>VLOOKUP(D200,'03. Insumos'!A:D,2,0)</f>
        <v>Acerto de Terreno MAT+MO</v>
      </c>
      <c r="F200" s="52"/>
      <c r="G200" s="52" t="str">
        <f>VLOOKUP(D200,'03. Insumos'!A:F,3,0)</f>
        <v>m²</v>
      </c>
      <c r="H200" s="53">
        <v>1</v>
      </c>
      <c r="I200" s="141"/>
      <c r="J200" s="54">
        <f t="shared" si="28"/>
        <v>20</v>
      </c>
      <c r="K200" s="54">
        <f>IF(A200=0,VLOOKUP(D200,'03. Insumos'!A:F,4,0),"")</f>
        <v>20</v>
      </c>
      <c r="L200" s="274">
        <f t="shared" si="29"/>
        <v>0</v>
      </c>
      <c r="M200" s="153">
        <f t="shared" si="20"/>
        <v>0</v>
      </c>
      <c r="O200" s="148">
        <f t="shared" si="27"/>
        <v>0</v>
      </c>
      <c r="R200" s="12">
        <f t="shared" si="23"/>
        <v>-0.58252427184466171</v>
      </c>
    </row>
    <row r="201" spans="1:18" ht="13.5" hidden="1" customHeight="1" outlineLevel="1" x14ac:dyDescent="0.3">
      <c r="A201" s="290">
        <f t="shared" si="21"/>
        <v>6</v>
      </c>
      <c r="B201" s="4"/>
      <c r="C201" s="4" t="s">
        <v>931</v>
      </c>
      <c r="D201" s="4" t="s">
        <v>1345</v>
      </c>
      <c r="E201" s="4"/>
      <c r="F201" s="2"/>
      <c r="G201" s="2" t="s">
        <v>29</v>
      </c>
      <c r="H201" s="29">
        <v>1</v>
      </c>
      <c r="I201" s="29"/>
      <c r="J201" s="27">
        <f t="shared" si="28"/>
        <v>0</v>
      </c>
      <c r="K201" s="27" t="str">
        <f>IF(A201=0,VLOOKUP(D201,'03. Insumos'!A:F,4,0),"")</f>
        <v/>
      </c>
      <c r="L201" s="27">
        <f>SUM(L202:L202)</f>
        <v>0</v>
      </c>
      <c r="M201" s="153">
        <f t="shared" si="20"/>
        <v>0</v>
      </c>
      <c r="O201" s="148">
        <f t="shared" si="27"/>
        <v>0</v>
      </c>
      <c r="R201" s="12">
        <f t="shared" si="23"/>
        <v>0</v>
      </c>
    </row>
    <row r="202" spans="1:18" s="51" customFormat="1" ht="13.5" hidden="1" customHeight="1" outlineLevel="1" x14ac:dyDescent="0.3">
      <c r="A202" s="290">
        <f t="shared" si="21"/>
        <v>0</v>
      </c>
      <c r="B202" s="49"/>
      <c r="C202" s="49"/>
      <c r="D202" s="140" t="s">
        <v>443</v>
      </c>
      <c r="E202" s="49" t="str">
        <f>VLOOKUP(D202,'03. Insumos'!A:D,2,0)</f>
        <v>Bota Fora</v>
      </c>
      <c r="F202" s="52"/>
      <c r="G202" s="52" t="str">
        <f>VLOOKUP(D202,'03. Insumos'!A:F,3,0)</f>
        <v>m³</v>
      </c>
      <c r="H202" s="53">
        <v>1</v>
      </c>
      <c r="I202" s="141"/>
      <c r="J202" s="54">
        <f t="shared" si="28"/>
        <v>57.142857142857146</v>
      </c>
      <c r="K202" s="54">
        <f>IF(A202=0,VLOOKUP(D202,'03. Insumos'!A:F,4,0),"")</f>
        <v>57.142857142857146</v>
      </c>
      <c r="L202" s="274">
        <f>H202*J202*I202</f>
        <v>0</v>
      </c>
      <c r="M202" s="153">
        <f t="shared" si="20"/>
        <v>0</v>
      </c>
      <c r="O202" s="148">
        <f t="shared" si="27"/>
        <v>0</v>
      </c>
      <c r="R202" s="12">
        <f t="shared" si="23"/>
        <v>-1.6643550624133141</v>
      </c>
    </row>
    <row r="203" spans="1:18" ht="13.5" hidden="1" customHeight="1" outlineLevel="1" x14ac:dyDescent="0.3">
      <c r="A203" s="290">
        <f t="shared" si="21"/>
        <v>6</v>
      </c>
      <c r="B203" s="4"/>
      <c r="C203" s="4" t="s">
        <v>1346</v>
      </c>
      <c r="D203" s="4" t="s">
        <v>1330</v>
      </c>
      <c r="E203" s="4"/>
      <c r="F203" s="2"/>
      <c r="G203" s="2" t="s">
        <v>29</v>
      </c>
      <c r="H203" s="29">
        <v>1</v>
      </c>
      <c r="I203" s="29"/>
      <c r="J203" s="27">
        <f t="shared" si="28"/>
        <v>0</v>
      </c>
      <c r="K203" s="27" t="str">
        <f>IF(A203=0,VLOOKUP(D203,'03. Insumos'!A:F,4,0),"")</f>
        <v/>
      </c>
      <c r="L203" s="27">
        <f>SUM(L204:L211)</f>
        <v>0</v>
      </c>
      <c r="M203" s="153">
        <f t="shared" si="20"/>
        <v>0</v>
      </c>
      <c r="O203" s="148">
        <f t="shared" si="27"/>
        <v>0</v>
      </c>
      <c r="R203" s="12">
        <f t="shared" si="23"/>
        <v>0</v>
      </c>
    </row>
    <row r="204" spans="1:18" s="51" customFormat="1" ht="13.5" hidden="1" customHeight="1" outlineLevel="1" x14ac:dyDescent="0.3">
      <c r="A204" s="290">
        <f t="shared" si="21"/>
        <v>0</v>
      </c>
      <c r="B204" s="49"/>
      <c r="C204" s="49"/>
      <c r="D204" s="140" t="s">
        <v>133</v>
      </c>
      <c r="E204" s="49" t="str">
        <f>VLOOKUP(D204,'03. Insumos'!A:D,2,0)</f>
        <v>Projeto, Ampliação em Estrutura Metálica, Reforço de Paredes internas</v>
      </c>
      <c r="F204" s="52"/>
      <c r="G204" s="52" t="str">
        <f>VLOOKUP(D204,'03. Insumos'!A:F,3,0)</f>
        <v>vb</v>
      </c>
      <c r="H204" s="53">
        <v>1</v>
      </c>
      <c r="I204" s="141"/>
      <c r="J204" s="54">
        <f t="shared" si="28"/>
        <v>107600</v>
      </c>
      <c r="K204" s="54">
        <f>IF(A204=0,VLOOKUP(D204,'03. Insumos'!A:F,4,0),"")</f>
        <v>107600</v>
      </c>
      <c r="L204" s="274">
        <f t="shared" ref="L204:L211" si="30">H204*J204*I204</f>
        <v>0</v>
      </c>
      <c r="M204" s="153">
        <f t="shared" si="20"/>
        <v>0</v>
      </c>
      <c r="O204" s="148">
        <f t="shared" si="27"/>
        <v>0</v>
      </c>
      <c r="R204" s="12">
        <f t="shared" si="23"/>
        <v>-3133.9805825242802</v>
      </c>
    </row>
    <row r="205" spans="1:18" s="51" customFormat="1" ht="13.5" hidden="1" customHeight="1" outlineLevel="1" x14ac:dyDescent="0.3">
      <c r="A205" s="290">
        <f t="shared" si="21"/>
        <v>0</v>
      </c>
      <c r="B205" s="49"/>
      <c r="C205" s="49"/>
      <c r="D205" s="140" t="s">
        <v>134</v>
      </c>
      <c r="E205" s="49" t="str">
        <f>VLOOKUP(D205,'03. Insumos'!A:D,2,0)</f>
        <v>Bombeamento de concreto - até 40m³</v>
      </c>
      <c r="F205" s="52"/>
      <c r="G205" s="52" t="str">
        <f>VLOOKUP(D205,'03. Insumos'!A:F,3,0)</f>
        <v>dia</v>
      </c>
      <c r="H205" s="53">
        <v>1</v>
      </c>
      <c r="I205" s="141">
        <f>I204</f>
        <v>0</v>
      </c>
      <c r="J205" s="54">
        <f t="shared" si="28"/>
        <v>2400</v>
      </c>
      <c r="K205" s="54">
        <f>IF(A205=0,VLOOKUP(D205,'03. Insumos'!A:F,4,0),"")</f>
        <v>2400</v>
      </c>
      <c r="L205" s="274">
        <f t="shared" si="30"/>
        <v>0</v>
      </c>
      <c r="M205" s="153">
        <f t="shared" si="20"/>
        <v>0</v>
      </c>
      <c r="O205" s="148">
        <f t="shared" si="27"/>
        <v>0</v>
      </c>
      <c r="R205" s="12">
        <f t="shared" si="23"/>
        <v>-69.902912621359064</v>
      </c>
    </row>
    <row r="206" spans="1:18" s="51" customFormat="1" ht="13.5" hidden="1" customHeight="1" outlineLevel="1" x14ac:dyDescent="0.3">
      <c r="A206" s="290">
        <f t="shared" si="21"/>
        <v>0</v>
      </c>
      <c r="B206" s="49"/>
      <c r="C206" s="49"/>
      <c r="D206" s="140" t="s">
        <v>442</v>
      </c>
      <c r="E206" s="49" t="str">
        <f>VLOOKUP(D206,'03. Insumos'!A:D,2,0)</f>
        <v>Compactação com Sapinho</v>
      </c>
      <c r="F206" s="52"/>
      <c r="G206" s="52" t="str">
        <f>VLOOKUP(D206,'03. Insumos'!A:F,3,0)</f>
        <v>mês</v>
      </c>
      <c r="H206" s="53">
        <v>1</v>
      </c>
      <c r="I206" s="141">
        <f>I204</f>
        <v>0</v>
      </c>
      <c r="J206" s="54">
        <f t="shared" si="28"/>
        <v>520</v>
      </c>
      <c r="K206" s="54">
        <f>IF(A206=0,VLOOKUP(D206,'03. Insumos'!A:F,4,0),"")</f>
        <v>520</v>
      </c>
      <c r="L206" s="274">
        <f t="shared" si="30"/>
        <v>0</v>
      </c>
      <c r="M206" s="153">
        <f t="shared" si="20"/>
        <v>0</v>
      </c>
      <c r="O206" s="148">
        <f t="shared" si="27"/>
        <v>0</v>
      </c>
      <c r="R206" s="12">
        <f t="shared" si="23"/>
        <v>-15.145631067961176</v>
      </c>
    </row>
    <row r="207" spans="1:18" s="51" customFormat="1" ht="13.5" hidden="1" customHeight="1" outlineLevel="1" x14ac:dyDescent="0.3">
      <c r="A207" s="290">
        <f t="shared" si="21"/>
        <v>0</v>
      </c>
      <c r="B207" s="49"/>
      <c r="C207" s="49"/>
      <c r="D207" s="140" t="s">
        <v>179</v>
      </c>
      <c r="E207" s="49" t="str">
        <f>VLOOKUP(D207,'03. Insumos'!A:D,2,0)</f>
        <v>Ampliação em Estr. Metálica + Laje</v>
      </c>
      <c r="F207" s="52"/>
      <c r="G207" s="52" t="str">
        <f>VLOOKUP(D207,'03. Insumos'!A:F,3,0)</f>
        <v>m²</v>
      </c>
      <c r="H207" s="53">
        <v>1</v>
      </c>
      <c r="I207" s="141">
        <f>I204*80</f>
        <v>0</v>
      </c>
      <c r="J207" s="54">
        <f t="shared" si="28"/>
        <v>628.23199999999997</v>
      </c>
      <c r="K207" s="54">
        <f>IF(A207=0,VLOOKUP(D207,'03. Insumos'!A:F,4,0),"")</f>
        <v>628.23199999999997</v>
      </c>
      <c r="L207" s="274">
        <f t="shared" si="30"/>
        <v>0</v>
      </c>
      <c r="M207" s="153">
        <f t="shared" si="20"/>
        <v>0</v>
      </c>
      <c r="O207" s="148">
        <f t="shared" si="27"/>
        <v>0</v>
      </c>
      <c r="R207" s="12">
        <f t="shared" si="23"/>
        <v>-18.298019417475757</v>
      </c>
    </row>
    <row r="208" spans="1:18" s="51" customFormat="1" ht="13.5" hidden="1" customHeight="1" outlineLevel="1" x14ac:dyDescent="0.3">
      <c r="A208" s="290">
        <f t="shared" si="21"/>
        <v>0</v>
      </c>
      <c r="B208" s="49"/>
      <c r="C208" s="49"/>
      <c r="D208" s="140" t="s">
        <v>441</v>
      </c>
      <c r="E208" s="49" t="str">
        <f>VLOOKUP(D208,'03. Insumos'!A:D,2,0)</f>
        <v>Lançamento de Concreto - Mat</v>
      </c>
      <c r="F208" s="52"/>
      <c r="G208" s="52" t="str">
        <f>VLOOKUP(D208,'03. Insumos'!A:F,3,0)</f>
        <v>Kg</v>
      </c>
      <c r="H208" s="53">
        <v>1</v>
      </c>
      <c r="I208" s="141">
        <f>I207</f>
        <v>0</v>
      </c>
      <c r="J208" s="54">
        <f t="shared" si="28"/>
        <v>1.48</v>
      </c>
      <c r="K208" s="54">
        <f>IF(A208=0,VLOOKUP(D208,'03. Insumos'!A:F,4,0),"")</f>
        <v>1.48</v>
      </c>
      <c r="L208" s="274">
        <f t="shared" si="30"/>
        <v>0</v>
      </c>
      <c r="M208" s="153">
        <f t="shared" si="20"/>
        <v>0</v>
      </c>
      <c r="O208" s="148">
        <f t="shared" si="27"/>
        <v>0</v>
      </c>
      <c r="R208" s="12">
        <f t="shared" si="23"/>
        <v>-4.3106796116504809E-2</v>
      </c>
    </row>
    <row r="209" spans="1:18" s="51" customFormat="1" ht="13.5" hidden="1" customHeight="1" outlineLevel="1" x14ac:dyDescent="0.3">
      <c r="A209" s="290">
        <f t="shared" si="21"/>
        <v>0</v>
      </c>
      <c r="B209" s="49"/>
      <c r="C209" s="49"/>
      <c r="D209" s="140" t="s">
        <v>238</v>
      </c>
      <c r="E209" s="49" t="str">
        <f>VLOOKUP(D209,'03. Insumos'!A:D,2,0)</f>
        <v>Forma MAT+MO</v>
      </c>
      <c r="F209" s="52"/>
      <c r="G209" s="52" t="str">
        <f>VLOOKUP(D209,'03. Insumos'!A:F,3,0)</f>
        <v>m²</v>
      </c>
      <c r="H209" s="53">
        <v>1</v>
      </c>
      <c r="I209" s="141">
        <f>I204*5</f>
        <v>0</v>
      </c>
      <c r="J209" s="54">
        <f t="shared" si="28"/>
        <v>78</v>
      </c>
      <c r="K209" s="54">
        <f>IF(A209=0,VLOOKUP(D209,'03. Insumos'!A:F,4,0),"")</f>
        <v>78</v>
      </c>
      <c r="L209" s="274">
        <f t="shared" si="30"/>
        <v>0</v>
      </c>
      <c r="M209" s="153">
        <f t="shared" si="20"/>
        <v>0</v>
      </c>
      <c r="O209" s="148">
        <f t="shared" si="27"/>
        <v>0</v>
      </c>
      <c r="R209" s="12">
        <f t="shared" si="23"/>
        <v>-2.2718446601941764</v>
      </c>
    </row>
    <row r="210" spans="1:18" s="51" customFormat="1" ht="13.5" hidden="1" customHeight="1" outlineLevel="1" x14ac:dyDescent="0.3">
      <c r="A210" s="290">
        <f t="shared" si="21"/>
        <v>0</v>
      </c>
      <c r="B210" s="49"/>
      <c r="C210" s="49"/>
      <c r="D210" s="140" t="s">
        <v>454</v>
      </c>
      <c r="E210" s="49" t="str">
        <f>VLOOKUP(D210,'03. Insumos'!A:D,2,0)</f>
        <v>Escavação Manual</v>
      </c>
      <c r="F210" s="52"/>
      <c r="G210" s="52" t="str">
        <f>VLOOKUP(D210,'03. Insumos'!A:F,3,0)</f>
        <v>m³</v>
      </c>
      <c r="H210" s="53">
        <v>1</v>
      </c>
      <c r="I210" s="141">
        <f>I204</f>
        <v>0</v>
      </c>
      <c r="J210" s="54">
        <f t="shared" si="28"/>
        <v>150</v>
      </c>
      <c r="K210" s="54">
        <f>IF(A210=0,VLOOKUP(D210,'03. Insumos'!A:F,4,0),"")</f>
        <v>150</v>
      </c>
      <c r="L210" s="274">
        <f t="shared" si="30"/>
        <v>0</v>
      </c>
      <c r="M210" s="153">
        <f t="shared" si="20"/>
        <v>0</v>
      </c>
      <c r="O210" s="148">
        <f t="shared" si="27"/>
        <v>0</v>
      </c>
      <c r="P210" s="194"/>
      <c r="Q210" s="194"/>
      <c r="R210" s="12">
        <f t="shared" si="23"/>
        <v>-4.3689320388349415</v>
      </c>
    </row>
    <row r="211" spans="1:18" s="51" customFormat="1" ht="13.5" hidden="1" customHeight="1" outlineLevel="1" x14ac:dyDescent="0.3">
      <c r="A211" s="290">
        <f t="shared" si="21"/>
        <v>0</v>
      </c>
      <c r="B211" s="49"/>
      <c r="C211" s="49"/>
      <c r="D211" s="140" t="s">
        <v>455</v>
      </c>
      <c r="E211" s="49" t="str">
        <f>VLOOKUP(D211,'03. Insumos'!A:D,2,0)</f>
        <v>Acerto de Terreno MAT+MO</v>
      </c>
      <c r="F211" s="52"/>
      <c r="G211" s="52" t="str">
        <f>VLOOKUP(D211,'03. Insumos'!A:F,3,0)</f>
        <v>m²</v>
      </c>
      <c r="H211" s="53">
        <v>1</v>
      </c>
      <c r="I211" s="141"/>
      <c r="J211" s="54">
        <f t="shared" si="28"/>
        <v>20</v>
      </c>
      <c r="K211" s="54">
        <f>IF(A211=0,VLOOKUP(D211,'03. Insumos'!A:F,4,0),"")</f>
        <v>20</v>
      </c>
      <c r="L211" s="274">
        <f t="shared" si="30"/>
        <v>0</v>
      </c>
      <c r="M211" s="153">
        <f t="shared" si="20"/>
        <v>0</v>
      </c>
      <c r="O211" s="148">
        <f t="shared" si="27"/>
        <v>0</v>
      </c>
      <c r="R211" s="12">
        <f t="shared" si="23"/>
        <v>-0.58252427184466171</v>
      </c>
    </row>
    <row r="212" spans="1:18" ht="13.5" hidden="1" customHeight="1" outlineLevel="1" x14ac:dyDescent="0.3">
      <c r="A212" s="290">
        <f t="shared" si="21"/>
        <v>6</v>
      </c>
      <c r="B212" s="4"/>
      <c r="C212" s="4" t="s">
        <v>1347</v>
      </c>
      <c r="D212" s="4" t="s">
        <v>1348</v>
      </c>
      <c r="E212" s="4"/>
      <c r="F212" s="2"/>
      <c r="G212" s="2" t="s">
        <v>29</v>
      </c>
      <c r="H212" s="29">
        <v>1</v>
      </c>
      <c r="I212" s="29"/>
      <c r="J212" s="27">
        <f t="shared" si="28"/>
        <v>0</v>
      </c>
      <c r="K212" s="27" t="str">
        <f>IF(A212=0,VLOOKUP(D212,'03. Insumos'!A:F,4,0),"")</f>
        <v/>
      </c>
      <c r="L212" s="27">
        <f>SUM(L213:L213)</f>
        <v>0</v>
      </c>
      <c r="M212" s="153">
        <f t="shared" si="20"/>
        <v>0</v>
      </c>
      <c r="O212" s="148">
        <f t="shared" si="27"/>
        <v>0</v>
      </c>
      <c r="R212" s="12">
        <f t="shared" si="23"/>
        <v>0</v>
      </c>
    </row>
    <row r="213" spans="1:18" s="51" customFormat="1" ht="13.5" hidden="1" customHeight="1" outlineLevel="1" x14ac:dyDescent="0.3">
      <c r="A213" s="290">
        <f t="shared" si="21"/>
        <v>0</v>
      </c>
      <c r="B213" s="49"/>
      <c r="C213" s="49"/>
      <c r="D213" s="140" t="s">
        <v>443</v>
      </c>
      <c r="E213" s="49" t="str">
        <f>VLOOKUP(D213,'03. Insumos'!A:D,2,0)</f>
        <v>Bota Fora</v>
      </c>
      <c r="F213" s="52"/>
      <c r="G213" s="52" t="str">
        <f>VLOOKUP(D213,'03. Insumos'!A:F,3,0)</f>
        <v>m³</v>
      </c>
      <c r="H213" s="53">
        <v>1</v>
      </c>
      <c r="I213" s="141">
        <f>I204*1.3</f>
        <v>0</v>
      </c>
      <c r="J213" s="54">
        <f t="shared" si="28"/>
        <v>57.142857142857146</v>
      </c>
      <c r="K213" s="54">
        <f>IF(A213=0,VLOOKUP(D213,'03. Insumos'!A:F,4,0),"")</f>
        <v>57.142857142857146</v>
      </c>
      <c r="L213" s="274">
        <f>H213*J213*I213</f>
        <v>0</v>
      </c>
      <c r="M213" s="153">
        <f t="shared" si="20"/>
        <v>0</v>
      </c>
      <c r="O213" s="148">
        <f t="shared" si="27"/>
        <v>0</v>
      </c>
      <c r="R213" s="12">
        <f t="shared" si="23"/>
        <v>-1.6643550624133141</v>
      </c>
    </row>
    <row r="214" spans="1:18" s="18" customFormat="1" ht="13.5" customHeight="1" x14ac:dyDescent="0.3">
      <c r="A214" s="290">
        <f t="shared" si="21"/>
        <v>3</v>
      </c>
      <c r="B214" s="35"/>
      <c r="C214" s="35" t="s">
        <v>345</v>
      </c>
      <c r="D214" s="35" t="s">
        <v>942</v>
      </c>
      <c r="E214" s="35"/>
      <c r="F214" s="36"/>
      <c r="G214" s="36"/>
      <c r="H214" s="37"/>
      <c r="I214" s="37"/>
      <c r="J214" s="38"/>
      <c r="K214" s="38"/>
      <c r="L214" s="38">
        <f>SUMIF(A215:A255,4,L215:L255)</f>
        <v>2456994.7357600001</v>
      </c>
      <c r="M214" s="153">
        <f t="shared" si="20"/>
        <v>0.67219874561589699</v>
      </c>
      <c r="O214" s="148">
        <f t="shared" si="27"/>
        <v>0</v>
      </c>
      <c r="R214" s="12">
        <f t="shared" si="23"/>
        <v>0</v>
      </c>
    </row>
    <row r="215" spans="1:18" s="18" customFormat="1" ht="5.4" customHeight="1" outlineLevel="1" x14ac:dyDescent="0.3">
      <c r="A215" s="290">
        <f t="shared" si="21"/>
        <v>0</v>
      </c>
      <c r="B215" s="63"/>
      <c r="C215" s="63"/>
      <c r="D215" s="63"/>
      <c r="E215" s="63"/>
      <c r="F215" s="64"/>
      <c r="G215" s="64"/>
      <c r="H215" s="65"/>
      <c r="I215" s="65"/>
      <c r="J215" s="66"/>
      <c r="K215" s="66" t="e">
        <f>IF(A215=0,VLOOKUP(D215,'03. Insumos'!A:F,4,0),"")</f>
        <v>#N/A</v>
      </c>
      <c r="L215" s="66"/>
      <c r="M215" s="153">
        <f t="shared" si="20"/>
        <v>0</v>
      </c>
      <c r="O215" s="148">
        <f t="shared" si="27"/>
        <v>0</v>
      </c>
      <c r="R215" s="12">
        <f t="shared" si="23"/>
        <v>0</v>
      </c>
    </row>
    <row r="216" spans="1:18" s="18" customFormat="1" ht="13.5" customHeight="1" outlineLevel="1" x14ac:dyDescent="0.3">
      <c r="A216" s="290">
        <f t="shared" si="21"/>
        <v>4</v>
      </c>
      <c r="B216" s="45"/>
      <c r="C216" s="45" t="s">
        <v>379</v>
      </c>
      <c r="D216" s="45" t="s">
        <v>979</v>
      </c>
      <c r="E216" s="45"/>
      <c r="F216" s="60"/>
      <c r="G216" s="46"/>
      <c r="H216" s="47"/>
      <c r="I216" s="47"/>
      <c r="J216" s="48"/>
      <c r="K216" s="48" t="str">
        <f>IF(A216=0,VLOOKUP(D216,'03. Insumos'!A:F,4,0),"")</f>
        <v/>
      </c>
      <c r="L216" s="62">
        <f>SUMIF(A217:A255,6,L217:L255)</f>
        <v>2456994.7357600001</v>
      </c>
      <c r="M216" s="153">
        <f t="shared" si="20"/>
        <v>0.67219874561589699</v>
      </c>
      <c r="O216" s="148">
        <f t="shared" si="27"/>
        <v>0</v>
      </c>
      <c r="R216" s="12">
        <f t="shared" si="23"/>
        <v>0</v>
      </c>
    </row>
    <row r="217" spans="1:18" ht="13.5" customHeight="1" outlineLevel="1" x14ac:dyDescent="0.3">
      <c r="A217" s="290">
        <f t="shared" si="21"/>
        <v>6</v>
      </c>
      <c r="B217" s="4"/>
      <c r="C217" s="4" t="s">
        <v>939</v>
      </c>
      <c r="D217" s="4" t="s">
        <v>2277</v>
      </c>
      <c r="E217" s="4"/>
      <c r="F217" s="2"/>
      <c r="G217" s="2"/>
      <c r="H217" s="29"/>
      <c r="I217" s="29"/>
      <c r="J217" s="27"/>
      <c r="K217" s="27" t="str">
        <f>IF(A217=0,VLOOKUP(D217,'03. Insumos'!A:F,4,0),"")</f>
        <v/>
      </c>
      <c r="L217" s="27">
        <f>SUM(L218:L223)</f>
        <v>369225.91293600004</v>
      </c>
      <c r="M217" s="153">
        <f t="shared" ref="M217:M326" si="31">L217/$L$7</f>
        <v>0.10101494802254521</v>
      </c>
      <c r="O217" s="148">
        <f t="shared" si="27"/>
        <v>0</v>
      </c>
      <c r="R217" s="12">
        <f t="shared" si="23"/>
        <v>0</v>
      </c>
    </row>
    <row r="218" spans="1:18" s="51" customFormat="1" ht="13.5" customHeight="1" outlineLevel="1" x14ac:dyDescent="0.3">
      <c r="A218" s="290">
        <f t="shared" si="21"/>
        <v>0</v>
      </c>
      <c r="B218" s="49"/>
      <c r="C218" s="49"/>
      <c r="D218" s="140" t="s">
        <v>133</v>
      </c>
      <c r="E218" s="49" t="str">
        <f>VLOOKUP(D218,'03. Insumos'!A:D,2,0)</f>
        <v>Projeto, Ampliação em Estrutura Metálica, Reforço de Paredes internas</v>
      </c>
      <c r="F218" s="52" t="s">
        <v>2612</v>
      </c>
      <c r="G218" s="52" t="str">
        <f>VLOOKUP(D218,'03. Insumos'!A:F,3,0)</f>
        <v>vb</v>
      </c>
      <c r="H218" s="53">
        <v>1</v>
      </c>
      <c r="I218" s="141">
        <f>(14.12+3.27)*0.12</f>
        <v>2.0868000000000002</v>
      </c>
      <c r="J218" s="54">
        <f t="shared" ref="J218:J223" si="32">IFERROR(IF(K218&lt;&gt;0,K218*$K$5,0),0)</f>
        <v>107600</v>
      </c>
      <c r="K218" s="54">
        <f>IF(A218=0,VLOOKUP(D218,'03. Insumos'!A:F,4,0),"")</f>
        <v>107600</v>
      </c>
      <c r="L218" s="274">
        <f t="shared" ref="L218:L223" si="33">H218*J218*I218</f>
        <v>224539.68000000002</v>
      </c>
      <c r="M218" s="153">
        <f t="shared" si="31"/>
        <v>6.1430856582729905E-2</v>
      </c>
      <c r="O218" s="148">
        <f t="shared" si="27"/>
        <v>224539.68000000002</v>
      </c>
      <c r="R218" s="12">
        <f t="shared" si="23"/>
        <v>-3133.9805825242802</v>
      </c>
    </row>
    <row r="219" spans="1:18" s="51" customFormat="1" ht="13.5" hidden="1" customHeight="1" outlineLevel="1" x14ac:dyDescent="0.3">
      <c r="A219" s="290">
        <f t="shared" ref="A219:A328" si="34">LEN(C219)</f>
        <v>0</v>
      </c>
      <c r="B219" s="49"/>
      <c r="C219" s="49"/>
      <c r="D219" s="140" t="s">
        <v>2262</v>
      </c>
      <c r="E219" s="49" t="str">
        <f>VLOOKUP(D219,'03. Insumos'!A:D,2,0)</f>
        <v>Aterro com Areia</v>
      </c>
      <c r="F219" s="52"/>
      <c r="G219" s="52" t="str">
        <f>VLOOKUP(D219,'03. Insumos'!A:F,3,0)</f>
        <v>m³</v>
      </c>
      <c r="H219" s="53">
        <v>1</v>
      </c>
      <c r="I219" s="141"/>
      <c r="J219" s="54">
        <f t="shared" si="32"/>
        <v>400</v>
      </c>
      <c r="K219" s="54">
        <f>IF(A219=0,VLOOKUP(D219,'03. Insumos'!A:F,4,0),"")</f>
        <v>400</v>
      </c>
      <c r="L219" s="274">
        <f t="shared" si="33"/>
        <v>0</v>
      </c>
      <c r="M219" s="153">
        <f t="shared" si="31"/>
        <v>0</v>
      </c>
      <c r="O219" s="148">
        <f t="shared" si="27"/>
        <v>0</v>
      </c>
      <c r="R219" s="12">
        <f t="shared" si="23"/>
        <v>-11.650485436893234</v>
      </c>
    </row>
    <row r="220" spans="1:18" s="51" customFormat="1" ht="13.5" hidden="1" customHeight="1" outlineLevel="1" x14ac:dyDescent="0.3">
      <c r="A220" s="290">
        <f t="shared" si="34"/>
        <v>0</v>
      </c>
      <c r="B220" s="49"/>
      <c r="C220" s="49"/>
      <c r="D220" s="140" t="s">
        <v>442</v>
      </c>
      <c r="E220" s="49" t="str">
        <f>VLOOKUP(D220,'03. Insumos'!A:D,2,0)</f>
        <v>Compactação com Sapinho</v>
      </c>
      <c r="F220" s="52"/>
      <c r="G220" s="52" t="str">
        <f>VLOOKUP(D220,'03. Insumos'!A:F,3,0)</f>
        <v>mês</v>
      </c>
      <c r="H220" s="53">
        <v>1</v>
      </c>
      <c r="I220" s="141"/>
      <c r="J220" s="54">
        <f t="shared" si="32"/>
        <v>520</v>
      </c>
      <c r="K220" s="54">
        <f>IF(A220=0,VLOOKUP(D220,'03. Insumos'!A:F,4,0),"")</f>
        <v>520</v>
      </c>
      <c r="L220" s="274">
        <f t="shared" si="33"/>
        <v>0</v>
      </c>
      <c r="M220" s="153">
        <f t="shared" si="31"/>
        <v>0</v>
      </c>
      <c r="O220" s="148">
        <f t="shared" si="27"/>
        <v>0</v>
      </c>
      <c r="R220" s="12">
        <f t="shared" si="23"/>
        <v>-15.145631067961176</v>
      </c>
    </row>
    <row r="221" spans="1:18" s="51" customFormat="1" ht="13.5" customHeight="1" outlineLevel="1" x14ac:dyDescent="0.3">
      <c r="A221" s="290">
        <f t="shared" si="34"/>
        <v>0</v>
      </c>
      <c r="B221" s="49"/>
      <c r="C221" s="49"/>
      <c r="D221" s="140" t="s">
        <v>179</v>
      </c>
      <c r="E221" s="49" t="str">
        <f>VLOOKUP(D221,'03. Insumos'!A:D,2,0)</f>
        <v>Ampliação em Estr. Metálica + Laje</v>
      </c>
      <c r="F221" s="52" t="s">
        <v>2612</v>
      </c>
      <c r="G221" s="52" t="str">
        <f>VLOOKUP(D221,'03. Insumos'!A:F,3,0)</f>
        <v>m²</v>
      </c>
      <c r="H221" s="53">
        <v>1</v>
      </c>
      <c r="I221" s="141">
        <f>I218*110</f>
        <v>229.54800000000003</v>
      </c>
      <c r="J221" s="54">
        <f t="shared" si="32"/>
        <v>628.23199999999997</v>
      </c>
      <c r="K221" s="54">
        <f>IF(A221=0,VLOOKUP(D221,'03. Insumos'!A:F,4,0),"")</f>
        <v>628.23199999999997</v>
      </c>
      <c r="L221" s="274">
        <f t="shared" si="33"/>
        <v>144209.39913600002</v>
      </c>
      <c r="M221" s="153">
        <f t="shared" si="31"/>
        <v>3.9453636507388229E-2</v>
      </c>
      <c r="O221" s="148">
        <f t="shared" si="27"/>
        <v>144209.39913600002</v>
      </c>
      <c r="R221" s="12">
        <f t="shared" si="23"/>
        <v>-18.298019417475757</v>
      </c>
    </row>
    <row r="222" spans="1:18" s="51" customFormat="1" ht="13.5" hidden="1" customHeight="1" outlineLevel="1" x14ac:dyDescent="0.3">
      <c r="A222" s="290">
        <f t="shared" si="34"/>
        <v>0</v>
      </c>
      <c r="B222" s="49"/>
      <c r="C222" s="49"/>
      <c r="D222" s="140" t="s">
        <v>441</v>
      </c>
      <c r="E222" s="49" t="str">
        <f>VLOOKUP(D222,'03. Insumos'!A:D,2,0)</f>
        <v>Lançamento de Concreto - Mat</v>
      </c>
      <c r="F222" s="52"/>
      <c r="G222" s="52" t="str">
        <f>VLOOKUP(D222,'03. Insumos'!A:F,3,0)</f>
        <v>Kg</v>
      </c>
      <c r="H222" s="53">
        <v>1</v>
      </c>
      <c r="I222" s="141"/>
      <c r="J222" s="54">
        <f t="shared" si="32"/>
        <v>1.48</v>
      </c>
      <c r="K222" s="54">
        <f>IF(A222=0,VLOOKUP(D222,'03. Insumos'!A:F,4,0),"")</f>
        <v>1.48</v>
      </c>
      <c r="L222" s="274">
        <f t="shared" si="33"/>
        <v>0</v>
      </c>
      <c r="M222" s="153">
        <f t="shared" si="31"/>
        <v>0</v>
      </c>
      <c r="O222" s="148">
        <f t="shared" si="27"/>
        <v>0</v>
      </c>
      <c r="R222" s="12">
        <f t="shared" si="23"/>
        <v>-4.3106796116504809E-2</v>
      </c>
    </row>
    <row r="223" spans="1:18" s="51" customFormat="1" ht="13.5" customHeight="1" outlineLevel="1" x14ac:dyDescent="0.3">
      <c r="A223" s="290">
        <f t="shared" si="34"/>
        <v>0</v>
      </c>
      <c r="B223" s="49"/>
      <c r="C223" s="49"/>
      <c r="D223" s="140" t="s">
        <v>2260</v>
      </c>
      <c r="E223" s="49" t="str">
        <f>VLOOKUP(D223,'03. Insumos'!A:D,2,0)</f>
        <v>Forma (Mat - Chapa plastificada 12 mm+ perna 3'+ tábua)</v>
      </c>
      <c r="F223" s="52" t="s">
        <v>2612</v>
      </c>
      <c r="G223" s="52" t="str">
        <f>VLOOKUP(D223,'03. Insumos'!A:F,3,0)</f>
        <v>m²</v>
      </c>
      <c r="H223" s="53">
        <v>1</v>
      </c>
      <c r="I223" s="141">
        <f>(14.12+3.27)</f>
        <v>17.39</v>
      </c>
      <c r="J223" s="54">
        <f t="shared" si="32"/>
        <v>27.42</v>
      </c>
      <c r="K223" s="54">
        <f>IF(A223=0,VLOOKUP(D223,'03. Insumos'!A:F,4,0),"")</f>
        <v>27.42</v>
      </c>
      <c r="L223" s="274">
        <f t="shared" si="33"/>
        <v>476.83380000000005</v>
      </c>
      <c r="M223" s="153">
        <f t="shared" si="31"/>
        <v>1.3045493242707978E-4</v>
      </c>
      <c r="O223" s="148">
        <f t="shared" si="27"/>
        <v>476.83380000000005</v>
      </c>
      <c r="R223" s="12">
        <f t="shared" si="23"/>
        <v>-0.79864077669903111</v>
      </c>
    </row>
    <row r="224" spans="1:18" ht="13.5" customHeight="1" outlineLevel="1" x14ac:dyDescent="0.3">
      <c r="A224" s="290">
        <f t="shared" si="34"/>
        <v>6</v>
      </c>
      <c r="B224" s="4"/>
      <c r="C224" s="4" t="s">
        <v>1331</v>
      </c>
      <c r="D224" s="4" t="s">
        <v>2472</v>
      </c>
      <c r="E224" s="4"/>
      <c r="F224" s="2"/>
      <c r="G224" s="2"/>
      <c r="H224" s="29"/>
      <c r="I224" s="29"/>
      <c r="J224" s="27"/>
      <c r="K224" s="27" t="str">
        <f>IF(A224=0,VLOOKUP(D224,'03. Insumos'!A:F,4,0),"")</f>
        <v/>
      </c>
      <c r="L224" s="27">
        <f>SUM(L225:L230)</f>
        <v>631422.22282399994</v>
      </c>
      <c r="M224" s="153">
        <f t="shared" si="31"/>
        <v>0.17274812190633596</v>
      </c>
      <c r="O224" s="148">
        <f t="shared" si="27"/>
        <v>0</v>
      </c>
      <c r="R224" s="12">
        <f t="shared" ref="R224:R286" si="35">IF(J224&lt;&gt;0,J224/1.03-K224,0)</f>
        <v>0</v>
      </c>
    </row>
    <row r="225" spans="1:18" s="51" customFormat="1" ht="13.5" customHeight="1" outlineLevel="1" x14ac:dyDescent="0.3">
      <c r="A225" s="290">
        <f t="shared" si="34"/>
        <v>0</v>
      </c>
      <c r="B225" s="49"/>
      <c r="C225" s="49"/>
      <c r="D225" s="140" t="s">
        <v>133</v>
      </c>
      <c r="E225" s="49" t="str">
        <f>VLOOKUP(D225,'03. Insumos'!A:D,2,0)</f>
        <v>Projeto, Ampliação em Estrutura Metálica, Reforço de Paredes internas</v>
      </c>
      <c r="F225" s="52" t="s">
        <v>2612</v>
      </c>
      <c r="G225" s="52" t="str">
        <f>VLOOKUP(D225,'03. Insumos'!A:F,3,0)</f>
        <v>vb</v>
      </c>
      <c r="H225" s="53">
        <v>1</v>
      </c>
      <c r="I225" s="141">
        <f>(0.86*0.5*0.2*2)+(2.29*0.5*0.2)+(3.8*0.7*0.2)+(2*0.7*0.2)+(2.29*0.86*0.2)+(3.8*2*0.2)</f>
        <v>3.1268799999999999</v>
      </c>
      <c r="J225" s="54">
        <f t="shared" ref="J225:J230" si="36">IFERROR(IF(K225&lt;&gt;0,K225*$K$5,0),0)</f>
        <v>107600</v>
      </c>
      <c r="K225" s="54">
        <f>IF(A225=0,VLOOKUP(D225,'03. Insumos'!A:F,4,0),"")</f>
        <v>107600</v>
      </c>
      <c r="L225" s="274">
        <f t="shared" ref="L225:L230" si="37">H225*J225*I225</f>
        <v>336452.288</v>
      </c>
      <c r="M225" s="153">
        <f t="shared" si="31"/>
        <v>9.2048551289728997E-2</v>
      </c>
      <c r="O225" s="148">
        <f t="shared" si="27"/>
        <v>336452.288</v>
      </c>
      <c r="R225" s="12">
        <f t="shared" si="35"/>
        <v>-3133.9805825242802</v>
      </c>
    </row>
    <row r="226" spans="1:18" s="51" customFormat="1" ht="13.5" hidden="1" customHeight="1" outlineLevel="1" x14ac:dyDescent="0.3">
      <c r="A226" s="290">
        <f>LEN(C226)</f>
        <v>0</v>
      </c>
      <c r="B226" s="49"/>
      <c r="C226" s="49"/>
      <c r="D226" s="140" t="s">
        <v>2262</v>
      </c>
      <c r="E226" s="49" t="str">
        <f>VLOOKUP(D226,'03. Insumos'!A:D,2,0)</f>
        <v>Aterro com Areia</v>
      </c>
      <c r="F226" s="52"/>
      <c r="G226" s="52" t="str">
        <f>VLOOKUP(D226,'03. Insumos'!A:F,3,0)</f>
        <v>m³</v>
      </c>
      <c r="H226" s="53">
        <v>1</v>
      </c>
      <c r="I226" s="141"/>
      <c r="J226" s="54">
        <f t="shared" si="36"/>
        <v>400</v>
      </c>
      <c r="K226" s="54">
        <f>IF(A226=0,VLOOKUP(D226,'03. Insumos'!A:F,4,0),"")</f>
        <v>400</v>
      </c>
      <c r="L226" s="274">
        <f t="shared" si="37"/>
        <v>0</v>
      </c>
      <c r="M226" s="153">
        <f t="shared" si="31"/>
        <v>0</v>
      </c>
      <c r="O226" s="148">
        <f t="shared" si="27"/>
        <v>0</v>
      </c>
      <c r="R226" s="12">
        <f t="shared" si="35"/>
        <v>-11.650485436893234</v>
      </c>
    </row>
    <row r="227" spans="1:18" s="51" customFormat="1" ht="13.5" hidden="1" customHeight="1" outlineLevel="1" x14ac:dyDescent="0.3">
      <c r="A227" s="290">
        <f>LEN(C227)</f>
        <v>0</v>
      </c>
      <c r="B227" s="49"/>
      <c r="C227" s="49"/>
      <c r="D227" s="140" t="s">
        <v>442</v>
      </c>
      <c r="E227" s="49" t="str">
        <f>VLOOKUP(D227,'03. Insumos'!A:D,2,0)</f>
        <v>Compactação com Sapinho</v>
      </c>
      <c r="F227" s="52"/>
      <c r="G227" s="52" t="str">
        <f>VLOOKUP(D227,'03. Insumos'!A:F,3,0)</f>
        <v>mês</v>
      </c>
      <c r="H227" s="53">
        <v>1</v>
      </c>
      <c r="I227" s="141"/>
      <c r="J227" s="54">
        <f t="shared" si="36"/>
        <v>520</v>
      </c>
      <c r="K227" s="54">
        <f>IF(A227=0,VLOOKUP(D227,'03. Insumos'!A:F,4,0),"")</f>
        <v>520</v>
      </c>
      <c r="L227" s="274">
        <f t="shared" si="37"/>
        <v>0</v>
      </c>
      <c r="M227" s="153">
        <f t="shared" si="31"/>
        <v>0</v>
      </c>
      <c r="O227" s="148">
        <f t="shared" si="27"/>
        <v>0</v>
      </c>
      <c r="R227" s="12">
        <f t="shared" si="35"/>
        <v>-15.145631067961176</v>
      </c>
    </row>
    <row r="228" spans="1:18" s="51" customFormat="1" ht="13.5" customHeight="1" outlineLevel="1" x14ac:dyDescent="0.3">
      <c r="A228" s="290">
        <f>LEN(C228)</f>
        <v>0</v>
      </c>
      <c r="B228" s="49"/>
      <c r="C228" s="49"/>
      <c r="D228" s="140" t="s">
        <v>179</v>
      </c>
      <c r="E228" s="49" t="str">
        <f>VLOOKUP(D228,'03. Insumos'!A:D,2,0)</f>
        <v>Ampliação em Estr. Metálica + Laje</v>
      </c>
      <c r="F228" s="52" t="s">
        <v>2612</v>
      </c>
      <c r="G228" s="52" t="str">
        <f>VLOOKUP(D228,'03. Insumos'!A:F,3,0)</f>
        <v>m²</v>
      </c>
      <c r="H228" s="53">
        <v>1</v>
      </c>
      <c r="I228" s="141">
        <f>I225*150</f>
        <v>469.03199999999998</v>
      </c>
      <c r="J228" s="54">
        <f t="shared" si="36"/>
        <v>628.23199999999997</v>
      </c>
      <c r="K228" s="54">
        <f>IF(A228=0,VLOOKUP(D228,'03. Insumos'!A:F,4,0),"")</f>
        <v>628.23199999999997</v>
      </c>
      <c r="L228" s="274">
        <f t="shared" si="37"/>
        <v>294660.91142399999</v>
      </c>
      <c r="M228" s="153">
        <f t="shared" si="31"/>
        <v>8.0615026218191027E-2</v>
      </c>
      <c r="O228" s="148">
        <f t="shared" si="27"/>
        <v>294660.91142399999</v>
      </c>
      <c r="R228" s="12">
        <f t="shared" si="35"/>
        <v>-18.298019417475757</v>
      </c>
    </row>
    <row r="229" spans="1:18" s="51" customFormat="1" ht="13.5" hidden="1" customHeight="1" outlineLevel="1" x14ac:dyDescent="0.3">
      <c r="A229" s="290">
        <f>LEN(C229)</f>
        <v>0</v>
      </c>
      <c r="B229" s="49"/>
      <c r="C229" s="49"/>
      <c r="D229" s="140" t="s">
        <v>441</v>
      </c>
      <c r="E229" s="49" t="str">
        <f>VLOOKUP(D229,'03. Insumos'!A:D,2,0)</f>
        <v>Lançamento de Concreto - Mat</v>
      </c>
      <c r="F229" s="52"/>
      <c r="G229" s="52" t="str">
        <f>VLOOKUP(D229,'03. Insumos'!A:F,3,0)</f>
        <v>Kg</v>
      </c>
      <c r="H229" s="53">
        <v>1</v>
      </c>
      <c r="I229" s="141"/>
      <c r="J229" s="54">
        <f t="shared" si="36"/>
        <v>1.48</v>
      </c>
      <c r="K229" s="54">
        <f>IF(A229=0,VLOOKUP(D229,'03. Insumos'!A:F,4,0),"")</f>
        <v>1.48</v>
      </c>
      <c r="L229" s="274">
        <f t="shared" si="37"/>
        <v>0</v>
      </c>
      <c r="M229" s="153">
        <f t="shared" si="31"/>
        <v>0</v>
      </c>
      <c r="O229" s="148">
        <f t="shared" si="27"/>
        <v>0</v>
      </c>
      <c r="R229" s="12">
        <f t="shared" si="35"/>
        <v>-4.3106796116504809E-2</v>
      </c>
    </row>
    <row r="230" spans="1:18" s="51" customFormat="1" ht="13.5" customHeight="1" outlineLevel="1" x14ac:dyDescent="0.3">
      <c r="A230" s="290">
        <f>LEN(C230)</f>
        <v>0</v>
      </c>
      <c r="B230" s="49"/>
      <c r="C230" s="49"/>
      <c r="D230" s="140" t="s">
        <v>2260</v>
      </c>
      <c r="E230" s="49" t="str">
        <f>VLOOKUP(D230,'03. Insumos'!A:D,2,0)</f>
        <v>Forma (Mat - Chapa plastificada 12 mm+ perna 3'+ tábua)</v>
      </c>
      <c r="F230" s="52" t="s">
        <v>2612</v>
      </c>
      <c r="G230" s="52" t="str">
        <f>VLOOKUP(D230,'03. Insumos'!A:F,3,0)</f>
        <v>m²</v>
      </c>
      <c r="H230" s="53">
        <v>1</v>
      </c>
      <c r="I230" s="141">
        <f>(0.86*0.5*2)+(2.29*0.5*2)+(3.8*0.7*2)+(2*0.7*2)</f>
        <v>11.27</v>
      </c>
      <c r="J230" s="54">
        <f t="shared" si="36"/>
        <v>27.42</v>
      </c>
      <c r="K230" s="54">
        <f>IF(A230=0,VLOOKUP(D230,'03. Insumos'!A:F,4,0),"")</f>
        <v>27.42</v>
      </c>
      <c r="L230" s="274">
        <f t="shared" si="37"/>
        <v>309.02339999999998</v>
      </c>
      <c r="M230" s="153">
        <f t="shared" si="31"/>
        <v>8.4544398415939558E-5</v>
      </c>
      <c r="O230" s="148">
        <f t="shared" si="27"/>
        <v>309.02339999999998</v>
      </c>
      <c r="R230" s="12">
        <f t="shared" si="35"/>
        <v>-0.79864077669903111</v>
      </c>
    </row>
    <row r="231" spans="1:18" ht="13.5" customHeight="1" outlineLevel="1" x14ac:dyDescent="0.3">
      <c r="A231" s="290">
        <f t="shared" si="34"/>
        <v>6</v>
      </c>
      <c r="B231" s="4"/>
      <c r="C231" s="4" t="s">
        <v>1332</v>
      </c>
      <c r="D231" s="4" t="s">
        <v>2528</v>
      </c>
      <c r="E231" s="4"/>
      <c r="F231" s="2"/>
      <c r="G231" s="2"/>
      <c r="H231" s="29"/>
      <c r="I231" s="29"/>
      <c r="J231" s="27"/>
      <c r="K231" s="27" t="str">
        <f>IF(A231=0,VLOOKUP(D231,'03. Insumos'!A:F,4,0),"")</f>
        <v/>
      </c>
      <c r="L231" s="27">
        <f>SUM(L232:L238)</f>
        <v>1456346.6</v>
      </c>
      <c r="M231" s="153">
        <f t="shared" si="31"/>
        <v>0.39843567568701582</v>
      </c>
      <c r="O231" s="148">
        <f t="shared" si="27"/>
        <v>0</v>
      </c>
      <c r="R231" s="12">
        <f t="shared" si="35"/>
        <v>0</v>
      </c>
    </row>
    <row r="232" spans="1:18" ht="13.5" customHeight="1" outlineLevel="1" x14ac:dyDescent="0.3">
      <c r="A232" s="290">
        <f t="shared" si="34"/>
        <v>0</v>
      </c>
      <c r="B232" s="4"/>
      <c r="C232" s="4"/>
      <c r="D232" s="140" t="s">
        <v>184</v>
      </c>
      <c r="E232" s="49" t="str">
        <f>VLOOKUP(D232,'03. Insumos'!A:D,2,0)</f>
        <v>Brita 0</v>
      </c>
      <c r="F232" s="52" t="s">
        <v>2612</v>
      </c>
      <c r="G232" s="52" t="str">
        <f>VLOOKUP(D232,'03. Insumos'!A:F,3,0)</f>
        <v>m³</v>
      </c>
      <c r="H232" s="53">
        <v>1</v>
      </c>
      <c r="I232" s="141">
        <f>ROUNDUP((193*0.07),0)</f>
        <v>14</v>
      </c>
      <c r="J232" s="54">
        <f t="shared" ref="J232:J238" si="38">IFERROR(IF(K232&lt;&gt;0,K232*$K$5,0),0)</f>
        <v>210</v>
      </c>
      <c r="K232" s="54">
        <f>IF(A232=0,VLOOKUP(D232,'03. Insumos'!A:F,4,0),"")</f>
        <v>210</v>
      </c>
      <c r="L232" s="274">
        <f>H232*J232*I232</f>
        <v>2940</v>
      </c>
      <c r="M232" s="153">
        <f t="shared" si="31"/>
        <v>8.0434210271087007E-4</v>
      </c>
      <c r="O232" s="148"/>
      <c r="R232" s="12"/>
    </row>
    <row r="233" spans="1:18" s="51" customFormat="1" ht="13.5" customHeight="1" outlineLevel="1" x14ac:dyDescent="0.3">
      <c r="A233" s="290">
        <f t="shared" si="34"/>
        <v>0</v>
      </c>
      <c r="B233" s="49"/>
      <c r="C233" s="49"/>
      <c r="D233" s="140" t="s">
        <v>133</v>
      </c>
      <c r="E233" s="49" t="str">
        <f>VLOOKUP(D233,'03. Insumos'!A:D,2,0)</f>
        <v>Projeto, Ampliação em Estrutura Metálica, Reforço de Paredes internas</v>
      </c>
      <c r="F233" s="52" t="s">
        <v>2612</v>
      </c>
      <c r="G233" s="52" t="str">
        <f>VLOOKUP(D233,'03. Insumos'!A:F,3,0)</f>
        <v>vb</v>
      </c>
      <c r="H233" s="53">
        <v>1</v>
      </c>
      <c r="I233" s="141">
        <f>((158+20)*0.07)+(14.55*0.07)</f>
        <v>13.4785</v>
      </c>
      <c r="J233" s="54">
        <f t="shared" si="38"/>
        <v>107600</v>
      </c>
      <c r="K233" s="54">
        <f>IF(A233=0,VLOOKUP(D233,'03. Insumos'!A:F,4,0),"")</f>
        <v>107600</v>
      </c>
      <c r="L233" s="274">
        <f t="shared" ref="L233:L238" si="39">H233*J233*I233</f>
        <v>1450286.6</v>
      </c>
      <c r="M233" s="153">
        <f t="shared" si="31"/>
        <v>0.39677774604673427</v>
      </c>
      <c r="O233" s="148">
        <f t="shared" si="27"/>
        <v>1450286.6</v>
      </c>
      <c r="R233" s="12">
        <f t="shared" si="35"/>
        <v>-3133.9805825242802</v>
      </c>
    </row>
    <row r="234" spans="1:18" s="51" customFormat="1" ht="13.5" customHeight="1" outlineLevel="1" x14ac:dyDescent="0.3">
      <c r="A234" s="290">
        <f t="shared" si="34"/>
        <v>0</v>
      </c>
      <c r="B234" s="49"/>
      <c r="C234" s="49"/>
      <c r="D234" s="140" t="s">
        <v>2262</v>
      </c>
      <c r="E234" s="49" t="str">
        <f>VLOOKUP(D234,'03. Insumos'!A:D,2,0)</f>
        <v>Aterro com Areia</v>
      </c>
      <c r="F234" s="52" t="s">
        <v>2612</v>
      </c>
      <c r="G234" s="52" t="str">
        <f>VLOOKUP(D234,'03. Insumos'!A:F,3,0)</f>
        <v>m³</v>
      </c>
      <c r="H234" s="53">
        <v>1</v>
      </c>
      <c r="I234" s="141">
        <v>2</v>
      </c>
      <c r="J234" s="54">
        <f t="shared" si="38"/>
        <v>400</v>
      </c>
      <c r="K234" s="54">
        <f>IF(A234=0,VLOOKUP(D234,'03. Insumos'!A:F,4,0),"")</f>
        <v>400</v>
      </c>
      <c r="L234" s="274">
        <f t="shared" si="39"/>
        <v>800</v>
      </c>
      <c r="M234" s="153">
        <f t="shared" si="31"/>
        <v>2.1886859937710751E-4</v>
      </c>
      <c r="O234" s="148">
        <f t="shared" si="27"/>
        <v>800</v>
      </c>
      <c r="R234" s="12">
        <f t="shared" si="35"/>
        <v>-11.650485436893234</v>
      </c>
    </row>
    <row r="235" spans="1:18" s="51" customFormat="1" ht="13.5" hidden="1" customHeight="1" outlineLevel="1" x14ac:dyDescent="0.3">
      <c r="A235" s="290">
        <f t="shared" si="34"/>
        <v>0</v>
      </c>
      <c r="B235" s="49"/>
      <c r="C235" s="49"/>
      <c r="D235" s="140" t="s">
        <v>442</v>
      </c>
      <c r="E235" s="49" t="str">
        <f>VLOOKUP(D235,'03. Insumos'!A:D,2,0)</f>
        <v>Compactação com Sapinho</v>
      </c>
      <c r="F235" s="52"/>
      <c r="G235" s="52" t="str">
        <f>VLOOKUP(D235,'03. Insumos'!A:F,3,0)</f>
        <v>mês</v>
      </c>
      <c r="H235" s="53"/>
      <c r="I235" s="141">
        <f>I234</f>
        <v>2</v>
      </c>
      <c r="J235" s="54">
        <f t="shared" si="38"/>
        <v>520</v>
      </c>
      <c r="K235" s="54">
        <f>IF(A235=0,VLOOKUP(D235,'03. Insumos'!A:F,4,0),"")</f>
        <v>520</v>
      </c>
      <c r="L235" s="274">
        <f t="shared" si="39"/>
        <v>0</v>
      </c>
      <c r="M235" s="153">
        <f t="shared" si="31"/>
        <v>0</v>
      </c>
      <c r="O235" s="148">
        <f t="shared" si="27"/>
        <v>0</v>
      </c>
      <c r="R235" s="12">
        <f t="shared" si="35"/>
        <v>-15.145631067961176</v>
      </c>
    </row>
    <row r="236" spans="1:18" s="51" customFormat="1" ht="13.5" customHeight="1" outlineLevel="1" x14ac:dyDescent="0.3">
      <c r="A236" s="290">
        <f t="shared" si="34"/>
        <v>0</v>
      </c>
      <c r="B236" s="49"/>
      <c r="C236" s="49"/>
      <c r="D236" s="140" t="s">
        <v>2281</v>
      </c>
      <c r="E236" s="49" t="str">
        <f>VLOOKUP(D236,'03. Insumos'!A:D,2,0)</f>
        <v>Fornecimento de tela Q138 (4.2 mm)</v>
      </c>
      <c r="F236" s="52" t="s">
        <v>2612</v>
      </c>
      <c r="G236" s="52" t="str">
        <f>VLOOKUP(D236,'03. Insumos'!A:F,3,0)</f>
        <v>Painel</v>
      </c>
      <c r="H236" s="53">
        <v>1</v>
      </c>
      <c r="I236" s="141">
        <v>16</v>
      </c>
      <c r="J236" s="54">
        <f t="shared" si="38"/>
        <v>145</v>
      </c>
      <c r="K236" s="54">
        <f>IF(A236=0,VLOOKUP(D236,'03. Insumos'!A:F,4,0),"")</f>
        <v>145</v>
      </c>
      <c r="L236" s="274">
        <f t="shared" si="39"/>
        <v>2320</v>
      </c>
      <c r="M236" s="153">
        <f t="shared" si="31"/>
        <v>6.3471893819361182E-4</v>
      </c>
      <c r="O236" s="148">
        <f t="shared" ref="O236:O298" si="40">IF(I236&lt;&gt;0,I236*H236*K236,)</f>
        <v>2320</v>
      </c>
      <c r="R236" s="12">
        <f t="shared" si="35"/>
        <v>-4.2233009708737939</v>
      </c>
    </row>
    <row r="237" spans="1:18" s="51" customFormat="1" ht="13.5" hidden="1" customHeight="1" outlineLevel="1" x14ac:dyDescent="0.3">
      <c r="A237" s="290">
        <f t="shared" si="34"/>
        <v>0</v>
      </c>
      <c r="B237" s="49"/>
      <c r="C237" s="49"/>
      <c r="D237" s="140" t="s">
        <v>441</v>
      </c>
      <c r="E237" s="49" t="str">
        <f>VLOOKUP(D237,'03. Insumos'!A:D,2,0)</f>
        <v>Lançamento de Concreto - Mat</v>
      </c>
      <c r="F237" s="52"/>
      <c r="G237" s="52" t="str">
        <f>VLOOKUP(D237,'03. Insumos'!A:F,3,0)</f>
        <v>Kg</v>
      </c>
      <c r="H237" s="53"/>
      <c r="I237" s="141">
        <f>I236</f>
        <v>16</v>
      </c>
      <c r="J237" s="54">
        <f t="shared" si="38"/>
        <v>1.48</v>
      </c>
      <c r="K237" s="54">
        <f>IF(A237=0,VLOOKUP(D237,'03. Insumos'!A:F,4,0),"")</f>
        <v>1.48</v>
      </c>
      <c r="L237" s="274">
        <f t="shared" si="39"/>
        <v>0</v>
      </c>
      <c r="M237" s="153">
        <f t="shared" si="31"/>
        <v>0</v>
      </c>
      <c r="O237" s="148">
        <f t="shared" si="40"/>
        <v>0</v>
      </c>
      <c r="R237" s="12">
        <f t="shared" si="35"/>
        <v>-4.3106796116504809E-2</v>
      </c>
    </row>
    <row r="238" spans="1:18" s="51" customFormat="1" ht="13.5" hidden="1" customHeight="1" outlineLevel="1" x14ac:dyDescent="0.3">
      <c r="A238" s="290">
        <f t="shared" si="34"/>
        <v>0</v>
      </c>
      <c r="B238" s="49"/>
      <c r="C238" s="49"/>
      <c r="D238" s="140" t="s">
        <v>238</v>
      </c>
      <c r="E238" s="49" t="str">
        <f>VLOOKUP(D238,'03. Insumos'!A:D,2,0)</f>
        <v>Forma MAT+MO</v>
      </c>
      <c r="F238" s="52"/>
      <c r="G238" s="52" t="str">
        <f>VLOOKUP(D238,'03. Insumos'!A:F,3,0)</f>
        <v>m²</v>
      </c>
      <c r="H238" s="53"/>
      <c r="I238" s="141"/>
      <c r="J238" s="54">
        <f t="shared" si="38"/>
        <v>78</v>
      </c>
      <c r="K238" s="54">
        <f>IF(A238=0,VLOOKUP(D238,'03. Insumos'!A:F,4,0),"")</f>
        <v>78</v>
      </c>
      <c r="L238" s="274">
        <f t="shared" si="39"/>
        <v>0</v>
      </c>
      <c r="M238" s="153">
        <f t="shared" si="31"/>
        <v>0</v>
      </c>
      <c r="O238" s="148">
        <f t="shared" si="40"/>
        <v>0</v>
      </c>
      <c r="R238" s="12">
        <f t="shared" si="35"/>
        <v>-2.2718446601941764</v>
      </c>
    </row>
    <row r="239" spans="1:18" ht="13.5" hidden="1" customHeight="1" outlineLevel="1" x14ac:dyDescent="0.3">
      <c r="A239" s="290">
        <f t="shared" si="34"/>
        <v>6</v>
      </c>
      <c r="B239" s="4"/>
      <c r="C239" s="4" t="s">
        <v>1332</v>
      </c>
      <c r="D239" s="4" t="s">
        <v>2111</v>
      </c>
      <c r="E239" s="4"/>
      <c r="F239" s="2"/>
      <c r="G239" s="2" t="s">
        <v>73</v>
      </c>
      <c r="H239" s="29"/>
      <c r="I239" s="29"/>
      <c r="J239" s="27"/>
      <c r="K239" s="27" t="str">
        <f>IF(A239=0,VLOOKUP(D239,'03. Insumos'!A:F,4,0),"")</f>
        <v/>
      </c>
      <c r="L239" s="27">
        <f>SUM(L240:L248)</f>
        <v>0</v>
      </c>
      <c r="M239" s="153">
        <f t="shared" si="31"/>
        <v>0</v>
      </c>
      <c r="O239" s="148">
        <f>IF(I239&lt;&gt;0,I239*H239*K239,)</f>
        <v>0</v>
      </c>
      <c r="R239" s="12">
        <f>IF(J239&lt;&gt;0,J239/1.03-K239,0)</f>
        <v>0</v>
      </c>
    </row>
    <row r="240" spans="1:18" ht="13.5" hidden="1" customHeight="1" outlineLevel="1" x14ac:dyDescent="0.3">
      <c r="A240" s="290">
        <f t="shared" si="34"/>
        <v>0</v>
      </c>
      <c r="B240" s="4"/>
      <c r="C240" s="4"/>
      <c r="D240" s="140" t="s">
        <v>2109</v>
      </c>
      <c r="E240" s="49" t="str">
        <f>VLOOKUP(D240,'03. Insumos'!A:D,2,0)</f>
        <v>Escada Tipo Caracol</v>
      </c>
      <c r="F240" s="52"/>
      <c r="G240" s="52" t="str">
        <f>VLOOKUP(D240,'03. Insumos'!A:F,3,0)</f>
        <v>unid</v>
      </c>
      <c r="H240" s="53">
        <v>1</v>
      </c>
      <c r="I240" s="141">
        <f>H239</f>
        <v>0</v>
      </c>
      <c r="J240" s="54">
        <f t="shared" ref="J240:J248" si="41">IFERROR(IF(K240&lt;&gt;0,K240*$K$5,0),0)</f>
        <v>4280</v>
      </c>
      <c r="K240" s="54">
        <f>IF(A240=0,VLOOKUP(D240,'03. Insumos'!A:F,4,0),"")</f>
        <v>4280</v>
      </c>
      <c r="L240" s="274">
        <f t="shared" ref="L240:L248" si="42">H240*J240*I240</f>
        <v>0</v>
      </c>
      <c r="M240" s="153">
        <f t="shared" si="31"/>
        <v>0</v>
      </c>
      <c r="O240" s="148"/>
      <c r="R240" s="12"/>
    </row>
    <row r="241" spans="1:18" ht="13.5" hidden="1" customHeight="1" outlineLevel="1" x14ac:dyDescent="0.3">
      <c r="A241" s="290">
        <f t="shared" si="34"/>
        <v>0</v>
      </c>
      <c r="B241" s="4"/>
      <c r="C241" s="4"/>
      <c r="D241" s="140" t="s">
        <v>2153</v>
      </c>
      <c r="E241" s="49" t="str">
        <f>VLOOKUP(D241,'03. Insumos'!A:D,2,0)</f>
        <v>Escada tipo reta</v>
      </c>
      <c r="F241" s="52"/>
      <c r="G241" s="52" t="str">
        <f>VLOOKUP(D241,'03. Insumos'!A:F,3,0)</f>
        <v>unid</v>
      </c>
      <c r="H241" s="53">
        <v>1</v>
      </c>
      <c r="I241" s="141">
        <f>ROUNDUP((H239/(2.45*6)),0)</f>
        <v>0</v>
      </c>
      <c r="J241" s="54">
        <f t="shared" si="41"/>
        <v>7350</v>
      </c>
      <c r="K241" s="54">
        <f>IF(A241=0,VLOOKUP(D241,'03. Insumos'!A:F,4,0),"")</f>
        <v>7350</v>
      </c>
      <c r="L241" s="274">
        <f>H241*J241*I241</f>
        <v>0</v>
      </c>
      <c r="M241" s="153">
        <f t="shared" si="31"/>
        <v>0</v>
      </c>
      <c r="O241" s="148"/>
      <c r="R241" s="12"/>
    </row>
    <row r="242" spans="1:18" ht="13.5" hidden="1" customHeight="1" outlineLevel="1" x14ac:dyDescent="0.3">
      <c r="A242" s="290">
        <f t="shared" si="34"/>
        <v>0</v>
      </c>
      <c r="B242" s="4"/>
      <c r="C242" s="4"/>
      <c r="D242" s="140" t="s">
        <v>2154</v>
      </c>
      <c r="E242" s="49" t="str">
        <f>VLOOKUP(D242,'03. Insumos'!A:D,2,0)</f>
        <v>Aterro com Brita</v>
      </c>
      <c r="F242" s="52"/>
      <c r="G242" s="52" t="str">
        <f>VLOOKUP(D242,'03. Insumos'!A:F,3,0)</f>
        <v>m³</v>
      </c>
      <c r="H242" s="53">
        <v>1</v>
      </c>
      <c r="I242" s="141">
        <f>H239*0.06</f>
        <v>0</v>
      </c>
      <c r="J242" s="54">
        <f t="shared" si="41"/>
        <v>266</v>
      </c>
      <c r="K242" s="54">
        <f>IF(A242=0,VLOOKUP(D242,'03. Insumos'!A:F,4,0),"")</f>
        <v>266</v>
      </c>
      <c r="L242" s="274">
        <f>H242*J242*I242</f>
        <v>0</v>
      </c>
      <c r="M242" s="153">
        <f t="shared" si="31"/>
        <v>0</v>
      </c>
      <c r="O242" s="148"/>
      <c r="R242" s="12"/>
    </row>
    <row r="243" spans="1:18" s="51" customFormat="1" ht="13.5" hidden="1" customHeight="1" outlineLevel="1" x14ac:dyDescent="0.3">
      <c r="A243" s="290">
        <f t="shared" si="34"/>
        <v>0</v>
      </c>
      <c r="B243" s="49"/>
      <c r="C243" s="49"/>
      <c r="D243" s="140" t="s">
        <v>133</v>
      </c>
      <c r="E243" s="49" t="str">
        <f>VLOOKUP(D243,'03. Insumos'!A:D,2,0)</f>
        <v>Projeto, Ampliação em Estrutura Metálica, Reforço de Paredes internas</v>
      </c>
      <c r="F243" s="52"/>
      <c r="G243" s="52" t="str">
        <f>VLOOKUP(D243,'03. Insumos'!A:F,3,0)</f>
        <v>vb</v>
      </c>
      <c r="H243" s="53">
        <v>1</v>
      </c>
      <c r="I243" s="141"/>
      <c r="J243" s="54">
        <f t="shared" si="41"/>
        <v>107600</v>
      </c>
      <c r="K243" s="54">
        <f>IF(A243=0,VLOOKUP(D243,'03. Insumos'!A:F,4,0),"")</f>
        <v>107600</v>
      </c>
      <c r="L243" s="274">
        <f t="shared" si="42"/>
        <v>0</v>
      </c>
      <c r="M243" s="153">
        <f t="shared" si="31"/>
        <v>0</v>
      </c>
      <c r="O243" s="148">
        <f t="shared" ref="O243:O248" si="43">IF(I243&lt;&gt;0,I243*H243*K243,)</f>
        <v>0</v>
      </c>
      <c r="R243" s="12">
        <f t="shared" ref="R243:R248" si="44">IF(J243&lt;&gt;0,J243/1.03-K243,0)</f>
        <v>-3133.9805825242802</v>
      </c>
    </row>
    <row r="244" spans="1:18" s="51" customFormat="1" ht="13.5" hidden="1" customHeight="1" outlineLevel="1" x14ac:dyDescent="0.3">
      <c r="A244" s="290">
        <f t="shared" si="34"/>
        <v>0</v>
      </c>
      <c r="B244" s="49"/>
      <c r="C244" s="49"/>
      <c r="D244" s="140" t="s">
        <v>134</v>
      </c>
      <c r="E244" s="49" t="str">
        <f>VLOOKUP(D244,'03. Insumos'!A:D,2,0)</f>
        <v>Bombeamento de concreto - até 40m³</v>
      </c>
      <c r="F244" s="52"/>
      <c r="G244" s="52" t="str">
        <f>VLOOKUP(D244,'03. Insumos'!A:F,3,0)</f>
        <v>dia</v>
      </c>
      <c r="H244" s="53">
        <v>1</v>
      </c>
      <c r="I244" s="141"/>
      <c r="J244" s="54">
        <f t="shared" si="41"/>
        <v>2400</v>
      </c>
      <c r="K244" s="54">
        <f>IF(A244=0,VLOOKUP(D244,'03. Insumos'!A:F,4,0),"")</f>
        <v>2400</v>
      </c>
      <c r="L244" s="274">
        <f t="shared" si="42"/>
        <v>0</v>
      </c>
      <c r="M244" s="153">
        <f t="shared" si="31"/>
        <v>0</v>
      </c>
      <c r="O244" s="148">
        <f t="shared" si="43"/>
        <v>0</v>
      </c>
      <c r="R244" s="12">
        <f t="shared" si="44"/>
        <v>-69.902912621359064</v>
      </c>
    </row>
    <row r="245" spans="1:18" s="51" customFormat="1" ht="13.5" hidden="1" customHeight="1" outlineLevel="1" x14ac:dyDescent="0.3">
      <c r="A245" s="290">
        <f t="shared" si="34"/>
        <v>0</v>
      </c>
      <c r="B245" s="49"/>
      <c r="C245" s="49"/>
      <c r="D245" s="140" t="s">
        <v>442</v>
      </c>
      <c r="E245" s="49" t="str">
        <f>VLOOKUP(D245,'03. Insumos'!A:D,2,0)</f>
        <v>Compactação com Sapinho</v>
      </c>
      <c r="F245" s="52"/>
      <c r="G245" s="52" t="str">
        <f>VLOOKUP(D245,'03. Insumos'!A:F,3,0)</f>
        <v>mês</v>
      </c>
      <c r="H245" s="53">
        <v>1</v>
      </c>
      <c r="I245" s="141"/>
      <c r="J245" s="54">
        <f t="shared" si="41"/>
        <v>520</v>
      </c>
      <c r="K245" s="54">
        <f>IF(A245=0,VLOOKUP(D245,'03. Insumos'!A:F,4,0),"")</f>
        <v>520</v>
      </c>
      <c r="L245" s="274">
        <f t="shared" si="42"/>
        <v>0</v>
      </c>
      <c r="M245" s="153">
        <f t="shared" si="31"/>
        <v>0</v>
      </c>
      <c r="O245" s="148">
        <f t="shared" si="43"/>
        <v>0</v>
      </c>
      <c r="R245" s="12">
        <f t="shared" si="44"/>
        <v>-15.145631067961176</v>
      </c>
    </row>
    <row r="246" spans="1:18" s="51" customFormat="1" ht="13.5" hidden="1" customHeight="1" outlineLevel="1" x14ac:dyDescent="0.3">
      <c r="A246" s="290">
        <f t="shared" si="34"/>
        <v>0</v>
      </c>
      <c r="B246" s="49"/>
      <c r="C246" s="49"/>
      <c r="D246" s="140" t="s">
        <v>179</v>
      </c>
      <c r="E246" s="49" t="str">
        <f>VLOOKUP(D246,'03. Insumos'!A:D,2,0)</f>
        <v>Ampliação em Estr. Metálica + Laje</v>
      </c>
      <c r="F246" s="52"/>
      <c r="G246" s="52" t="str">
        <f>VLOOKUP(D246,'03. Insumos'!A:F,3,0)</f>
        <v>m²</v>
      </c>
      <c r="H246" s="53">
        <v>1</v>
      </c>
      <c r="I246" s="141"/>
      <c r="J246" s="54">
        <f t="shared" si="41"/>
        <v>628.23199999999997</v>
      </c>
      <c r="K246" s="54">
        <f>IF(A246=0,VLOOKUP(D246,'03. Insumos'!A:F,4,0),"")</f>
        <v>628.23199999999997</v>
      </c>
      <c r="L246" s="274">
        <f t="shared" si="42"/>
        <v>0</v>
      </c>
      <c r="M246" s="153">
        <f t="shared" si="31"/>
        <v>0</v>
      </c>
      <c r="O246" s="148">
        <f t="shared" si="43"/>
        <v>0</v>
      </c>
      <c r="R246" s="12">
        <f t="shared" si="44"/>
        <v>-18.298019417475757</v>
      </c>
    </row>
    <row r="247" spans="1:18" s="51" customFormat="1" ht="13.5" hidden="1" customHeight="1" outlineLevel="1" x14ac:dyDescent="0.3">
      <c r="A247" s="290">
        <f t="shared" si="34"/>
        <v>0</v>
      </c>
      <c r="B247" s="49"/>
      <c r="C247" s="49"/>
      <c r="D247" s="140" t="s">
        <v>441</v>
      </c>
      <c r="E247" s="49" t="str">
        <f>VLOOKUP(D247,'03. Insumos'!A:D,2,0)</f>
        <v>Lançamento de Concreto - Mat</v>
      </c>
      <c r="F247" s="52"/>
      <c r="G247" s="52" t="str">
        <f>VLOOKUP(D247,'03. Insumos'!A:F,3,0)</f>
        <v>Kg</v>
      </c>
      <c r="H247" s="53">
        <v>1</v>
      </c>
      <c r="I247" s="141">
        <f>I243*100</f>
        <v>0</v>
      </c>
      <c r="J247" s="54">
        <f t="shared" si="41"/>
        <v>1.48</v>
      </c>
      <c r="K247" s="54">
        <f>IF(A247=0,VLOOKUP(D247,'03. Insumos'!A:F,4,0),"")</f>
        <v>1.48</v>
      </c>
      <c r="L247" s="274">
        <f t="shared" si="42"/>
        <v>0</v>
      </c>
      <c r="M247" s="153">
        <f t="shared" si="31"/>
        <v>0</v>
      </c>
      <c r="O247" s="148">
        <f t="shared" si="43"/>
        <v>0</v>
      </c>
      <c r="R247" s="12">
        <f t="shared" si="44"/>
        <v>-4.3106796116504809E-2</v>
      </c>
    </row>
    <row r="248" spans="1:18" s="51" customFormat="1" ht="13.5" hidden="1" customHeight="1" outlineLevel="1" x14ac:dyDescent="0.3">
      <c r="A248" s="290">
        <f t="shared" si="34"/>
        <v>0</v>
      </c>
      <c r="B248" s="49"/>
      <c r="C248" s="49"/>
      <c r="D248" s="140" t="s">
        <v>238</v>
      </c>
      <c r="E248" s="49" t="str">
        <f>VLOOKUP(D248,'03. Insumos'!A:D,2,0)</f>
        <v>Forma MAT+MO</v>
      </c>
      <c r="F248" s="52"/>
      <c r="G248" s="52" t="str">
        <f>VLOOKUP(D248,'03. Insumos'!A:F,3,0)</f>
        <v>m²</v>
      </c>
      <c r="H248" s="53">
        <v>1</v>
      </c>
      <c r="I248" s="141"/>
      <c r="J248" s="54">
        <f t="shared" si="41"/>
        <v>78</v>
      </c>
      <c r="K248" s="54">
        <f>IF(A248=0,VLOOKUP(D248,'03. Insumos'!A:F,4,0),"")</f>
        <v>78</v>
      </c>
      <c r="L248" s="274">
        <f t="shared" si="42"/>
        <v>0</v>
      </c>
      <c r="M248" s="153">
        <f t="shared" si="31"/>
        <v>0</v>
      </c>
      <c r="O248" s="148">
        <f t="shared" si="43"/>
        <v>0</v>
      </c>
      <c r="R248" s="12">
        <f t="shared" si="44"/>
        <v>-2.2718446601941764</v>
      </c>
    </row>
    <row r="249" spans="1:18" ht="13.5" hidden="1" customHeight="1" outlineLevel="1" x14ac:dyDescent="0.3">
      <c r="A249" s="290">
        <f t="shared" si="34"/>
        <v>6</v>
      </c>
      <c r="B249" s="4"/>
      <c r="C249" s="4" t="s">
        <v>2110</v>
      </c>
      <c r="D249" s="4" t="s">
        <v>2241</v>
      </c>
      <c r="E249" s="4"/>
      <c r="F249" s="2"/>
      <c r="G249" s="2" t="s">
        <v>72</v>
      </c>
      <c r="H249" s="29"/>
      <c r="I249" s="29"/>
      <c r="J249" s="27"/>
      <c r="K249" s="27" t="str">
        <f>IF(A249=0,VLOOKUP(D249,'03. Insumos'!A:F,4,0),"")</f>
        <v/>
      </c>
      <c r="L249" s="27">
        <f>SUM(L250:L251)</f>
        <v>0</v>
      </c>
      <c r="M249" s="153">
        <f t="shared" si="31"/>
        <v>0</v>
      </c>
      <c r="O249" s="148">
        <f t="shared" si="40"/>
        <v>0</v>
      </c>
      <c r="R249" s="12">
        <f t="shared" si="35"/>
        <v>0</v>
      </c>
    </row>
    <row r="250" spans="1:18" s="51" customFormat="1" ht="13.5" hidden="1" customHeight="1" outlineLevel="1" x14ac:dyDescent="0.3">
      <c r="A250" s="290">
        <f t="shared" si="34"/>
        <v>0</v>
      </c>
      <c r="B250" s="49"/>
      <c r="C250" s="49"/>
      <c r="D250" s="140" t="s">
        <v>2242</v>
      </c>
      <c r="E250" s="49" t="str">
        <f>VLOOKUP(D250,'03. Insumos'!A:D,2,0)</f>
        <v>Execução de Light Steel frame</v>
      </c>
      <c r="F250" s="52"/>
      <c r="G250" s="52" t="str">
        <f>VLOOKUP(D250,'03. Insumos'!A:F,3,0)</f>
        <v>vb</v>
      </c>
      <c r="H250" s="53">
        <v>1</v>
      </c>
      <c r="I250" s="141"/>
      <c r="J250" s="54">
        <f t="shared" ref="J250:J255" si="45">IFERROR(IF(K250&lt;&gt;0,K250*$K$5,0),0)</f>
        <v>68550.52</v>
      </c>
      <c r="K250" s="54">
        <f>IF(A250=0,VLOOKUP(D250,'03. Insumos'!A:F,4,0),"")</f>
        <v>68550.52</v>
      </c>
      <c r="L250" s="274">
        <f t="shared" ref="L250:L255" si="46">H250*J250*I250</f>
        <v>0</v>
      </c>
      <c r="M250" s="153">
        <f t="shared" si="31"/>
        <v>0</v>
      </c>
      <c r="O250" s="148">
        <f t="shared" si="40"/>
        <v>0</v>
      </c>
      <c r="R250" s="12">
        <f t="shared" si="35"/>
        <v>-1996.6170873786468</v>
      </c>
    </row>
    <row r="251" spans="1:18" s="51" customFormat="1" ht="13.5" hidden="1" customHeight="1" outlineLevel="1" x14ac:dyDescent="0.3">
      <c r="A251" s="290">
        <f t="shared" si="34"/>
        <v>0</v>
      </c>
      <c r="B251" s="49"/>
      <c r="C251" s="49"/>
      <c r="D251" s="140" t="s">
        <v>2245</v>
      </c>
      <c r="E251" s="49" t="str">
        <f>VLOOKUP(D251,'03. Insumos'!A:D,2,0)</f>
        <v>Projeto de Light Steel Frame</v>
      </c>
      <c r="F251" s="52"/>
      <c r="G251" s="52" t="str">
        <f>VLOOKUP(D251,'03. Insumos'!A:F,3,0)</f>
        <v>vb</v>
      </c>
      <c r="H251" s="53">
        <v>1</v>
      </c>
      <c r="I251" s="141"/>
      <c r="J251" s="54">
        <f t="shared" si="45"/>
        <v>2000</v>
      </c>
      <c r="K251" s="54">
        <f>IF(A251=0,VLOOKUP(D251,'03. Insumos'!A:F,4,0),"")</f>
        <v>2000</v>
      </c>
      <c r="L251" s="274">
        <f t="shared" si="46"/>
        <v>0</v>
      </c>
      <c r="M251" s="153">
        <f t="shared" si="31"/>
        <v>0</v>
      </c>
      <c r="O251" s="148">
        <f t="shared" si="40"/>
        <v>0</v>
      </c>
      <c r="R251" s="12">
        <f t="shared" si="35"/>
        <v>-58.252427184466114</v>
      </c>
    </row>
    <row r="252" spans="1:18" s="51" customFormat="1" ht="13.5" hidden="1" customHeight="1" outlineLevel="1" x14ac:dyDescent="0.3">
      <c r="A252" s="290">
        <f t="shared" si="34"/>
        <v>0</v>
      </c>
      <c r="B252" s="49"/>
      <c r="C252" s="49"/>
      <c r="D252" s="140"/>
      <c r="E252" s="49" t="e">
        <f>VLOOKUP(D252,'03. Insumos'!A:D,2,0)</f>
        <v>#N/A</v>
      </c>
      <c r="F252" s="52"/>
      <c r="G252" s="52" t="e">
        <f>VLOOKUP(D252,'03. Insumos'!A:F,3,0)</f>
        <v>#N/A</v>
      </c>
      <c r="H252" s="53">
        <v>1</v>
      </c>
      <c r="I252" s="141"/>
      <c r="J252" s="54">
        <f t="shared" si="45"/>
        <v>0</v>
      </c>
      <c r="K252" s="54" t="e">
        <f>IF(A252=0,VLOOKUP(D252,'03. Insumos'!A:F,4,0),"")</f>
        <v>#N/A</v>
      </c>
      <c r="L252" s="274">
        <f t="shared" si="46"/>
        <v>0</v>
      </c>
      <c r="M252" s="153">
        <f t="shared" si="31"/>
        <v>0</v>
      </c>
      <c r="O252" s="148">
        <f t="shared" si="40"/>
        <v>0</v>
      </c>
      <c r="R252" s="12">
        <f t="shared" si="35"/>
        <v>0</v>
      </c>
    </row>
    <row r="253" spans="1:18" s="51" customFormat="1" ht="13.5" hidden="1" customHeight="1" outlineLevel="1" x14ac:dyDescent="0.3">
      <c r="A253" s="290">
        <f t="shared" si="34"/>
        <v>0</v>
      </c>
      <c r="B253" s="49"/>
      <c r="C253" s="49"/>
      <c r="D253" s="140"/>
      <c r="E253" s="49" t="e">
        <f>VLOOKUP(D253,'03. Insumos'!A:D,2,0)</f>
        <v>#N/A</v>
      </c>
      <c r="F253" s="52"/>
      <c r="G253" s="52" t="e">
        <f>VLOOKUP(D253,'03. Insumos'!A:F,3,0)</f>
        <v>#N/A</v>
      </c>
      <c r="H253" s="53">
        <v>1</v>
      </c>
      <c r="I253" s="141"/>
      <c r="J253" s="54">
        <f t="shared" si="45"/>
        <v>0</v>
      </c>
      <c r="K253" s="54" t="e">
        <f>IF(A253=0,VLOOKUP(D253,'03. Insumos'!A:F,4,0),"")</f>
        <v>#N/A</v>
      </c>
      <c r="L253" s="274">
        <f t="shared" si="46"/>
        <v>0</v>
      </c>
      <c r="M253" s="153">
        <f t="shared" si="31"/>
        <v>0</v>
      </c>
      <c r="O253" s="148">
        <f t="shared" si="40"/>
        <v>0</v>
      </c>
      <c r="R253" s="12">
        <f t="shared" si="35"/>
        <v>0</v>
      </c>
    </row>
    <row r="254" spans="1:18" s="51" customFormat="1" ht="13.5" hidden="1" customHeight="1" outlineLevel="1" x14ac:dyDescent="0.3">
      <c r="A254" s="290">
        <f t="shared" si="34"/>
        <v>0</v>
      </c>
      <c r="B254" s="49"/>
      <c r="C254" s="49"/>
      <c r="D254" s="140"/>
      <c r="E254" s="49" t="e">
        <f>VLOOKUP(D254,'03. Insumos'!A:D,2,0)</f>
        <v>#N/A</v>
      </c>
      <c r="F254" s="52"/>
      <c r="G254" s="52" t="e">
        <f>VLOOKUP(D254,'03. Insumos'!A:F,3,0)</f>
        <v>#N/A</v>
      </c>
      <c r="H254" s="53">
        <v>1</v>
      </c>
      <c r="I254" s="141">
        <f>I250*100</f>
        <v>0</v>
      </c>
      <c r="J254" s="54">
        <f t="shared" si="45"/>
        <v>0</v>
      </c>
      <c r="K254" s="54" t="e">
        <f>IF(A254=0,VLOOKUP(D254,'03. Insumos'!A:F,4,0),"")</f>
        <v>#N/A</v>
      </c>
      <c r="L254" s="274">
        <f t="shared" si="46"/>
        <v>0</v>
      </c>
      <c r="M254" s="153">
        <f t="shared" si="31"/>
        <v>0</v>
      </c>
      <c r="O254" s="148">
        <f t="shared" si="40"/>
        <v>0</v>
      </c>
      <c r="R254" s="12">
        <f t="shared" si="35"/>
        <v>0</v>
      </c>
    </row>
    <row r="255" spans="1:18" s="51" customFormat="1" ht="13.5" hidden="1" customHeight="1" outlineLevel="1" x14ac:dyDescent="0.3">
      <c r="A255" s="290">
        <f t="shared" si="34"/>
        <v>0</v>
      </c>
      <c r="B255" s="49"/>
      <c r="C255" s="49"/>
      <c r="D255" s="140"/>
      <c r="E255" s="49" t="e">
        <f>VLOOKUP(D255,'03. Insumos'!A:D,2,0)</f>
        <v>#N/A</v>
      </c>
      <c r="F255" s="52"/>
      <c r="G255" s="52" t="e">
        <f>VLOOKUP(D255,'03. Insumos'!A:F,3,0)</f>
        <v>#N/A</v>
      </c>
      <c r="H255" s="53">
        <v>1</v>
      </c>
      <c r="I255" s="141"/>
      <c r="J255" s="54">
        <f t="shared" si="45"/>
        <v>0</v>
      </c>
      <c r="K255" s="54" t="e">
        <f>IF(A255=0,VLOOKUP(D255,'03. Insumos'!A:F,4,0),"")</f>
        <v>#N/A</v>
      </c>
      <c r="L255" s="274">
        <f t="shared" si="46"/>
        <v>0</v>
      </c>
      <c r="M255" s="153">
        <f t="shared" si="31"/>
        <v>0</v>
      </c>
      <c r="O255" s="148">
        <f t="shared" si="40"/>
        <v>0</v>
      </c>
      <c r="R255" s="12">
        <f t="shared" si="35"/>
        <v>0</v>
      </c>
    </row>
    <row r="256" spans="1:18" s="18" customFormat="1" ht="13.5" customHeight="1" x14ac:dyDescent="0.3">
      <c r="A256" s="290">
        <f t="shared" si="34"/>
        <v>3</v>
      </c>
      <c r="B256" s="35"/>
      <c r="C256" s="35" t="s">
        <v>80</v>
      </c>
      <c r="D256" s="35" t="s">
        <v>261</v>
      </c>
      <c r="E256" s="35"/>
      <c r="F256" s="36"/>
      <c r="G256" s="36"/>
      <c r="H256" s="37"/>
      <c r="I256" s="37"/>
      <c r="J256" s="38"/>
      <c r="K256" s="38"/>
      <c r="L256" s="38">
        <f>SUMIF(A257:A264,4,L257:L264)</f>
        <v>2399</v>
      </c>
      <c r="M256" s="153">
        <f t="shared" si="31"/>
        <v>6.5633221238210119E-4</v>
      </c>
      <c r="O256" s="148">
        <f t="shared" si="40"/>
        <v>0</v>
      </c>
      <c r="R256" s="12">
        <f t="shared" si="35"/>
        <v>0</v>
      </c>
    </row>
    <row r="257" spans="1:18" s="18" customFormat="1" ht="5.25" customHeight="1" outlineLevel="1" x14ac:dyDescent="0.3">
      <c r="A257" s="290">
        <f t="shared" si="34"/>
        <v>0</v>
      </c>
      <c r="B257" s="63"/>
      <c r="C257" s="63"/>
      <c r="D257" s="63"/>
      <c r="E257" s="63"/>
      <c r="F257" s="64"/>
      <c r="G257" s="64"/>
      <c r="H257" s="65"/>
      <c r="I257" s="65"/>
      <c r="J257" s="66">
        <f>IFERROR(IF(K257&lt;&gt;0,K257*$K$5,0),0)</f>
        <v>0</v>
      </c>
      <c r="K257" s="66" t="e">
        <f>IF(A257=0,VLOOKUP(D257,'03. Insumos'!A:F,4,0),"")</f>
        <v>#N/A</v>
      </c>
      <c r="L257" s="66"/>
      <c r="M257" s="153">
        <f t="shared" si="31"/>
        <v>0</v>
      </c>
      <c r="O257" s="148">
        <f t="shared" si="40"/>
        <v>0</v>
      </c>
      <c r="R257" s="12">
        <f t="shared" si="35"/>
        <v>0</v>
      </c>
    </row>
    <row r="258" spans="1:18" s="18" customFormat="1" ht="13.5" customHeight="1" outlineLevel="1" x14ac:dyDescent="0.3">
      <c r="A258" s="290">
        <f t="shared" si="34"/>
        <v>4</v>
      </c>
      <c r="B258" s="45"/>
      <c r="C258" s="45" t="s">
        <v>262</v>
      </c>
      <c r="D258" s="45" t="s">
        <v>1877</v>
      </c>
      <c r="E258" s="45"/>
      <c r="F258" s="60"/>
      <c r="G258" s="60"/>
      <c r="H258" s="61"/>
      <c r="I258" s="61"/>
      <c r="J258" s="62"/>
      <c r="K258" s="62" t="str">
        <f>IF(A258=0,VLOOKUP(D258,'03. Insumos'!A:F,4,0),"")</f>
        <v/>
      </c>
      <c r="L258" s="62">
        <f>SUMIF(A259:A266,6,L259:L266)</f>
        <v>2399</v>
      </c>
      <c r="M258" s="153">
        <f t="shared" si="31"/>
        <v>6.5633221238210119E-4</v>
      </c>
      <c r="O258" s="148">
        <f t="shared" si="40"/>
        <v>0</v>
      </c>
      <c r="R258" s="12">
        <f t="shared" si="35"/>
        <v>0</v>
      </c>
    </row>
    <row r="259" spans="1:18" s="59" customFormat="1" ht="13.5" customHeight="1" outlineLevel="1" x14ac:dyDescent="0.3">
      <c r="A259" s="290">
        <f t="shared" si="34"/>
        <v>6</v>
      </c>
      <c r="B259" s="55"/>
      <c r="C259" s="55" t="s">
        <v>263</v>
      </c>
      <c r="D259" s="55" t="s">
        <v>1159</v>
      </c>
      <c r="E259" s="55"/>
      <c r="F259" s="56"/>
      <c r="G259" s="68" t="s">
        <v>73</v>
      </c>
      <c r="H259" s="69">
        <f>259+(10.4*0.4)+5</f>
        <v>268.16000000000003</v>
      </c>
      <c r="I259" s="57"/>
      <c r="J259" s="58"/>
      <c r="K259" s="58" t="str">
        <f>IF(A259=0,VLOOKUP(D259,'03. Insumos'!A:F,4,0),"")</f>
        <v/>
      </c>
      <c r="L259" s="58">
        <f>SUM(L260:L264)</f>
        <v>2399</v>
      </c>
      <c r="M259" s="153">
        <f t="shared" si="31"/>
        <v>6.5633221238210119E-4</v>
      </c>
      <c r="O259" s="148">
        <f t="shared" si="40"/>
        <v>0</v>
      </c>
      <c r="R259" s="12">
        <f t="shared" si="35"/>
        <v>0</v>
      </c>
    </row>
    <row r="260" spans="1:18" s="51" customFormat="1" ht="13.5" customHeight="1" outlineLevel="1" x14ac:dyDescent="0.3">
      <c r="A260" s="290">
        <f t="shared" si="34"/>
        <v>0</v>
      </c>
      <c r="B260" s="49"/>
      <c r="C260" s="49"/>
      <c r="D260" s="140" t="s">
        <v>2269</v>
      </c>
      <c r="E260" s="49">
        <f>VLOOKUP(D260,'03. Insumos'!A:D,2,0)</f>
        <v>0</v>
      </c>
      <c r="F260" s="52" t="s">
        <v>2612</v>
      </c>
      <c r="G260" s="52">
        <f>VLOOKUP(D260,'03. Insumos'!A:F,3,0)</f>
        <v>0</v>
      </c>
      <c r="H260" s="53">
        <v>1</v>
      </c>
      <c r="I260" s="141">
        <f>ROUND((H259*14),0)</f>
        <v>3754</v>
      </c>
      <c r="J260" s="54">
        <f>IFERROR(IF(K260&lt;&gt;0,K260*$K$5,0),0)</f>
        <v>0</v>
      </c>
      <c r="K260" s="54">
        <f>IF(A260=0,VLOOKUP(D260,'03. Insumos'!A:F,4,0),"")</f>
        <v>0</v>
      </c>
      <c r="L260" s="274">
        <f>H260*J260*I260</f>
        <v>0</v>
      </c>
      <c r="M260" s="153">
        <f t="shared" si="31"/>
        <v>0</v>
      </c>
      <c r="O260" s="148">
        <f t="shared" si="40"/>
        <v>0</v>
      </c>
      <c r="R260" s="12">
        <f t="shared" si="35"/>
        <v>0</v>
      </c>
    </row>
    <row r="261" spans="1:18" s="51" customFormat="1" ht="13.5" hidden="1" customHeight="1" outlineLevel="1" x14ac:dyDescent="0.3">
      <c r="A261" s="290">
        <f t="shared" si="34"/>
        <v>0</v>
      </c>
      <c r="B261" s="49"/>
      <c r="C261" s="49"/>
      <c r="D261" s="140" t="s">
        <v>2080</v>
      </c>
      <c r="E261" s="49" t="str">
        <f>VLOOKUP(D261,'03. Insumos'!A:D,2,0)</f>
        <v>Aditivo compensador de retração 3kg - Vedacit</v>
      </c>
      <c r="F261" s="52"/>
      <c r="G261" s="52" t="str">
        <f>VLOOKUP(D261,'03. Insumos'!A:F,3,0)</f>
        <v>gl</v>
      </c>
      <c r="H261" s="53">
        <v>1</v>
      </c>
      <c r="I261" s="141"/>
      <c r="J261" s="54">
        <f>IFERROR(IF(K261&lt;&gt;0,K261*$K$5,0),0)</f>
        <v>141.33000000000001</v>
      </c>
      <c r="K261" s="54">
        <f>IF(A261=0,VLOOKUP(D261,'03. Insumos'!A:F,4,0),"")</f>
        <v>141.33000000000001</v>
      </c>
      <c r="L261" s="274">
        <f>H261*J261*I261</f>
        <v>0</v>
      </c>
      <c r="M261" s="153">
        <f t="shared" si="31"/>
        <v>0</v>
      </c>
      <c r="O261" s="148"/>
      <c r="R261" s="12"/>
    </row>
    <row r="262" spans="1:18" s="51" customFormat="1" ht="13.5" customHeight="1" outlineLevel="1" x14ac:dyDescent="0.3">
      <c r="A262" s="290">
        <f t="shared" si="34"/>
        <v>0</v>
      </c>
      <c r="B262" s="49"/>
      <c r="C262" s="49"/>
      <c r="D262" s="140" t="s">
        <v>2272</v>
      </c>
      <c r="E262" s="49" t="str">
        <f>VLOOKUP(D262,'03. Insumos'!A:D,2,0)</f>
        <v>Argamassa multiuso 50kg (grandes Qtde, acima de 240)</v>
      </c>
      <c r="F262" s="52" t="s">
        <v>2612</v>
      </c>
      <c r="G262" s="52" t="str">
        <f>VLOOKUP(D262,'03. Insumos'!A:F,3,0)</f>
        <v>sc</v>
      </c>
      <c r="H262" s="53">
        <v>1</v>
      </c>
      <c r="I262" s="141">
        <f>ROUND(I260/45,0)</f>
        <v>83</v>
      </c>
      <c r="J262" s="54">
        <f>IFERROR(IF(K262&lt;&gt;0,K262*$K$5,0),0)</f>
        <v>23</v>
      </c>
      <c r="K262" s="54">
        <f>IF(A262=0,VLOOKUP(D262,'03. Insumos'!A:F,4,0),"")</f>
        <v>23</v>
      </c>
      <c r="L262" s="274">
        <f>H262*J262*I262</f>
        <v>1909</v>
      </c>
      <c r="M262" s="153">
        <f t="shared" si="31"/>
        <v>5.2227519526362276E-4</v>
      </c>
      <c r="O262" s="148">
        <f t="shared" si="40"/>
        <v>1909</v>
      </c>
      <c r="R262" s="12">
        <f t="shared" si="35"/>
        <v>-0.66990291262136026</v>
      </c>
    </row>
    <row r="263" spans="1:18" s="51" customFormat="1" ht="13.5" customHeight="1" outlineLevel="1" x14ac:dyDescent="0.3">
      <c r="A263" s="290">
        <f t="shared" si="34"/>
        <v>0</v>
      </c>
      <c r="B263" s="49"/>
      <c r="C263" s="49"/>
      <c r="D263" s="140" t="s">
        <v>192</v>
      </c>
      <c r="E263" s="49" t="str">
        <f>VLOOKUP(D263,'03. Insumos'!A:D,2,0)</f>
        <v>Tela galvanizada</v>
      </c>
      <c r="F263" s="52" t="s">
        <v>2612</v>
      </c>
      <c r="G263" s="52" t="str">
        <f>VLOOKUP(D263,'03. Insumos'!A:F,3,0)</f>
        <v>Cx</v>
      </c>
      <c r="H263" s="53">
        <v>1</v>
      </c>
      <c r="I263" s="141">
        <v>2</v>
      </c>
      <c r="J263" s="54">
        <f>IFERROR(IF(K263&lt;&gt;0,K263*$K$5,0),0)</f>
        <v>245</v>
      </c>
      <c r="K263" s="54">
        <f>IF(A263=0,VLOOKUP(D263,'03. Insumos'!A:F,4,0),"")</f>
        <v>245</v>
      </c>
      <c r="L263" s="274">
        <f>H263*J263*I263</f>
        <v>490</v>
      </c>
      <c r="M263" s="153">
        <f t="shared" si="31"/>
        <v>1.3405701711847835E-4</v>
      </c>
      <c r="O263" s="148">
        <f t="shared" si="40"/>
        <v>490</v>
      </c>
      <c r="R263" s="12">
        <f t="shared" si="35"/>
        <v>-7.1359223300970882</v>
      </c>
    </row>
    <row r="264" spans="1:18" s="51" customFormat="1" ht="13.5" hidden="1" customHeight="1" outlineLevel="1" x14ac:dyDescent="0.3">
      <c r="A264" s="290">
        <f t="shared" si="34"/>
        <v>0</v>
      </c>
      <c r="B264" s="49"/>
      <c r="C264" s="49"/>
      <c r="D264" s="140" t="s">
        <v>457</v>
      </c>
      <c r="E264" s="49" t="str">
        <f>VLOOKUP(D264,'03. Insumos'!A:D,2,0)</f>
        <v>Execução Alvenaria  - Bloco Concreto</v>
      </c>
      <c r="F264" s="52"/>
      <c r="G264" s="52" t="str">
        <f>VLOOKUP(D264,'03. Insumos'!A:F,3,0)</f>
        <v>m²</v>
      </c>
      <c r="H264" s="53">
        <v>1</v>
      </c>
      <c r="I264" s="141"/>
      <c r="J264" s="54">
        <f>IFERROR(IF(K264&lt;&gt;0,K264*$K$5,0),0)</f>
        <v>66</v>
      </c>
      <c r="K264" s="54">
        <f>IF(A264=0,VLOOKUP(D264,'03. Insumos'!A:F,4,0),"")</f>
        <v>66</v>
      </c>
      <c r="L264" s="274">
        <f>H264*J264*I264</f>
        <v>0</v>
      </c>
      <c r="M264" s="153">
        <f t="shared" si="31"/>
        <v>0</v>
      </c>
      <c r="O264" s="148">
        <f t="shared" si="40"/>
        <v>0</v>
      </c>
      <c r="R264" s="12">
        <f t="shared" si="35"/>
        <v>-1.9223300970873822</v>
      </c>
    </row>
    <row r="265" spans="1:18" s="59" customFormat="1" ht="13.5" hidden="1" customHeight="1" outlineLevel="1" x14ac:dyDescent="0.3">
      <c r="A265" s="290">
        <f t="shared" si="34"/>
        <v>6</v>
      </c>
      <c r="B265" s="55"/>
      <c r="C265" s="55" t="s">
        <v>263</v>
      </c>
      <c r="D265" s="55" t="s">
        <v>1808</v>
      </c>
      <c r="E265" s="55"/>
      <c r="F265" s="56"/>
      <c r="G265" s="56" t="s">
        <v>73</v>
      </c>
      <c r="H265" s="57"/>
      <c r="I265" s="57"/>
      <c r="J265" s="58"/>
      <c r="K265" s="58" t="str">
        <f>IF(A265=0,VLOOKUP(D265,'03. Insumos'!A:F,4,0),"")</f>
        <v/>
      </c>
      <c r="L265" s="58">
        <f>SUM(L266:L267)</f>
        <v>0</v>
      </c>
      <c r="M265" s="153">
        <f t="shared" si="31"/>
        <v>0</v>
      </c>
      <c r="O265" s="148">
        <f t="shared" si="40"/>
        <v>0</v>
      </c>
      <c r="R265" s="12">
        <f t="shared" si="35"/>
        <v>0</v>
      </c>
    </row>
    <row r="266" spans="1:18" s="51" customFormat="1" ht="13.5" hidden="1" customHeight="1" outlineLevel="1" x14ac:dyDescent="0.3">
      <c r="A266" s="290">
        <f t="shared" si="34"/>
        <v>0</v>
      </c>
      <c r="B266" s="49"/>
      <c r="C266" s="49"/>
      <c r="D266" s="140" t="s">
        <v>1975</v>
      </c>
      <c r="E266" s="49" t="str">
        <f>VLOOKUP(D266,'03. Insumos'!A:D,2,0)</f>
        <v>Material - Dry wall parede e forro</v>
      </c>
      <c r="F266" s="52"/>
      <c r="G266" s="52" t="str">
        <f>VLOOKUP(D266,'03. Insumos'!A:F,3,0)</f>
        <v>m²</v>
      </c>
      <c r="H266" s="53">
        <v>1</v>
      </c>
      <c r="I266" s="141">
        <f>H265</f>
        <v>0</v>
      </c>
      <c r="J266" s="54">
        <f>IFERROR(IF(K266&lt;&gt;0,K266*$K$5,0),0)</f>
        <v>36.799999999999997</v>
      </c>
      <c r="K266" s="54">
        <f>IF(A266=0,VLOOKUP(D266,'03. Insumos'!A:F,4,0),"")</f>
        <v>36.799999999999997</v>
      </c>
      <c r="L266" s="274">
        <f>H266*J266*I266</f>
        <v>0</v>
      </c>
      <c r="M266" s="153">
        <f t="shared" si="31"/>
        <v>0</v>
      </c>
      <c r="O266" s="148">
        <f t="shared" si="40"/>
        <v>0</v>
      </c>
      <c r="R266" s="12">
        <f t="shared" si="35"/>
        <v>-1.0718446601941736</v>
      </c>
    </row>
    <row r="267" spans="1:18" s="51" customFormat="1" ht="13.5" hidden="1" customHeight="1" outlineLevel="1" x14ac:dyDescent="0.3">
      <c r="A267" s="290">
        <f t="shared" si="34"/>
        <v>0</v>
      </c>
      <c r="B267" s="49"/>
      <c r="C267" s="49"/>
      <c r="D267" s="140" t="s">
        <v>1976</v>
      </c>
      <c r="E267" s="49" t="str">
        <f>VLOOKUP(D267,'03. Insumos'!A:D,2,0)</f>
        <v>Mão de obra - Dry wall parede e forro (encarregado+ 8 profissionais + 16 ajudantes)</v>
      </c>
      <c r="F267" s="52"/>
      <c r="G267" s="52" t="str">
        <f>VLOOKUP(D267,'03. Insumos'!A:F,3,0)</f>
        <v>vb</v>
      </c>
      <c r="H267" s="53">
        <v>1</v>
      </c>
      <c r="I267" s="141"/>
      <c r="J267" s="54">
        <f>IFERROR(IF(K267&lt;&gt;0,K267*$K$5,0),0)</f>
        <v>336814.19999999995</v>
      </c>
      <c r="K267" s="54">
        <f>IF(A267=0,VLOOKUP(D267,'03. Insumos'!A:F,4,0),"")</f>
        <v>336814.19999999995</v>
      </c>
      <c r="L267" s="274">
        <f>H267*J267*I267</f>
        <v>0</v>
      </c>
      <c r="M267" s="153">
        <f t="shared" si="31"/>
        <v>0</v>
      </c>
      <c r="O267" s="148"/>
      <c r="R267" s="12"/>
    </row>
    <row r="268" spans="1:18" s="18" customFormat="1" ht="13.5" customHeight="1" x14ac:dyDescent="0.3">
      <c r="A268" s="290">
        <f t="shared" si="34"/>
        <v>3</v>
      </c>
      <c r="B268" s="35"/>
      <c r="C268" s="35" t="s">
        <v>81</v>
      </c>
      <c r="D268" s="35" t="s">
        <v>86</v>
      </c>
      <c r="E268" s="35"/>
      <c r="F268" s="36"/>
      <c r="G268" s="36"/>
      <c r="H268" s="37"/>
      <c r="I268" s="37"/>
      <c r="J268" s="38"/>
      <c r="K268" s="38"/>
      <c r="L268" s="38">
        <f>SUMIF(A269:A292,4,L269:L292)</f>
        <v>120414.36000000002</v>
      </c>
      <c r="M268" s="153">
        <f t="shared" si="31"/>
        <v>3.2943652897613501E-2</v>
      </c>
      <c r="O268" s="148">
        <f t="shared" si="40"/>
        <v>0</v>
      </c>
      <c r="R268" s="12">
        <f t="shared" si="35"/>
        <v>0</v>
      </c>
    </row>
    <row r="269" spans="1:18" s="18" customFormat="1" ht="5.25" customHeight="1" outlineLevel="1" x14ac:dyDescent="0.3">
      <c r="A269" s="290">
        <f t="shared" si="34"/>
        <v>0</v>
      </c>
      <c r="B269" s="63"/>
      <c r="C269" s="63"/>
      <c r="D269" s="63"/>
      <c r="E269" s="63"/>
      <c r="F269" s="64"/>
      <c r="G269" s="64"/>
      <c r="H269" s="65"/>
      <c r="I269" s="65"/>
      <c r="J269" s="66">
        <f>IFERROR(IF(K269&lt;&gt;0,K269*$K$5,0),0)</f>
        <v>0</v>
      </c>
      <c r="K269" s="66" t="e">
        <f>IF(A269=0,VLOOKUP(D269,'03. Insumos'!A:F,4,0),"")</f>
        <v>#N/A</v>
      </c>
      <c r="L269" s="66"/>
      <c r="M269" s="153">
        <f t="shared" si="31"/>
        <v>0</v>
      </c>
      <c r="O269" s="148">
        <f t="shared" si="40"/>
        <v>0</v>
      </c>
      <c r="R269" s="12">
        <f t="shared" si="35"/>
        <v>0</v>
      </c>
    </row>
    <row r="270" spans="1:18" s="18" customFormat="1" ht="13.5" customHeight="1" outlineLevel="1" x14ac:dyDescent="0.3">
      <c r="A270" s="290">
        <f t="shared" si="34"/>
        <v>4</v>
      </c>
      <c r="B270" s="45"/>
      <c r="C270" s="45" t="s">
        <v>361</v>
      </c>
      <c r="D270" s="45" t="s">
        <v>1160</v>
      </c>
      <c r="E270" s="45"/>
      <c r="F270" s="60"/>
      <c r="G270" s="60"/>
      <c r="H270" s="61"/>
      <c r="I270" s="61"/>
      <c r="J270" s="62"/>
      <c r="K270" s="62" t="str">
        <f>IF(A270=0,VLOOKUP(D270,'03. Insumos'!A:F,4,0),"")</f>
        <v/>
      </c>
      <c r="L270" s="62">
        <f>SUMIF(A271:A276,6,L271:L276)</f>
        <v>97454.360000000015</v>
      </c>
      <c r="M270" s="153">
        <f t="shared" si="31"/>
        <v>2.6662124095490517E-2</v>
      </c>
      <c r="O270" s="148">
        <f t="shared" si="40"/>
        <v>0</v>
      </c>
      <c r="R270" s="12">
        <f t="shared" si="35"/>
        <v>0</v>
      </c>
    </row>
    <row r="271" spans="1:18" s="59" customFormat="1" ht="13.5" customHeight="1" outlineLevel="1" x14ac:dyDescent="0.3">
      <c r="A271" s="290">
        <f t="shared" si="34"/>
        <v>6</v>
      </c>
      <c r="B271" s="55"/>
      <c r="C271" s="55" t="s">
        <v>266</v>
      </c>
      <c r="D271" s="55" t="s">
        <v>1160</v>
      </c>
      <c r="E271" s="55"/>
      <c r="F271" s="56"/>
      <c r="G271" s="56"/>
      <c r="H271" s="57"/>
      <c r="I271" s="57"/>
      <c r="J271" s="58"/>
      <c r="K271" s="58" t="str">
        <f>IF(A271=0,VLOOKUP(D271,'03. Insumos'!A:F,4,0),"")</f>
        <v/>
      </c>
      <c r="L271" s="58">
        <f>SUM(L272:L274)</f>
        <v>97454.360000000015</v>
      </c>
      <c r="M271" s="153">
        <f t="shared" si="31"/>
        <v>2.6662124095490517E-2</v>
      </c>
      <c r="O271" s="148">
        <f t="shared" si="40"/>
        <v>0</v>
      </c>
      <c r="R271" s="12">
        <f t="shared" si="35"/>
        <v>0</v>
      </c>
    </row>
    <row r="272" spans="1:18" s="51" customFormat="1" ht="13.5" customHeight="1" outlineLevel="1" x14ac:dyDescent="0.3">
      <c r="A272" s="290">
        <f t="shared" si="34"/>
        <v>0</v>
      </c>
      <c r="B272" s="49"/>
      <c r="C272" s="49"/>
      <c r="D272" s="140" t="s">
        <v>1906</v>
      </c>
      <c r="E272" s="49" t="str">
        <f>VLOOKUP(D272,'03. Insumos'!A:D,2,0)</f>
        <v>Instalações Prediais: Trocas de Acabamento + Ampliações</v>
      </c>
      <c r="F272" s="52" t="s">
        <v>2599</v>
      </c>
      <c r="G272" s="52" t="str">
        <f>VLOOKUP(D272,'03. Insumos'!A:F,3,0)</f>
        <v>vb</v>
      </c>
      <c r="H272" s="53">
        <v>1</v>
      </c>
      <c r="I272" s="141">
        <v>1</v>
      </c>
      <c r="J272" s="54">
        <f>IFERROR(IF(K272&lt;&gt;0,K272*$K$5,0),0)</f>
        <v>52800.000000000007</v>
      </c>
      <c r="K272" s="54">
        <f>IF(A272=0,VLOOKUP(D272,'03. Insumos'!A:F,4,0),"")</f>
        <v>52800.000000000007</v>
      </c>
      <c r="L272" s="274">
        <f>H272*J272*I272</f>
        <v>52800.000000000007</v>
      </c>
      <c r="M272" s="153">
        <f t="shared" si="31"/>
        <v>1.4445327558889097E-2</v>
      </c>
      <c r="O272" s="148">
        <f t="shared" si="40"/>
        <v>52800.000000000007</v>
      </c>
      <c r="R272" s="12">
        <f t="shared" si="35"/>
        <v>-1537.8640776699031</v>
      </c>
    </row>
    <row r="273" spans="1:18" s="51" customFormat="1" ht="13.5" customHeight="1" outlineLevel="1" x14ac:dyDescent="0.3">
      <c r="A273" s="290">
        <f t="shared" si="34"/>
        <v>0</v>
      </c>
      <c r="B273" s="49"/>
      <c r="C273" s="49"/>
      <c r="D273" s="140" t="s">
        <v>1823</v>
      </c>
      <c r="E273" s="49" t="str">
        <f>VLOOKUP(D273,'03. Insumos'!A:D,2,0)</f>
        <v>Material - tomadas e interruptores, Bticino - LivingLight bianco</v>
      </c>
      <c r="F273" s="52" t="s">
        <v>2612</v>
      </c>
      <c r="G273" s="52" t="str">
        <f>VLOOKUP(D273,'03. Insumos'!A:F,3,0)</f>
        <v>vb</v>
      </c>
      <c r="H273" s="53">
        <v>1</v>
      </c>
      <c r="I273" s="141">
        <v>1</v>
      </c>
      <c r="J273" s="54">
        <f>IFERROR(IF(K273&lt;&gt;0,K273*$K$5,0),0)</f>
        <v>10478.459999999999</v>
      </c>
      <c r="K273" s="54">
        <f>IF(A273=0,VLOOKUP(D273,'03. Insumos'!A:F,4,0),"")</f>
        <v>10478.459999999999</v>
      </c>
      <c r="L273" s="274">
        <f>H273*J273*I273</f>
        <v>10478.459999999999</v>
      </c>
      <c r="M273" s="153">
        <f t="shared" si="31"/>
        <v>2.8667573297863074E-3</v>
      </c>
      <c r="O273" s="148"/>
      <c r="R273" s="12"/>
    </row>
    <row r="274" spans="1:18" s="51" customFormat="1" ht="13.5" customHeight="1" outlineLevel="1" x14ac:dyDescent="0.3">
      <c r="A274" s="290">
        <f t="shared" si="34"/>
        <v>0</v>
      </c>
      <c r="B274" s="49"/>
      <c r="C274" s="49"/>
      <c r="D274" s="140" t="s">
        <v>1825</v>
      </c>
      <c r="E274" s="49" t="str">
        <f>VLOOKUP(D274,'03. Insumos'!A:D,2,0)</f>
        <v>Material - luminárias</v>
      </c>
      <c r="F274" s="52" t="s">
        <v>2612</v>
      </c>
      <c r="G274" s="52" t="str">
        <f>VLOOKUP(D274,'03. Insumos'!A:F,3,0)</f>
        <v>vb</v>
      </c>
      <c r="H274" s="53">
        <v>1</v>
      </c>
      <c r="I274" s="141">
        <v>1</v>
      </c>
      <c r="J274" s="54">
        <f>IFERROR(IF(K274&lt;&gt;0,K274*$K$5,0),0)</f>
        <v>34175.9</v>
      </c>
      <c r="K274" s="54">
        <f>IF(A274=0,VLOOKUP(D274,'03. Insumos'!A:F,4,0),"")</f>
        <v>34175.9</v>
      </c>
      <c r="L274" s="274">
        <f>H274*J274*I274</f>
        <v>34175.9</v>
      </c>
      <c r="M274" s="153">
        <f t="shared" si="31"/>
        <v>9.3500392068151111E-3</v>
      </c>
      <c r="O274" s="148"/>
      <c r="R274" s="12"/>
    </row>
    <row r="275" spans="1:18" s="51" customFormat="1" ht="13.5" hidden="1" customHeight="1" outlineLevel="1" x14ac:dyDescent="0.3">
      <c r="A275" s="290">
        <f t="shared" si="34"/>
        <v>6</v>
      </c>
      <c r="B275" s="49"/>
      <c r="C275" s="55" t="s">
        <v>1679</v>
      </c>
      <c r="D275" s="55" t="s">
        <v>1680</v>
      </c>
      <c r="E275" s="49"/>
      <c r="F275" s="52"/>
      <c r="G275" s="52"/>
      <c r="H275" s="53"/>
      <c r="I275" s="141"/>
      <c r="J275" s="54"/>
      <c r="K275" s="54"/>
      <c r="L275" s="58">
        <f>SUM(L276:L276)</f>
        <v>0</v>
      </c>
      <c r="M275" s="153">
        <f t="shared" si="31"/>
        <v>0</v>
      </c>
      <c r="O275" s="148"/>
      <c r="R275" s="12"/>
    </row>
    <row r="276" spans="1:18" s="51" customFormat="1" ht="13.5" hidden="1" customHeight="1" outlineLevel="1" x14ac:dyDescent="0.3">
      <c r="A276" s="290">
        <f t="shared" si="34"/>
        <v>0</v>
      </c>
      <c r="B276" s="49"/>
      <c r="C276" s="49"/>
      <c r="D276" s="140" t="s">
        <v>1822</v>
      </c>
      <c r="E276" s="49" t="str">
        <f>VLOOKUP(D276,'03. Insumos'!A:D,2,0)</f>
        <v>Execução das instalações hidrosanitárias (mat + mo)</v>
      </c>
      <c r="F276" s="52"/>
      <c r="G276" s="52" t="str">
        <f>VLOOKUP(D276,'03. Insumos'!A:F,3,0)</f>
        <v>vb</v>
      </c>
      <c r="H276" s="53">
        <v>1</v>
      </c>
      <c r="I276" s="141"/>
      <c r="J276" s="54">
        <f>IFERROR(IF(K276&lt;&gt;0,K276*$K$5,0),0)</f>
        <v>2000</v>
      </c>
      <c r="K276" s="54">
        <v>2000</v>
      </c>
      <c r="L276" s="274">
        <f>H276*J276*I276</f>
        <v>0</v>
      </c>
      <c r="M276" s="153">
        <f t="shared" si="31"/>
        <v>0</v>
      </c>
      <c r="O276" s="148"/>
      <c r="R276" s="12"/>
    </row>
    <row r="277" spans="1:18" s="18" customFormat="1" ht="13.5" customHeight="1" outlineLevel="1" x14ac:dyDescent="0.3">
      <c r="A277" s="290">
        <f t="shared" si="34"/>
        <v>4</v>
      </c>
      <c r="B277" s="45"/>
      <c r="C277" s="45" t="s">
        <v>1352</v>
      </c>
      <c r="D277" s="45" t="s">
        <v>1350</v>
      </c>
      <c r="E277" s="45"/>
      <c r="F277" s="60"/>
      <c r="G277" s="60"/>
      <c r="H277" s="61"/>
      <c r="I277" s="61"/>
      <c r="J277" s="62"/>
      <c r="K277" s="62"/>
      <c r="L277" s="62">
        <f>L278</f>
        <v>22960</v>
      </c>
      <c r="M277" s="153">
        <f t="shared" si="31"/>
        <v>6.2815288021229859E-3</v>
      </c>
      <c r="O277" s="148">
        <f t="shared" si="40"/>
        <v>0</v>
      </c>
      <c r="R277" s="12">
        <f t="shared" si="35"/>
        <v>0</v>
      </c>
    </row>
    <row r="278" spans="1:18" s="59" customFormat="1" ht="13.5" customHeight="1" outlineLevel="1" x14ac:dyDescent="0.3">
      <c r="A278" s="290">
        <f t="shared" si="34"/>
        <v>6</v>
      </c>
      <c r="B278" s="55"/>
      <c r="C278" s="55" t="s">
        <v>1353</v>
      </c>
      <c r="D278" s="55" t="s">
        <v>1350</v>
      </c>
      <c r="E278" s="55"/>
      <c r="F278" s="56"/>
      <c r="G278" s="56"/>
      <c r="H278" s="57"/>
      <c r="I278" s="57"/>
      <c r="J278" s="58"/>
      <c r="K278" s="58"/>
      <c r="L278" s="58">
        <f>SUM(L279:L283)</f>
        <v>22960</v>
      </c>
      <c r="M278" s="153">
        <f t="shared" si="31"/>
        <v>6.2815288021229859E-3</v>
      </c>
      <c r="O278" s="148">
        <f t="shared" si="40"/>
        <v>0</v>
      </c>
      <c r="R278" s="12">
        <f t="shared" si="35"/>
        <v>0</v>
      </c>
    </row>
    <row r="279" spans="1:18" s="59" customFormat="1" ht="13.5" customHeight="1" outlineLevel="1" x14ac:dyDescent="0.3">
      <c r="A279" s="290">
        <f t="shared" si="34"/>
        <v>0</v>
      </c>
      <c r="B279" s="55"/>
      <c r="C279" s="55"/>
      <c r="D279" s="140" t="s">
        <v>2551</v>
      </c>
      <c r="E279" s="49" t="str">
        <f>VLOOKUP(D279,'03. Insumos'!A:D,2,0)</f>
        <v>Execução de ar condicionado 12.000 BTU's (mo + equipamentos)</v>
      </c>
      <c r="F279" s="52" t="s">
        <v>2599</v>
      </c>
      <c r="G279" s="52" t="str">
        <f>VLOOKUP(D279,'03. Insumos'!A:F,3,0)</f>
        <v>Unid</v>
      </c>
      <c r="H279" s="53">
        <v>1</v>
      </c>
      <c r="I279" s="141">
        <v>2</v>
      </c>
      <c r="J279" s="54">
        <f>IFERROR(IF(K279&lt;&gt;0,K279*$K$5,0),0)</f>
        <v>2505</v>
      </c>
      <c r="K279" s="54">
        <f>IF(A279=0,VLOOKUP(D279,'03. Insumos'!A:F,4,0),"")</f>
        <v>2505</v>
      </c>
      <c r="L279" s="274">
        <f>H279*J279*I279</f>
        <v>5010</v>
      </c>
      <c r="M279" s="153">
        <f t="shared" si="31"/>
        <v>1.3706646035991359E-3</v>
      </c>
      <c r="O279" s="148"/>
      <c r="R279" s="12"/>
    </row>
    <row r="280" spans="1:18" s="59" customFormat="1" ht="13.5" customHeight="1" outlineLevel="1" x14ac:dyDescent="0.3">
      <c r="A280" s="290">
        <f t="shared" si="34"/>
        <v>0</v>
      </c>
      <c r="B280" s="55"/>
      <c r="C280" s="55"/>
      <c r="D280" s="140" t="s">
        <v>2546</v>
      </c>
      <c r="E280" s="49" t="str">
        <f>VLOOKUP(D280,'03. Insumos'!A:D,2,0)</f>
        <v>Execução de ar condicionado 18.000 BTU's (mo + equipamentos)</v>
      </c>
      <c r="F280" s="52" t="s">
        <v>2599</v>
      </c>
      <c r="G280" s="52" t="str">
        <f>VLOOKUP(D280,'03. Insumos'!A:F,3,0)</f>
        <v>Unid</v>
      </c>
      <c r="H280" s="53">
        <v>1</v>
      </c>
      <c r="I280" s="141">
        <v>2</v>
      </c>
      <c r="J280" s="54">
        <f>IFERROR(IF(K280&lt;&gt;0,K280*$K$5,0),0)</f>
        <v>3050</v>
      </c>
      <c r="K280" s="54">
        <f>IF(A280=0,VLOOKUP(D280,'03. Insumos'!A:F,4,0),"")</f>
        <v>3050</v>
      </c>
      <c r="L280" s="274">
        <f>H280*J280*I280</f>
        <v>6100</v>
      </c>
      <c r="M280" s="153">
        <f t="shared" si="31"/>
        <v>1.6688730702504448E-3</v>
      </c>
      <c r="O280" s="148"/>
      <c r="R280" s="12"/>
    </row>
    <row r="281" spans="1:18" s="59" customFormat="1" ht="13.5" customHeight="1" outlineLevel="1" x14ac:dyDescent="0.3">
      <c r="A281" s="290">
        <f t="shared" si="34"/>
        <v>0</v>
      </c>
      <c r="B281" s="55"/>
      <c r="C281" s="55"/>
      <c r="D281" s="140" t="s">
        <v>2547</v>
      </c>
      <c r="E281" s="49" t="str">
        <f>VLOOKUP(D281,'03. Insumos'!A:D,2,0)</f>
        <v>Execução de ar condicionado 22.000 BTU's (mo + equipamentos)</v>
      </c>
      <c r="F281" s="52" t="s">
        <v>2599</v>
      </c>
      <c r="G281" s="52" t="str">
        <f>VLOOKUP(D281,'03. Insumos'!A:F,3,0)</f>
        <v>Unid</v>
      </c>
      <c r="H281" s="53">
        <v>1</v>
      </c>
      <c r="I281" s="141">
        <v>3</v>
      </c>
      <c r="J281" s="54">
        <f>IFERROR(IF(K281&lt;&gt;0,K281*$K$5,0),0)</f>
        <v>3950</v>
      </c>
      <c r="K281" s="54">
        <f>IF(A281=0,VLOOKUP(D281,'03. Insumos'!A:F,4,0),"")</f>
        <v>3950</v>
      </c>
      <c r="L281" s="274">
        <f>H281*J281*I281</f>
        <v>11850</v>
      </c>
      <c r="M281" s="153">
        <f t="shared" si="31"/>
        <v>3.241991128273405E-3</v>
      </c>
      <c r="O281" s="148"/>
      <c r="R281" s="12"/>
    </row>
    <row r="282" spans="1:18" s="59" customFormat="1" ht="13.5" hidden="1" customHeight="1" outlineLevel="1" x14ac:dyDescent="0.3">
      <c r="A282" s="290">
        <f t="shared" si="34"/>
        <v>0</v>
      </c>
      <c r="B282" s="55"/>
      <c r="C282" s="55"/>
      <c r="D282" s="140" t="s">
        <v>2156</v>
      </c>
      <c r="E282" s="49" t="str">
        <f>VLOOKUP(D282,'03. Insumos'!A:D,2,0)</f>
        <v>Execução de um ponto de Split 22.000 BTU</v>
      </c>
      <c r="F282" s="52"/>
      <c r="G282" s="52" t="str">
        <f>VLOOKUP(D282,'03. Insumos'!A:F,3,0)</f>
        <v>vb</v>
      </c>
      <c r="H282" s="53">
        <v>1</v>
      </c>
      <c r="I282" s="141"/>
      <c r="J282" s="54">
        <f>IFERROR(IF(K282&lt;&gt;0,K282*$K$5,0),0)</f>
        <v>4070.0000000000005</v>
      </c>
      <c r="K282" s="54">
        <f>IF(A282=0,VLOOKUP(D282,'03. Insumos'!A:F,4,0),"")</f>
        <v>4070.0000000000005</v>
      </c>
      <c r="L282" s="274">
        <f>H282*J282*I282</f>
        <v>0</v>
      </c>
      <c r="M282" s="153">
        <f t="shared" si="31"/>
        <v>0</v>
      </c>
      <c r="O282" s="148"/>
      <c r="R282" s="12"/>
    </row>
    <row r="283" spans="1:18" s="51" customFormat="1" ht="13.5" hidden="1" customHeight="1" outlineLevel="1" x14ac:dyDescent="0.3">
      <c r="A283" s="290">
        <f t="shared" si="34"/>
        <v>0</v>
      </c>
      <c r="B283" s="49"/>
      <c r="C283" s="49"/>
      <c r="D283" s="140" t="s">
        <v>1907</v>
      </c>
      <c r="E283" s="49" t="str">
        <f>VLOOKUP(D283,'03. Insumos'!A:D,2,0)</f>
        <v>Instalações ar condicionado e exaustão (mat + mo)</v>
      </c>
      <c r="F283" s="52"/>
      <c r="G283" s="52" t="str">
        <f>VLOOKUP(D283,'03. Insumos'!A:F,3,0)</f>
        <v>vb</v>
      </c>
      <c r="H283" s="53">
        <v>1</v>
      </c>
      <c r="I283" s="141"/>
      <c r="J283" s="54">
        <f>IFERROR(IF(K283&lt;&gt;0,K283*$K$5,0),0)</f>
        <v>0</v>
      </c>
      <c r="K283" s="54">
        <f>IF(A283=0,VLOOKUP(D283,'03. Insumos'!A:F,4,0),"")</f>
        <v>0</v>
      </c>
      <c r="L283" s="274">
        <f>H283*J283*I283</f>
        <v>0</v>
      </c>
      <c r="M283" s="153">
        <f t="shared" si="31"/>
        <v>0</v>
      </c>
      <c r="O283" s="148">
        <f t="shared" si="40"/>
        <v>0</v>
      </c>
      <c r="R283" s="12">
        <f t="shared" si="35"/>
        <v>0</v>
      </c>
    </row>
    <row r="284" spans="1:18" s="18" customFormat="1" ht="13.5" hidden="1" customHeight="1" outlineLevel="1" x14ac:dyDescent="0.3">
      <c r="A284" s="290">
        <f t="shared" si="34"/>
        <v>4</v>
      </c>
      <c r="B284" s="45"/>
      <c r="C284" s="45" t="s">
        <v>1354</v>
      </c>
      <c r="D284" s="45" t="s">
        <v>341</v>
      </c>
      <c r="E284" s="45"/>
      <c r="F284" s="60"/>
      <c r="G284" s="60"/>
      <c r="H284" s="61"/>
      <c r="I284" s="61"/>
      <c r="J284" s="62"/>
      <c r="K284" s="62"/>
      <c r="L284" s="62">
        <f>L285</f>
        <v>0</v>
      </c>
      <c r="M284" s="153">
        <f t="shared" si="31"/>
        <v>0</v>
      </c>
      <c r="O284" s="148">
        <f t="shared" si="40"/>
        <v>0</v>
      </c>
      <c r="R284" s="12">
        <f t="shared" si="35"/>
        <v>0</v>
      </c>
    </row>
    <row r="285" spans="1:18" s="59" customFormat="1" ht="13.5" hidden="1" customHeight="1" outlineLevel="1" x14ac:dyDescent="0.3">
      <c r="A285" s="290">
        <f t="shared" si="34"/>
        <v>6</v>
      </c>
      <c r="B285" s="55"/>
      <c r="C285" s="55" t="s">
        <v>1355</v>
      </c>
      <c r="D285" s="55" t="s">
        <v>2237</v>
      </c>
      <c r="E285" s="55"/>
      <c r="F285" s="56"/>
      <c r="G285" s="56"/>
      <c r="H285" s="57"/>
      <c r="I285" s="57"/>
      <c r="J285" s="58"/>
      <c r="K285" s="58"/>
      <c r="L285" s="58">
        <f>SUM(L286:L288)</f>
        <v>0</v>
      </c>
      <c r="M285" s="153">
        <f t="shared" si="31"/>
        <v>0</v>
      </c>
      <c r="O285" s="148">
        <f t="shared" si="40"/>
        <v>0</v>
      </c>
      <c r="R285" s="12">
        <f t="shared" si="35"/>
        <v>0</v>
      </c>
    </row>
    <row r="286" spans="1:18" s="51" customFormat="1" ht="13.5" hidden="1" customHeight="1" outlineLevel="1" x14ac:dyDescent="0.3">
      <c r="A286" s="290">
        <f t="shared" si="34"/>
        <v>0</v>
      </c>
      <c r="B286" s="49"/>
      <c r="C286" s="49"/>
      <c r="D286" s="140" t="s">
        <v>2233</v>
      </c>
      <c r="E286" s="49" t="str">
        <f>VLOOKUP(D286,'03. Insumos'!A:D,2,0)</f>
        <v>Fornecimento de banheira, com frete</v>
      </c>
      <c r="F286" s="52"/>
      <c r="G286" s="52" t="str">
        <f>VLOOKUP(D286,'03. Insumos'!A:F,3,0)</f>
        <v>vb</v>
      </c>
      <c r="H286" s="53">
        <v>1</v>
      </c>
      <c r="I286" s="141"/>
      <c r="J286" s="54">
        <f>IFERROR(IF(K286&lt;&gt;0,K286*$K$5,0),0)</f>
        <v>11154.38</v>
      </c>
      <c r="K286" s="54">
        <f>IF(A286=0,VLOOKUP(D286,'03. Insumos'!A:F,4,0),"")</f>
        <v>11154.38</v>
      </c>
      <c r="L286" s="274">
        <f>H286*J286*I286</f>
        <v>0</v>
      </c>
      <c r="M286" s="153">
        <f t="shared" si="31"/>
        <v>0</v>
      </c>
      <c r="O286" s="148">
        <f t="shared" si="40"/>
        <v>0</v>
      </c>
      <c r="R286" s="12">
        <f t="shared" si="35"/>
        <v>-324.88485436893279</v>
      </c>
    </row>
    <row r="287" spans="1:18" s="51" customFormat="1" ht="13.5" hidden="1" customHeight="1" outlineLevel="1" x14ac:dyDescent="0.3">
      <c r="A287" s="290">
        <f t="shared" si="34"/>
        <v>0</v>
      </c>
      <c r="B287" s="49"/>
      <c r="C287" s="49"/>
      <c r="D287" s="140" t="s">
        <v>2234</v>
      </c>
      <c r="E287" s="49" t="str">
        <f>VLOOKUP(D287,'03. Insumos'!A:D,2,0)</f>
        <v>Içamento banheira</v>
      </c>
      <c r="F287" s="52"/>
      <c r="G287" s="52" t="str">
        <f>VLOOKUP(D287,'03. Insumos'!A:F,3,0)</f>
        <v>vb</v>
      </c>
      <c r="H287" s="53">
        <v>1</v>
      </c>
      <c r="I287" s="141"/>
      <c r="J287" s="54">
        <f>IFERROR(IF(K287&lt;&gt;0,K287*$K$5,0),0)</f>
        <v>0</v>
      </c>
      <c r="K287" s="54">
        <f>IF(A287=0,VLOOKUP(D287,'03. Insumos'!A:F,4,0),"")</f>
        <v>0</v>
      </c>
      <c r="L287" s="274">
        <f>H287*J287*I287</f>
        <v>0</v>
      </c>
      <c r="M287" s="153">
        <f t="shared" si="31"/>
        <v>0</v>
      </c>
      <c r="O287" s="148"/>
      <c r="R287" s="12"/>
    </row>
    <row r="288" spans="1:18" s="51" customFormat="1" ht="13.5" hidden="1" customHeight="1" outlineLevel="1" x14ac:dyDescent="0.3">
      <c r="A288" s="290">
        <f t="shared" si="34"/>
        <v>0</v>
      </c>
      <c r="B288" s="49"/>
      <c r="C288" s="49"/>
      <c r="D288" s="140" t="s">
        <v>2235</v>
      </c>
      <c r="E288" s="49" t="str">
        <f>VLOOKUP(D288,'03. Insumos'!A:D,2,0)</f>
        <v xml:space="preserve">Instalação da banheira </v>
      </c>
      <c r="F288" s="52"/>
      <c r="G288" s="52" t="str">
        <f>VLOOKUP(D288,'03. Insumos'!A:F,3,0)</f>
        <v>vb</v>
      </c>
      <c r="H288" s="53">
        <v>1</v>
      </c>
      <c r="I288" s="141"/>
      <c r="J288" s="54">
        <f>IFERROR(IF(K288&lt;&gt;0,K288*$K$5,0),0)</f>
        <v>900</v>
      </c>
      <c r="K288" s="54">
        <f>IF(A288=0,VLOOKUP(D288,'03. Insumos'!A:F,4,0),"")</f>
        <v>900</v>
      </c>
      <c r="L288" s="274">
        <f>H288*J288*I288</f>
        <v>0</v>
      </c>
      <c r="M288" s="153">
        <f t="shared" si="31"/>
        <v>0</v>
      </c>
      <c r="O288" s="148">
        <f t="shared" si="40"/>
        <v>0</v>
      </c>
      <c r="R288" s="12">
        <f t="shared" ref="R288:R296" si="47">IF(J288&lt;&gt;0,J288/1.03-K288,0)</f>
        <v>-26.213592233009763</v>
      </c>
    </row>
    <row r="289" spans="1:18" s="18" customFormat="1" ht="13.5" hidden="1" customHeight="1" outlineLevel="1" x14ac:dyDescent="0.3">
      <c r="A289" s="290">
        <f t="shared" si="34"/>
        <v>4</v>
      </c>
      <c r="B289" s="45"/>
      <c r="C289" s="45" t="s">
        <v>1356</v>
      </c>
      <c r="D289" s="45" t="s">
        <v>1358</v>
      </c>
      <c r="E289" s="45"/>
      <c r="F289" s="60"/>
      <c r="G289" s="60"/>
      <c r="H289" s="61"/>
      <c r="I289" s="61"/>
      <c r="J289" s="62"/>
      <c r="K289" s="62"/>
      <c r="L289" s="62">
        <f>L290</f>
        <v>0</v>
      </c>
      <c r="M289" s="153">
        <f t="shared" si="31"/>
        <v>0</v>
      </c>
      <c r="O289" s="148">
        <f t="shared" si="40"/>
        <v>0</v>
      </c>
      <c r="R289" s="12">
        <f t="shared" si="47"/>
        <v>0</v>
      </c>
    </row>
    <row r="290" spans="1:18" s="59" customFormat="1" ht="13.5" hidden="1" customHeight="1" outlineLevel="1" x14ac:dyDescent="0.3">
      <c r="A290" s="290">
        <f t="shared" si="34"/>
        <v>6</v>
      </c>
      <c r="B290" s="55"/>
      <c r="C290" s="55" t="s">
        <v>1357</v>
      </c>
      <c r="D290" s="55" t="s">
        <v>1358</v>
      </c>
      <c r="E290" s="55"/>
      <c r="F290" s="56"/>
      <c r="G290" s="56"/>
      <c r="H290" s="57"/>
      <c r="I290" s="57"/>
      <c r="J290" s="58"/>
      <c r="K290" s="58"/>
      <c r="L290" s="58">
        <f>SUM(L291:L292)</f>
        <v>0</v>
      </c>
      <c r="M290" s="153">
        <f t="shared" si="31"/>
        <v>0</v>
      </c>
      <c r="O290" s="148">
        <f t="shared" si="40"/>
        <v>0</v>
      </c>
      <c r="R290" s="12">
        <f t="shared" si="47"/>
        <v>0</v>
      </c>
    </row>
    <row r="291" spans="1:18" s="51" customFormat="1" ht="13.5" hidden="1" customHeight="1" outlineLevel="1" x14ac:dyDescent="0.3">
      <c r="A291" s="290">
        <f t="shared" si="34"/>
        <v>0</v>
      </c>
      <c r="B291" s="49"/>
      <c r="C291" s="49"/>
      <c r="D291" s="140"/>
      <c r="E291" s="49" t="s">
        <v>1359</v>
      </c>
      <c r="F291" s="52"/>
      <c r="G291" s="52" t="s">
        <v>29</v>
      </c>
      <c r="H291" s="53">
        <v>1</v>
      </c>
      <c r="I291" s="141"/>
      <c r="J291" s="54">
        <f>IFERROR(IF(K291&lt;&gt;0,K291*$K$5,0),0)</f>
        <v>4000</v>
      </c>
      <c r="K291" s="54">
        <v>4000</v>
      </c>
      <c r="L291" s="274">
        <f>H291*J291*I291</f>
        <v>0</v>
      </c>
      <c r="M291" s="153">
        <f t="shared" si="31"/>
        <v>0</v>
      </c>
      <c r="O291" s="148">
        <f t="shared" si="40"/>
        <v>0</v>
      </c>
      <c r="R291" s="12">
        <f t="shared" si="47"/>
        <v>-116.50485436893223</v>
      </c>
    </row>
    <row r="292" spans="1:18" s="51" customFormat="1" ht="13.5" hidden="1" customHeight="1" outlineLevel="1" x14ac:dyDescent="0.3">
      <c r="A292" s="290">
        <f t="shared" si="34"/>
        <v>0</v>
      </c>
      <c r="B292" s="49"/>
      <c r="C292" s="49"/>
      <c r="D292" s="140"/>
      <c r="E292" s="49" t="s">
        <v>1360</v>
      </c>
      <c r="F292" s="52"/>
      <c r="G292" s="52" t="s">
        <v>29</v>
      </c>
      <c r="H292" s="53">
        <v>1</v>
      </c>
      <c r="I292" s="141"/>
      <c r="J292" s="54">
        <f>IFERROR(IF(K292&lt;&gt;0,K292*$K$5,0),0)</f>
        <v>3000</v>
      </c>
      <c r="K292" s="54">
        <v>3000</v>
      </c>
      <c r="L292" s="274">
        <f>H292*J292*I292</f>
        <v>0</v>
      </c>
      <c r="M292" s="153">
        <f t="shared" si="31"/>
        <v>0</v>
      </c>
      <c r="O292" s="148">
        <f t="shared" si="40"/>
        <v>0</v>
      </c>
      <c r="R292" s="12">
        <f t="shared" si="47"/>
        <v>-87.378640776699285</v>
      </c>
    </row>
    <row r="293" spans="1:18" s="18" customFormat="1" ht="13.5" customHeight="1" x14ac:dyDescent="0.3">
      <c r="A293" s="290">
        <f t="shared" si="34"/>
        <v>3</v>
      </c>
      <c r="B293" s="35"/>
      <c r="C293" s="35" t="s">
        <v>82</v>
      </c>
      <c r="D293" s="35" t="s">
        <v>1340</v>
      </c>
      <c r="E293" s="35"/>
      <c r="F293" s="36"/>
      <c r="G293" s="36"/>
      <c r="H293" s="37"/>
      <c r="I293" s="37"/>
      <c r="J293" s="38"/>
      <c r="K293" s="38"/>
      <c r="L293" s="38">
        <f>SUMIF(A294:A328,4,L294:L328)</f>
        <v>16279.607000000002</v>
      </c>
      <c r="M293" s="153">
        <f t="shared" si="31"/>
        <v>4.4538684781246941E-3</v>
      </c>
      <c r="O293" s="148">
        <f t="shared" si="40"/>
        <v>0</v>
      </c>
      <c r="R293" s="12">
        <f t="shared" si="47"/>
        <v>0</v>
      </c>
    </row>
    <row r="294" spans="1:18" s="18" customFormat="1" ht="5.25" customHeight="1" outlineLevel="1" x14ac:dyDescent="0.3">
      <c r="A294" s="290">
        <f t="shared" si="34"/>
        <v>0</v>
      </c>
      <c r="B294" s="63"/>
      <c r="C294" s="63"/>
      <c r="D294" s="63"/>
      <c r="E294" s="63"/>
      <c r="F294" s="64"/>
      <c r="G294" s="64"/>
      <c r="H294" s="65"/>
      <c r="I294" s="65"/>
      <c r="J294" s="66">
        <f>IFERROR(IF(K294&lt;&gt;0,K294*$K$5,0),0)</f>
        <v>0</v>
      </c>
      <c r="K294" s="66" t="e">
        <f>IF(A294=0,VLOOKUP(D294,'03. Insumos'!A:F,4,0),"")</f>
        <v>#N/A</v>
      </c>
      <c r="L294" s="66"/>
      <c r="M294" s="153">
        <f t="shared" si="31"/>
        <v>0</v>
      </c>
      <c r="O294" s="148">
        <f t="shared" si="40"/>
        <v>0</v>
      </c>
      <c r="R294" s="12">
        <f t="shared" si="47"/>
        <v>0</v>
      </c>
    </row>
    <row r="295" spans="1:18" s="18" customFormat="1" ht="13.5" customHeight="1" outlineLevel="1" x14ac:dyDescent="0.3">
      <c r="A295" s="290">
        <f t="shared" si="34"/>
        <v>4</v>
      </c>
      <c r="B295" s="45"/>
      <c r="C295" s="45" t="s">
        <v>362</v>
      </c>
      <c r="D295" s="45" t="s">
        <v>1340</v>
      </c>
      <c r="E295" s="45"/>
      <c r="F295" s="60"/>
      <c r="G295" s="60"/>
      <c r="H295" s="61"/>
      <c r="I295" s="61"/>
      <c r="J295" s="62"/>
      <c r="K295" s="62" t="str">
        <f>IF(A295=0,VLOOKUP(D295,'03. Insumos'!A:F,4,0),"")</f>
        <v/>
      </c>
      <c r="L295" s="62">
        <f>SUMIF(A296:A328,6,L296:L328)</f>
        <v>16279.607000000002</v>
      </c>
      <c r="M295" s="153">
        <f t="shared" si="31"/>
        <v>4.4538684781246941E-3</v>
      </c>
      <c r="O295" s="148">
        <f t="shared" si="40"/>
        <v>0</v>
      </c>
      <c r="R295" s="12">
        <f t="shared" si="47"/>
        <v>0</v>
      </c>
    </row>
    <row r="296" spans="1:18" s="59" customFormat="1" ht="13.5" customHeight="1" outlineLevel="1" x14ac:dyDescent="0.3">
      <c r="A296" s="290">
        <f t="shared" si="34"/>
        <v>6</v>
      </c>
      <c r="B296" s="55"/>
      <c r="C296" s="55" t="s">
        <v>277</v>
      </c>
      <c r="D296" s="55" t="s">
        <v>1598</v>
      </c>
      <c r="E296" s="55"/>
      <c r="F296" s="56"/>
      <c r="G296" s="56" t="s">
        <v>73</v>
      </c>
      <c r="H296" s="57">
        <f>71.2+27.6</f>
        <v>98.800000000000011</v>
      </c>
      <c r="I296" s="57"/>
      <c r="J296" s="58"/>
      <c r="K296" s="58" t="str">
        <f>IF(A296=0,VLOOKUP(D296,'03. Insumos'!A:F,4,0),"")</f>
        <v/>
      </c>
      <c r="L296" s="58">
        <f>SUM(L297:L301)</f>
        <v>3691.6000000000004</v>
      </c>
      <c r="M296" s="153">
        <f t="shared" si="31"/>
        <v>1.0099691518256628E-3</v>
      </c>
      <c r="O296" s="148">
        <f t="shared" si="40"/>
        <v>0</v>
      </c>
      <c r="R296" s="12">
        <f t="shared" si="47"/>
        <v>0</v>
      </c>
    </row>
    <row r="297" spans="1:18" s="59" customFormat="1" ht="13.5" customHeight="1" outlineLevel="1" x14ac:dyDescent="0.3">
      <c r="A297" s="290">
        <f t="shared" si="34"/>
        <v>0</v>
      </c>
      <c r="B297" s="55"/>
      <c r="C297" s="55"/>
      <c r="D297" s="140" t="s">
        <v>2192</v>
      </c>
      <c r="E297" s="49" t="str">
        <f>VLOOKUP(D297,'03. Insumos'!A:D,2,0)</f>
        <v>Execução da argamassa de regularização</v>
      </c>
      <c r="F297" s="52" t="s">
        <v>2607</v>
      </c>
      <c r="G297" s="52" t="str">
        <f>VLOOKUP(D297,'03. Insumos'!A:F,3,0)</f>
        <v>m²</v>
      </c>
      <c r="H297" s="53">
        <v>1</v>
      </c>
      <c r="I297" s="141">
        <f>H296</f>
        <v>98.800000000000011</v>
      </c>
      <c r="J297" s="54">
        <f>IFERROR(IF(K297&lt;&gt;0,K297*$K$5,0),0)</f>
        <v>22</v>
      </c>
      <c r="K297" s="54">
        <f>IF(A297=0,VLOOKUP(D297,'03. Insumos'!A:F,4,0),"")</f>
        <v>22</v>
      </c>
      <c r="L297" s="274">
        <f>H297*J297*I297</f>
        <v>2173.6000000000004</v>
      </c>
      <c r="M297" s="153">
        <f t="shared" si="31"/>
        <v>5.9466598450760117E-4</v>
      </c>
      <c r="O297" s="148"/>
      <c r="R297" s="12"/>
    </row>
    <row r="298" spans="1:18" s="51" customFormat="1" ht="13.5" hidden="1" customHeight="1" outlineLevel="1" x14ac:dyDescent="0.3">
      <c r="A298" s="290">
        <f t="shared" si="34"/>
        <v>0</v>
      </c>
      <c r="B298" s="49"/>
      <c r="C298" s="49"/>
      <c r="D298" s="140" t="s">
        <v>733</v>
      </c>
      <c r="E298" s="49" t="str">
        <f>VLOOKUP(D298,'03. Insumos'!A:D,2,0)</f>
        <v>Material - Execução argamassa de Regularização</v>
      </c>
      <c r="F298" s="52"/>
      <c r="G298" s="52" t="str">
        <f>VLOOKUP(D298,'03. Insumos'!A:F,3,0)</f>
        <v>m²</v>
      </c>
      <c r="H298" s="53"/>
      <c r="I298" s="141">
        <f>H296</f>
        <v>98.800000000000011</v>
      </c>
      <c r="J298" s="54">
        <f>IFERROR(IF(K298&lt;&gt;0,K298*$K$5,0),0)</f>
        <v>11.664</v>
      </c>
      <c r="K298" s="54">
        <f>IF(A298=0,VLOOKUP(D298,'03. Insumos'!A:F,4,0),"")</f>
        <v>11.664</v>
      </c>
      <c r="L298" s="274">
        <f>H298*J298*I298</f>
        <v>0</v>
      </c>
      <c r="M298" s="153">
        <f t="shared" si="31"/>
        <v>0</v>
      </c>
      <c r="O298" s="148">
        <f t="shared" si="40"/>
        <v>0</v>
      </c>
      <c r="R298" s="12">
        <f>IF(J298&lt;&gt;0,J298/1.03-K298,0)</f>
        <v>-0.33972815533980594</v>
      </c>
    </row>
    <row r="299" spans="1:18" s="51" customFormat="1" ht="13.5" hidden="1" customHeight="1" outlineLevel="1" x14ac:dyDescent="0.3">
      <c r="A299" s="290">
        <f t="shared" si="34"/>
        <v>0</v>
      </c>
      <c r="B299" s="49"/>
      <c r="C299" s="49"/>
      <c r="D299" s="140" t="s">
        <v>734</v>
      </c>
      <c r="E299" s="49" t="str">
        <f>VLOOKUP(D299,'03. Insumos'!A:D,2,0)</f>
        <v xml:space="preserve">Mão de obra - Execução argamassa de Regularização </v>
      </c>
      <c r="F299" s="52"/>
      <c r="G299" s="52" t="str">
        <f>VLOOKUP(D299,'03. Insumos'!A:F,3,0)</f>
        <v>m²</v>
      </c>
      <c r="H299" s="53"/>
      <c r="I299" s="141">
        <f>H296</f>
        <v>98.800000000000011</v>
      </c>
      <c r="J299" s="54">
        <f>IFERROR(IF(K299&lt;&gt;0,K299*$K$5,0),0)</f>
        <v>7.7759999999999998</v>
      </c>
      <c r="K299" s="54">
        <f>IF(A299=0,VLOOKUP(D299,'03. Insumos'!A:F,4,0),"")</f>
        <v>7.7759999999999998</v>
      </c>
      <c r="L299" s="274">
        <f>H299*J299*I299</f>
        <v>0</v>
      </c>
      <c r="M299" s="153">
        <f t="shared" si="31"/>
        <v>0</v>
      </c>
      <c r="O299" s="148"/>
      <c r="R299" s="12"/>
    </row>
    <row r="300" spans="1:18" s="51" customFormat="1" ht="13.5" customHeight="1" outlineLevel="1" x14ac:dyDescent="0.3">
      <c r="A300" s="290">
        <f t="shared" si="34"/>
        <v>0</v>
      </c>
      <c r="B300" s="49"/>
      <c r="C300" s="49"/>
      <c r="D300" s="140" t="s">
        <v>1591</v>
      </c>
      <c r="E300" s="49" t="str">
        <f>VLOOKUP(D300,'03. Insumos'!A:D,2,0)</f>
        <v>Areia (granel)</v>
      </c>
      <c r="F300" s="52" t="s">
        <v>2612</v>
      </c>
      <c r="G300" s="52" t="str">
        <f>VLOOKUP(D300,'03. Insumos'!A:F,3,0)</f>
        <v>m³</v>
      </c>
      <c r="H300" s="53">
        <v>1</v>
      </c>
      <c r="I300" s="141">
        <f>ROUNDUP((H296*0.04),0)</f>
        <v>4</v>
      </c>
      <c r="J300" s="54">
        <f>IFERROR(IF(K300&lt;&gt;0,K300*$K$5,0),0)</f>
        <v>65</v>
      </c>
      <c r="K300" s="54">
        <f>IF(A300=0,VLOOKUP(D300,'03. Insumos'!A:F,4,0),"")</f>
        <v>65</v>
      </c>
      <c r="L300" s="274">
        <f>H300*J300*I300</f>
        <v>260</v>
      </c>
      <c r="M300" s="153">
        <f t="shared" si="31"/>
        <v>7.1132294797559949E-5</v>
      </c>
      <c r="O300" s="148"/>
      <c r="R300" s="12"/>
    </row>
    <row r="301" spans="1:18" s="51" customFormat="1" ht="13.5" customHeight="1" outlineLevel="1" x14ac:dyDescent="0.3">
      <c r="A301" s="290">
        <f t="shared" si="34"/>
        <v>0</v>
      </c>
      <c r="B301" s="49"/>
      <c r="C301" s="49"/>
      <c r="D301" s="140" t="s">
        <v>747</v>
      </c>
      <c r="E301" s="49" t="str">
        <f>VLOOKUP(D301,'03. Insumos'!A:D,2,0)</f>
        <v>Cimento (saco 50 Kg)</v>
      </c>
      <c r="F301" s="52" t="s">
        <v>2612</v>
      </c>
      <c r="G301" s="52" t="str">
        <f>VLOOKUP(D301,'03. Insumos'!A:F,3,0)</f>
        <v>unid</v>
      </c>
      <c r="H301" s="53">
        <v>1</v>
      </c>
      <c r="I301" s="141">
        <f>ROUNDUP((H296*0.04*8.6),0)</f>
        <v>34</v>
      </c>
      <c r="J301" s="54">
        <f>IFERROR(IF(K301&lt;&gt;0,K301*$K$5,0),0)</f>
        <v>37</v>
      </c>
      <c r="K301" s="54">
        <f>IF(A301=0,VLOOKUP(D301,'03. Insumos'!A:F,4,0),"")</f>
        <v>37</v>
      </c>
      <c r="L301" s="274">
        <f>H301*J301*I301</f>
        <v>1258</v>
      </c>
      <c r="M301" s="153">
        <f t="shared" si="31"/>
        <v>3.4417087252050158E-4</v>
      </c>
      <c r="O301" s="148"/>
      <c r="R301" s="12"/>
    </row>
    <row r="302" spans="1:18" s="59" customFormat="1" ht="13.5" customHeight="1" outlineLevel="1" x14ac:dyDescent="0.3">
      <c r="A302" s="290">
        <f t="shared" si="34"/>
        <v>6</v>
      </c>
      <c r="B302" s="55"/>
      <c r="C302" s="55" t="s">
        <v>363</v>
      </c>
      <c r="D302" s="55" t="s">
        <v>1397</v>
      </c>
      <c r="E302" s="55"/>
      <c r="F302" s="56"/>
      <c r="G302" s="56" t="s">
        <v>73</v>
      </c>
      <c r="H302" s="57">
        <v>27.6</v>
      </c>
      <c r="I302" s="142"/>
      <c r="J302" s="54"/>
      <c r="K302" s="54" t="str">
        <f>IF(A302=0,VLOOKUP(D302,'03. Insumos'!A:F,4,0),"")</f>
        <v/>
      </c>
      <c r="L302" s="58">
        <f>SUM(L303:L305)</f>
        <v>2428.8000000000002</v>
      </c>
      <c r="M302" s="153">
        <f t="shared" si="31"/>
        <v>6.6448506770889852E-4</v>
      </c>
      <c r="O302" s="148">
        <f>IF(I302&lt;&gt;0,I302*H302*K302,)</f>
        <v>0</v>
      </c>
      <c r="R302" s="12">
        <f>IF(J302&lt;&gt;0,J302/1.03-K302,0)</f>
        <v>0</v>
      </c>
    </row>
    <row r="303" spans="1:18" s="59" customFormat="1" ht="13.5" customHeight="1" outlineLevel="1" x14ac:dyDescent="0.3">
      <c r="A303" s="290">
        <f t="shared" si="34"/>
        <v>0</v>
      </c>
      <c r="B303" s="55"/>
      <c r="C303" s="55"/>
      <c r="D303" s="140" t="s">
        <v>2193</v>
      </c>
      <c r="E303" s="49" t="str">
        <f>VLOOKUP(D303,'03. Insumos'!A:D,2,0)</f>
        <v>Impermeabilização com manta asfáltica</v>
      </c>
      <c r="F303" s="52" t="s">
        <v>2607</v>
      </c>
      <c r="G303" s="52" t="str">
        <f>VLOOKUP(D303,'03. Insumos'!A:F,3,0)</f>
        <v>m²</v>
      </c>
      <c r="H303" s="53">
        <v>1</v>
      </c>
      <c r="I303" s="141">
        <f>H302</f>
        <v>27.6</v>
      </c>
      <c r="J303" s="54">
        <f>IFERROR(IF(K303&lt;&gt;0,K303*$K$5,0),0)</f>
        <v>88</v>
      </c>
      <c r="K303" s="54">
        <f>IF(A303=0,VLOOKUP(D303,'03. Insumos'!A:F,4,0),"")</f>
        <v>88</v>
      </c>
      <c r="L303" s="274">
        <f>H303*J303*I303</f>
        <v>2428.8000000000002</v>
      </c>
      <c r="M303" s="153">
        <f t="shared" si="31"/>
        <v>6.6448506770889852E-4</v>
      </c>
      <c r="O303" s="148"/>
      <c r="R303" s="12"/>
    </row>
    <row r="304" spans="1:18" s="51" customFormat="1" ht="13.5" hidden="1" customHeight="1" outlineLevel="1" x14ac:dyDescent="0.3">
      <c r="A304" s="290">
        <f t="shared" si="34"/>
        <v>0</v>
      </c>
      <c r="B304" s="49"/>
      <c r="C304" s="49"/>
      <c r="D304" s="140" t="s">
        <v>735</v>
      </c>
      <c r="E304" s="49" t="str">
        <f>VLOOKUP(D304,'03. Insumos'!A:D,2,0)</f>
        <v xml:space="preserve">Material - Execução Impermeabilização  manta asfáltica tipo III-4mm  </v>
      </c>
      <c r="F304" s="52"/>
      <c r="G304" s="52" t="str">
        <f>VLOOKUP(D304,'03. Insumos'!A:F,3,0)</f>
        <v>m²</v>
      </c>
      <c r="H304" s="53"/>
      <c r="I304" s="141">
        <f>H302</f>
        <v>27.6</v>
      </c>
      <c r="J304" s="54">
        <f>IFERROR(IF(K304&lt;&gt;0,K304*$K$5,0),0)</f>
        <v>46.181999999999995</v>
      </c>
      <c r="K304" s="54">
        <f>IF(A304=0,VLOOKUP(D304,'03. Insumos'!A:F,4,0),"")</f>
        <v>46.181999999999995</v>
      </c>
      <c r="L304" s="274">
        <f>H304*J304*I304</f>
        <v>0</v>
      </c>
      <c r="M304" s="153">
        <f t="shared" si="31"/>
        <v>0</v>
      </c>
      <c r="O304" s="148">
        <f>IF(I304&lt;&gt;0,I304*H304*K304,)</f>
        <v>0</v>
      </c>
      <c r="R304" s="12">
        <f>IF(J304&lt;&gt;0,J304/1.03-K304,0)</f>
        <v>-1.3451067961165037</v>
      </c>
    </row>
    <row r="305" spans="1:18" s="51" customFormat="1" ht="13.5" hidden="1" customHeight="1" outlineLevel="1" x14ac:dyDescent="0.3">
      <c r="A305" s="290">
        <f t="shared" si="34"/>
        <v>0</v>
      </c>
      <c r="B305" s="49"/>
      <c r="C305" s="49"/>
      <c r="D305" s="140" t="s">
        <v>736</v>
      </c>
      <c r="E305" s="49" t="str">
        <f>VLOOKUP(D305,'03. Insumos'!A:D,2,0)</f>
        <v xml:space="preserve">Mão de obra - Execução Impermeabilização  manta asfáltica tipo III-4mm  </v>
      </c>
      <c r="F305" s="52"/>
      <c r="G305" s="52" t="str">
        <f>VLOOKUP(D305,'03. Insumos'!A:F,3,0)</f>
        <v>m²</v>
      </c>
      <c r="H305" s="53"/>
      <c r="I305" s="141">
        <f>H302</f>
        <v>27.6</v>
      </c>
      <c r="J305" s="54">
        <f>IFERROR(IF(K305&lt;&gt;0,K305*$K$5,0),0)</f>
        <v>30.788</v>
      </c>
      <c r="K305" s="54">
        <f>IF(A305=0,VLOOKUP(D305,'03. Insumos'!A:F,4,0),"")</f>
        <v>30.788</v>
      </c>
      <c r="L305" s="274">
        <f>H305*J305*I305</f>
        <v>0</v>
      </c>
      <c r="M305" s="153">
        <f t="shared" si="31"/>
        <v>0</v>
      </c>
      <c r="O305" s="148">
        <f>IF(I305&lt;&gt;0,I305*H305*K305,)</f>
        <v>0</v>
      </c>
      <c r="R305" s="12"/>
    </row>
    <row r="306" spans="1:18" s="51" customFormat="1" ht="13.5" hidden="1" customHeight="1" outlineLevel="1" x14ac:dyDescent="0.3">
      <c r="A306" s="290">
        <f t="shared" si="34"/>
        <v>6</v>
      </c>
      <c r="B306" s="49"/>
      <c r="C306" s="55" t="s">
        <v>1341</v>
      </c>
      <c r="D306" s="55" t="s">
        <v>2199</v>
      </c>
      <c r="E306" s="49"/>
      <c r="F306" s="52"/>
      <c r="G306" s="56" t="s">
        <v>73</v>
      </c>
      <c r="H306" s="57"/>
      <c r="I306" s="141"/>
      <c r="J306" s="54"/>
      <c r="K306" s="54"/>
      <c r="L306" s="58">
        <f>SUM(L307)</f>
        <v>0</v>
      </c>
      <c r="M306" s="153">
        <f t="shared" si="31"/>
        <v>0</v>
      </c>
      <c r="O306" s="148"/>
      <c r="R306" s="12"/>
    </row>
    <row r="307" spans="1:18" s="51" customFormat="1" ht="13.5" hidden="1" customHeight="1" outlineLevel="1" x14ac:dyDescent="0.3">
      <c r="A307" s="290">
        <f t="shared" si="34"/>
        <v>0</v>
      </c>
      <c r="B307" s="49"/>
      <c r="C307" s="49"/>
      <c r="D307" s="140" t="s">
        <v>2194</v>
      </c>
      <c r="E307" s="49" t="str">
        <f>VLOOKUP(D307,'03. Insumos'!A:D,2,0)</f>
        <v>Execução da impermeabilização com manta asfáltica tipo III - 4 mm protegida com grânulos de ardósia</v>
      </c>
      <c r="F307" s="52"/>
      <c r="G307" s="52" t="str">
        <f>VLOOKUP(D307,'03. Insumos'!A:F,3,0)</f>
        <v>m²</v>
      </c>
      <c r="H307" s="53">
        <v>1</v>
      </c>
      <c r="I307" s="141">
        <f>H306</f>
        <v>0</v>
      </c>
      <c r="J307" s="54">
        <f>IFERROR(IF(K307&lt;&gt;0,K307*$K$5,0),0)</f>
        <v>82.67</v>
      </c>
      <c r="K307" s="54">
        <f>IF(A307=0,VLOOKUP(D307,'03. Insumos'!A:F,4,0),"")</f>
        <v>82.67</v>
      </c>
      <c r="L307" s="274">
        <f>H307*J307*I307</f>
        <v>0</v>
      </c>
      <c r="M307" s="153">
        <f t="shared" si="31"/>
        <v>0</v>
      </c>
      <c r="O307" s="148"/>
      <c r="R307" s="12"/>
    </row>
    <row r="308" spans="1:18" s="51" customFormat="1" ht="13.5" customHeight="1" outlineLevel="1" x14ac:dyDescent="0.3">
      <c r="A308" s="290">
        <f t="shared" si="34"/>
        <v>6</v>
      </c>
      <c r="B308" s="49"/>
      <c r="C308" s="55" t="s">
        <v>1398</v>
      </c>
      <c r="D308" s="55" t="s">
        <v>2184</v>
      </c>
      <c r="E308" s="49"/>
      <c r="F308" s="52"/>
      <c r="G308" s="56" t="s">
        <v>73</v>
      </c>
      <c r="H308" s="57">
        <v>27.6</v>
      </c>
      <c r="I308" s="141"/>
      <c r="J308" s="54"/>
      <c r="K308" s="54"/>
      <c r="L308" s="58">
        <f>SUM(L309:L312)</f>
        <v>1333.6320000000001</v>
      </c>
      <c r="M308" s="153">
        <f t="shared" si="31"/>
        <v>3.6486270990561333E-4</v>
      </c>
      <c r="O308" s="148"/>
      <c r="R308" s="12"/>
    </row>
    <row r="309" spans="1:18" s="51" customFormat="1" ht="13.5" hidden="1" customHeight="1" outlineLevel="1" x14ac:dyDescent="0.3">
      <c r="A309" s="290">
        <f t="shared" si="34"/>
        <v>0</v>
      </c>
      <c r="B309" s="49"/>
      <c r="C309" s="49"/>
      <c r="D309" s="140" t="s">
        <v>2180</v>
      </c>
      <c r="E309" s="49" t="str">
        <f>VLOOKUP(D309,'03. Insumos'!A:D,2,0)</f>
        <v>Fornecimento e aplicação de chapa XPS</v>
      </c>
      <c r="F309" s="52"/>
      <c r="G309" s="52" t="str">
        <f>VLOOKUP(D309,'03. Insumos'!A:F,3,0)</f>
        <v>m²</v>
      </c>
      <c r="H309" s="53"/>
      <c r="I309" s="141">
        <f>H308</f>
        <v>27.6</v>
      </c>
      <c r="J309" s="54">
        <f>IFERROR(IF(K309&lt;&gt;0,K309*$K$5,0),0)</f>
        <v>50.72</v>
      </c>
      <c r="K309" s="54">
        <f>IF(A309=0,VLOOKUP(D309,'03. Insumos'!A:F,4,0),"")</f>
        <v>50.72</v>
      </c>
      <c r="L309" s="274">
        <f>H309*J309*I309</f>
        <v>0</v>
      </c>
      <c r="M309" s="153">
        <f t="shared" si="31"/>
        <v>0</v>
      </c>
      <c r="O309" s="148"/>
      <c r="R309" s="12"/>
    </row>
    <row r="310" spans="1:18" s="51" customFormat="1" ht="13.5" customHeight="1" outlineLevel="1" x14ac:dyDescent="0.3">
      <c r="A310" s="290">
        <f t="shared" si="34"/>
        <v>0</v>
      </c>
      <c r="B310" s="49"/>
      <c r="C310" s="49"/>
      <c r="D310" s="140" t="s">
        <v>2569</v>
      </c>
      <c r="E310" s="49" t="str">
        <f>VLOOKUP(D310,'03. Insumos'!A:D,2,0)</f>
        <v>Camada separadora: Papel Kraft</v>
      </c>
      <c r="F310" s="52" t="s">
        <v>2612</v>
      </c>
      <c r="G310" s="52" t="str">
        <f>VLOOKUP(D310,'03. Insumos'!A:F,3,0)</f>
        <v>m²</v>
      </c>
      <c r="H310" s="53">
        <v>1</v>
      </c>
      <c r="I310" s="141">
        <f>H308</f>
        <v>27.6</v>
      </c>
      <c r="J310" s="54">
        <f>IFERROR(IF(K310&lt;&gt;0,K310*$K$5,0),0)</f>
        <v>10.92</v>
      </c>
      <c r="K310" s="54">
        <f>IF(A310=0,VLOOKUP(D310,'03. Insumos'!A:F,4,0),"")</f>
        <v>10.92</v>
      </c>
      <c r="L310" s="274">
        <f>H310*J310*I310</f>
        <v>301.392</v>
      </c>
      <c r="M310" s="153">
        <f t="shared" si="31"/>
        <v>8.2456556129331481E-5</v>
      </c>
      <c r="O310" s="148"/>
      <c r="R310" s="12"/>
    </row>
    <row r="311" spans="1:18" s="51" customFormat="1" ht="13.5" customHeight="1" outlineLevel="1" x14ac:dyDescent="0.3">
      <c r="A311" s="290">
        <f t="shared" si="34"/>
        <v>0</v>
      </c>
      <c r="B311" s="49"/>
      <c r="C311" s="49"/>
      <c r="D311" s="140" t="s">
        <v>2571</v>
      </c>
      <c r="E311" s="49" t="str">
        <f>VLOOKUP(D311,'03. Insumos'!A:D,2,0)</f>
        <v>Poliestireno extrudado esp=2,5 cm</v>
      </c>
      <c r="F311" s="52" t="s">
        <v>2612</v>
      </c>
      <c r="G311" s="52" t="str">
        <f>VLOOKUP(D311,'03. Insumos'!A:F,3,0)</f>
        <v>m²</v>
      </c>
      <c r="H311" s="53">
        <v>1</v>
      </c>
      <c r="I311" s="141">
        <f>H308</f>
        <v>27.6</v>
      </c>
      <c r="J311" s="54">
        <f>IFERROR(IF(K311&lt;&gt;0,K311*$K$5,0),0)</f>
        <v>37.4</v>
      </c>
      <c r="K311" s="54">
        <f>IF(A311=0,VLOOKUP(D311,'03. Insumos'!A:F,4,0),"")</f>
        <v>37.4</v>
      </c>
      <c r="L311" s="274">
        <f>H311*J311*I311</f>
        <v>1032.24</v>
      </c>
      <c r="M311" s="153">
        <f t="shared" si="31"/>
        <v>2.8240615377628182E-4</v>
      </c>
      <c r="O311" s="148"/>
      <c r="R311" s="12"/>
    </row>
    <row r="312" spans="1:18" s="51" customFormat="1" ht="13.5" hidden="1" customHeight="1" outlineLevel="1" x14ac:dyDescent="0.3">
      <c r="A312" s="290">
        <f t="shared" si="34"/>
        <v>0</v>
      </c>
      <c r="B312" s="49"/>
      <c r="C312" s="49"/>
      <c r="D312" s="140" t="s">
        <v>2181</v>
      </c>
      <c r="E312" s="49" t="str">
        <f>VLOOKUP(D312,'03. Insumos'!A:D,2,0)</f>
        <v>Cinasita</v>
      </c>
      <c r="F312" s="52"/>
      <c r="G312" s="52" t="str">
        <f>VLOOKUP(D312,'03. Insumos'!A:F,3,0)</f>
        <v>m³</v>
      </c>
      <c r="H312" s="53"/>
      <c r="I312" s="141">
        <f>H308*0.05</f>
        <v>1.3800000000000001</v>
      </c>
      <c r="J312" s="54">
        <f>IFERROR(IF(K312&lt;&gt;0,K312*$K$5,0),0)</f>
        <v>600</v>
      </c>
      <c r="K312" s="54">
        <f>IF(A312=0,VLOOKUP(D312,'03. Insumos'!A:F,4,0),"")</f>
        <v>600</v>
      </c>
      <c r="L312" s="274">
        <f>H312*J312*I312</f>
        <v>0</v>
      </c>
      <c r="M312" s="153">
        <f t="shared" si="31"/>
        <v>0</v>
      </c>
      <c r="O312" s="148"/>
      <c r="R312" s="12"/>
    </row>
    <row r="313" spans="1:18" s="51" customFormat="1" ht="13.5" customHeight="1" outlineLevel="1" x14ac:dyDescent="0.3">
      <c r="A313" s="290">
        <f t="shared" si="34"/>
        <v>6</v>
      </c>
      <c r="B313" s="49"/>
      <c r="C313" s="55" t="s">
        <v>2200</v>
      </c>
      <c r="D313" s="55" t="s">
        <v>1599</v>
      </c>
      <c r="E313" s="49"/>
      <c r="F313" s="52"/>
      <c r="G313" s="56" t="s">
        <v>73</v>
      </c>
      <c r="H313" s="57">
        <v>27.6</v>
      </c>
      <c r="I313" s="141"/>
      <c r="J313" s="54"/>
      <c r="K313" s="54"/>
      <c r="L313" s="58">
        <f>SUM(L314:L318)</f>
        <v>564.90000000000009</v>
      </c>
      <c r="M313" s="153">
        <f t="shared" si="31"/>
        <v>1.5454858973516008E-4</v>
      </c>
      <c r="O313" s="148"/>
      <c r="R313" s="12"/>
    </row>
    <row r="314" spans="1:18" s="51" customFormat="1" ht="13.5" customHeight="1" outlineLevel="1" x14ac:dyDescent="0.3">
      <c r="A314" s="290">
        <f t="shared" si="34"/>
        <v>0</v>
      </c>
      <c r="B314" s="49"/>
      <c r="C314" s="55"/>
      <c r="D314" s="140" t="s">
        <v>2195</v>
      </c>
      <c r="E314" s="49" t="str">
        <f>VLOOKUP(D314,'03. Insumos'!A:D,2,0)</f>
        <v>Execução da proteção primária do piso</v>
      </c>
      <c r="F314" s="52" t="s">
        <v>2607</v>
      </c>
      <c r="G314" s="52" t="str">
        <f>VLOOKUP(D314,'03. Insumos'!A:F,3,0)</f>
        <v>m²</v>
      </c>
      <c r="H314" s="53">
        <v>1</v>
      </c>
      <c r="I314" s="141">
        <f>H313</f>
        <v>27.6</v>
      </c>
      <c r="J314" s="54">
        <f>IFERROR(IF(K314&lt;&gt;0,K314*$K$5,0),0)</f>
        <v>12.75</v>
      </c>
      <c r="K314" s="54">
        <f>IF(A314=0,VLOOKUP(D314,'03. Insumos'!A:F,4,0),"")</f>
        <v>12.75</v>
      </c>
      <c r="L314" s="274">
        <f>H314*J314*I314</f>
        <v>351.90000000000003</v>
      </c>
      <c r="M314" s="153">
        <f t="shared" si="31"/>
        <v>9.6274825151005175E-5</v>
      </c>
      <c r="O314" s="148"/>
      <c r="R314" s="12"/>
    </row>
    <row r="315" spans="1:18" s="51" customFormat="1" ht="13.5" hidden="1" customHeight="1" outlineLevel="1" x14ac:dyDescent="0.3">
      <c r="A315" s="290">
        <f t="shared" si="34"/>
        <v>0</v>
      </c>
      <c r="B315" s="49"/>
      <c r="C315" s="49"/>
      <c r="D315" s="140" t="s">
        <v>737</v>
      </c>
      <c r="E315" s="49" t="str">
        <f>VLOOKUP(D315,'03. Insumos'!A:D,2,0)</f>
        <v>Material - Execução proteção primária do piso</v>
      </c>
      <c r="F315" s="52"/>
      <c r="G315" s="52" t="str">
        <f>VLOOKUP(D315,'03. Insumos'!A:F,3,0)</f>
        <v>m²</v>
      </c>
      <c r="H315" s="53"/>
      <c r="I315" s="141">
        <f>H313</f>
        <v>27.6</v>
      </c>
      <c r="J315" s="54">
        <f>IFERROR(IF(K315&lt;&gt;0,K315*$K$5,0),0)</f>
        <v>7.8000000000000007</v>
      </c>
      <c r="K315" s="54">
        <f>IF(A315=0,VLOOKUP(D315,'03. Insumos'!A:F,4,0),"")</f>
        <v>7.8000000000000007</v>
      </c>
      <c r="L315" s="274">
        <f>H315*J315*I315</f>
        <v>0</v>
      </c>
      <c r="M315" s="153">
        <f t="shared" si="31"/>
        <v>0</v>
      </c>
      <c r="O315" s="148"/>
      <c r="R315" s="12"/>
    </row>
    <row r="316" spans="1:18" s="51" customFormat="1" ht="13.5" hidden="1" customHeight="1" outlineLevel="1" x14ac:dyDescent="0.3">
      <c r="A316" s="290">
        <f t="shared" si="34"/>
        <v>0</v>
      </c>
      <c r="B316" s="49"/>
      <c r="C316" s="49"/>
      <c r="D316" s="140" t="s">
        <v>738</v>
      </c>
      <c r="E316" s="49" t="str">
        <f>VLOOKUP(D316,'03. Insumos'!A:D,2,0)</f>
        <v xml:space="preserve">Mão de obra - Execução proteção primária do piso </v>
      </c>
      <c r="F316" s="52"/>
      <c r="G316" s="52" t="str">
        <f>VLOOKUP(D316,'03. Insumos'!A:F,3,0)</f>
        <v>m²</v>
      </c>
      <c r="H316" s="53"/>
      <c r="I316" s="141">
        <f>H313</f>
        <v>27.6</v>
      </c>
      <c r="J316" s="54">
        <f>IFERROR(IF(K316&lt;&gt;0,K316*$K$5,0),0)</f>
        <v>5.2</v>
      </c>
      <c r="K316" s="54">
        <f>IF(A316=0,VLOOKUP(D316,'03. Insumos'!A:F,4,0),"")</f>
        <v>5.2</v>
      </c>
      <c r="L316" s="274">
        <f>H316*J316*I316</f>
        <v>0</v>
      </c>
      <c r="M316" s="153">
        <f t="shared" si="31"/>
        <v>0</v>
      </c>
      <c r="O316" s="148"/>
      <c r="R316" s="12"/>
    </row>
    <row r="317" spans="1:18" s="51" customFormat="1" ht="13.5" customHeight="1" outlineLevel="1" x14ac:dyDescent="0.3">
      <c r="A317" s="290">
        <f t="shared" si="34"/>
        <v>0</v>
      </c>
      <c r="B317" s="49"/>
      <c r="C317" s="49"/>
      <c r="D317" s="140" t="s">
        <v>1591</v>
      </c>
      <c r="E317" s="49" t="str">
        <f>VLOOKUP(D317,'03. Insumos'!A:D,2,0)</f>
        <v>Areia (granel)</v>
      </c>
      <c r="F317" s="52" t="s">
        <v>2612</v>
      </c>
      <c r="G317" s="52" t="str">
        <f>VLOOKUP(D317,'03. Insumos'!A:F,3,0)</f>
        <v>m³</v>
      </c>
      <c r="H317" s="53">
        <v>1</v>
      </c>
      <c r="I317" s="141">
        <f>ROUNDUP((H313*0.03*1.2),0)</f>
        <v>1</v>
      </c>
      <c r="J317" s="54">
        <f>IFERROR(IF(K317&lt;&gt;0,K317*$K$5,0),0)</f>
        <v>65</v>
      </c>
      <c r="K317" s="54">
        <f>IF(A317=0,VLOOKUP(D317,'03. Insumos'!A:F,4,0),"")</f>
        <v>65</v>
      </c>
      <c r="L317" s="274">
        <f>H317*J317*I317</f>
        <v>65</v>
      </c>
      <c r="M317" s="153">
        <f t="shared" si="31"/>
        <v>1.7783073699389987E-5</v>
      </c>
      <c r="O317" s="148"/>
      <c r="R317" s="12"/>
    </row>
    <row r="318" spans="1:18" s="51" customFormat="1" ht="13.5" customHeight="1" outlineLevel="1" x14ac:dyDescent="0.3">
      <c r="A318" s="290">
        <f t="shared" si="34"/>
        <v>0</v>
      </c>
      <c r="B318" s="49"/>
      <c r="C318" s="49"/>
      <c r="D318" s="140" t="s">
        <v>747</v>
      </c>
      <c r="E318" s="49" t="str">
        <f>VLOOKUP(D318,'03. Insumos'!A:D,2,0)</f>
        <v>Cimento (saco 50 Kg)</v>
      </c>
      <c r="F318" s="52" t="s">
        <v>2612</v>
      </c>
      <c r="G318" s="52" t="str">
        <f>VLOOKUP(D318,'03. Insumos'!A:F,3,0)</f>
        <v>unid</v>
      </c>
      <c r="H318" s="53">
        <v>1</v>
      </c>
      <c r="I318" s="141">
        <f>ROUNDUP((H313*0.03*4.35),0)</f>
        <v>4</v>
      </c>
      <c r="J318" s="54">
        <f>IFERROR(IF(K318&lt;&gt;0,K318*$K$5,0),0)</f>
        <v>37</v>
      </c>
      <c r="K318" s="54">
        <f>IF(A318=0,VLOOKUP(D318,'03. Insumos'!A:F,4,0),"")</f>
        <v>37</v>
      </c>
      <c r="L318" s="274">
        <f>H318*J318*I318</f>
        <v>148</v>
      </c>
      <c r="M318" s="153">
        <f t="shared" si="31"/>
        <v>4.0490690884764892E-5</v>
      </c>
      <c r="O318" s="148"/>
      <c r="R318" s="12"/>
    </row>
    <row r="319" spans="1:18" s="51" customFormat="1" ht="13.5" hidden="1" customHeight="1" outlineLevel="1" x14ac:dyDescent="0.3">
      <c r="A319" s="290">
        <f t="shared" si="34"/>
        <v>6</v>
      </c>
      <c r="B319" s="49"/>
      <c r="C319" s="55" t="s">
        <v>2201</v>
      </c>
      <c r="D319" s="55" t="s">
        <v>2202</v>
      </c>
      <c r="E319" s="49"/>
      <c r="F319" s="52"/>
      <c r="G319" s="56" t="s">
        <v>73</v>
      </c>
      <c r="H319" s="53"/>
      <c r="I319" s="141"/>
      <c r="J319" s="54"/>
      <c r="K319" s="54"/>
      <c r="L319" s="58">
        <f>SUM(L320)</f>
        <v>0</v>
      </c>
      <c r="M319" s="153">
        <f t="shared" si="31"/>
        <v>0</v>
      </c>
      <c r="O319" s="148"/>
      <c r="R319" s="12"/>
    </row>
    <row r="320" spans="1:18" s="51" customFormat="1" ht="13.5" hidden="1" customHeight="1" outlineLevel="1" x14ac:dyDescent="0.3">
      <c r="A320" s="290">
        <f t="shared" si="34"/>
        <v>0</v>
      </c>
      <c r="B320" s="49"/>
      <c r="C320" s="49"/>
      <c r="D320" s="140" t="s">
        <v>2196</v>
      </c>
      <c r="E320" s="49" t="str">
        <f>VLOOKUP(D320,'03. Insumos'!A:D,2,0)</f>
        <v>Execução da impermeabilização com poliuretano bicomponente</v>
      </c>
      <c r="F320" s="52"/>
      <c r="G320" s="52" t="str">
        <f>VLOOKUP(D320,'03. Insumos'!A:F,3,0)</f>
        <v>m²</v>
      </c>
      <c r="H320" s="53">
        <v>1</v>
      </c>
      <c r="I320" s="141">
        <f>H319</f>
        <v>0</v>
      </c>
      <c r="J320" s="54">
        <f>IFERROR(IF(K320&lt;&gt;0,K320*$K$5,0),0)</f>
        <v>124.50000000000001</v>
      </c>
      <c r="K320" s="54">
        <f>IF(A320=0,VLOOKUP(D320,'03. Insumos'!A:F,4,0),"")</f>
        <v>124.50000000000001</v>
      </c>
      <c r="L320" s="274">
        <f>H320*J320*I320</f>
        <v>0</v>
      </c>
      <c r="M320" s="153">
        <f t="shared" si="31"/>
        <v>0</v>
      </c>
      <c r="O320" s="148"/>
      <c r="R320" s="12"/>
    </row>
    <row r="321" spans="1:18" s="51" customFormat="1" ht="13.5" hidden="1" customHeight="1" outlineLevel="1" x14ac:dyDescent="0.3">
      <c r="A321" s="290">
        <f>LEN(C321)</f>
        <v>6</v>
      </c>
      <c r="B321" s="49"/>
      <c r="C321" s="55" t="s">
        <v>2205</v>
      </c>
      <c r="D321" s="55" t="s">
        <v>2203</v>
      </c>
      <c r="E321" s="49"/>
      <c r="F321" s="52"/>
      <c r="G321" s="56" t="s">
        <v>73</v>
      </c>
      <c r="H321" s="32"/>
      <c r="I321" s="141"/>
      <c r="J321" s="54"/>
      <c r="K321" s="54"/>
      <c r="L321" s="58">
        <f>SUM(L322)</f>
        <v>0</v>
      </c>
      <c r="M321" s="153">
        <f>L321/$L$7</f>
        <v>0</v>
      </c>
      <c r="O321" s="148"/>
      <c r="R321" s="12"/>
    </row>
    <row r="322" spans="1:18" s="51" customFormat="1" ht="13.5" hidden="1" customHeight="1" outlineLevel="1" x14ac:dyDescent="0.3">
      <c r="A322" s="290">
        <f>LEN(C322)</f>
        <v>0</v>
      </c>
      <c r="B322" s="49"/>
      <c r="C322" s="49"/>
      <c r="D322" s="140" t="s">
        <v>2197</v>
      </c>
      <c r="E322" s="49" t="str">
        <f>VLOOKUP(D322,'03. Insumos'!A:D,2,0)</f>
        <v>Execução da impermeabilização com epóxi</v>
      </c>
      <c r="F322" s="52"/>
      <c r="G322" s="52" t="str">
        <f>VLOOKUP(D322,'03. Insumos'!A:F,3,0)</f>
        <v>m²</v>
      </c>
      <c r="H322" s="53">
        <v>1</v>
      </c>
      <c r="I322" s="141">
        <f>H321</f>
        <v>0</v>
      </c>
      <c r="J322" s="54">
        <f>IFERROR(IF(K322&lt;&gt;0,K322*$K$5,0),0)</f>
        <v>55.72</v>
      </c>
      <c r="K322" s="54">
        <f>IF(A322=0,VLOOKUP(D322,'03. Insumos'!A:F,4,0),"")</f>
        <v>55.72</v>
      </c>
      <c r="L322" s="274">
        <f>H322*J322*I322</f>
        <v>0</v>
      </c>
      <c r="M322" s="153">
        <f>L322/$L$7</f>
        <v>0</v>
      </c>
      <c r="O322" s="148"/>
      <c r="R322" s="12"/>
    </row>
    <row r="323" spans="1:18" s="51" customFormat="1" ht="13.5" hidden="1" customHeight="1" outlineLevel="1" x14ac:dyDescent="0.3">
      <c r="A323" s="290">
        <f>LEN(C323)</f>
        <v>6</v>
      </c>
      <c r="B323" s="49"/>
      <c r="C323" s="55" t="s">
        <v>2206</v>
      </c>
      <c r="D323" s="55" t="s">
        <v>2204</v>
      </c>
      <c r="E323" s="49"/>
      <c r="F323" s="52"/>
      <c r="G323" s="56" t="s">
        <v>73</v>
      </c>
      <c r="H323" s="53"/>
      <c r="I323" s="141"/>
      <c r="J323" s="54"/>
      <c r="K323" s="54"/>
      <c r="L323" s="58">
        <f>SUM(L324)</f>
        <v>0</v>
      </c>
      <c r="M323" s="153">
        <f>L323/$L$7</f>
        <v>0</v>
      </c>
      <c r="O323" s="148"/>
      <c r="R323" s="12"/>
    </row>
    <row r="324" spans="1:18" s="51" customFormat="1" ht="13.5" hidden="1" customHeight="1" outlineLevel="1" x14ac:dyDescent="0.3">
      <c r="A324" s="290">
        <f>LEN(C324)</f>
        <v>0</v>
      </c>
      <c r="B324" s="49"/>
      <c r="C324" s="49"/>
      <c r="D324" s="140" t="s">
        <v>2198</v>
      </c>
      <c r="E324" s="49" t="str">
        <f>VLOOKUP(D324,'03. Insumos'!A:D,2,0)</f>
        <v>Execução da impermeabilização pelo sistema de manta líquida à base de copolímero acrílico</v>
      </c>
      <c r="F324" s="52"/>
      <c r="G324" s="52" t="str">
        <f>VLOOKUP(D324,'03. Insumos'!A:F,3,0)</f>
        <v>m²</v>
      </c>
      <c r="H324" s="53">
        <v>1</v>
      </c>
      <c r="I324" s="141">
        <f>H323</f>
        <v>0</v>
      </c>
      <c r="J324" s="54">
        <f>IFERROR(IF(K324&lt;&gt;0,K324*$K$5,0),0)</f>
        <v>48</v>
      </c>
      <c r="K324" s="54">
        <f>IF(A324=0,VLOOKUP(D324,'03. Insumos'!A:F,4,0),"")</f>
        <v>48</v>
      </c>
      <c r="L324" s="274">
        <f>H324*J324*I324</f>
        <v>0</v>
      </c>
      <c r="M324" s="153">
        <f>L324/$L$7</f>
        <v>0</v>
      </c>
      <c r="O324" s="148"/>
      <c r="R324" s="12"/>
    </row>
    <row r="325" spans="1:18" s="51" customFormat="1" ht="13.5" customHeight="1" outlineLevel="1" x14ac:dyDescent="0.3">
      <c r="A325" s="290">
        <f t="shared" si="34"/>
        <v>6</v>
      </c>
      <c r="B325" s="49"/>
      <c r="C325" s="55" t="s">
        <v>2207</v>
      </c>
      <c r="D325" s="55" t="s">
        <v>2081</v>
      </c>
      <c r="E325" s="49"/>
      <c r="F325" s="52"/>
      <c r="G325" s="56" t="s">
        <v>73</v>
      </c>
      <c r="H325" s="57">
        <f>2.89+(7.11*1.1)+2.16+ (5.96*1.1)+3.43+(8.34*1.1)+14.91+(15.71*0.4)+71.2+54</f>
        <v>178.42500000000001</v>
      </c>
      <c r="I325" s="141"/>
      <c r="J325" s="54"/>
      <c r="K325" s="54"/>
      <c r="L325" s="58">
        <f>SUM(L326:L328)</f>
        <v>8260.6750000000011</v>
      </c>
      <c r="M325" s="153">
        <f t="shared" si="31"/>
        <v>2.2600029589493597E-3</v>
      </c>
      <c r="O325" s="148"/>
      <c r="R325" s="12"/>
    </row>
    <row r="326" spans="1:18" s="51" customFormat="1" ht="13.5" hidden="1" customHeight="1" outlineLevel="1" x14ac:dyDescent="0.3">
      <c r="A326" s="290">
        <f t="shared" si="34"/>
        <v>0</v>
      </c>
      <c r="B326" s="49"/>
      <c r="C326" s="55"/>
      <c r="D326" s="140" t="s">
        <v>2083</v>
      </c>
      <c r="E326" s="49" t="str">
        <f>VLOOKUP(D326,'03. Insumos'!A:D,2,0)</f>
        <v>Preparo da superfície</v>
      </c>
      <c r="F326" s="52"/>
      <c r="G326" s="52" t="str">
        <f>VLOOKUP(D326,'03. Insumos'!A:F,3,0)</f>
        <v>m²</v>
      </c>
      <c r="H326" s="53"/>
      <c r="I326" s="141">
        <f>H325</f>
        <v>178.42500000000001</v>
      </c>
      <c r="J326" s="54">
        <f>IFERROR(IF(K326&lt;&gt;0,K326*$K$5,0),0)</f>
        <v>13</v>
      </c>
      <c r="K326" s="54">
        <f>IF(A326=0,VLOOKUP(D326,'03. Insumos'!A:F,4,0),"")</f>
        <v>13</v>
      </c>
      <c r="L326" s="274">
        <f>H326*J326*I326</f>
        <v>0</v>
      </c>
      <c r="M326" s="153">
        <f t="shared" si="31"/>
        <v>0</v>
      </c>
      <c r="O326" s="148"/>
      <c r="R326" s="12"/>
    </row>
    <row r="327" spans="1:18" s="51" customFormat="1" ht="13.5" customHeight="1" outlineLevel="1" x14ac:dyDescent="0.3">
      <c r="A327" s="290">
        <f t="shared" si="34"/>
        <v>0</v>
      </c>
      <c r="B327" s="49"/>
      <c r="C327" s="55"/>
      <c r="D327" s="140" t="s">
        <v>2582</v>
      </c>
      <c r="E327" s="49" t="str">
        <f>VLOOKUP(D327,'03. Insumos'!A:D,2,0)</f>
        <v>Sikatop100 (saco 18 Kg)</v>
      </c>
      <c r="F327" s="52" t="s">
        <v>2612</v>
      </c>
      <c r="G327" s="52" t="str">
        <f>VLOOKUP(D327,'03. Insumos'!A:F,3,0)</f>
        <v>Unid</v>
      </c>
      <c r="H327" s="53">
        <v>1</v>
      </c>
      <c r="I327" s="141">
        <f>ROUNDUP((172*3)/18,0)</f>
        <v>29</v>
      </c>
      <c r="J327" s="54">
        <f>IFERROR(IF(K327&lt;&gt;0,K327*$K$5,0),0)</f>
        <v>44.9</v>
      </c>
      <c r="K327" s="54">
        <f>IF(A327=0,VLOOKUP(D327,'03. Insumos'!A:F,4,0),"")</f>
        <v>44.9</v>
      </c>
      <c r="L327" s="274">
        <f>H327*J327*I327</f>
        <v>1302.0999999999999</v>
      </c>
      <c r="M327" s="153">
        <f>L327/$L$7</f>
        <v>3.5623600406116461E-4</v>
      </c>
      <c r="O327" s="148"/>
      <c r="R327" s="12"/>
    </row>
    <row r="328" spans="1:18" s="51" customFormat="1" ht="13.5" customHeight="1" outlineLevel="1" x14ac:dyDescent="0.3">
      <c r="A328" s="290">
        <f t="shared" si="34"/>
        <v>0</v>
      </c>
      <c r="B328" s="49"/>
      <c r="C328" s="55"/>
      <c r="D328" s="140" t="s">
        <v>2084</v>
      </c>
      <c r="E328" s="49" t="str">
        <f>VLOOKUP(D328,'03. Insumos'!A:D,2,0)</f>
        <v>Mat + MO - Impermeabilização com argamassa polimérica</v>
      </c>
      <c r="F328" s="52" t="s">
        <v>2612</v>
      </c>
      <c r="G328" s="52" t="str">
        <f>VLOOKUP(D328,'03. Insumos'!A:F,3,0)</f>
        <v>m²</v>
      </c>
      <c r="H328" s="53">
        <v>1</v>
      </c>
      <c r="I328" s="141">
        <f>H325</f>
        <v>178.42500000000001</v>
      </c>
      <c r="J328" s="54">
        <f>IFERROR(IF(K328&lt;&gt;0,K328*$K$5,0),0)</f>
        <v>39</v>
      </c>
      <c r="K328" s="54">
        <f>IF(A328=0,VLOOKUP(D328,'03. Insumos'!A:F,4,0),"")</f>
        <v>39</v>
      </c>
      <c r="L328" s="274">
        <f>H328*J328*I328</f>
        <v>6958.5750000000007</v>
      </c>
      <c r="M328" s="153">
        <f t="shared" ref="M328:M391" si="48">L328/$L$7</f>
        <v>1.9037669548881951E-3</v>
      </c>
      <c r="O328" s="148"/>
      <c r="R328" s="12"/>
    </row>
    <row r="329" spans="1:18" s="18" customFormat="1" ht="13.5" customHeight="1" x14ac:dyDescent="0.3">
      <c r="A329" s="290">
        <f t="shared" ref="A329:A392" si="49">LEN(C329)</f>
        <v>3</v>
      </c>
      <c r="B329" s="35"/>
      <c r="C329" s="35" t="s">
        <v>275</v>
      </c>
      <c r="D329" s="35" t="s">
        <v>265</v>
      </c>
      <c r="E329" s="35"/>
      <c r="F329" s="36"/>
      <c r="G329" s="36"/>
      <c r="H329" s="37"/>
      <c r="I329" s="37"/>
      <c r="J329" s="38"/>
      <c r="K329" s="38"/>
      <c r="L329" s="38">
        <f>SUMIF(A330:A354,4,L330:L355)</f>
        <v>17747.5</v>
      </c>
      <c r="M329" s="153">
        <f t="shared" si="48"/>
        <v>4.8554630843065192E-3</v>
      </c>
      <c r="O329" s="148">
        <f t="shared" ref="O329:O334" si="50">IF(I329&lt;&gt;0,I329*H329*K329,)</f>
        <v>0</v>
      </c>
      <c r="R329" s="12">
        <f t="shared" ref="R329:R334" si="51">IF(J329&lt;&gt;0,J329/1.03-K329,0)</f>
        <v>0</v>
      </c>
    </row>
    <row r="330" spans="1:18" s="18" customFormat="1" ht="5.25" customHeight="1" outlineLevel="1" x14ac:dyDescent="0.3">
      <c r="A330" s="290">
        <f t="shared" si="49"/>
        <v>0</v>
      </c>
      <c r="B330" s="63"/>
      <c r="C330" s="63"/>
      <c r="D330" s="63"/>
      <c r="E330" s="63"/>
      <c r="F330" s="64"/>
      <c r="G330" s="64"/>
      <c r="H330" s="65"/>
      <c r="I330" s="65"/>
      <c r="J330" s="66">
        <f>IFERROR(IF(K330&lt;&gt;0,K330*$K$5,0),0)</f>
        <v>0</v>
      </c>
      <c r="K330" s="66" t="e">
        <f>IF(A330=0,VLOOKUP(D330,'03. Insumos'!A:F,4,0),"")</f>
        <v>#N/A</v>
      </c>
      <c r="L330" s="66"/>
      <c r="M330" s="153">
        <f t="shared" si="48"/>
        <v>0</v>
      </c>
      <c r="O330" s="148">
        <f t="shared" si="50"/>
        <v>0</v>
      </c>
      <c r="R330" s="12">
        <f t="shared" si="51"/>
        <v>0</v>
      </c>
    </row>
    <row r="331" spans="1:18" s="18" customFormat="1" ht="13.5" customHeight="1" outlineLevel="1" x14ac:dyDescent="0.3">
      <c r="A331" s="290">
        <f t="shared" si="49"/>
        <v>4</v>
      </c>
      <c r="B331" s="45"/>
      <c r="C331" s="45" t="s">
        <v>364</v>
      </c>
      <c r="D331" s="45" t="s">
        <v>265</v>
      </c>
      <c r="E331" s="45"/>
      <c r="F331" s="60"/>
      <c r="G331" s="60"/>
      <c r="H331" s="61"/>
      <c r="I331" s="61"/>
      <c r="J331" s="62"/>
      <c r="K331" s="62" t="str">
        <f>IF(A331=0,VLOOKUP(D331,'03. Insumos'!A:F,4,0),"")</f>
        <v/>
      </c>
      <c r="L331" s="62">
        <f>SUMIF(A332:A355,6,L332:L355)</f>
        <v>17747.5</v>
      </c>
      <c r="M331" s="153">
        <f t="shared" si="48"/>
        <v>4.8554630843065192E-3</v>
      </c>
      <c r="O331" s="148">
        <f t="shared" si="50"/>
        <v>0</v>
      </c>
      <c r="R331" s="12">
        <f t="shared" si="51"/>
        <v>0</v>
      </c>
    </row>
    <row r="332" spans="1:18" s="59" customFormat="1" ht="13.5" customHeight="1" outlineLevel="1" x14ac:dyDescent="0.3">
      <c r="A332" s="290">
        <f t="shared" si="49"/>
        <v>6</v>
      </c>
      <c r="B332" s="55"/>
      <c r="C332" s="55" t="s">
        <v>278</v>
      </c>
      <c r="D332" s="55" t="s">
        <v>92</v>
      </c>
      <c r="E332" s="55"/>
      <c r="F332" s="56"/>
      <c r="G332" s="56" t="s">
        <v>73</v>
      </c>
      <c r="H332" s="57">
        <f>172+20</f>
        <v>192</v>
      </c>
      <c r="I332" s="57"/>
      <c r="J332" s="58"/>
      <c r="K332" s="58" t="str">
        <f>IF(A332=0,VLOOKUP(D332,'03. Insumos'!A:F,4,0),"")</f>
        <v/>
      </c>
      <c r="L332" s="58">
        <f>SUM(L333:L336)</f>
        <v>8915.5</v>
      </c>
      <c r="M332" s="153">
        <f t="shared" si="48"/>
        <v>2.4391537471832527E-3</v>
      </c>
      <c r="O332" s="148">
        <f t="shared" si="50"/>
        <v>0</v>
      </c>
      <c r="R332" s="12">
        <f t="shared" si="51"/>
        <v>0</v>
      </c>
    </row>
    <row r="333" spans="1:18" s="51" customFormat="1" ht="13.5" hidden="1" customHeight="1" outlineLevel="1" x14ac:dyDescent="0.3">
      <c r="A333" s="290">
        <f t="shared" si="49"/>
        <v>0</v>
      </c>
      <c r="B333" s="49"/>
      <c r="C333" s="49"/>
      <c r="D333" s="140" t="s">
        <v>746</v>
      </c>
      <c r="E333" s="49" t="str">
        <f>VLOOKUP(D333,'03. Insumos'!A:D,2,0)</f>
        <v>Mão de obra - Execução de Contrapiso</v>
      </c>
      <c r="F333" s="52"/>
      <c r="G333" s="52" t="str">
        <f>VLOOKUP(D333,'03. Insumos'!A:F,3,0)</f>
        <v>m²</v>
      </c>
      <c r="H333" s="53">
        <v>1</v>
      </c>
      <c r="I333" s="141"/>
      <c r="J333" s="54">
        <f>IFERROR(IF(K333&lt;&gt;0,K333*$K$5,0),0)</f>
        <v>20</v>
      </c>
      <c r="K333" s="54">
        <f>IF(A333=0,VLOOKUP(D333,'03. Insumos'!A:F,4,0),"")</f>
        <v>20</v>
      </c>
      <c r="L333" s="274">
        <f>H333*J333*I333</f>
        <v>0</v>
      </c>
      <c r="M333" s="153">
        <f t="shared" si="48"/>
        <v>0</v>
      </c>
      <c r="O333" s="148">
        <f t="shared" si="50"/>
        <v>0</v>
      </c>
      <c r="R333" s="12">
        <f t="shared" si="51"/>
        <v>-0.58252427184466171</v>
      </c>
    </row>
    <row r="334" spans="1:18" s="51" customFormat="1" ht="13.5" customHeight="1" outlineLevel="1" x14ac:dyDescent="0.3">
      <c r="A334" s="290">
        <f t="shared" si="49"/>
        <v>0</v>
      </c>
      <c r="B334" s="49"/>
      <c r="C334" s="49"/>
      <c r="D334" s="140" t="s">
        <v>2272</v>
      </c>
      <c r="E334" s="49" t="str">
        <f>VLOOKUP(D334,'03. Insumos'!A:D,2,0)</f>
        <v>Argamassa multiuso 50kg (grandes Qtde, acima de 240)</v>
      </c>
      <c r="F334" s="52" t="s">
        <v>2612</v>
      </c>
      <c r="G334" s="52" t="str">
        <f>VLOOKUP(D334,'03. Insumos'!A:F,3,0)</f>
        <v>sc</v>
      </c>
      <c r="H334" s="53">
        <v>1</v>
      </c>
      <c r="I334" s="141">
        <f>ROUND((H332/(2.7/4)),0)</f>
        <v>284</v>
      </c>
      <c r="J334" s="54">
        <f>IFERROR(IF(K334&lt;&gt;0,K334*$K$5,0),0)</f>
        <v>23</v>
      </c>
      <c r="K334" s="54">
        <f>IF(A334=0,VLOOKUP(D334,'03. Insumos'!A:F,4,0),"")</f>
        <v>23</v>
      </c>
      <c r="L334" s="274">
        <f>H334*J334*I334</f>
        <v>6532</v>
      </c>
      <c r="M334" s="153">
        <f t="shared" si="48"/>
        <v>1.7870621139140829E-3</v>
      </c>
      <c r="O334" s="148">
        <f t="shared" si="50"/>
        <v>6532</v>
      </c>
      <c r="R334" s="12">
        <f t="shared" si="51"/>
        <v>-0.66990291262136026</v>
      </c>
    </row>
    <row r="335" spans="1:18" s="51" customFormat="1" ht="13.5" customHeight="1" outlineLevel="1" x14ac:dyDescent="0.3">
      <c r="A335" s="290">
        <f t="shared" si="49"/>
        <v>0</v>
      </c>
      <c r="B335" s="49"/>
      <c r="C335" s="49"/>
      <c r="D335" s="140" t="s">
        <v>747</v>
      </c>
      <c r="E335" s="49" t="str">
        <f>VLOOKUP(D335,'03. Insumos'!A:D,2,0)</f>
        <v>Cimento (saco 50 Kg)</v>
      </c>
      <c r="F335" s="52" t="s">
        <v>2612</v>
      </c>
      <c r="G335" s="52" t="str">
        <f>VLOOKUP(D335,'03. Insumos'!A:F,3,0)</f>
        <v>unid</v>
      </c>
      <c r="H335" s="53">
        <v>1</v>
      </c>
      <c r="I335" s="141">
        <f>ROUND((I334/12),0)+ROUND((H332/25),0)</f>
        <v>32</v>
      </c>
      <c r="J335" s="54">
        <f>IFERROR(IF(K335&lt;&gt;0,K335*$K$5,0),0)</f>
        <v>37</v>
      </c>
      <c r="K335" s="54">
        <f>IF(A335=0,VLOOKUP(D335,'03. Insumos'!A:F,4,0),"")</f>
        <v>37</v>
      </c>
      <c r="L335" s="274">
        <f>H335*J335*I335</f>
        <v>1184</v>
      </c>
      <c r="M335" s="153">
        <f t="shared" si="48"/>
        <v>3.2392552707811913E-4</v>
      </c>
      <c r="O335" s="148"/>
      <c r="R335" s="12"/>
    </row>
    <row r="336" spans="1:18" s="51" customFormat="1" ht="13.5" customHeight="1" outlineLevel="1" x14ac:dyDescent="0.3">
      <c r="A336" s="290">
        <f t="shared" si="49"/>
        <v>0</v>
      </c>
      <c r="B336" s="49"/>
      <c r="C336" s="49"/>
      <c r="D336" s="140" t="s">
        <v>1915</v>
      </c>
      <c r="E336" s="49" t="str">
        <f>VLOOKUP(D336,'03. Insumos'!A:D,2,0)</f>
        <v>Bianco Vedacit</v>
      </c>
      <c r="F336" s="52" t="s">
        <v>2612</v>
      </c>
      <c r="G336" s="52" t="str">
        <f>VLOOKUP(D336,'03. Insumos'!A:F,3,0)</f>
        <v>Balde 18 L</v>
      </c>
      <c r="H336" s="53">
        <v>1</v>
      </c>
      <c r="I336" s="141">
        <f>ROUNDUP(((H332*0.4)/18),0)</f>
        <v>5</v>
      </c>
      <c r="J336" s="54">
        <f>IFERROR(IF(K336&lt;&gt;0,K336*$K$5,0),0)</f>
        <v>239.9</v>
      </c>
      <c r="K336" s="54">
        <f>IF(A336=0,VLOOKUP(D336,'03. Insumos'!A:F,4,0),"")</f>
        <v>239.9</v>
      </c>
      <c r="L336" s="274">
        <f>H336*J336*I336</f>
        <v>1199.5</v>
      </c>
      <c r="M336" s="153">
        <f t="shared" si="48"/>
        <v>3.281661061910506E-4</v>
      </c>
      <c r="O336" s="148"/>
      <c r="R336" s="12"/>
    </row>
    <row r="337" spans="1:18" s="59" customFormat="1" ht="13.5" customHeight="1" outlineLevel="1" x14ac:dyDescent="0.3">
      <c r="A337" s="290">
        <f t="shared" si="49"/>
        <v>6</v>
      </c>
      <c r="B337" s="55"/>
      <c r="C337" s="55" t="s">
        <v>1897</v>
      </c>
      <c r="D337" s="55" t="s">
        <v>1399</v>
      </c>
      <c r="E337" s="55"/>
      <c r="F337" s="56"/>
      <c r="G337" s="56" t="s">
        <v>73</v>
      </c>
      <c r="H337" s="57">
        <v>518</v>
      </c>
      <c r="I337" s="57"/>
      <c r="J337" s="58"/>
      <c r="K337" s="58" t="str">
        <f>IF(A337=0,VLOOKUP(D337,'03. Insumos'!A:F,4,0),"")</f>
        <v/>
      </c>
      <c r="L337" s="58">
        <f>SUM(L338:L339)</f>
        <v>8832</v>
      </c>
      <c r="M337" s="153">
        <f t="shared" si="48"/>
        <v>2.416309337123267E-3</v>
      </c>
      <c r="O337" s="148">
        <f>IF(I337&lt;&gt;0,I337*H337*K337,)</f>
        <v>0</v>
      </c>
      <c r="R337" s="12">
        <f>IF(J337&lt;&gt;0,J337/1.03-K337,0)</f>
        <v>0</v>
      </c>
    </row>
    <row r="338" spans="1:18" s="51" customFormat="1" ht="13.5" hidden="1" customHeight="1" outlineLevel="1" x14ac:dyDescent="0.3">
      <c r="A338" s="290">
        <f t="shared" si="49"/>
        <v>0</v>
      </c>
      <c r="B338" s="49"/>
      <c r="C338" s="49"/>
      <c r="D338" s="140" t="s">
        <v>742</v>
      </c>
      <c r="E338" s="49" t="str">
        <f>VLOOKUP(D338,'03. Insumos'!A:D,2,0)</f>
        <v>Mão de obra - Execução de emboço interno</v>
      </c>
      <c r="F338" s="52"/>
      <c r="G338" s="52" t="str">
        <f>VLOOKUP(D338,'03. Insumos'!A:F,3,0)</f>
        <v>m²</v>
      </c>
      <c r="H338" s="53">
        <v>1</v>
      </c>
      <c r="I338" s="141"/>
      <c r="J338" s="54">
        <f>IFERROR(IF(K338&lt;&gt;0,K338*$K$5,0),0)</f>
        <v>25</v>
      </c>
      <c r="K338" s="54">
        <f>IF(A338=0,VLOOKUP(D338,'03. Insumos'!A:F,4,0),"")</f>
        <v>25</v>
      </c>
      <c r="L338" s="274">
        <f>H338*J338*I338</f>
        <v>0</v>
      </c>
      <c r="M338" s="153">
        <f t="shared" si="48"/>
        <v>0</v>
      </c>
      <c r="O338" s="148">
        <f>IF(I338&lt;&gt;0,I338*H338*K338,)</f>
        <v>0</v>
      </c>
      <c r="R338" s="12">
        <f>IF(J338&lt;&gt;0,J338/1.03-K338,0)</f>
        <v>-0.72815533980582714</v>
      </c>
    </row>
    <row r="339" spans="1:18" s="51" customFormat="1" ht="13.5" customHeight="1" outlineLevel="1" x14ac:dyDescent="0.3">
      <c r="A339" s="290">
        <f t="shared" si="49"/>
        <v>0</v>
      </c>
      <c r="B339" s="49"/>
      <c r="C339" s="49"/>
      <c r="D339" s="140" t="s">
        <v>2272</v>
      </c>
      <c r="E339" s="49" t="str">
        <f>VLOOKUP(D339,'03. Insumos'!A:D,2,0)</f>
        <v>Argamassa multiuso 50kg (grandes Qtde, acima de 240)</v>
      </c>
      <c r="F339" s="52" t="s">
        <v>2612</v>
      </c>
      <c r="G339" s="52" t="str">
        <f>VLOOKUP(D339,'03. Insumos'!A:F,3,0)</f>
        <v>sc</v>
      </c>
      <c r="H339" s="53">
        <v>1</v>
      </c>
      <c r="I339" s="141">
        <f>ROUND(((H337/(2.7/2))),0)</f>
        <v>384</v>
      </c>
      <c r="J339" s="54">
        <f>IFERROR(IF(K339&lt;&gt;0,K339*$K$5,0),0)</f>
        <v>23</v>
      </c>
      <c r="K339" s="54">
        <f>IF(A339=0,VLOOKUP(D339,'03. Insumos'!A:F,4,0),"")</f>
        <v>23</v>
      </c>
      <c r="L339" s="274">
        <f>H339*J339*I339</f>
        <v>8832</v>
      </c>
      <c r="M339" s="153">
        <f t="shared" si="48"/>
        <v>2.416309337123267E-3</v>
      </c>
      <c r="O339" s="148">
        <f>IF(I339&lt;&gt;0,I339*H339*K339,)</f>
        <v>8832</v>
      </c>
      <c r="R339" s="12">
        <f>IF(J339&lt;&gt;0,J339/1.03-K339,0)</f>
        <v>-0.66990291262136026</v>
      </c>
    </row>
    <row r="340" spans="1:18" s="59" customFormat="1" ht="13.5" hidden="1" customHeight="1" outlineLevel="1" x14ac:dyDescent="0.3">
      <c r="A340" s="290">
        <f t="shared" si="49"/>
        <v>6</v>
      </c>
      <c r="B340" s="55"/>
      <c r="C340" s="55" t="s">
        <v>1421</v>
      </c>
      <c r="D340" s="55" t="s">
        <v>1400</v>
      </c>
      <c r="E340" s="55"/>
      <c r="F340" s="56"/>
      <c r="G340" s="56" t="s">
        <v>73</v>
      </c>
      <c r="H340" s="57"/>
      <c r="I340" s="57"/>
      <c r="J340" s="58"/>
      <c r="K340" s="58" t="str">
        <f>IF(A340=0,VLOOKUP(D340,'03. Insumos'!A:F,4,0),"")</f>
        <v/>
      </c>
      <c r="L340" s="58">
        <f>SUM(L341:L342)</f>
        <v>0</v>
      </c>
      <c r="M340" s="153">
        <f t="shared" si="48"/>
        <v>0</v>
      </c>
      <c r="O340" s="148">
        <f>IF(I340&lt;&gt;0,I340*H340*K340,)</f>
        <v>0</v>
      </c>
      <c r="R340" s="12">
        <f>IF(J340&lt;&gt;0,J340/1.03-K340,0)</f>
        <v>0</v>
      </c>
    </row>
    <row r="341" spans="1:18" s="51" customFormat="1" ht="13.5" hidden="1" customHeight="1" outlineLevel="1" x14ac:dyDescent="0.3">
      <c r="A341" s="290">
        <f t="shared" si="49"/>
        <v>0</v>
      </c>
      <c r="B341" s="49"/>
      <c r="C341" s="49"/>
      <c r="D341" s="140" t="s">
        <v>743</v>
      </c>
      <c r="E341" s="49" t="str">
        <f>VLOOKUP(D341,'03. Insumos'!A:D,2,0)</f>
        <v>Mão de obra - Execução de emboço externo</v>
      </c>
      <c r="F341" s="52"/>
      <c r="G341" s="52" t="str">
        <f>VLOOKUP(D341,'03. Insumos'!A:F,3,0)</f>
        <v>m²</v>
      </c>
      <c r="H341" s="53">
        <v>1</v>
      </c>
      <c r="I341" s="141"/>
      <c r="J341" s="54">
        <f>IFERROR(IF(K341&lt;&gt;0,K341*$K$5,0),0)</f>
        <v>30</v>
      </c>
      <c r="K341" s="54">
        <f>IF(A341=0,VLOOKUP(D341,'03. Insumos'!A:F,4,0),"")</f>
        <v>30</v>
      </c>
      <c r="L341" s="274">
        <f>H341*J341*I341</f>
        <v>0</v>
      </c>
      <c r="M341" s="153">
        <f t="shared" si="48"/>
        <v>0</v>
      </c>
      <c r="O341" s="148">
        <f>IF(I341&lt;&gt;0,I341*H341*K341,)</f>
        <v>0</v>
      </c>
      <c r="R341" s="12">
        <f>IF(J341&lt;&gt;0,J341/1.03-K341,0)</f>
        <v>-0.87378640776699257</v>
      </c>
    </row>
    <row r="342" spans="1:18" s="51" customFormat="1" ht="13.5" hidden="1" customHeight="1" outlineLevel="1" x14ac:dyDescent="0.3">
      <c r="A342" s="290">
        <f t="shared" si="49"/>
        <v>0</v>
      </c>
      <c r="B342" s="49"/>
      <c r="C342" s="49"/>
      <c r="D342" s="140" t="s">
        <v>191</v>
      </c>
      <c r="E342" s="49" t="str">
        <f>VLOOKUP(D342,'03. Insumos'!A:D,2,0)</f>
        <v>Argamassa multiuso 50kg (pequenas Qtde)</v>
      </c>
      <c r="F342" s="52"/>
      <c r="G342" s="52" t="str">
        <f>VLOOKUP(D342,'03. Insumos'!A:F,3,0)</f>
        <v>uni</v>
      </c>
      <c r="H342" s="53">
        <v>1</v>
      </c>
      <c r="I342" s="141"/>
      <c r="J342" s="54">
        <f>IFERROR(IF(K342&lt;&gt;0,K342*$K$5,0),0)</f>
        <v>21.5</v>
      </c>
      <c r="K342" s="54">
        <f>IF(A342=0,VLOOKUP(D342,'03. Insumos'!A:F,4,0),"")</f>
        <v>21.5</v>
      </c>
      <c r="L342" s="274">
        <f>H342*J342*I342</f>
        <v>0</v>
      </c>
      <c r="M342" s="153">
        <f t="shared" si="48"/>
        <v>0</v>
      </c>
      <c r="O342" s="148"/>
      <c r="R342" s="12"/>
    </row>
    <row r="343" spans="1:18" s="51" customFormat="1" ht="13.5" hidden="1" customHeight="1" outlineLevel="1" x14ac:dyDescent="0.3">
      <c r="A343" s="290">
        <f t="shared" si="49"/>
        <v>6</v>
      </c>
      <c r="B343" s="49"/>
      <c r="C343" s="55" t="s">
        <v>1422</v>
      </c>
      <c r="D343" s="55" t="s">
        <v>1401</v>
      </c>
      <c r="E343" s="55"/>
      <c r="F343" s="56"/>
      <c r="G343" s="52"/>
      <c r="H343" s="57"/>
      <c r="I343" s="141"/>
      <c r="J343" s="54"/>
      <c r="K343" s="54"/>
      <c r="L343" s="58">
        <f>SUM(L344:L345)</f>
        <v>0</v>
      </c>
      <c r="M343" s="153">
        <f t="shared" si="48"/>
        <v>0</v>
      </c>
      <c r="O343" s="148"/>
      <c r="R343" s="12"/>
    </row>
    <row r="344" spans="1:18" s="51" customFormat="1" ht="13.5" hidden="1" customHeight="1" outlineLevel="1" x14ac:dyDescent="0.3">
      <c r="A344" s="290">
        <f t="shared" si="49"/>
        <v>0</v>
      </c>
      <c r="B344" s="49"/>
      <c r="C344" s="49"/>
      <c r="D344" s="140" t="s">
        <v>744</v>
      </c>
      <c r="E344" s="49" t="str">
        <f>VLOOKUP(D344,'03. Insumos'!A:D,2,0)</f>
        <v>Mão de obra - Execução de emboço externo paulista</v>
      </c>
      <c r="F344" s="52"/>
      <c r="G344" s="52" t="str">
        <f>VLOOKUP(D344,'03. Insumos'!A:F,3,0)</f>
        <v>m²</v>
      </c>
      <c r="H344" s="53">
        <v>1</v>
      </c>
      <c r="I344" s="141">
        <f>H343</f>
        <v>0</v>
      </c>
      <c r="J344" s="54">
        <f>IFERROR(IF(K344&lt;&gt;0,K344*$K$5,0),0)</f>
        <v>35</v>
      </c>
      <c r="K344" s="54">
        <f>IF(A344=0,VLOOKUP(D344,'03. Insumos'!A:F,4,0),"")</f>
        <v>35</v>
      </c>
      <c r="L344" s="274">
        <f>H344*J344*I344</f>
        <v>0</v>
      </c>
      <c r="M344" s="153">
        <f t="shared" si="48"/>
        <v>0</v>
      </c>
      <c r="O344" s="148"/>
      <c r="R344" s="12"/>
    </row>
    <row r="345" spans="1:18" s="51" customFormat="1" ht="13.5" hidden="1" customHeight="1" outlineLevel="1" x14ac:dyDescent="0.3">
      <c r="A345" s="290">
        <f t="shared" si="49"/>
        <v>0</v>
      </c>
      <c r="B345" s="49"/>
      <c r="C345" s="49"/>
      <c r="D345" s="140" t="s">
        <v>191</v>
      </c>
      <c r="E345" s="49" t="str">
        <f>VLOOKUP(D345,'03. Insumos'!A:D,2,0)</f>
        <v>Argamassa multiuso 50kg (pequenas Qtde)</v>
      </c>
      <c r="F345" s="52"/>
      <c r="G345" s="52" t="str">
        <f>VLOOKUP(D345,'03. Insumos'!A:F,3,0)</f>
        <v>uni</v>
      </c>
      <c r="H345" s="53">
        <v>1</v>
      </c>
      <c r="I345" s="141">
        <f>ROUND(H343/1.35,0)</f>
        <v>0</v>
      </c>
      <c r="J345" s="54">
        <f>IFERROR(IF(K345&lt;&gt;0,K345*$K$5,0),0)</f>
        <v>21.5</v>
      </c>
      <c r="K345" s="54">
        <f>IF(A345=0,VLOOKUP(D345,'03. Insumos'!A:F,4,0),"")</f>
        <v>21.5</v>
      </c>
      <c r="L345" s="274">
        <f>H345*J345*I345</f>
        <v>0</v>
      </c>
      <c r="M345" s="153">
        <f t="shared" si="48"/>
        <v>0</v>
      </c>
      <c r="O345" s="148"/>
      <c r="R345" s="12"/>
    </row>
    <row r="346" spans="1:18" s="51" customFormat="1" ht="13.5" hidden="1" customHeight="1" outlineLevel="1" x14ac:dyDescent="0.3">
      <c r="A346" s="290">
        <f t="shared" si="49"/>
        <v>6</v>
      </c>
      <c r="B346" s="49"/>
      <c r="C346" s="55" t="s">
        <v>1423</v>
      </c>
      <c r="D346" s="55" t="s">
        <v>1402</v>
      </c>
      <c r="E346" s="55"/>
      <c r="F346" s="56"/>
      <c r="G346" s="52"/>
      <c r="H346" s="57"/>
      <c r="I346" s="141"/>
      <c r="J346" s="54"/>
      <c r="K346" s="54"/>
      <c r="L346" s="58">
        <f>SUM(L347:L348)</f>
        <v>0</v>
      </c>
      <c r="M346" s="153">
        <f t="shared" si="48"/>
        <v>0</v>
      </c>
      <c r="O346" s="148"/>
      <c r="R346" s="12"/>
    </row>
    <row r="347" spans="1:18" s="51" customFormat="1" ht="13.5" hidden="1" customHeight="1" outlineLevel="1" x14ac:dyDescent="0.3">
      <c r="A347" s="290">
        <f t="shared" si="49"/>
        <v>0</v>
      </c>
      <c r="B347" s="49"/>
      <c r="C347" s="49"/>
      <c r="D347" s="140" t="s">
        <v>745</v>
      </c>
      <c r="E347" s="49" t="str">
        <f>VLOOKUP(D347,'03. Insumos'!A:D,2,0)</f>
        <v>Mão de obra - Execução de emboço externo sarrafeado</v>
      </c>
      <c r="F347" s="52"/>
      <c r="G347" s="52" t="str">
        <f>VLOOKUP(D347,'03. Insumos'!A:F,3,0)</f>
        <v>m²</v>
      </c>
      <c r="H347" s="53">
        <v>1</v>
      </c>
      <c r="I347" s="141">
        <f>H346</f>
        <v>0</v>
      </c>
      <c r="J347" s="54">
        <f>IFERROR(IF(K347&lt;&gt;0,K347*$K$5,0),0)</f>
        <v>30</v>
      </c>
      <c r="K347" s="54">
        <f>IF(A347=0,VLOOKUP(D347,'03. Insumos'!A:F,4,0),"")</f>
        <v>30</v>
      </c>
      <c r="L347" s="274">
        <f>H347*J347*I347</f>
        <v>0</v>
      </c>
      <c r="M347" s="153">
        <f t="shared" si="48"/>
        <v>0</v>
      </c>
      <c r="O347" s="148"/>
      <c r="R347" s="12"/>
    </row>
    <row r="348" spans="1:18" s="51" customFormat="1" ht="13.5" hidden="1" customHeight="1" outlineLevel="1" x14ac:dyDescent="0.3">
      <c r="A348" s="290">
        <f t="shared" si="49"/>
        <v>0</v>
      </c>
      <c r="B348" s="49"/>
      <c r="C348" s="49"/>
      <c r="D348" s="140" t="s">
        <v>191</v>
      </c>
      <c r="E348" s="49" t="str">
        <f>VLOOKUP(D348,'03. Insumos'!A:D,2,0)</f>
        <v>Argamassa multiuso 50kg (pequenas Qtde)</v>
      </c>
      <c r="F348" s="52"/>
      <c r="G348" s="52" t="str">
        <f>VLOOKUP(D348,'03. Insumos'!A:F,3,0)</f>
        <v>uni</v>
      </c>
      <c r="H348" s="53">
        <v>1</v>
      </c>
      <c r="I348" s="141">
        <f>ROUND(H346/1.35,0)</f>
        <v>0</v>
      </c>
      <c r="J348" s="54">
        <f>IFERROR(IF(K348&lt;&gt;0,K348*$K$5,0),0)</f>
        <v>21.5</v>
      </c>
      <c r="K348" s="54">
        <f>IF(A348=0,VLOOKUP(D348,'03. Insumos'!A:F,4,0),"")</f>
        <v>21.5</v>
      </c>
      <c r="L348" s="274">
        <f>H348*J348*I348</f>
        <v>0</v>
      </c>
      <c r="M348" s="153">
        <f t="shared" si="48"/>
        <v>0</v>
      </c>
      <c r="O348" s="148">
        <f>IF(I348&lt;&gt;0,I348*H348*K348,)</f>
        <v>0</v>
      </c>
      <c r="R348" s="12">
        <f>IF(J348&lt;&gt;0,J348/1.03-K348,0)</f>
        <v>-0.62621359223301098</v>
      </c>
    </row>
    <row r="349" spans="1:18" s="51" customFormat="1" ht="13.5" hidden="1" customHeight="1" outlineLevel="1" x14ac:dyDescent="0.3">
      <c r="A349" s="290">
        <f t="shared" si="49"/>
        <v>6</v>
      </c>
      <c r="B349" s="49"/>
      <c r="C349" s="55" t="s">
        <v>300</v>
      </c>
      <c r="D349" s="55" t="s">
        <v>1898</v>
      </c>
      <c r="E349" s="49"/>
      <c r="F349" s="52"/>
      <c r="G349" s="56" t="s">
        <v>72</v>
      </c>
      <c r="H349" s="57"/>
      <c r="I349" s="141"/>
      <c r="J349" s="54"/>
      <c r="K349" s="54"/>
      <c r="L349" s="58">
        <f>SUM(L350:L352)</f>
        <v>0</v>
      </c>
      <c r="M349" s="153">
        <f t="shared" si="48"/>
        <v>0</v>
      </c>
      <c r="O349" s="148"/>
      <c r="R349" s="12"/>
    </row>
    <row r="350" spans="1:18" s="51" customFormat="1" ht="13.5" hidden="1" customHeight="1" outlineLevel="1" x14ac:dyDescent="0.3">
      <c r="A350" s="290">
        <f t="shared" si="49"/>
        <v>0</v>
      </c>
      <c r="B350" s="49"/>
      <c r="C350" s="49"/>
      <c r="D350" s="140" t="s">
        <v>1591</v>
      </c>
      <c r="E350" s="49" t="str">
        <f>VLOOKUP(D350,'03. Insumos'!A:D,2,0)</f>
        <v>Areia (granel)</v>
      </c>
      <c r="F350" s="52"/>
      <c r="G350" s="52" t="str">
        <f>VLOOKUP(D350,'03. Insumos'!A:F,3,0)</f>
        <v>m³</v>
      </c>
      <c r="H350" s="53">
        <v>1</v>
      </c>
      <c r="I350" s="141">
        <f>ROUND((H349*0.822),0)</f>
        <v>0</v>
      </c>
      <c r="J350" s="54">
        <f>IFERROR(IF(K350&lt;&gt;0,K350*$K$5,0),0)</f>
        <v>65</v>
      </c>
      <c r="K350" s="54">
        <f>IF(A350=0,VLOOKUP(D350,'03. Insumos'!A:F,4,0),"")</f>
        <v>65</v>
      </c>
      <c r="L350" s="274">
        <f>H350*J350*I350</f>
        <v>0</v>
      </c>
      <c r="M350" s="153">
        <f t="shared" si="48"/>
        <v>0</v>
      </c>
      <c r="O350" s="148"/>
      <c r="R350" s="12"/>
    </row>
    <row r="351" spans="1:18" s="51" customFormat="1" ht="13.5" hidden="1" customHeight="1" outlineLevel="1" x14ac:dyDescent="0.3">
      <c r="A351" s="290">
        <f t="shared" si="49"/>
        <v>0</v>
      </c>
      <c r="B351" s="49"/>
      <c r="C351" s="49"/>
      <c r="D351" s="140" t="s">
        <v>747</v>
      </c>
      <c r="E351" s="49" t="str">
        <f>VLOOKUP(D351,'03. Insumos'!A:D,2,0)</f>
        <v>Cimento (saco 50 Kg)</v>
      </c>
      <c r="F351" s="52"/>
      <c r="G351" s="52" t="str">
        <f>VLOOKUP(D351,'03. Insumos'!A:F,3,0)</f>
        <v>unid</v>
      </c>
      <c r="H351" s="53">
        <v>1</v>
      </c>
      <c r="I351" s="141">
        <f>ROUND((H349*6.9),0)</f>
        <v>0</v>
      </c>
      <c r="J351" s="54">
        <f>IFERROR(IF(K351&lt;&gt;0,K351*$K$5,0),0)</f>
        <v>37</v>
      </c>
      <c r="K351" s="54">
        <f>IF(A351=0,VLOOKUP(D351,'03. Insumos'!A:F,4,0),"")</f>
        <v>37</v>
      </c>
      <c r="L351" s="274">
        <f>H351*J351*I351</f>
        <v>0</v>
      </c>
      <c r="M351" s="153">
        <f t="shared" si="48"/>
        <v>0</v>
      </c>
      <c r="O351" s="148"/>
      <c r="R351" s="12"/>
    </row>
    <row r="352" spans="1:18" s="51" customFormat="1" ht="13.5" hidden="1" customHeight="1" outlineLevel="1" x14ac:dyDescent="0.3">
      <c r="A352" s="290">
        <f t="shared" si="49"/>
        <v>0</v>
      </c>
      <c r="B352" s="49"/>
      <c r="C352" s="49"/>
      <c r="D352" s="140" t="s">
        <v>1901</v>
      </c>
      <c r="E352" s="49" t="str">
        <f>VLOOKUP(D352,'03. Insumos'!A:D,2,0)</f>
        <v>Brita ensacada (saco de 20 Kg)</v>
      </c>
      <c r="F352" s="52"/>
      <c r="G352" s="52" t="str">
        <f>VLOOKUP(D352,'03. Insumos'!A:F,3,0)</f>
        <v>m³</v>
      </c>
      <c r="H352" s="53">
        <v>1</v>
      </c>
      <c r="I352" s="141">
        <f>ROUND((H349*0.764),0)</f>
        <v>0</v>
      </c>
      <c r="J352" s="54">
        <f>IFERROR(IF(K352&lt;&gt;0,K352*$K$5,0),0)</f>
        <v>342</v>
      </c>
      <c r="K352" s="54">
        <f>IF(A352=0,VLOOKUP(D352,'03. Insumos'!A:F,4,0),"")</f>
        <v>342</v>
      </c>
      <c r="L352" s="274">
        <f>H352*J352*I352</f>
        <v>0</v>
      </c>
      <c r="M352" s="153">
        <f t="shared" si="48"/>
        <v>0</v>
      </c>
      <c r="O352" s="148"/>
      <c r="R352" s="12"/>
    </row>
    <row r="353" spans="1:18" s="51" customFormat="1" ht="13.5" hidden="1" customHeight="1" outlineLevel="1" x14ac:dyDescent="0.3">
      <c r="A353" s="290">
        <f t="shared" si="49"/>
        <v>6</v>
      </c>
      <c r="B353" s="49"/>
      <c r="C353" s="55" t="s">
        <v>1424</v>
      </c>
      <c r="D353" s="55" t="s">
        <v>1425</v>
      </c>
      <c r="E353" s="49"/>
      <c r="F353" s="52"/>
      <c r="G353" s="56" t="s">
        <v>73</v>
      </c>
      <c r="H353" s="57"/>
      <c r="I353" s="141"/>
      <c r="J353" s="54"/>
      <c r="K353" s="54"/>
      <c r="L353" s="58">
        <f>SUM(L354:L355)</f>
        <v>0</v>
      </c>
      <c r="M353" s="153">
        <f t="shared" si="48"/>
        <v>0</v>
      </c>
      <c r="O353" s="148"/>
      <c r="R353" s="12"/>
    </row>
    <row r="354" spans="1:18" s="51" customFormat="1" ht="13.5" hidden="1" customHeight="1" outlineLevel="1" x14ac:dyDescent="0.3">
      <c r="A354" s="290">
        <f t="shared" si="49"/>
        <v>0</v>
      </c>
      <c r="B354" s="49"/>
      <c r="C354" s="49"/>
      <c r="D354" s="140" t="s">
        <v>752</v>
      </c>
      <c r="E354" s="49" t="str">
        <f>VLOOKUP(D354,'03. Insumos'!A:D,2,0)</f>
        <v>Moldura em volta do vão das esquadrias</v>
      </c>
      <c r="F354" s="52"/>
      <c r="G354" s="52" t="str">
        <f>VLOOKUP(D354,'03. Insumos'!A:F,3,0)</f>
        <v>vb</v>
      </c>
      <c r="H354" s="53">
        <v>1</v>
      </c>
      <c r="I354" s="141">
        <f>H353</f>
        <v>0</v>
      </c>
      <c r="J354" s="54">
        <f>IFERROR(IF(K354&lt;&gt;0,K354*$K$5,0),0)</f>
        <v>6000</v>
      </c>
      <c r="K354" s="54">
        <f>IF(A354=0,VLOOKUP(D354,'03. Insumos'!A:F,4,0),"")</f>
        <v>6000</v>
      </c>
      <c r="L354" s="274">
        <f>H354*J354*I354</f>
        <v>0</v>
      </c>
      <c r="M354" s="153">
        <f t="shared" si="48"/>
        <v>0</v>
      </c>
      <c r="O354" s="148"/>
      <c r="R354" s="12"/>
    </row>
    <row r="355" spans="1:18" s="51" customFormat="1" ht="13.5" hidden="1" customHeight="1" outlineLevel="1" x14ac:dyDescent="0.3">
      <c r="A355" s="290">
        <f t="shared" si="49"/>
        <v>0</v>
      </c>
      <c r="B355" s="49"/>
      <c r="C355" s="49"/>
      <c r="D355" s="140" t="s">
        <v>753</v>
      </c>
      <c r="E355" s="49" t="str">
        <f>VLOOKUP(D355,'03. Insumos'!A:D,2,0)</f>
        <v>Mão de obra - Execução gesso estuque</v>
      </c>
      <c r="F355" s="52"/>
      <c r="G355" s="52" t="str">
        <f>VLOOKUP(D355,'03. Insumos'!A:F,3,0)</f>
        <v>m²</v>
      </c>
      <c r="H355" s="53">
        <v>1</v>
      </c>
      <c r="I355" s="141"/>
      <c r="J355" s="54">
        <f>IFERROR(IF(K355&lt;&gt;0,K355*$K$5,0),0)</f>
        <v>20</v>
      </c>
      <c r="K355" s="54">
        <f>IF(A355=0,VLOOKUP(D355,'03. Insumos'!A:F,4,0),"")</f>
        <v>20</v>
      </c>
      <c r="L355" s="274">
        <f>H355*J355*I355</f>
        <v>0</v>
      </c>
      <c r="M355" s="153">
        <f t="shared" si="48"/>
        <v>0</v>
      </c>
      <c r="O355" s="148"/>
      <c r="R355" s="12"/>
    </row>
    <row r="356" spans="1:18" s="18" customFormat="1" ht="13.5" customHeight="1" x14ac:dyDescent="0.3">
      <c r="A356" s="290">
        <f t="shared" si="49"/>
        <v>3</v>
      </c>
      <c r="B356" s="35"/>
      <c r="C356" s="35" t="s">
        <v>301</v>
      </c>
      <c r="D356" s="35" t="s">
        <v>267</v>
      </c>
      <c r="E356" s="35"/>
      <c r="F356" s="36"/>
      <c r="G356" s="36"/>
      <c r="H356" s="37"/>
      <c r="I356" s="37"/>
      <c r="J356" s="38"/>
      <c r="K356" s="38"/>
      <c r="L356" s="38">
        <f>SUMIF(A357:A369,4,L357:L369)</f>
        <v>19528.079999999998</v>
      </c>
      <c r="M356" s="153">
        <f t="shared" si="48"/>
        <v>5.3426043976551318E-3</v>
      </c>
      <c r="O356" s="148">
        <f>IF(I356&lt;&gt;0,I356*H356*K356,)</f>
        <v>0</v>
      </c>
      <c r="R356" s="12">
        <f>IF(J356&lt;&gt;0,J356/1.03-K356,0)</f>
        <v>0</v>
      </c>
    </row>
    <row r="357" spans="1:18" s="18" customFormat="1" ht="5.25" customHeight="1" outlineLevel="1" x14ac:dyDescent="0.3">
      <c r="A357" s="290">
        <f t="shared" si="49"/>
        <v>0</v>
      </c>
      <c r="B357" s="63"/>
      <c r="C357" s="63"/>
      <c r="D357" s="63"/>
      <c r="E357" s="63"/>
      <c r="F357" s="64"/>
      <c r="G357" s="64"/>
      <c r="H357" s="65"/>
      <c r="I357" s="65"/>
      <c r="J357" s="66">
        <f>IFERROR(IF(K357&lt;&gt;0,K357*$K$5,0),0)</f>
        <v>0</v>
      </c>
      <c r="K357" s="66" t="e">
        <f>IF(A357=0,VLOOKUP(D357,'03. Insumos'!A:F,4,0),"")</f>
        <v>#N/A</v>
      </c>
      <c r="L357" s="66"/>
      <c r="M357" s="153">
        <f t="shared" si="48"/>
        <v>0</v>
      </c>
      <c r="O357" s="148">
        <f>IF(I357&lt;&gt;0,I357*H357*K357,)</f>
        <v>0</v>
      </c>
      <c r="R357" s="12">
        <f>IF(J357&lt;&gt;0,J357/1.03-K357,0)</f>
        <v>0</v>
      </c>
    </row>
    <row r="358" spans="1:18" s="18" customFormat="1" ht="13.5" customHeight="1" outlineLevel="1" x14ac:dyDescent="0.3">
      <c r="A358" s="290">
        <f t="shared" si="49"/>
        <v>4</v>
      </c>
      <c r="B358" s="45"/>
      <c r="C358" s="45" t="s">
        <v>302</v>
      </c>
      <c r="D358" s="45" t="s">
        <v>267</v>
      </c>
      <c r="E358" s="45"/>
      <c r="F358" s="60"/>
      <c r="G358" s="60"/>
      <c r="H358" s="61"/>
      <c r="I358" s="61"/>
      <c r="J358" s="62"/>
      <c r="K358" s="62" t="str">
        <f>IF(A358=0,VLOOKUP(D358,'03. Insumos'!A:F,4,0),"")</f>
        <v/>
      </c>
      <c r="L358" s="62">
        <f>SUMIF(A365:A369,6,L359:L369)</f>
        <v>19528.079999999998</v>
      </c>
      <c r="M358" s="153">
        <f t="shared" si="48"/>
        <v>5.3426043976551318E-3</v>
      </c>
      <c r="O358" s="148">
        <f>IF(I358&lt;&gt;0,I358*H358*K358,)</f>
        <v>0</v>
      </c>
      <c r="R358" s="12">
        <f>IF(J358&lt;&gt;0,J358/1.03-K358,0)</f>
        <v>0</v>
      </c>
    </row>
    <row r="359" spans="1:18" s="59" customFormat="1" ht="13.5" customHeight="1" outlineLevel="1" x14ac:dyDescent="0.3">
      <c r="A359" s="290">
        <f t="shared" si="49"/>
        <v>6</v>
      </c>
      <c r="B359" s="55"/>
      <c r="C359" s="55" t="s">
        <v>303</v>
      </c>
      <c r="D359" s="55" t="s">
        <v>1843</v>
      </c>
      <c r="E359" s="55"/>
      <c r="F359" s="56"/>
      <c r="G359" s="56" t="s">
        <v>73</v>
      </c>
      <c r="H359" s="57">
        <v>343.2</v>
      </c>
      <c r="I359" s="57"/>
      <c r="J359" s="58"/>
      <c r="K359" s="58" t="str">
        <f>IF(A359=0,VLOOKUP(D359,'03. Insumos'!A:F,4,0),"")</f>
        <v/>
      </c>
      <c r="L359" s="58">
        <f>SUM(L360:L364)</f>
        <v>19528.079999999998</v>
      </c>
      <c r="M359" s="153">
        <f t="shared" si="48"/>
        <v>5.3426043976551318E-3</v>
      </c>
      <c r="O359" s="148">
        <f>IF(I359&lt;&gt;0,I359*H359*K359,)</f>
        <v>0</v>
      </c>
      <c r="R359" s="12">
        <f>IF(J359&lt;&gt;0,J359/1.03-K359,0)</f>
        <v>0</v>
      </c>
    </row>
    <row r="360" spans="1:18" s="59" customFormat="1" ht="13.5" hidden="1" customHeight="1" outlineLevel="1" x14ac:dyDescent="0.3">
      <c r="A360" s="290">
        <f t="shared" si="49"/>
        <v>0</v>
      </c>
      <c r="B360" s="55"/>
      <c r="C360" s="55"/>
      <c r="D360" s="140" t="s">
        <v>2609</v>
      </c>
      <c r="E360" s="49" t="str">
        <f>VLOOKUP(D360,'03. Insumos'!A:D,2,0)</f>
        <v>Material - Execução forro liso em dry wall</v>
      </c>
      <c r="F360" s="52" t="s">
        <v>2598</v>
      </c>
      <c r="G360" s="52" t="str">
        <f>VLOOKUP(D360,'03. Insumos'!A:F,3,0)</f>
        <v>m²</v>
      </c>
      <c r="H360" s="53">
        <v>1</v>
      </c>
      <c r="I360" s="141">
        <f>H359</f>
        <v>343.2</v>
      </c>
      <c r="J360" s="54">
        <f>IFERROR(IF(K360&lt;&gt;0,K360*$K$5,0),0)</f>
        <v>0</v>
      </c>
      <c r="K360" s="54">
        <f>IF(A360=0,VLOOKUP(D360,'03. Insumos'!A:F,4,0),"")</f>
        <v>0</v>
      </c>
      <c r="L360" s="274">
        <f>H360*J360*I360</f>
        <v>0</v>
      </c>
      <c r="M360" s="153">
        <f t="shared" si="48"/>
        <v>0</v>
      </c>
      <c r="O360" s="148"/>
      <c r="R360" s="12"/>
    </row>
    <row r="361" spans="1:18" s="59" customFormat="1" ht="13.5" customHeight="1" outlineLevel="1" x14ac:dyDescent="0.3">
      <c r="A361" s="290">
        <f t="shared" si="49"/>
        <v>0</v>
      </c>
      <c r="B361" s="55"/>
      <c r="C361" s="55"/>
      <c r="D361" s="140" t="s">
        <v>2210</v>
      </c>
      <c r="E361" s="49" t="str">
        <f>VLOOKUP(D361,'03. Insumos'!A:D,2,0)</f>
        <v>Execução forro liso em dry wall</v>
      </c>
      <c r="F361" s="316" t="s">
        <v>2599</v>
      </c>
      <c r="G361" s="52" t="str">
        <f>VLOOKUP(D361,'03. Insumos'!A:F,3,0)</f>
        <v>m²</v>
      </c>
      <c r="H361" s="53">
        <v>1</v>
      </c>
      <c r="I361" s="141">
        <f>H359</f>
        <v>343.2</v>
      </c>
      <c r="J361" s="54">
        <f>IFERROR(IF(K361&lt;&gt;0,K361*$K$5,0),0)</f>
        <v>56.9</v>
      </c>
      <c r="K361" s="54">
        <f>IF(A361=0,VLOOKUP(D361,'03. Insumos'!A:F,4,0),"")</f>
        <v>56.9</v>
      </c>
      <c r="L361" s="274">
        <f>H361*J361*I361</f>
        <v>19528.079999999998</v>
      </c>
      <c r="M361" s="153">
        <f t="shared" si="48"/>
        <v>5.3426043976551318E-3</v>
      </c>
      <c r="O361" s="148"/>
      <c r="R361" s="12"/>
    </row>
    <row r="362" spans="1:18" s="59" customFormat="1" ht="13.5" hidden="1" customHeight="1" outlineLevel="1" x14ac:dyDescent="0.3">
      <c r="A362" s="290">
        <f t="shared" si="49"/>
        <v>0</v>
      </c>
      <c r="B362" s="55"/>
      <c r="C362" s="55"/>
      <c r="D362" s="140" t="s">
        <v>2540</v>
      </c>
      <c r="E362" s="49" t="str">
        <f>VLOOKUP(D362,'03. Insumos'!A:D,2,0)</f>
        <v>Execução de sanca em dry wall</v>
      </c>
      <c r="F362" s="52"/>
      <c r="G362" s="52" t="str">
        <f>VLOOKUP(D362,'03. Insumos'!A:F,3,0)</f>
        <v>m</v>
      </c>
      <c r="H362" s="53">
        <v>1</v>
      </c>
      <c r="I362" s="141"/>
      <c r="J362" s="54">
        <f>IFERROR(IF(K362&lt;&gt;0,K362*$K$5,0),0)</f>
        <v>28.9</v>
      </c>
      <c r="K362" s="54">
        <f>IF(A362=0,VLOOKUP(D362,'03. Insumos'!A:F,4,0),"")</f>
        <v>28.9</v>
      </c>
      <c r="L362" s="274">
        <f>H362*J362*I362</f>
        <v>0</v>
      </c>
      <c r="M362" s="153">
        <f t="shared" si="48"/>
        <v>0</v>
      </c>
      <c r="O362" s="148"/>
      <c r="R362" s="12"/>
    </row>
    <row r="363" spans="1:18" s="51" customFormat="1" ht="13.5" hidden="1" customHeight="1" outlineLevel="1" x14ac:dyDescent="0.3">
      <c r="A363" s="290">
        <f t="shared" si="49"/>
        <v>0</v>
      </c>
      <c r="B363" s="49"/>
      <c r="C363" s="49"/>
      <c r="D363" s="140" t="s">
        <v>748</v>
      </c>
      <c r="E363" s="49" t="str">
        <f>VLOOKUP(D363,'03. Insumos'!A:D,2,0)</f>
        <v>Montagem de Forro Liso em Drywall estruturado ST - MAT + MO</v>
      </c>
      <c r="F363" s="52"/>
      <c r="G363" s="52" t="str">
        <f>VLOOKUP(D363,'03. Insumos'!A:F,3,0)</f>
        <v>m²</v>
      </c>
      <c r="H363" s="53"/>
      <c r="I363" s="141">
        <f>H359</f>
        <v>343.2</v>
      </c>
      <c r="J363" s="54">
        <f>IFERROR(IF(K363&lt;&gt;0,K363*$K$5,0),0)</f>
        <v>65</v>
      </c>
      <c r="K363" s="54">
        <f>IF(A363=0,VLOOKUP(D363,'03. Insumos'!A:F,4,0),"")</f>
        <v>65</v>
      </c>
      <c r="L363" s="274">
        <f>H363*J363*I363</f>
        <v>0</v>
      </c>
      <c r="M363" s="153">
        <f t="shared" si="48"/>
        <v>0</v>
      </c>
      <c r="O363" s="148">
        <f>IF(I363&lt;&gt;0,I363*H363*K363,)</f>
        <v>0</v>
      </c>
      <c r="R363" s="12">
        <f>IF(J363&lt;&gt;0,J363/1.03-K363,0)</f>
        <v>-1.893203883495147</v>
      </c>
    </row>
    <row r="364" spans="1:18" s="51" customFormat="1" ht="13.5" hidden="1" customHeight="1" outlineLevel="1" x14ac:dyDescent="0.3">
      <c r="A364" s="290">
        <f t="shared" si="49"/>
        <v>0</v>
      </c>
      <c r="B364" s="49"/>
      <c r="C364" s="49"/>
      <c r="D364" s="140" t="s">
        <v>749</v>
      </c>
      <c r="E364" s="49" t="str">
        <f>VLOOKUP(D364,'03. Insumos'!A:D,2,0)</f>
        <v xml:space="preserve">Mão de obra - Execução forro de gesso drywall ST </v>
      </c>
      <c r="F364" s="52"/>
      <c r="G364" s="52" t="str">
        <f>VLOOKUP(D364,'03. Insumos'!A:F,3,0)</f>
        <v>m²</v>
      </c>
      <c r="H364" s="53"/>
      <c r="I364" s="141">
        <f>H359</f>
        <v>343.2</v>
      </c>
      <c r="J364" s="54">
        <f>IFERROR(IF(K364&lt;&gt;0,K364*$K$5,0),0)</f>
        <v>28.5</v>
      </c>
      <c r="K364" s="54">
        <f>IF(A364=0,VLOOKUP(D364,'03. Insumos'!A:F,4,0),"")</f>
        <v>28.5</v>
      </c>
      <c r="L364" s="274">
        <f>H364*J364*I364</f>
        <v>0</v>
      </c>
      <c r="M364" s="153">
        <f t="shared" si="48"/>
        <v>0</v>
      </c>
      <c r="O364" s="148"/>
      <c r="R364" s="12"/>
    </row>
    <row r="365" spans="1:18" s="59" customFormat="1" ht="13.5" hidden="1" customHeight="1" outlineLevel="1" x14ac:dyDescent="0.3">
      <c r="A365" s="290">
        <f t="shared" si="49"/>
        <v>6</v>
      </c>
      <c r="B365" s="55"/>
      <c r="C365" s="55" t="s">
        <v>303</v>
      </c>
      <c r="D365" s="55" t="s">
        <v>1803</v>
      </c>
      <c r="E365" s="55"/>
      <c r="F365" s="56"/>
      <c r="G365" s="56" t="s">
        <v>73</v>
      </c>
      <c r="H365" s="57"/>
      <c r="I365" s="57"/>
      <c r="J365" s="58"/>
      <c r="K365" s="58" t="str">
        <f>IF(A365=0,VLOOKUP(D365,'03. Insumos'!A:F,4,0),"")</f>
        <v/>
      </c>
      <c r="L365" s="58">
        <f>SUM(L366:L367)</f>
        <v>0</v>
      </c>
      <c r="M365" s="153">
        <f t="shared" si="48"/>
        <v>0</v>
      </c>
      <c r="O365" s="148">
        <f>IF(I365&lt;&gt;0,I365*H365*K365,)</f>
        <v>0</v>
      </c>
      <c r="R365" s="12">
        <f>IF(J365&lt;&gt;0,J365/1.03-K365,0)</f>
        <v>0</v>
      </c>
    </row>
    <row r="366" spans="1:18" s="51" customFormat="1" ht="13.5" hidden="1" customHeight="1" outlineLevel="1" x14ac:dyDescent="0.3">
      <c r="A366" s="290">
        <f t="shared" si="49"/>
        <v>0</v>
      </c>
      <c r="B366" s="49"/>
      <c r="C366" s="49"/>
      <c r="D366" s="140" t="s">
        <v>1801</v>
      </c>
      <c r="E366" s="49" t="str">
        <f>VLOOKUP(D366,'03. Insumos'!A:D,2,0)</f>
        <v>Material - Fornecimento e instalação de forro removível</v>
      </c>
      <c r="F366" s="52"/>
      <c r="G366" s="52" t="str">
        <f>VLOOKUP(D366,'03. Insumos'!A:F,3,0)</f>
        <v>m²</v>
      </c>
      <c r="H366" s="53">
        <v>1</v>
      </c>
      <c r="I366" s="141"/>
      <c r="J366" s="54">
        <f>IFERROR(IF(K366&lt;&gt;0,K366*$K$5,0),0)</f>
        <v>45</v>
      </c>
      <c r="K366" s="54">
        <f>IF(A366=0,VLOOKUP(D366,'03. Insumos'!A:F,4,0),"")</f>
        <v>45</v>
      </c>
      <c r="L366" s="274">
        <f>H366*J366*I366</f>
        <v>0</v>
      </c>
      <c r="M366" s="153">
        <f t="shared" si="48"/>
        <v>0</v>
      </c>
      <c r="O366" s="148">
        <f>IF(I366&lt;&gt;0,I366*H366*K366,)</f>
        <v>0</v>
      </c>
      <c r="R366" s="12">
        <f>IF(J366&lt;&gt;0,J366/1.03-K366,0)</f>
        <v>-1.3106796116504853</v>
      </c>
    </row>
    <row r="367" spans="1:18" s="51" customFormat="1" ht="13.5" hidden="1" customHeight="1" outlineLevel="1" x14ac:dyDescent="0.3">
      <c r="A367" s="290">
        <f t="shared" si="49"/>
        <v>0</v>
      </c>
      <c r="B367" s="49"/>
      <c r="C367" s="49"/>
      <c r="D367" s="140" t="s">
        <v>1802</v>
      </c>
      <c r="E367" s="49" t="str">
        <f>VLOOKUP(D367,'03. Insumos'!A:D,2,0)</f>
        <v>Mão de obra - Fornecimento e instalação de forro removível</v>
      </c>
      <c r="F367" s="52"/>
      <c r="G367" s="52" t="str">
        <f>VLOOKUP(D367,'03. Insumos'!A:F,3,0)</f>
        <v>m²</v>
      </c>
      <c r="H367" s="53">
        <v>1</v>
      </c>
      <c r="I367" s="141"/>
      <c r="J367" s="54">
        <f>IFERROR(IF(K367&lt;&gt;0,K367*$K$5,0),0)</f>
        <v>32</v>
      </c>
      <c r="K367" s="54">
        <f>IF(A367=0,VLOOKUP(D367,'03. Insumos'!A:F,4,0),"")</f>
        <v>32</v>
      </c>
      <c r="L367" s="274">
        <f>H367*J367*I367</f>
        <v>0</v>
      </c>
      <c r="M367" s="153">
        <f t="shared" si="48"/>
        <v>0</v>
      </c>
      <c r="O367" s="148"/>
      <c r="R367" s="12"/>
    </row>
    <row r="368" spans="1:18" s="59" customFormat="1" ht="13.5" hidden="1" customHeight="1" outlineLevel="1" x14ac:dyDescent="0.3">
      <c r="A368" s="290">
        <f t="shared" si="49"/>
        <v>6</v>
      </c>
      <c r="B368" s="55"/>
      <c r="C368" s="55" t="s">
        <v>1297</v>
      </c>
      <c r="D368" s="55" t="s">
        <v>1296</v>
      </c>
      <c r="E368" s="55"/>
      <c r="F368" s="56"/>
      <c r="G368" s="56" t="s">
        <v>73</v>
      </c>
      <c r="H368" s="57"/>
      <c r="I368" s="57"/>
      <c r="J368" s="58">
        <f>IFERROR(IF(K368&lt;&gt;0,K368*$K$5,0),0)</f>
        <v>0</v>
      </c>
      <c r="K368" s="58" t="str">
        <f>IF(A368=0,VLOOKUP(D368,'03. Insumos'!A:F,4,0),"")</f>
        <v/>
      </c>
      <c r="L368" s="58">
        <f>SUM(L369:L369)</f>
        <v>0</v>
      </c>
      <c r="M368" s="153">
        <f t="shared" si="48"/>
        <v>0</v>
      </c>
      <c r="O368" s="148">
        <f t="shared" ref="O368:O374" si="52">IF(I368&lt;&gt;0,I368*H368*K368,)</f>
        <v>0</v>
      </c>
      <c r="R368" s="12">
        <f t="shared" ref="R368:R374" si="53">IF(J368&lt;&gt;0,J368/1.03-K368,0)</f>
        <v>0</v>
      </c>
    </row>
    <row r="369" spans="1:18" s="51" customFormat="1" ht="13.5" hidden="1" customHeight="1" outlineLevel="1" x14ac:dyDescent="0.3">
      <c r="A369" s="290">
        <f t="shared" si="49"/>
        <v>0</v>
      </c>
      <c r="B369" s="49"/>
      <c r="C369" s="49"/>
      <c r="D369" s="140" t="s">
        <v>614</v>
      </c>
      <c r="E369" s="49" t="str">
        <f>VLOOKUP(D369,'03. Insumos'!A:D,2,0)</f>
        <v>Revestimento Acústico Sobre Laje Climatex Madeira Branco</v>
      </c>
      <c r="F369" s="52"/>
      <c r="G369" s="52" t="str">
        <f>VLOOKUP(D369,'03. Insumos'!A:F,3,0)</f>
        <v>m²</v>
      </c>
      <c r="H369" s="53">
        <v>1</v>
      </c>
      <c r="I369" s="141"/>
      <c r="J369" s="54">
        <f>IFERROR(IF(K369&lt;&gt;0,K369*$K$5,0),0)</f>
        <v>280</v>
      </c>
      <c r="K369" s="54">
        <f>IF(A369=0,VLOOKUP(D369,'03. Insumos'!A:F,4,0),"")</f>
        <v>280</v>
      </c>
      <c r="L369" s="274">
        <f>H369*J369*I369</f>
        <v>0</v>
      </c>
      <c r="M369" s="153">
        <f t="shared" si="48"/>
        <v>0</v>
      </c>
      <c r="O369" s="148">
        <f t="shared" si="52"/>
        <v>0</v>
      </c>
      <c r="R369" s="12">
        <f t="shared" si="53"/>
        <v>-8.1553398058252355</v>
      </c>
    </row>
    <row r="370" spans="1:18" s="18" customFormat="1" ht="13.5" customHeight="1" x14ac:dyDescent="0.3">
      <c r="A370" s="290">
        <f t="shared" si="49"/>
        <v>3</v>
      </c>
      <c r="B370" s="35"/>
      <c r="C370" s="35" t="s">
        <v>319</v>
      </c>
      <c r="D370" s="35" t="s">
        <v>335</v>
      </c>
      <c r="E370" s="35"/>
      <c r="F370" s="36"/>
      <c r="G370" s="36"/>
      <c r="H370" s="37"/>
      <c r="I370" s="37"/>
      <c r="J370" s="38"/>
      <c r="K370" s="38"/>
      <c r="L370" s="38">
        <f>SUMIF(A371:A522,4,L371:L522)</f>
        <v>313543.79585115536</v>
      </c>
      <c r="M370" s="153">
        <f t="shared" si="48"/>
        <v>8.5781114301655137E-2</v>
      </c>
      <c r="O370" s="148">
        <f t="shared" si="52"/>
        <v>0</v>
      </c>
      <c r="R370" s="12">
        <f t="shared" si="53"/>
        <v>0</v>
      </c>
    </row>
    <row r="371" spans="1:18" s="18" customFormat="1" ht="5.25" customHeight="1" outlineLevel="1" x14ac:dyDescent="0.3">
      <c r="A371" s="290">
        <f t="shared" si="49"/>
        <v>0</v>
      </c>
      <c r="B371" s="63"/>
      <c r="C371" s="63"/>
      <c r="D371" s="63"/>
      <c r="E371" s="63"/>
      <c r="F371" s="64"/>
      <c r="G371" s="64"/>
      <c r="H371" s="65"/>
      <c r="I371" s="65"/>
      <c r="J371" s="66">
        <f>IFERROR(IF(K371&lt;&gt;0,K371*$K$5,0),0)</f>
        <v>0</v>
      </c>
      <c r="K371" s="66" t="e">
        <f>IF(A371=0,VLOOKUP(D371,'03. Insumos'!A:F,4,0),"")</f>
        <v>#N/A</v>
      </c>
      <c r="L371" s="66"/>
      <c r="M371" s="153">
        <f t="shared" si="48"/>
        <v>0</v>
      </c>
      <c r="O371" s="148">
        <f t="shared" si="52"/>
        <v>0</v>
      </c>
      <c r="R371" s="12">
        <f t="shared" si="53"/>
        <v>0</v>
      </c>
    </row>
    <row r="372" spans="1:18" s="18" customFormat="1" ht="13.5" customHeight="1" outlineLevel="1" x14ac:dyDescent="0.3">
      <c r="A372" s="290">
        <f t="shared" si="49"/>
        <v>4</v>
      </c>
      <c r="B372" s="45"/>
      <c r="C372" s="45" t="s">
        <v>320</v>
      </c>
      <c r="D372" s="45" t="s">
        <v>1507</v>
      </c>
      <c r="E372" s="45"/>
      <c r="F372" s="60"/>
      <c r="G372" s="60"/>
      <c r="H372" s="61"/>
      <c r="I372" s="61"/>
      <c r="J372" s="62"/>
      <c r="K372" s="62" t="str">
        <f>IF(A372=0,VLOOKUP(D372,'03. Insumos'!A:F,4,0),"")</f>
        <v/>
      </c>
      <c r="L372" s="62">
        <f>SUMIF(A372:A426,6,L372:L426)</f>
        <v>116549.26163296952</v>
      </c>
      <c r="M372" s="153">
        <f t="shared" si="48"/>
        <v>3.1886217065055115E-2</v>
      </c>
      <c r="O372" s="148">
        <f t="shared" si="52"/>
        <v>0</v>
      </c>
      <c r="R372" s="12">
        <f t="shared" si="53"/>
        <v>0</v>
      </c>
    </row>
    <row r="373" spans="1:18" s="59" customFormat="1" ht="13.5" customHeight="1" outlineLevel="1" x14ac:dyDescent="0.3">
      <c r="A373" s="290">
        <f t="shared" si="49"/>
        <v>6</v>
      </c>
      <c r="B373" s="55"/>
      <c r="C373" s="55" t="s">
        <v>321</v>
      </c>
      <c r="D373" s="55" t="s">
        <v>2283</v>
      </c>
      <c r="E373" s="55"/>
      <c r="F373" s="56"/>
      <c r="G373" s="56" t="s">
        <v>73</v>
      </c>
      <c r="H373" s="57">
        <v>218.09</v>
      </c>
      <c r="I373" s="57"/>
      <c r="J373" s="58"/>
      <c r="K373" s="58" t="str">
        <f>IF(A373=0,VLOOKUP(D373,'03. Insumos'!A:F,4,0),"")</f>
        <v/>
      </c>
      <c r="L373" s="58">
        <f>SUM(L374:L375)</f>
        <v>21178.937990000002</v>
      </c>
      <c r="M373" s="153">
        <f t="shared" si="48"/>
        <v>5.7942556177073912E-3</v>
      </c>
      <c r="O373" s="148">
        <f t="shared" si="52"/>
        <v>0</v>
      </c>
      <c r="R373" s="12">
        <f t="shared" si="53"/>
        <v>0</v>
      </c>
    </row>
    <row r="374" spans="1:18" s="51" customFormat="1" ht="13.5" customHeight="1" outlineLevel="1" x14ac:dyDescent="0.3">
      <c r="A374" s="290">
        <f t="shared" si="49"/>
        <v>0</v>
      </c>
      <c r="B374" s="49"/>
      <c r="C374" s="49"/>
      <c r="D374" s="140" t="s">
        <v>2286</v>
      </c>
      <c r="E374" s="49" t="str">
        <f>VLOOKUP(D374,'03. Insumos'!A:D,2,0)</f>
        <v>Material - Fornecimento de microseixos</v>
      </c>
      <c r="F374" s="52" t="s">
        <v>2613</v>
      </c>
      <c r="G374" s="52" t="str">
        <f>VLOOKUP(D374,'03. Insumos'!A:F,3,0)</f>
        <v>m²</v>
      </c>
      <c r="H374" s="53">
        <v>1</v>
      </c>
      <c r="I374" s="141">
        <f>H373*1.1</f>
        <v>239.89900000000003</v>
      </c>
      <c r="J374" s="54">
        <f>IFERROR(IF(K374&lt;&gt;0,K374*$K$5,0),0)</f>
        <v>61.01</v>
      </c>
      <c r="K374" s="54">
        <f>IF(A374=0,VLOOKUP(D374,'03. Insumos'!A:F,4,0),"")</f>
        <v>61.01</v>
      </c>
      <c r="L374" s="274">
        <f>H374*J374*I374</f>
        <v>14636.237990000001</v>
      </c>
      <c r="M374" s="153">
        <f t="shared" si="48"/>
        <v>4.0042661362766395E-3</v>
      </c>
      <c r="O374" s="148">
        <f t="shared" si="52"/>
        <v>14636.237990000001</v>
      </c>
      <c r="R374" s="12">
        <f t="shared" si="53"/>
        <v>-1.7769902912621376</v>
      </c>
    </row>
    <row r="375" spans="1:18" s="51" customFormat="1" ht="13.5" customHeight="1" outlineLevel="1" x14ac:dyDescent="0.3">
      <c r="A375" s="290">
        <f t="shared" si="49"/>
        <v>0</v>
      </c>
      <c r="B375" s="49"/>
      <c r="C375" s="49"/>
      <c r="D375" s="140" t="s">
        <v>2287</v>
      </c>
      <c r="E375" s="49" t="str">
        <f>VLOOKUP(D375,'03. Insumos'!A:D,2,0)</f>
        <v>Mão de obra - Assentamento de microseixos</v>
      </c>
      <c r="F375" s="52" t="s">
        <v>2607</v>
      </c>
      <c r="G375" s="52" t="str">
        <f>VLOOKUP(D375,'03. Insumos'!A:F,3,0)</f>
        <v>m²</v>
      </c>
      <c r="H375" s="53">
        <v>1</v>
      </c>
      <c r="I375" s="141">
        <f>H373</f>
        <v>218.09</v>
      </c>
      <c r="J375" s="54">
        <f>IFERROR(IF(K375&lt;&gt;0,K375*$K$5,0),0)</f>
        <v>30</v>
      </c>
      <c r="K375" s="54">
        <f>IF(A375=0,VLOOKUP(D375,'03. Insumos'!A:F,4,0),"")</f>
        <v>30</v>
      </c>
      <c r="L375" s="274">
        <f>H375*J375*I375</f>
        <v>6542.7</v>
      </c>
      <c r="M375" s="153">
        <f t="shared" si="48"/>
        <v>1.7899894814307517E-3</v>
      </c>
      <c r="O375" s="148"/>
      <c r="R375" s="12"/>
    </row>
    <row r="376" spans="1:18" s="59" customFormat="1" ht="13.5" customHeight="1" outlineLevel="1" x14ac:dyDescent="0.3">
      <c r="A376" s="290">
        <f t="shared" si="49"/>
        <v>6</v>
      </c>
      <c r="B376" s="55"/>
      <c r="C376" s="55" t="s">
        <v>1298</v>
      </c>
      <c r="D376" s="55" t="s">
        <v>2292</v>
      </c>
      <c r="E376" s="55"/>
      <c r="F376" s="56"/>
      <c r="G376" s="56" t="s">
        <v>73</v>
      </c>
      <c r="H376" s="57">
        <v>59.44</v>
      </c>
      <c r="I376" s="57"/>
      <c r="J376" s="58"/>
      <c r="K376" s="58" t="str">
        <f>IF(A376=0,VLOOKUP(D376,'03. Insumos'!A:F,4,0),"")</f>
        <v/>
      </c>
      <c r="L376" s="58">
        <f>SUM(L377:L381)</f>
        <v>8189.5111111111109</v>
      </c>
      <c r="M376" s="153">
        <f t="shared" si="48"/>
        <v>2.2405335330901856E-3</v>
      </c>
      <c r="O376" s="148">
        <f>IF(I376&lt;&gt;0,I376*H376*K376,)</f>
        <v>0</v>
      </c>
      <c r="R376" s="12">
        <f>IF(J376&lt;&gt;0,J376/1.03-K376,0)</f>
        <v>0</v>
      </c>
    </row>
    <row r="377" spans="1:18" s="51" customFormat="1" ht="13.5" customHeight="1" outlineLevel="1" x14ac:dyDescent="0.3">
      <c r="A377" s="290">
        <f t="shared" si="49"/>
        <v>0</v>
      </c>
      <c r="B377" s="49"/>
      <c r="C377" s="49"/>
      <c r="D377" s="140" t="s">
        <v>2290</v>
      </c>
      <c r="E377" s="49" t="str">
        <f>VLOOKUP(D377,'03. Insumos'!A:D,2,0)</f>
        <v>Material - Fornecimento de papel de parede</v>
      </c>
      <c r="F377" s="52" t="s">
        <v>2613</v>
      </c>
      <c r="G377" s="52" t="str">
        <f>VLOOKUP(D377,'03. Insumos'!A:F,3,0)</f>
        <v>m²</v>
      </c>
      <c r="H377" s="53">
        <v>1</v>
      </c>
      <c r="I377" s="141">
        <f>H376*1.1</f>
        <v>65.384</v>
      </c>
      <c r="J377" s="54">
        <f>IFERROR(IF(K377&lt;&gt;0,K377*$K$5,0),0)</f>
        <v>88.888888888888886</v>
      </c>
      <c r="K377" s="54">
        <f>IF(A377=0,VLOOKUP(D377,'03. Insumos'!A:F,4,0),"")</f>
        <v>88.888888888888886</v>
      </c>
      <c r="L377" s="274">
        <f>H377*J377*I377</f>
        <v>5811.9111111111106</v>
      </c>
      <c r="M377" s="153">
        <f t="shared" si="48"/>
        <v>1.5900560557414217E-3</v>
      </c>
      <c r="O377" s="148">
        <f>IF(I377&lt;&gt;0,I377*H377*K377,)</f>
        <v>5811.9111111111106</v>
      </c>
      <c r="R377" s="12">
        <f>IF(J377&lt;&gt;0,J377/1.03-K377,0)</f>
        <v>-2.5889967637540536</v>
      </c>
    </row>
    <row r="378" spans="1:18" s="51" customFormat="1" ht="13.5" customHeight="1" outlineLevel="1" x14ac:dyDescent="0.3">
      <c r="A378" s="290">
        <f t="shared" si="49"/>
        <v>0</v>
      </c>
      <c r="B378" s="49"/>
      <c r="C378" s="49"/>
      <c r="D378" s="140" t="s">
        <v>2291</v>
      </c>
      <c r="E378" s="49" t="str">
        <f>VLOOKUP(D378,'03. Insumos'!A:D,2,0)</f>
        <v>Mão de obra - Instalação de papel de parede</v>
      </c>
      <c r="F378" s="52" t="s">
        <v>2607</v>
      </c>
      <c r="G378" s="52" t="str">
        <f>VLOOKUP(D378,'03. Insumos'!A:F,3,0)</f>
        <v>m²</v>
      </c>
      <c r="H378" s="53">
        <v>1</v>
      </c>
      <c r="I378" s="141">
        <f>H376</f>
        <v>59.44</v>
      </c>
      <c r="J378" s="54">
        <f>IFERROR(IF(K378&lt;&gt;0,K378*$K$5,0),0)</f>
        <v>40</v>
      </c>
      <c r="K378" s="54">
        <f>IF(A378=0,VLOOKUP(D378,'03. Insumos'!A:F,4,0),"")</f>
        <v>40</v>
      </c>
      <c r="L378" s="274">
        <f>H378*J378*I378</f>
        <v>2377.6</v>
      </c>
      <c r="M378" s="153">
        <f t="shared" si="48"/>
        <v>6.5047747734876349E-4</v>
      </c>
      <c r="O378" s="148"/>
      <c r="R378" s="12"/>
    </row>
    <row r="379" spans="1:18" s="51" customFormat="1" ht="13.5" hidden="1" customHeight="1" outlineLevel="1" x14ac:dyDescent="0.3">
      <c r="A379" s="290">
        <f t="shared" si="49"/>
        <v>0</v>
      </c>
      <c r="B379" s="49"/>
      <c r="C379" s="49"/>
      <c r="D379" s="140" t="s">
        <v>199</v>
      </c>
      <c r="E379" s="49" t="str">
        <f>VLOOKUP(D379,'03. Insumos'!A:D,2,0)</f>
        <v>Argamassa colante 20kg</v>
      </c>
      <c r="F379" s="52"/>
      <c r="G379" s="52" t="str">
        <f>VLOOKUP(D379,'03. Insumos'!A:F,3,0)</f>
        <v>uni</v>
      </c>
      <c r="H379" s="53"/>
      <c r="I379" s="141">
        <f>ROUND((H376*8)/20,0)</f>
        <v>24</v>
      </c>
      <c r="J379" s="54">
        <f>IFERROR(IF(K379&lt;&gt;0,K379*$K$5,0),0)</f>
        <v>21.9</v>
      </c>
      <c r="K379" s="54">
        <f>IF(A379=0,VLOOKUP(D379,'03. Insumos'!A:F,4,0),"")</f>
        <v>21.9</v>
      </c>
      <c r="L379" s="274">
        <f>H379*J379*I379</f>
        <v>0</v>
      </c>
      <c r="M379" s="153">
        <f t="shared" si="48"/>
        <v>0</v>
      </c>
      <c r="O379" s="148"/>
      <c r="R379" s="12"/>
    </row>
    <row r="380" spans="1:18" s="51" customFormat="1" ht="13.5" hidden="1" customHeight="1" outlineLevel="1" x14ac:dyDescent="0.3">
      <c r="A380" s="290">
        <f t="shared" si="49"/>
        <v>0</v>
      </c>
      <c r="B380" s="49"/>
      <c r="C380" s="49"/>
      <c r="D380" s="140" t="s">
        <v>772</v>
      </c>
      <c r="E380" s="49" t="str">
        <f>VLOOKUP(D380,'03. Insumos'!A:D,2,0)</f>
        <v xml:space="preserve">Rejunte acrílico Portokoll </v>
      </c>
      <c r="F380" s="52"/>
      <c r="G380" s="52" t="str">
        <f>VLOOKUP(D380,'03. Insumos'!A:F,3,0)</f>
        <v>Kg</v>
      </c>
      <c r="H380" s="53"/>
      <c r="I380" s="141"/>
      <c r="J380" s="54">
        <f>IFERROR(IF(K380&lt;&gt;0,K380*$K$5,0),0)</f>
        <v>19.87</v>
      </c>
      <c r="K380" s="54">
        <f>IF(A380=0,VLOOKUP(D380,'03. Insumos'!A:F,4,0),"")</f>
        <v>19.87</v>
      </c>
      <c r="L380" s="274">
        <f>H380*J380*I380</f>
        <v>0</v>
      </c>
      <c r="M380" s="153">
        <f t="shared" si="48"/>
        <v>0</v>
      </c>
      <c r="O380" s="148"/>
      <c r="R380" s="12"/>
    </row>
    <row r="381" spans="1:18" s="51" customFormat="1" ht="13.5" hidden="1" customHeight="1" outlineLevel="1" x14ac:dyDescent="0.3">
      <c r="A381" s="290">
        <f t="shared" si="49"/>
        <v>0</v>
      </c>
      <c r="B381" s="49"/>
      <c r="C381" s="49"/>
      <c r="D381" s="140" t="s">
        <v>773</v>
      </c>
      <c r="E381" s="49" t="str">
        <f>VLOOKUP(D381,'03. Insumos'!A:D,2,0)</f>
        <v>Espaçador - Cunha</v>
      </c>
      <c r="F381" s="52"/>
      <c r="G381" s="52" t="str">
        <f>VLOOKUP(D381,'03. Insumos'!A:F,3,0)</f>
        <v>50 pcs</v>
      </c>
      <c r="H381" s="53"/>
      <c r="I381" s="141"/>
      <c r="J381" s="54">
        <f>IFERROR(IF(K381&lt;&gt;0,K381*$K$5,0),0)</f>
        <v>22.17</v>
      </c>
      <c r="K381" s="54">
        <f>IF(A381=0,VLOOKUP(D381,'03. Insumos'!A:F,4,0),"")</f>
        <v>22.17</v>
      </c>
      <c r="L381" s="274">
        <f>H381*J381*I381</f>
        <v>0</v>
      </c>
      <c r="M381" s="153">
        <f t="shared" si="48"/>
        <v>0</v>
      </c>
      <c r="O381" s="148"/>
      <c r="R381" s="12"/>
    </row>
    <row r="382" spans="1:18" s="51" customFormat="1" ht="13.5" customHeight="1" outlineLevel="1" x14ac:dyDescent="0.3">
      <c r="A382" s="290">
        <f t="shared" si="49"/>
        <v>6</v>
      </c>
      <c r="B382" s="49"/>
      <c r="C382" s="55" t="s">
        <v>322</v>
      </c>
      <c r="D382" s="55" t="s">
        <v>2295</v>
      </c>
      <c r="E382" s="49"/>
      <c r="F382" s="52"/>
      <c r="G382" s="56" t="s">
        <v>73</v>
      </c>
      <c r="H382" s="57">
        <v>44.5</v>
      </c>
      <c r="I382" s="141"/>
      <c r="J382" s="54"/>
      <c r="K382" s="54"/>
      <c r="L382" s="58">
        <f>SUM(L383:L386)</f>
        <v>6281.31</v>
      </c>
      <c r="M382" s="153">
        <f t="shared" si="48"/>
        <v>1.7184769024417741E-3</v>
      </c>
      <c r="O382" s="148"/>
      <c r="R382" s="12"/>
    </row>
    <row r="383" spans="1:18" s="51" customFormat="1" ht="13.5" customHeight="1" outlineLevel="1" x14ac:dyDescent="0.3">
      <c r="A383" s="290">
        <f t="shared" si="49"/>
        <v>0</v>
      </c>
      <c r="B383" s="49"/>
      <c r="C383" s="49"/>
      <c r="D383" s="140" t="s">
        <v>2293</v>
      </c>
      <c r="E383" s="49" t="str">
        <f>VLOOKUP(D383,'03. Insumos'!A:D,2,0)</f>
        <v>Material - Base seladora de alto desempenho</v>
      </c>
      <c r="F383" s="52" t="s">
        <v>2613</v>
      </c>
      <c r="G383" s="52" t="str">
        <f>VLOOKUP(D383,'03. Insumos'!A:F,3,0)</f>
        <v>L</v>
      </c>
      <c r="H383" s="53">
        <v>1</v>
      </c>
      <c r="I383" s="141">
        <f>H382*1.1</f>
        <v>48.95</v>
      </c>
      <c r="J383" s="54">
        <f>IFERROR(IF(K383&lt;&gt;0,K383*$K$5,0),0)</f>
        <v>54.5</v>
      </c>
      <c r="K383" s="54">
        <f>IF(A383=0,VLOOKUP(D383,'03. Insumos'!A:F,4,0),"")</f>
        <v>54.5</v>
      </c>
      <c r="L383" s="274">
        <f>H383*J383*I383</f>
        <v>2667.7750000000001</v>
      </c>
      <c r="M383" s="153">
        <f t="shared" si="48"/>
        <v>7.2986522212907881E-4</v>
      </c>
      <c r="O383" s="148"/>
      <c r="R383" s="12"/>
    </row>
    <row r="384" spans="1:18" s="51" customFormat="1" ht="13.5" customHeight="1" outlineLevel="1" x14ac:dyDescent="0.3">
      <c r="A384" s="290">
        <f t="shared" si="49"/>
        <v>0</v>
      </c>
      <c r="B384" s="49"/>
      <c r="C384" s="49"/>
      <c r="D384" s="140" t="s">
        <v>2294</v>
      </c>
      <c r="E384" s="49" t="str">
        <f>VLOOKUP(D384,'03. Insumos'!A:D,2,0)</f>
        <v>Material - Cera Impermeabilizante alto desempenho</v>
      </c>
      <c r="F384" s="52" t="s">
        <v>2607</v>
      </c>
      <c r="G384" s="52" t="str">
        <f>VLOOKUP(D384,'03. Insumos'!A:F,3,0)</f>
        <v>L</v>
      </c>
      <c r="H384" s="53">
        <v>1</v>
      </c>
      <c r="I384" s="141">
        <f>H382</f>
        <v>44.5</v>
      </c>
      <c r="J384" s="54">
        <f>IFERROR(IF(K384&lt;&gt;0,K384*$K$5,0),0)</f>
        <v>70.849999999999994</v>
      </c>
      <c r="K384" s="54">
        <f>IF(A384=0,VLOOKUP(D384,'03. Insumos'!A:F,4,0),"")</f>
        <v>70.849999999999994</v>
      </c>
      <c r="L384" s="274">
        <f>H384*J384*I384</f>
        <v>3152.8249999999998</v>
      </c>
      <c r="M384" s="153">
        <f t="shared" si="48"/>
        <v>8.6256798978891116E-4</v>
      </c>
      <c r="O384" s="148"/>
      <c r="R384" s="12"/>
    </row>
    <row r="385" spans="1:18" s="51" customFormat="1" ht="13.5" customHeight="1" outlineLevel="1" x14ac:dyDescent="0.3">
      <c r="A385" s="290">
        <f t="shared" si="49"/>
        <v>0</v>
      </c>
      <c r="B385" s="49"/>
      <c r="C385" s="49"/>
      <c r="D385" s="140" t="s">
        <v>199</v>
      </c>
      <c r="E385" s="49" t="str">
        <f>VLOOKUP(D385,'03. Insumos'!A:D,2,0)</f>
        <v>Argamassa colante 20kg</v>
      </c>
      <c r="F385" s="52" t="s">
        <v>2612</v>
      </c>
      <c r="G385" s="52" t="str">
        <f>VLOOKUP(D385,'03. Insumos'!A:F,3,0)</f>
        <v>uni</v>
      </c>
      <c r="H385" s="53">
        <v>1</v>
      </c>
      <c r="I385" s="141">
        <f>ROUND((H382*8)/20,0)</f>
        <v>18</v>
      </c>
      <c r="J385" s="54">
        <f>IFERROR(IF(K385&lt;&gt;0,K385*$K$5,0),0)</f>
        <v>21.9</v>
      </c>
      <c r="K385" s="54">
        <f>IF(A385=0,VLOOKUP(D385,'03. Insumos'!A:F,4,0),"")</f>
        <v>21.9</v>
      </c>
      <c r="L385" s="274">
        <f>H385*J385*I385</f>
        <v>394.2</v>
      </c>
      <c r="M385" s="153">
        <f t="shared" si="48"/>
        <v>1.0784750234306973E-4</v>
      </c>
      <c r="O385" s="148"/>
      <c r="R385" s="12"/>
    </row>
    <row r="386" spans="1:18" s="51" customFormat="1" ht="13.5" customHeight="1" outlineLevel="1" x14ac:dyDescent="0.3">
      <c r="A386" s="290">
        <f t="shared" si="49"/>
        <v>0</v>
      </c>
      <c r="B386" s="49"/>
      <c r="C386" s="49"/>
      <c r="D386" s="140" t="s">
        <v>773</v>
      </c>
      <c r="E386" s="49" t="str">
        <f>VLOOKUP(D386,'03. Insumos'!A:D,2,0)</f>
        <v>Espaçador - Cunha</v>
      </c>
      <c r="F386" s="52" t="s">
        <v>2612</v>
      </c>
      <c r="G386" s="52" t="str">
        <f>VLOOKUP(D386,'03. Insumos'!A:F,3,0)</f>
        <v>50 pcs</v>
      </c>
      <c r="H386" s="53">
        <v>1</v>
      </c>
      <c r="I386" s="141">
        <f>ROUNDUP(((H382*5)/100),0)</f>
        <v>3</v>
      </c>
      <c r="J386" s="54">
        <f>IFERROR(IF(K386&lt;&gt;0,K386*$K$5,0),0)</f>
        <v>22.17</v>
      </c>
      <c r="K386" s="54">
        <f>IF(A386=0,VLOOKUP(D386,'03. Insumos'!A:F,4,0),"")</f>
        <v>22.17</v>
      </c>
      <c r="L386" s="274">
        <f>H386*J386*I386</f>
        <v>66.510000000000005</v>
      </c>
      <c r="M386" s="153">
        <f t="shared" si="48"/>
        <v>1.8196188180714277E-5</v>
      </c>
      <c r="O386" s="148"/>
      <c r="R386" s="12"/>
    </row>
    <row r="387" spans="1:18" s="51" customFormat="1" ht="13.5" customHeight="1" outlineLevel="1" x14ac:dyDescent="0.3">
      <c r="A387" s="290">
        <f t="shared" si="49"/>
        <v>6</v>
      </c>
      <c r="B387" s="49"/>
      <c r="C387" s="55" t="s">
        <v>323</v>
      </c>
      <c r="D387" s="55" t="s">
        <v>2395</v>
      </c>
      <c r="E387" s="49"/>
      <c r="F387" s="52"/>
      <c r="G387" s="56" t="s">
        <v>73</v>
      </c>
      <c r="H387" s="57">
        <v>58.38</v>
      </c>
      <c r="I387" s="141"/>
      <c r="J387" s="54"/>
      <c r="K387" s="54"/>
      <c r="L387" s="58">
        <f>SUM(L388:L392)</f>
        <v>9036.8038318584095</v>
      </c>
      <c r="M387" s="153">
        <f t="shared" si="48"/>
        <v>2.4723407469056605E-3</v>
      </c>
      <c r="O387" s="148"/>
      <c r="R387" s="12"/>
    </row>
    <row r="388" spans="1:18" s="51" customFormat="1" ht="13.5" customHeight="1" outlineLevel="1" x14ac:dyDescent="0.3">
      <c r="A388" s="290">
        <f t="shared" si="49"/>
        <v>0</v>
      </c>
      <c r="B388" s="49"/>
      <c r="C388" s="49"/>
      <c r="D388" s="140" t="s">
        <v>2393</v>
      </c>
      <c r="E388" s="49" t="str">
        <f>VLOOKUP(D388,'03. Insumos'!A:D,2,0)</f>
        <v>Material - Fornecimento de Concret Decortiles - 60 x 120</v>
      </c>
      <c r="F388" s="52" t="s">
        <v>2613</v>
      </c>
      <c r="G388" s="52" t="str">
        <f>VLOOKUP(D388,'03. Insumos'!A:F,3,0)</f>
        <v>m²</v>
      </c>
      <c r="H388" s="53">
        <v>1</v>
      </c>
      <c r="I388" s="141">
        <f>H387*1.1</f>
        <v>64.218000000000004</v>
      </c>
      <c r="J388" s="54">
        <f>IFERROR(IF(K388&lt;&gt;0,K388*$K$5,0),0)</f>
        <v>83.52002291971732</v>
      </c>
      <c r="K388" s="54">
        <f>IF(A388=0,VLOOKUP(D388,'03. Insumos'!A:F,4,0),"")</f>
        <v>83.52002291971732</v>
      </c>
      <c r="L388" s="274">
        <f>H388*J388*I388</f>
        <v>5363.4888318584071</v>
      </c>
      <c r="M388" s="153">
        <f t="shared" si="48"/>
        <v>1.4673741105045101E-3</v>
      </c>
      <c r="O388" s="148"/>
      <c r="R388" s="12"/>
    </row>
    <row r="389" spans="1:18" s="51" customFormat="1" ht="13.5" customHeight="1" outlineLevel="1" x14ac:dyDescent="0.3">
      <c r="A389" s="290">
        <f t="shared" si="49"/>
        <v>0</v>
      </c>
      <c r="B389" s="49"/>
      <c r="C389" s="49"/>
      <c r="D389" s="140" t="s">
        <v>2394</v>
      </c>
      <c r="E389" s="49" t="str">
        <f>VLOOKUP(D389,'03. Insumos'!A:D,2,0)</f>
        <v>Mão de obra - Assentamento de Concret Decortiles - 60 x 120</v>
      </c>
      <c r="F389" s="52" t="s">
        <v>2607</v>
      </c>
      <c r="G389" s="52" t="str">
        <f>VLOOKUP(D389,'03. Insumos'!A:F,3,0)</f>
        <v>m²</v>
      </c>
      <c r="H389" s="53">
        <v>1</v>
      </c>
      <c r="I389" s="141">
        <f>H387</f>
        <v>58.38</v>
      </c>
      <c r="J389" s="54">
        <f>IFERROR(IF(K389&lt;&gt;0,K389*$K$5,0),0)</f>
        <v>49.75</v>
      </c>
      <c r="K389" s="54">
        <f>IF(A389=0,VLOOKUP(D389,'03. Insumos'!A:F,4,0),"")</f>
        <v>49.75</v>
      </c>
      <c r="L389" s="274">
        <f>H389*J389*I389</f>
        <v>2904.4050000000002</v>
      </c>
      <c r="M389" s="153">
        <f t="shared" si="48"/>
        <v>7.9460381796733499E-4</v>
      </c>
      <c r="O389" s="148"/>
      <c r="R389" s="12"/>
    </row>
    <row r="390" spans="1:18" s="51" customFormat="1" ht="13.5" customHeight="1" outlineLevel="1" x14ac:dyDescent="0.3">
      <c r="A390" s="290">
        <f t="shared" si="49"/>
        <v>0</v>
      </c>
      <c r="B390" s="49"/>
      <c r="C390" s="49"/>
      <c r="D390" s="140" t="s">
        <v>199</v>
      </c>
      <c r="E390" s="49" t="str">
        <f>VLOOKUP(D390,'03. Insumos'!A:D,2,0)</f>
        <v>Argamassa colante 20kg</v>
      </c>
      <c r="F390" s="52" t="s">
        <v>2612</v>
      </c>
      <c r="G390" s="52" t="str">
        <f>VLOOKUP(D390,'03. Insumos'!A:F,3,0)</f>
        <v>uni</v>
      </c>
      <c r="H390" s="53">
        <v>1</v>
      </c>
      <c r="I390" s="141">
        <f>ROUND((H387*8)/20,0)</f>
        <v>23</v>
      </c>
      <c r="J390" s="54">
        <f>IFERROR(IF(K390&lt;&gt;0,K390*$K$5,0),0)</f>
        <v>21.9</v>
      </c>
      <c r="K390" s="54">
        <f>IF(A390=0,VLOOKUP(D390,'03. Insumos'!A:F,4,0),"")</f>
        <v>21.9</v>
      </c>
      <c r="L390" s="274">
        <f>H390*J390*I390</f>
        <v>503.7</v>
      </c>
      <c r="M390" s="153">
        <f t="shared" si="48"/>
        <v>1.3780514188281131E-4</v>
      </c>
      <c r="O390" s="148"/>
      <c r="R390" s="12"/>
    </row>
    <row r="391" spans="1:18" s="51" customFormat="1" ht="13.5" customHeight="1" outlineLevel="1" x14ac:dyDescent="0.3">
      <c r="A391" s="290">
        <f t="shared" si="49"/>
        <v>0</v>
      </c>
      <c r="B391" s="49"/>
      <c r="C391" s="49"/>
      <c r="D391" s="140" t="s">
        <v>772</v>
      </c>
      <c r="E391" s="49" t="str">
        <f>VLOOKUP(D391,'03. Insumos'!A:D,2,0)</f>
        <v xml:space="preserve">Rejunte acrílico Portokoll </v>
      </c>
      <c r="F391" s="52" t="s">
        <v>2612</v>
      </c>
      <c r="G391" s="52" t="str">
        <f>VLOOKUP(D391,'03. Insumos'!A:F,3,0)</f>
        <v>Kg</v>
      </c>
      <c r="H391" s="53">
        <v>1</v>
      </c>
      <c r="I391" s="141">
        <v>10</v>
      </c>
      <c r="J391" s="54">
        <f>IFERROR(IF(K391&lt;&gt;0,K391*$K$5,0),0)</f>
        <v>19.87</v>
      </c>
      <c r="K391" s="54">
        <f>IF(A391=0,VLOOKUP(D391,'03. Insumos'!A:F,4,0),"")</f>
        <v>19.87</v>
      </c>
      <c r="L391" s="274">
        <f>H391*J391*I391</f>
        <v>198.70000000000002</v>
      </c>
      <c r="M391" s="153">
        <f t="shared" si="48"/>
        <v>5.4361488370289084E-5</v>
      </c>
      <c r="O391" s="148"/>
      <c r="R391" s="12"/>
    </row>
    <row r="392" spans="1:18" s="51" customFormat="1" ht="13.5" customHeight="1" outlineLevel="1" x14ac:dyDescent="0.3">
      <c r="A392" s="290">
        <f t="shared" si="49"/>
        <v>0</v>
      </c>
      <c r="B392" s="49"/>
      <c r="C392" s="49"/>
      <c r="D392" s="140" t="s">
        <v>773</v>
      </c>
      <c r="E392" s="49" t="str">
        <f>VLOOKUP(D392,'03. Insumos'!A:D,2,0)</f>
        <v>Espaçador - Cunha</v>
      </c>
      <c r="F392" s="52" t="s">
        <v>2612</v>
      </c>
      <c r="G392" s="52" t="str">
        <f>VLOOKUP(D392,'03. Insumos'!A:F,3,0)</f>
        <v>50 pcs</v>
      </c>
      <c r="H392" s="53">
        <v>1</v>
      </c>
      <c r="I392" s="141">
        <f>ROUNDUP(((H387*5)/100),0)</f>
        <v>3</v>
      </c>
      <c r="J392" s="54">
        <f>IFERROR(IF(K392&lt;&gt;0,K392*$K$5,0),0)</f>
        <v>22.17</v>
      </c>
      <c r="K392" s="54">
        <f>IF(A392=0,VLOOKUP(D392,'03. Insumos'!A:F,4,0),"")</f>
        <v>22.17</v>
      </c>
      <c r="L392" s="274">
        <f>H392*J392*I392</f>
        <v>66.510000000000005</v>
      </c>
      <c r="M392" s="153">
        <f t="shared" ref="M392:M455" si="54">L392/$L$7</f>
        <v>1.8196188180714277E-5</v>
      </c>
      <c r="O392" s="148"/>
      <c r="R392" s="12"/>
    </row>
    <row r="393" spans="1:18" s="51" customFormat="1" ht="13.5" customHeight="1" outlineLevel="1" x14ac:dyDescent="0.3">
      <c r="A393" s="290">
        <f t="shared" ref="A393:A532" si="55">LEN(C393)</f>
        <v>6</v>
      </c>
      <c r="B393" s="49"/>
      <c r="C393" s="55" t="s">
        <v>1176</v>
      </c>
      <c r="D393" s="55" t="s">
        <v>2398</v>
      </c>
      <c r="E393" s="49"/>
      <c r="F393" s="52"/>
      <c r="G393" s="56" t="s">
        <v>73</v>
      </c>
      <c r="H393" s="57">
        <v>11.47</v>
      </c>
      <c r="I393" s="141"/>
      <c r="J393" s="54"/>
      <c r="K393" s="54"/>
      <c r="L393" s="58">
        <f>SUM(L394:L398)</f>
        <v>6368.7085000000006</v>
      </c>
      <c r="M393" s="153">
        <f t="shared" si="54"/>
        <v>1.7423878865450995E-3</v>
      </c>
      <c r="O393" s="148"/>
      <c r="R393" s="12"/>
    </row>
    <row r="394" spans="1:18" s="51" customFormat="1" ht="13.5" customHeight="1" outlineLevel="1" x14ac:dyDescent="0.3">
      <c r="A394" s="290">
        <f t="shared" si="55"/>
        <v>0</v>
      </c>
      <c r="B394" s="49"/>
      <c r="C394" s="49"/>
      <c r="D394" s="140" t="s">
        <v>2401</v>
      </c>
      <c r="E394" s="49" t="str">
        <f>VLOOKUP(D394,'03. Insumos'!A:D,2,0)</f>
        <v>Material - Fornecimento de Dunes Shape Black</v>
      </c>
      <c r="F394" s="52" t="s">
        <v>2613</v>
      </c>
      <c r="G394" s="52" t="str">
        <f>VLOOKUP(D394,'03. Insumos'!A:F,3,0)</f>
        <v>pç</v>
      </c>
      <c r="H394" s="53">
        <v>1</v>
      </c>
      <c r="I394" s="141">
        <f>ROUNDUP((192*1.1),0)</f>
        <v>212</v>
      </c>
      <c r="J394" s="54">
        <f>IFERROR(IF(K394&lt;&gt;0,K394*$K$5,0),0)</f>
        <v>26</v>
      </c>
      <c r="K394" s="54">
        <f>IF(A394=0,VLOOKUP(D394,'03. Insumos'!A:F,4,0),"")</f>
        <v>26</v>
      </c>
      <c r="L394" s="274">
        <f>H394*J394*I394</f>
        <v>5512</v>
      </c>
      <c r="M394" s="153">
        <f t="shared" si="54"/>
        <v>1.5080046497082708E-3</v>
      </c>
      <c r="O394" s="148"/>
      <c r="R394" s="12"/>
    </row>
    <row r="395" spans="1:18" s="51" customFormat="1" ht="13.5" customHeight="1" outlineLevel="1" x14ac:dyDescent="0.3">
      <c r="A395" s="290">
        <f t="shared" si="55"/>
        <v>0</v>
      </c>
      <c r="B395" s="49"/>
      <c r="C395" s="49"/>
      <c r="D395" s="140" t="s">
        <v>2402</v>
      </c>
      <c r="E395" s="49" t="str">
        <f>VLOOKUP(D395,'03. Insumos'!A:D,2,0)</f>
        <v>Mão de obra - Assentamento de Dunes Shape Black</v>
      </c>
      <c r="F395" s="52" t="s">
        <v>2607</v>
      </c>
      <c r="G395" s="52" t="str">
        <f>VLOOKUP(D395,'03. Insumos'!A:F,3,0)</f>
        <v>m²</v>
      </c>
      <c r="H395" s="53">
        <v>1</v>
      </c>
      <c r="I395" s="141">
        <f>H393</f>
        <v>11.47</v>
      </c>
      <c r="J395" s="54">
        <f>IFERROR(IF(K395&lt;&gt;0,K395*$K$5,0),0)</f>
        <v>54.55</v>
      </c>
      <c r="K395" s="54">
        <f>IF(A395=0,VLOOKUP(D395,'03. Insumos'!A:F,4,0),"")</f>
        <v>54.55</v>
      </c>
      <c r="L395" s="274">
        <f>H395*J395*I395</f>
        <v>625.68849999999998</v>
      </c>
      <c r="M395" s="153">
        <f t="shared" si="54"/>
        <v>1.7117945705170416E-4</v>
      </c>
      <c r="O395" s="148"/>
      <c r="R395" s="12"/>
    </row>
    <row r="396" spans="1:18" s="51" customFormat="1" ht="13.5" customHeight="1" outlineLevel="1" x14ac:dyDescent="0.3">
      <c r="A396" s="290">
        <f t="shared" si="55"/>
        <v>0</v>
      </c>
      <c r="B396" s="49"/>
      <c r="C396" s="49"/>
      <c r="D396" s="140" t="s">
        <v>199</v>
      </c>
      <c r="E396" s="49" t="str">
        <f>VLOOKUP(D396,'03. Insumos'!A:D,2,0)</f>
        <v>Argamassa colante 20kg</v>
      </c>
      <c r="F396" s="52" t="s">
        <v>2612</v>
      </c>
      <c r="G396" s="52" t="str">
        <f>VLOOKUP(D396,'03. Insumos'!A:F,3,0)</f>
        <v>uni</v>
      </c>
      <c r="H396" s="53">
        <v>1</v>
      </c>
      <c r="I396" s="141">
        <f>ROUND((H393*8)/20,0)</f>
        <v>5</v>
      </c>
      <c r="J396" s="54">
        <f>IFERROR(IF(K396&lt;&gt;0,K396*$K$5,0),0)</f>
        <v>21.9</v>
      </c>
      <c r="K396" s="54">
        <f>IF(A396=0,VLOOKUP(D396,'03. Insumos'!A:F,4,0),"")</f>
        <v>21.9</v>
      </c>
      <c r="L396" s="274">
        <f>H396*J396*I396</f>
        <v>109.5</v>
      </c>
      <c r="M396" s="153">
        <f t="shared" si="54"/>
        <v>2.9957639539741591E-5</v>
      </c>
      <c r="O396" s="148"/>
      <c r="R396" s="12"/>
    </row>
    <row r="397" spans="1:18" s="51" customFormat="1" ht="13.5" customHeight="1" outlineLevel="1" x14ac:dyDescent="0.3">
      <c r="A397" s="290">
        <f t="shared" si="55"/>
        <v>0</v>
      </c>
      <c r="B397" s="49"/>
      <c r="C397" s="49"/>
      <c r="D397" s="140" t="s">
        <v>772</v>
      </c>
      <c r="E397" s="49" t="str">
        <f>VLOOKUP(D397,'03. Insumos'!A:D,2,0)</f>
        <v xml:space="preserve">Rejunte acrílico Portokoll </v>
      </c>
      <c r="F397" s="52" t="s">
        <v>2612</v>
      </c>
      <c r="G397" s="52" t="str">
        <f>VLOOKUP(D397,'03. Insumos'!A:F,3,0)</f>
        <v>Kg</v>
      </c>
      <c r="H397" s="53">
        <v>1</v>
      </c>
      <c r="I397" s="141">
        <f>ROUNDUP((H393*0.35),0)</f>
        <v>5</v>
      </c>
      <c r="J397" s="54">
        <f>IFERROR(IF(K397&lt;&gt;0,K397*$K$5,0),0)</f>
        <v>19.87</v>
      </c>
      <c r="K397" s="54">
        <f>IF(A397=0,VLOOKUP(D397,'03. Insumos'!A:F,4,0),"")</f>
        <v>19.87</v>
      </c>
      <c r="L397" s="274">
        <f>H397*J397*I397</f>
        <v>99.350000000000009</v>
      </c>
      <c r="M397" s="153">
        <f t="shared" si="54"/>
        <v>2.7180744185144542E-5</v>
      </c>
      <c r="O397" s="148"/>
      <c r="R397" s="12"/>
    </row>
    <row r="398" spans="1:18" s="51" customFormat="1" ht="13.5" customHeight="1" outlineLevel="1" x14ac:dyDescent="0.3">
      <c r="A398" s="290">
        <f t="shared" si="55"/>
        <v>0</v>
      </c>
      <c r="B398" s="49"/>
      <c r="C398" s="49"/>
      <c r="D398" s="140" t="s">
        <v>773</v>
      </c>
      <c r="E398" s="49" t="str">
        <f>VLOOKUP(D398,'03. Insumos'!A:D,2,0)</f>
        <v>Espaçador - Cunha</v>
      </c>
      <c r="F398" s="52" t="s">
        <v>2612</v>
      </c>
      <c r="G398" s="52" t="str">
        <f>VLOOKUP(D398,'03. Insumos'!A:F,3,0)</f>
        <v>50 pcs</v>
      </c>
      <c r="H398" s="53">
        <v>1</v>
      </c>
      <c r="I398" s="141">
        <f>ROUNDUP(((H393*5)/100),0)</f>
        <v>1</v>
      </c>
      <c r="J398" s="54">
        <f>IFERROR(IF(K398&lt;&gt;0,K398*$K$5,0),0)</f>
        <v>22.17</v>
      </c>
      <c r="K398" s="54">
        <f>IF(A398=0,VLOOKUP(D398,'03. Insumos'!A:F,4,0),"")</f>
        <v>22.17</v>
      </c>
      <c r="L398" s="274">
        <f>H398*J398*I398</f>
        <v>22.17</v>
      </c>
      <c r="M398" s="153">
        <f t="shared" si="54"/>
        <v>6.0653960602380926E-6</v>
      </c>
      <c r="O398" s="148"/>
      <c r="R398" s="12"/>
    </row>
    <row r="399" spans="1:18" s="51" customFormat="1" ht="13.5" customHeight="1" outlineLevel="1" x14ac:dyDescent="0.3">
      <c r="A399" s="290">
        <f t="shared" si="55"/>
        <v>6</v>
      </c>
      <c r="B399" s="49"/>
      <c r="C399" s="55" t="s">
        <v>1300</v>
      </c>
      <c r="D399" s="55" t="s">
        <v>2406</v>
      </c>
      <c r="E399" s="49"/>
      <c r="F399" s="52"/>
      <c r="G399" s="56" t="s">
        <v>73</v>
      </c>
      <c r="H399" s="57">
        <v>21.6</v>
      </c>
      <c r="I399" s="141"/>
      <c r="J399" s="54"/>
      <c r="K399" s="54"/>
      <c r="L399" s="58">
        <f>SUM(L400:L404)</f>
        <v>4360.76</v>
      </c>
      <c r="M399" s="153">
        <f t="shared" si="54"/>
        <v>1.1930417917746443E-3</v>
      </c>
      <c r="O399" s="148"/>
      <c r="R399" s="12"/>
    </row>
    <row r="400" spans="1:18" s="51" customFormat="1" ht="13.5" customHeight="1" outlineLevel="1" x14ac:dyDescent="0.3">
      <c r="A400" s="290">
        <f t="shared" si="55"/>
        <v>0</v>
      </c>
      <c r="B400" s="49"/>
      <c r="C400" s="49"/>
      <c r="D400" s="140" t="s">
        <v>2404</v>
      </c>
      <c r="E400" s="49" t="str">
        <f>VLOOKUP(D400,'03. Insumos'!A:D,2,0)</f>
        <v>Material - Fornecimento de Luminosita Statuario polido - 60 x 120</v>
      </c>
      <c r="F400" s="52" t="s">
        <v>2613</v>
      </c>
      <c r="G400" s="52" t="str">
        <f>VLOOKUP(D400,'03. Insumos'!A:F,3,0)</f>
        <v>m²</v>
      </c>
      <c r="H400" s="53">
        <v>1</v>
      </c>
      <c r="I400" s="141">
        <f>H399*1.15</f>
        <v>24.84</v>
      </c>
      <c r="J400" s="54">
        <f>IFERROR(IF(K400&lt;&gt;0,K400*$K$5,0),0)</f>
        <v>129</v>
      </c>
      <c r="K400" s="54">
        <f>IF(A400=0,VLOOKUP(D400,'03. Insumos'!A:F,4,0),"")</f>
        <v>129</v>
      </c>
      <c r="L400" s="274">
        <f>H400*J400*I400</f>
        <v>3204.36</v>
      </c>
      <c r="M400" s="153">
        <f t="shared" si="54"/>
        <v>8.7666723137503537E-4</v>
      </c>
      <c r="O400" s="148"/>
      <c r="R400" s="12"/>
    </row>
    <row r="401" spans="1:18" s="51" customFormat="1" ht="13.5" customHeight="1" outlineLevel="1" x14ac:dyDescent="0.3">
      <c r="A401" s="290">
        <f t="shared" si="55"/>
        <v>0</v>
      </c>
      <c r="B401" s="49"/>
      <c r="C401" s="49"/>
      <c r="D401" s="140" t="s">
        <v>2405</v>
      </c>
      <c r="E401" s="49" t="str">
        <f>VLOOKUP(D401,'03. Insumos'!A:D,2,0)</f>
        <v>Mão de obra - Assentamento até 60x60cm</v>
      </c>
      <c r="F401" s="52" t="s">
        <v>2607</v>
      </c>
      <c r="G401" s="52" t="str">
        <f>VLOOKUP(D401,'03. Insumos'!A:F,3,0)</f>
        <v>m²</v>
      </c>
      <c r="H401" s="53">
        <v>1</v>
      </c>
      <c r="I401" s="141">
        <f>H399</f>
        <v>21.6</v>
      </c>
      <c r="J401" s="54">
        <f>IFERROR(IF(K401&lt;&gt;0,K401*$K$5,0),0)</f>
        <v>35</v>
      </c>
      <c r="K401" s="54">
        <f>IF(A401=0,VLOOKUP(D401,'03. Insumos'!A:F,4,0),"")</f>
        <v>35</v>
      </c>
      <c r="L401" s="274">
        <f>H401*J401*I401</f>
        <v>756</v>
      </c>
      <c r="M401" s="153">
        <f t="shared" si="54"/>
        <v>2.0683082641136661E-4</v>
      </c>
      <c r="O401" s="148"/>
      <c r="R401" s="12"/>
    </row>
    <row r="402" spans="1:18" s="51" customFormat="1" ht="13.5" customHeight="1" outlineLevel="1" x14ac:dyDescent="0.3">
      <c r="A402" s="290">
        <f t="shared" si="55"/>
        <v>0</v>
      </c>
      <c r="B402" s="49"/>
      <c r="C402" s="49"/>
      <c r="D402" s="140" t="s">
        <v>199</v>
      </c>
      <c r="E402" s="49" t="str">
        <f>VLOOKUP(D402,'03. Insumos'!A:D,2,0)</f>
        <v>Argamassa colante 20kg</v>
      </c>
      <c r="F402" s="52" t="s">
        <v>2612</v>
      </c>
      <c r="G402" s="52" t="str">
        <f>VLOOKUP(D402,'03. Insumos'!A:F,3,0)</f>
        <v>uni</v>
      </c>
      <c r="H402" s="53">
        <v>1</v>
      </c>
      <c r="I402" s="141">
        <f>ROUND((H399*8)/20,0)</f>
        <v>9</v>
      </c>
      <c r="J402" s="54">
        <f>IFERROR(IF(K402&lt;&gt;0,K402*$K$5,0),0)</f>
        <v>21.9</v>
      </c>
      <c r="K402" s="54">
        <f>IF(A402=0,VLOOKUP(D402,'03. Insumos'!A:F,4,0),"")</f>
        <v>21.9</v>
      </c>
      <c r="L402" s="274">
        <f>H402*J402*I402</f>
        <v>197.1</v>
      </c>
      <c r="M402" s="153">
        <f t="shared" si="54"/>
        <v>5.3923751171534864E-5</v>
      </c>
      <c r="O402" s="148"/>
      <c r="R402" s="12"/>
    </row>
    <row r="403" spans="1:18" s="51" customFormat="1" ht="13.5" customHeight="1" outlineLevel="1" x14ac:dyDescent="0.3">
      <c r="A403" s="290">
        <f t="shared" si="55"/>
        <v>0</v>
      </c>
      <c r="B403" s="49"/>
      <c r="C403" s="49"/>
      <c r="D403" s="140" t="s">
        <v>772</v>
      </c>
      <c r="E403" s="49" t="str">
        <f>VLOOKUP(D403,'03. Insumos'!A:D,2,0)</f>
        <v xml:space="preserve">Rejunte acrílico Portokoll </v>
      </c>
      <c r="F403" s="52" t="s">
        <v>2612</v>
      </c>
      <c r="G403" s="52" t="str">
        <f>VLOOKUP(D403,'03. Insumos'!A:F,3,0)</f>
        <v>Kg</v>
      </c>
      <c r="H403" s="53">
        <v>1</v>
      </c>
      <c r="I403" s="141">
        <f>ROUNDUP((H399*0.35),0)</f>
        <v>8</v>
      </c>
      <c r="J403" s="54">
        <f>IFERROR(IF(K403&lt;&gt;0,K403*$K$5,0),0)</f>
        <v>19.87</v>
      </c>
      <c r="K403" s="54">
        <f>IF(A403=0,VLOOKUP(D403,'03. Insumos'!A:F,4,0),"")</f>
        <v>19.87</v>
      </c>
      <c r="L403" s="274">
        <f>H403*J403*I403</f>
        <v>158.96</v>
      </c>
      <c r="M403" s="153">
        <f t="shared" si="54"/>
        <v>4.3489190696231263E-5</v>
      </c>
      <c r="O403" s="148"/>
      <c r="R403" s="12"/>
    </row>
    <row r="404" spans="1:18" s="51" customFormat="1" ht="13.5" customHeight="1" outlineLevel="1" x14ac:dyDescent="0.3">
      <c r="A404" s="290">
        <f t="shared" si="55"/>
        <v>0</v>
      </c>
      <c r="B404" s="49"/>
      <c r="C404" s="49"/>
      <c r="D404" s="140" t="s">
        <v>773</v>
      </c>
      <c r="E404" s="49" t="str">
        <f>VLOOKUP(D404,'03. Insumos'!A:D,2,0)</f>
        <v>Espaçador - Cunha</v>
      </c>
      <c r="F404" s="52" t="s">
        <v>2612</v>
      </c>
      <c r="G404" s="52" t="str">
        <f>VLOOKUP(D404,'03. Insumos'!A:F,3,0)</f>
        <v>50 pcs</v>
      </c>
      <c r="H404" s="53">
        <v>1</v>
      </c>
      <c r="I404" s="141">
        <f>ROUNDUP(((H399*5)/100),0)</f>
        <v>2</v>
      </c>
      <c r="J404" s="54">
        <f>IFERROR(IF(K404&lt;&gt;0,K404*$K$5,0),0)</f>
        <v>22.17</v>
      </c>
      <c r="K404" s="54">
        <f>IF(A404=0,VLOOKUP(D404,'03. Insumos'!A:F,4,0),"")</f>
        <v>22.17</v>
      </c>
      <c r="L404" s="274">
        <f>H404*J404*I404</f>
        <v>44.34</v>
      </c>
      <c r="M404" s="153">
        <f t="shared" si="54"/>
        <v>1.2130792120476185E-5</v>
      </c>
      <c r="O404" s="148"/>
      <c r="R404" s="12"/>
    </row>
    <row r="405" spans="1:18" s="51" customFormat="1" ht="13.5" customHeight="1" outlineLevel="1" x14ac:dyDescent="0.3">
      <c r="A405" s="290">
        <f t="shared" si="55"/>
        <v>6</v>
      </c>
      <c r="B405" s="49"/>
      <c r="C405" s="55" t="s">
        <v>2407</v>
      </c>
      <c r="D405" s="55" t="s">
        <v>2414</v>
      </c>
      <c r="E405" s="49"/>
      <c r="F405" s="52"/>
      <c r="G405" s="56" t="s">
        <v>73</v>
      </c>
      <c r="H405" s="57">
        <v>91.46</v>
      </c>
      <c r="I405" s="141"/>
      <c r="J405" s="54"/>
      <c r="K405" s="54"/>
      <c r="L405" s="58">
        <f>SUM(L406:L410)</f>
        <v>35915.639999999992</v>
      </c>
      <c r="M405" s="153">
        <f t="shared" si="54"/>
        <v>9.8260072781655196E-3</v>
      </c>
      <c r="O405" s="148"/>
      <c r="R405" s="12"/>
    </row>
    <row r="406" spans="1:18" s="51" customFormat="1" ht="13.5" customHeight="1" outlineLevel="1" x14ac:dyDescent="0.3">
      <c r="A406" s="290">
        <f t="shared" si="55"/>
        <v>0</v>
      </c>
      <c r="B406" s="49"/>
      <c r="C406" s="49"/>
      <c r="D406" s="140" t="s">
        <v>2412</v>
      </c>
      <c r="E406" s="49" t="str">
        <f>VLOOKUP(D406,'03. Insumos'!A:D,2,0)</f>
        <v>Material - Fornecimento de pedra moledo c/ Perda de 35%</v>
      </c>
      <c r="F406" s="52" t="s">
        <v>2613</v>
      </c>
      <c r="G406" s="52" t="str">
        <f>VLOOKUP(D406,'03. Insumos'!A:F,3,0)</f>
        <v>m²</v>
      </c>
      <c r="H406" s="53">
        <v>1</v>
      </c>
      <c r="I406" s="141">
        <f>H405*1.2</f>
        <v>109.752</v>
      </c>
      <c r="J406" s="54">
        <f>IFERROR(IF(K406&lt;&gt;0,K406*$K$5,0),0)</f>
        <v>220</v>
      </c>
      <c r="K406" s="54">
        <f>IF(A406=0,VLOOKUP(D406,'03. Insumos'!A:F,4,0),"")</f>
        <v>220</v>
      </c>
      <c r="L406" s="274">
        <f>H406*J406*I406</f>
        <v>24145.439999999999</v>
      </c>
      <c r="M406" s="153">
        <f t="shared" si="54"/>
        <v>6.6058482926799836E-3</v>
      </c>
      <c r="O406" s="148"/>
      <c r="R406" s="12"/>
    </row>
    <row r="407" spans="1:18" s="51" customFormat="1" ht="13.5" customHeight="1" outlineLevel="1" x14ac:dyDescent="0.3">
      <c r="A407" s="290">
        <f t="shared" si="55"/>
        <v>0</v>
      </c>
      <c r="B407" s="49"/>
      <c r="C407" s="49"/>
      <c r="D407" s="140" t="s">
        <v>2413</v>
      </c>
      <c r="E407" s="49" t="str">
        <f>VLOOKUP(D407,'03. Insumos'!A:D,2,0)</f>
        <v>Mão de obra - Assentamento de pedra moledo</v>
      </c>
      <c r="F407" s="52" t="s">
        <v>2607</v>
      </c>
      <c r="G407" s="52" t="str">
        <f>VLOOKUP(D407,'03. Insumos'!A:F,3,0)</f>
        <v>m²</v>
      </c>
      <c r="H407" s="53">
        <v>1</v>
      </c>
      <c r="I407" s="141">
        <f>H405</f>
        <v>91.46</v>
      </c>
      <c r="J407" s="54">
        <f>IFERROR(IF(K407&lt;&gt;0,K407*$K$5,0),0)</f>
        <v>110</v>
      </c>
      <c r="K407" s="54">
        <f>IF(A407=0,VLOOKUP(D407,'03. Insumos'!A:F,4,0),"")</f>
        <v>110</v>
      </c>
      <c r="L407" s="274">
        <f>H407*J407*I407</f>
        <v>10060.599999999999</v>
      </c>
      <c r="M407" s="153">
        <f t="shared" si="54"/>
        <v>2.7524367886166594E-3</v>
      </c>
      <c r="O407" s="148"/>
      <c r="R407" s="12"/>
    </row>
    <row r="408" spans="1:18" s="51" customFormat="1" ht="13.5" customHeight="1" outlineLevel="1" x14ac:dyDescent="0.3">
      <c r="A408" s="290">
        <f t="shared" si="55"/>
        <v>0</v>
      </c>
      <c r="B408" s="49"/>
      <c r="C408" s="49"/>
      <c r="D408" s="140" t="s">
        <v>2415</v>
      </c>
      <c r="E408" s="49" t="str">
        <f>VLOOKUP(D408,'03. Insumos'!A:D,2,0)</f>
        <v>Clarofilito (saco 18 Kg)</v>
      </c>
      <c r="F408" s="52" t="s">
        <v>2612</v>
      </c>
      <c r="G408" s="52" t="str">
        <f>VLOOKUP(D408,'03. Insumos'!A:F,3,0)</f>
        <v>Unid</v>
      </c>
      <c r="H408" s="53">
        <v>1</v>
      </c>
      <c r="I408" s="141">
        <f>ROUNDUP((H405*0.04*8.6),0)</f>
        <v>32</v>
      </c>
      <c r="J408" s="54">
        <f>IFERROR(IF(K408&lt;&gt;0,K408*$K$5,0),0)</f>
        <v>8.3000000000000007</v>
      </c>
      <c r="K408" s="54">
        <f>IF(A408=0,VLOOKUP(D408,'03. Insumos'!A:F,4,0),"")</f>
        <v>8.3000000000000007</v>
      </c>
      <c r="L408" s="274">
        <f>H408*J408*I408</f>
        <v>265.60000000000002</v>
      </c>
      <c r="M408" s="153">
        <f t="shared" si="54"/>
        <v>7.2664374993199708E-5</v>
      </c>
      <c r="O408" s="148"/>
      <c r="R408" s="12"/>
    </row>
    <row r="409" spans="1:18" s="51" customFormat="1" ht="13.5" customHeight="1" outlineLevel="1" x14ac:dyDescent="0.3">
      <c r="A409" s="290">
        <f t="shared" si="55"/>
        <v>0</v>
      </c>
      <c r="B409" s="49"/>
      <c r="C409" s="49"/>
      <c r="D409" s="140" t="s">
        <v>1591</v>
      </c>
      <c r="E409" s="49" t="str">
        <f>VLOOKUP(D409,'03. Insumos'!A:D,2,0)</f>
        <v>Areia (granel)</v>
      </c>
      <c r="F409" s="52" t="s">
        <v>2612</v>
      </c>
      <c r="G409" s="52" t="str">
        <f>VLOOKUP(D409,'03. Insumos'!A:F,3,0)</f>
        <v>m³</v>
      </c>
      <c r="H409" s="53">
        <v>1</v>
      </c>
      <c r="I409" s="141">
        <f>ROUNDUP((H405*0.04),0)</f>
        <v>4</v>
      </c>
      <c r="J409" s="54">
        <f>IFERROR(IF(K409&lt;&gt;0,K409*$K$5,0),0)</f>
        <v>65</v>
      </c>
      <c r="K409" s="54">
        <f>IF(A409=0,VLOOKUP(D409,'03. Insumos'!A:F,4,0),"")</f>
        <v>65</v>
      </c>
      <c r="L409" s="274">
        <f>H409*J409*I409</f>
        <v>260</v>
      </c>
      <c r="M409" s="153">
        <f t="shared" si="54"/>
        <v>7.1132294797559949E-5</v>
      </c>
      <c r="O409" s="148"/>
      <c r="R409" s="12"/>
    </row>
    <row r="410" spans="1:18" s="51" customFormat="1" ht="13.5" customHeight="1" outlineLevel="1" x14ac:dyDescent="0.3">
      <c r="A410" s="290">
        <f t="shared" si="55"/>
        <v>0</v>
      </c>
      <c r="B410" s="49"/>
      <c r="C410" s="49"/>
      <c r="D410" s="140" t="s">
        <v>747</v>
      </c>
      <c r="E410" s="49" t="str">
        <f>VLOOKUP(D410,'03. Insumos'!A:D,2,0)</f>
        <v>Cimento (saco 50 Kg)</v>
      </c>
      <c r="F410" s="52" t="s">
        <v>2612</v>
      </c>
      <c r="G410" s="52" t="str">
        <f>VLOOKUP(D410,'03. Insumos'!A:F,3,0)</f>
        <v>unid</v>
      </c>
      <c r="H410" s="53">
        <v>1</v>
      </c>
      <c r="I410" s="141">
        <f>ROUNDUP((H405*0.04*8.6),0)</f>
        <v>32</v>
      </c>
      <c r="J410" s="54">
        <f>IFERROR(IF(K410&lt;&gt;0,K410*$K$5,0),0)</f>
        <v>37</v>
      </c>
      <c r="K410" s="54">
        <f>IF(A410=0,VLOOKUP(D410,'03. Insumos'!A:F,4,0),"")</f>
        <v>37</v>
      </c>
      <c r="L410" s="274">
        <f>H410*J410*I410</f>
        <v>1184</v>
      </c>
      <c r="M410" s="153">
        <f t="shared" si="54"/>
        <v>3.2392552707811913E-4</v>
      </c>
      <c r="O410" s="148"/>
      <c r="R410" s="12"/>
    </row>
    <row r="411" spans="1:18" s="51" customFormat="1" ht="13.5" customHeight="1" outlineLevel="1" x14ac:dyDescent="0.3">
      <c r="A411" s="290">
        <f>LEN(C411)</f>
        <v>6</v>
      </c>
      <c r="B411" s="49"/>
      <c r="C411" s="55" t="s">
        <v>2408</v>
      </c>
      <c r="D411" s="55" t="s">
        <v>2416</v>
      </c>
      <c r="E411" s="49"/>
      <c r="F411" s="52"/>
      <c r="G411" s="56" t="s">
        <v>73</v>
      </c>
      <c r="H411" s="57">
        <v>15</v>
      </c>
      <c r="I411" s="141"/>
      <c r="J411" s="54"/>
      <c r="K411" s="54"/>
      <c r="L411" s="58">
        <f>SUM(L412:L412)</f>
        <v>15000</v>
      </c>
      <c r="M411" s="153">
        <f>L411/$L$7</f>
        <v>4.1037862383207658E-3</v>
      </c>
      <c r="O411" s="148"/>
      <c r="R411" s="12"/>
    </row>
    <row r="412" spans="1:18" s="51" customFormat="1" ht="13.5" customHeight="1" outlineLevel="1" x14ac:dyDescent="0.3">
      <c r="A412" s="290">
        <f>LEN(C412)</f>
        <v>0</v>
      </c>
      <c r="B412" s="49"/>
      <c r="C412" s="49"/>
      <c r="D412" s="140" t="s">
        <v>2418</v>
      </c>
      <c r="E412" s="49" t="str">
        <f>VLOOKUP(D412,'03. Insumos'!A:D,2,0)</f>
        <v>Fornecimento e instalação de jardim vertical</v>
      </c>
      <c r="F412" s="52" t="s">
        <v>2599</v>
      </c>
      <c r="G412" s="52" t="str">
        <f>VLOOKUP(D412,'03. Insumos'!A:F,3,0)</f>
        <v>m²</v>
      </c>
      <c r="H412" s="53">
        <v>1</v>
      </c>
      <c r="I412" s="141">
        <f>H411</f>
        <v>15</v>
      </c>
      <c r="J412" s="54">
        <f>IFERROR(IF(K412&lt;&gt;0,K412*$K$5,0),0)</f>
        <v>1000</v>
      </c>
      <c r="K412" s="54">
        <f>IF(A412=0,VLOOKUP(D412,'03. Insumos'!A:F,4,0),"")</f>
        <v>1000</v>
      </c>
      <c r="L412" s="274">
        <f>H412*J412*I412</f>
        <v>15000</v>
      </c>
      <c r="M412" s="153">
        <f>L412/$L$7</f>
        <v>4.1037862383207658E-3</v>
      </c>
      <c r="O412" s="148"/>
      <c r="R412" s="12"/>
    </row>
    <row r="413" spans="1:18" s="51" customFormat="1" ht="13.5" customHeight="1" outlineLevel="1" x14ac:dyDescent="0.3">
      <c r="A413" s="290">
        <f t="shared" si="55"/>
        <v>6</v>
      </c>
      <c r="B413" s="49"/>
      <c r="C413" s="55" t="s">
        <v>2409</v>
      </c>
      <c r="D413" s="55" t="s">
        <v>2419</v>
      </c>
      <c r="E413" s="49"/>
      <c r="F413" s="52"/>
      <c r="G413" s="56" t="s">
        <v>73</v>
      </c>
      <c r="H413" s="57">
        <v>5.32</v>
      </c>
      <c r="I413" s="141"/>
      <c r="J413" s="54"/>
      <c r="K413" s="54"/>
      <c r="L413" s="58">
        <f>SUM(L414:L419)</f>
        <v>2279.5160000000005</v>
      </c>
      <c r="M413" s="153">
        <f t="shared" si="54"/>
        <v>6.2364309272213347E-4</v>
      </c>
      <c r="O413" s="148"/>
      <c r="R413" s="12"/>
    </row>
    <row r="414" spans="1:18" s="51" customFormat="1" ht="13.5" customHeight="1" outlineLevel="1" x14ac:dyDescent="0.3">
      <c r="A414" s="290">
        <f t="shared" si="55"/>
        <v>0</v>
      </c>
      <c r="B414" s="49"/>
      <c r="C414" s="49"/>
      <c r="D414" s="140" t="s">
        <v>2420</v>
      </c>
      <c r="E414" s="49" t="str">
        <f>VLOOKUP(D414,'03. Insumos'!A:D,2,0)</f>
        <v>Material - Fornecimento de painel madeyra vecchia - 20 x 100</v>
      </c>
      <c r="F414" s="52" t="s">
        <v>2613</v>
      </c>
      <c r="G414" s="52" t="str">
        <f>VLOOKUP(D414,'03. Insumos'!A:F,3,0)</f>
        <v>m²</v>
      </c>
      <c r="H414" s="53">
        <v>1</v>
      </c>
      <c r="I414" s="141">
        <f>H413*1.2</f>
        <v>6.3840000000000003</v>
      </c>
      <c r="J414" s="54">
        <f t="shared" ref="J414:J419" si="56">IFERROR(IF(K414&lt;&gt;0,K414*$K$5,0),0)</f>
        <v>279</v>
      </c>
      <c r="K414" s="54">
        <f>IF(A414=0,VLOOKUP(D414,'03. Insumos'!A:F,4,0),"")</f>
        <v>279</v>
      </c>
      <c r="L414" s="274">
        <f t="shared" ref="L414:L419" si="57">H414*J414*I414</f>
        <v>1781.1360000000002</v>
      </c>
      <c r="M414" s="153">
        <f t="shared" si="54"/>
        <v>4.8729342702517978E-4</v>
      </c>
      <c r="O414" s="148"/>
      <c r="R414" s="12"/>
    </row>
    <row r="415" spans="1:18" s="51" customFormat="1" ht="13.5" customHeight="1" outlineLevel="1" x14ac:dyDescent="0.3">
      <c r="A415" s="290">
        <f t="shared" si="55"/>
        <v>0</v>
      </c>
      <c r="B415" s="49"/>
      <c r="C415" s="49"/>
      <c r="D415" s="140" t="s">
        <v>2421</v>
      </c>
      <c r="E415" s="49" t="str">
        <f>VLOOKUP(D415,'03. Insumos'!A:D,2,0)</f>
        <v>Mão de obra - Assentamento de painel madeyra vecchia - 20 x 100</v>
      </c>
      <c r="F415" s="52" t="s">
        <v>2607</v>
      </c>
      <c r="G415" s="52" t="str">
        <f>VLOOKUP(D415,'03. Insumos'!A:F,3,0)</f>
        <v>m²</v>
      </c>
      <c r="H415" s="53">
        <v>1</v>
      </c>
      <c r="I415" s="141">
        <f>H413</f>
        <v>5.32</v>
      </c>
      <c r="J415" s="54">
        <f t="shared" si="56"/>
        <v>49.75</v>
      </c>
      <c r="K415" s="54">
        <f>IF(A415=0,VLOOKUP(D415,'03. Insumos'!A:F,4,0),"")</f>
        <v>49.75</v>
      </c>
      <c r="L415" s="274">
        <f t="shared" si="57"/>
        <v>264.67</v>
      </c>
      <c r="M415" s="153">
        <f t="shared" si="54"/>
        <v>7.2409940246423815E-5</v>
      </c>
      <c r="O415" s="148"/>
      <c r="R415" s="12"/>
    </row>
    <row r="416" spans="1:18" s="51" customFormat="1" ht="13.5" customHeight="1" outlineLevel="1" x14ac:dyDescent="0.3">
      <c r="A416" s="290">
        <f t="shared" si="55"/>
        <v>0</v>
      </c>
      <c r="B416" s="49"/>
      <c r="C416" s="49"/>
      <c r="D416" s="140" t="s">
        <v>2577</v>
      </c>
      <c r="E416" s="49" t="str">
        <f>VLOOKUP(D416,'03. Insumos'!A:D,2,0)</f>
        <v>Cera BS 200 WB - canela (galão)</v>
      </c>
      <c r="F416" s="52" t="s">
        <v>2612</v>
      </c>
      <c r="G416" s="52" t="str">
        <f>VLOOKUP(D416,'03. Insumos'!A:F,3,0)</f>
        <v>Unid</v>
      </c>
      <c r="H416" s="53">
        <v>1</v>
      </c>
      <c r="I416" s="141">
        <f>ROUNDUP((H413*0.1818),0)</f>
        <v>1</v>
      </c>
      <c r="J416" s="54">
        <f t="shared" si="56"/>
        <v>128</v>
      </c>
      <c r="K416" s="54">
        <f>IF(A416=0,VLOOKUP(D416,'03. Insumos'!A:F,4,0),"")</f>
        <v>128</v>
      </c>
      <c r="L416" s="274">
        <f t="shared" si="57"/>
        <v>128</v>
      </c>
      <c r="M416" s="153">
        <f t="shared" si="54"/>
        <v>3.5018975900337201E-5</v>
      </c>
      <c r="O416" s="148"/>
      <c r="R416" s="12"/>
    </row>
    <row r="417" spans="1:18" s="51" customFormat="1" ht="13.5" customHeight="1" outlineLevel="1" x14ac:dyDescent="0.3">
      <c r="A417" s="290">
        <f t="shared" si="55"/>
        <v>0</v>
      </c>
      <c r="B417" s="49"/>
      <c r="C417" s="49"/>
      <c r="D417" s="140" t="s">
        <v>199</v>
      </c>
      <c r="E417" s="49" t="str">
        <f>VLOOKUP(D417,'03. Insumos'!A:D,2,0)</f>
        <v>Argamassa colante 20kg</v>
      </c>
      <c r="F417" s="52" t="s">
        <v>2612</v>
      </c>
      <c r="G417" s="52" t="str">
        <f>VLOOKUP(D417,'03. Insumos'!A:F,3,0)</f>
        <v>uni</v>
      </c>
      <c r="H417" s="53">
        <v>1</v>
      </c>
      <c r="I417" s="141">
        <f>ROUND((H413*8)/20,0)</f>
        <v>2</v>
      </c>
      <c r="J417" s="54">
        <f t="shared" si="56"/>
        <v>21.9</v>
      </c>
      <c r="K417" s="54">
        <f>IF(A417=0,VLOOKUP(D417,'03. Insumos'!A:F,4,0),"")</f>
        <v>21.9</v>
      </c>
      <c r="L417" s="274">
        <f t="shared" si="57"/>
        <v>43.8</v>
      </c>
      <c r="M417" s="153">
        <f t="shared" si="54"/>
        <v>1.1983055815896635E-5</v>
      </c>
      <c r="O417" s="148"/>
      <c r="R417" s="12"/>
    </row>
    <row r="418" spans="1:18" s="51" customFormat="1" ht="13.5" customHeight="1" outlineLevel="1" x14ac:dyDescent="0.3">
      <c r="A418" s="290">
        <f t="shared" si="55"/>
        <v>0</v>
      </c>
      <c r="B418" s="49"/>
      <c r="C418" s="49"/>
      <c r="D418" s="140" t="s">
        <v>772</v>
      </c>
      <c r="E418" s="49" t="str">
        <f>VLOOKUP(D418,'03. Insumos'!A:D,2,0)</f>
        <v xml:space="preserve">Rejunte acrílico Portokoll </v>
      </c>
      <c r="F418" s="52" t="s">
        <v>2612</v>
      </c>
      <c r="G418" s="52" t="str">
        <f>VLOOKUP(D418,'03. Insumos'!A:F,3,0)</f>
        <v>Kg</v>
      </c>
      <c r="H418" s="53">
        <v>1</v>
      </c>
      <c r="I418" s="141">
        <f>ROUNDUP((H413*0.35),0)</f>
        <v>2</v>
      </c>
      <c r="J418" s="54">
        <f t="shared" si="56"/>
        <v>19.87</v>
      </c>
      <c r="K418" s="54">
        <f>IF(A418=0,VLOOKUP(D418,'03. Insumos'!A:F,4,0),"")</f>
        <v>19.87</v>
      </c>
      <c r="L418" s="274">
        <f t="shared" si="57"/>
        <v>39.74</v>
      </c>
      <c r="M418" s="153">
        <f t="shared" si="54"/>
        <v>1.0872297674057816E-5</v>
      </c>
      <c r="O418" s="148"/>
      <c r="R418" s="12"/>
    </row>
    <row r="419" spans="1:18" s="51" customFormat="1" ht="13.5" customHeight="1" outlineLevel="1" x14ac:dyDescent="0.3">
      <c r="A419" s="290">
        <f t="shared" si="55"/>
        <v>0</v>
      </c>
      <c r="B419" s="49"/>
      <c r="C419" s="49"/>
      <c r="D419" s="140" t="s">
        <v>773</v>
      </c>
      <c r="E419" s="49" t="str">
        <f>VLOOKUP(D419,'03. Insumos'!A:D,2,0)</f>
        <v>Espaçador - Cunha</v>
      </c>
      <c r="F419" s="52" t="s">
        <v>2612</v>
      </c>
      <c r="G419" s="52" t="str">
        <f>VLOOKUP(D419,'03. Insumos'!A:F,3,0)</f>
        <v>50 pcs</v>
      </c>
      <c r="H419" s="53">
        <v>1</v>
      </c>
      <c r="I419" s="141">
        <f>ROUNDUP(((H413*5)/100),0)</f>
        <v>1</v>
      </c>
      <c r="J419" s="54">
        <f t="shared" si="56"/>
        <v>22.17</v>
      </c>
      <c r="K419" s="54">
        <f>IF(A419=0,VLOOKUP(D419,'03. Insumos'!A:F,4,0),"")</f>
        <v>22.17</v>
      </c>
      <c r="L419" s="274">
        <f t="shared" si="57"/>
        <v>22.17</v>
      </c>
      <c r="M419" s="153">
        <f t="shared" si="54"/>
        <v>6.0653960602380926E-6</v>
      </c>
      <c r="O419" s="148"/>
      <c r="R419" s="12"/>
    </row>
    <row r="420" spans="1:18" s="51" customFormat="1" ht="13.5" customHeight="1" outlineLevel="1" x14ac:dyDescent="0.3">
      <c r="A420" s="290">
        <f>LEN(C420)</f>
        <v>6</v>
      </c>
      <c r="B420" s="49"/>
      <c r="C420" s="55" t="s">
        <v>2409</v>
      </c>
      <c r="D420" s="55" t="s">
        <v>2423</v>
      </c>
      <c r="E420" s="49"/>
      <c r="F420" s="52"/>
      <c r="G420" s="56" t="s">
        <v>73</v>
      </c>
      <c r="H420" s="57">
        <v>26.58</v>
      </c>
      <c r="I420" s="141"/>
      <c r="J420" s="54"/>
      <c r="K420" s="54"/>
      <c r="L420" s="58">
        <f>SUM(L421:L423)</f>
        <v>7938.0741999999991</v>
      </c>
      <c r="M420" s="153">
        <f t="shared" si="54"/>
        <v>2.1717439773819413E-3</v>
      </c>
      <c r="O420" s="148"/>
      <c r="R420" s="12"/>
    </row>
    <row r="421" spans="1:18" s="51" customFormat="1" ht="13.5" customHeight="1" outlineLevel="1" x14ac:dyDescent="0.3">
      <c r="A421" s="290">
        <f>LEN(C421)</f>
        <v>0</v>
      </c>
      <c r="B421" s="49"/>
      <c r="C421" s="49"/>
      <c r="D421" s="140" t="s">
        <v>2425</v>
      </c>
      <c r="E421" s="49" t="str">
        <f>VLOOKUP(D421,'03. Insumos'!A:D,2,0)</f>
        <v>Material - Cerâmica Jatobá 5x5 Verde Etna</v>
      </c>
      <c r="F421" s="52" t="s">
        <v>2613</v>
      </c>
      <c r="G421" s="52" t="str">
        <f>VLOOKUP(D421,'03. Insumos'!A:F,3,0)</f>
        <v>m²</v>
      </c>
      <c r="H421" s="53">
        <v>1</v>
      </c>
      <c r="I421" s="141">
        <f>H420*1.15</f>
        <v>30.566999999999997</v>
      </c>
      <c r="J421" s="54">
        <f>IFERROR(IF(K421&lt;&gt;0,K421*$K$5,0),0)</f>
        <v>202.6</v>
      </c>
      <c r="K421" s="54">
        <f>IF(A421=0,VLOOKUP(D421,'03. Insumos'!A:F,4,0),"")</f>
        <v>202.6</v>
      </c>
      <c r="L421" s="274">
        <f>H421*J421*I421</f>
        <v>6192.8741999999993</v>
      </c>
      <c r="M421" s="153">
        <f t="shared" si="54"/>
        <v>1.6942821278407812E-3</v>
      </c>
      <c r="O421" s="148"/>
      <c r="R421" s="12"/>
    </row>
    <row r="422" spans="1:18" s="51" customFormat="1" ht="13.5" customHeight="1" outlineLevel="1" x14ac:dyDescent="0.3">
      <c r="A422" s="290">
        <f>LEN(C422)</f>
        <v>0</v>
      </c>
      <c r="B422" s="49"/>
      <c r="C422" s="49"/>
      <c r="D422" s="140" t="s">
        <v>2426</v>
      </c>
      <c r="E422" s="49" t="str">
        <f>VLOOKUP(D422,'03. Insumos'!A:D,2,0)</f>
        <v>Mão de obra - Assentamento Cerâmica Jatobá 5x5 Verde Etna</v>
      </c>
      <c r="F422" s="52" t="s">
        <v>2607</v>
      </c>
      <c r="G422" s="52" t="str">
        <f>VLOOKUP(D422,'03. Insumos'!A:F,3,0)</f>
        <v>m²</v>
      </c>
      <c r="H422" s="53">
        <v>1</v>
      </c>
      <c r="I422" s="141">
        <f>H420</f>
        <v>26.58</v>
      </c>
      <c r="J422" s="54">
        <f>IFERROR(IF(K422&lt;&gt;0,K422*$K$5,0),0)</f>
        <v>40</v>
      </c>
      <c r="K422" s="54">
        <f>IF(A422=0,VLOOKUP(D422,'03. Insumos'!A:F,4,0),"")</f>
        <v>40</v>
      </c>
      <c r="L422" s="274">
        <f>H422*J422*I422</f>
        <v>1063.1999999999998</v>
      </c>
      <c r="M422" s="153">
        <f t="shared" si="54"/>
        <v>2.9087636857217584E-4</v>
      </c>
      <c r="O422" s="148"/>
      <c r="R422" s="12"/>
    </row>
    <row r="423" spans="1:18" s="51" customFormat="1" ht="13.5" customHeight="1" outlineLevel="1" x14ac:dyDescent="0.3">
      <c r="A423" s="290">
        <f>LEN(C423)</f>
        <v>0</v>
      </c>
      <c r="B423" s="49"/>
      <c r="C423" s="49"/>
      <c r="D423" s="140" t="s">
        <v>2557</v>
      </c>
      <c r="E423" s="49" t="str">
        <f>VLOOKUP(D423,'03. Insumos'!A:D,2,0)</f>
        <v xml:space="preserve">Argamassa Pastilhas e Mosaicos Interno e Externo Branco 20kg Axton
</v>
      </c>
      <c r="F423" s="52" t="s">
        <v>2612</v>
      </c>
      <c r="G423" s="52" t="str">
        <f>VLOOKUP(D423,'03. Insumos'!A:F,3,0)</f>
        <v>Unid</v>
      </c>
      <c r="H423" s="53">
        <v>1</v>
      </c>
      <c r="I423" s="141">
        <f>ROUND((H420*8)/20,0)</f>
        <v>11</v>
      </c>
      <c r="J423" s="54">
        <f>IFERROR(IF(K423&lt;&gt;0,K423*$K$5,0),0)</f>
        <v>62</v>
      </c>
      <c r="K423" s="54">
        <f>IF(A423=0,VLOOKUP(D423,'03. Insumos'!A:F,4,0),"")</f>
        <v>62</v>
      </c>
      <c r="L423" s="274">
        <f>H423*J423*I423</f>
        <v>682</v>
      </c>
      <c r="M423" s="153">
        <f t="shared" si="54"/>
        <v>1.8658548096898417E-4</v>
      </c>
      <c r="O423" s="148"/>
      <c r="R423" s="12"/>
    </row>
    <row r="424" spans="1:18" s="51" customFormat="1" ht="13.5" hidden="1" customHeight="1" outlineLevel="1" x14ac:dyDescent="0.3">
      <c r="A424" s="290">
        <f t="shared" si="55"/>
        <v>7</v>
      </c>
      <c r="B424" s="49"/>
      <c r="C424" s="55" t="s">
        <v>2410</v>
      </c>
      <c r="D424" s="55" t="s">
        <v>1461</v>
      </c>
      <c r="E424" s="49"/>
      <c r="F424" s="52"/>
      <c r="G424" s="56" t="s">
        <v>73</v>
      </c>
      <c r="H424" s="57"/>
      <c r="I424" s="141"/>
      <c r="J424" s="54"/>
      <c r="K424" s="54"/>
      <c r="L424" s="58">
        <f>SUM(L425:L426)</f>
        <v>0</v>
      </c>
      <c r="M424" s="153">
        <f t="shared" si="54"/>
        <v>0</v>
      </c>
      <c r="O424" s="148"/>
      <c r="R424" s="12"/>
    </row>
    <row r="425" spans="1:18" s="51" customFormat="1" ht="13.5" hidden="1" customHeight="1" outlineLevel="1" x14ac:dyDescent="0.3">
      <c r="A425" s="290">
        <f t="shared" si="55"/>
        <v>0</v>
      </c>
      <c r="B425" s="49"/>
      <c r="C425" s="49"/>
      <c r="D425" s="140" t="s">
        <v>765</v>
      </c>
      <c r="E425" s="49" t="str">
        <f>VLOOKUP(D425,'03. Insumos'!A:D,2,0)</f>
        <v>Material - Execução pedra madeira</v>
      </c>
      <c r="F425" s="52"/>
      <c r="G425" s="52" t="str">
        <f>VLOOKUP(D425,'03. Insumos'!A:F,3,0)</f>
        <v>m²</v>
      </c>
      <c r="H425" s="53">
        <v>1</v>
      </c>
      <c r="I425" s="141">
        <f>H424*1.15</f>
        <v>0</v>
      </c>
      <c r="J425" s="54">
        <f>IFERROR(IF(K425&lt;&gt;0,K425*$K$5,0),0)</f>
        <v>600</v>
      </c>
      <c r="K425" s="54">
        <f>IF(A425=0,VLOOKUP(D425,'03. Insumos'!A:F,4,0),"")</f>
        <v>600</v>
      </c>
      <c r="L425" s="274">
        <f>H425*J425*I425</f>
        <v>0</v>
      </c>
      <c r="M425" s="153">
        <f t="shared" si="54"/>
        <v>0</v>
      </c>
      <c r="O425" s="148"/>
      <c r="R425" s="12"/>
    </row>
    <row r="426" spans="1:18" s="51" customFormat="1" ht="13.5" hidden="1" customHeight="1" outlineLevel="1" x14ac:dyDescent="0.3">
      <c r="A426" s="290">
        <f t="shared" si="55"/>
        <v>0</v>
      </c>
      <c r="B426" s="49"/>
      <c r="C426" s="49"/>
      <c r="D426" s="140" t="s">
        <v>766</v>
      </c>
      <c r="E426" s="49" t="str">
        <f>VLOOKUP(D426,'03. Insumos'!A:D,2,0)</f>
        <v>Mão de obra - Execução pedra madeira</v>
      </c>
      <c r="F426" s="52"/>
      <c r="G426" s="52" t="str">
        <f>VLOOKUP(D426,'03. Insumos'!A:F,3,0)</f>
        <v>m²</v>
      </c>
      <c r="H426" s="53">
        <v>1</v>
      </c>
      <c r="I426" s="141">
        <f>H424</f>
        <v>0</v>
      </c>
      <c r="J426" s="54">
        <f>IFERROR(IF(K426&lt;&gt;0,K426*$K$5,0),0)</f>
        <v>180</v>
      </c>
      <c r="K426" s="54">
        <f>IF(A426=0,VLOOKUP(D426,'03. Insumos'!A:F,4,0),"")</f>
        <v>180</v>
      </c>
      <c r="L426" s="274">
        <f>H426*J426*I426</f>
        <v>0</v>
      </c>
      <c r="M426" s="153">
        <f t="shared" si="54"/>
        <v>0</v>
      </c>
      <c r="O426" s="148"/>
      <c r="R426" s="12"/>
    </row>
    <row r="427" spans="1:18" s="51" customFormat="1" ht="13.5" customHeight="1" outlineLevel="1" x14ac:dyDescent="0.3">
      <c r="A427" s="290">
        <f t="shared" si="55"/>
        <v>4</v>
      </c>
      <c r="B427" s="45"/>
      <c r="C427" s="45" t="s">
        <v>1508</v>
      </c>
      <c r="D427" s="45" t="s">
        <v>1509</v>
      </c>
      <c r="E427" s="45"/>
      <c r="F427" s="60"/>
      <c r="G427" s="60"/>
      <c r="H427" s="61"/>
      <c r="I427" s="61"/>
      <c r="J427" s="62"/>
      <c r="K427" s="62"/>
      <c r="L427" s="62">
        <f>SUMIF(A428:A528,6,L428:L528)</f>
        <v>196994.53421818584</v>
      </c>
      <c r="M427" s="153">
        <f t="shared" si="54"/>
        <v>5.3894897236600021E-2</v>
      </c>
      <c r="O427" s="148"/>
      <c r="R427" s="12"/>
    </row>
    <row r="428" spans="1:18" s="59" customFormat="1" ht="13.5" hidden="1" customHeight="1" outlineLevel="1" x14ac:dyDescent="0.3">
      <c r="A428" s="290">
        <f t="shared" si="55"/>
        <v>6</v>
      </c>
      <c r="B428" s="55"/>
      <c r="C428" s="55" t="s">
        <v>1310</v>
      </c>
      <c r="D428" s="55" t="s">
        <v>1756</v>
      </c>
      <c r="E428" s="55"/>
      <c r="F428" s="56"/>
      <c r="G428" s="56" t="s">
        <v>73</v>
      </c>
      <c r="H428" s="57"/>
      <c r="I428" s="57"/>
      <c r="J428" s="58"/>
      <c r="K428" s="58" t="str">
        <f>IF(A428=0,VLOOKUP(D428,'03. Insumos'!A:F,4,0),"")</f>
        <v/>
      </c>
      <c r="L428" s="58">
        <f>SUM(L429:L431)</f>
        <v>0</v>
      </c>
      <c r="M428" s="153">
        <f t="shared" si="54"/>
        <v>0</v>
      </c>
      <c r="O428" s="148">
        <f>IF(I428&lt;&gt;0,I428*H428*K428,)</f>
        <v>0</v>
      </c>
      <c r="R428" s="12">
        <f>IF(J428&lt;&gt;0,J428/1.03-K428,0)</f>
        <v>0</v>
      </c>
    </row>
    <row r="429" spans="1:18" s="51" customFormat="1" ht="13.5" hidden="1" customHeight="1" outlineLevel="1" x14ac:dyDescent="0.3">
      <c r="A429" s="290">
        <f t="shared" si="55"/>
        <v>0</v>
      </c>
      <c r="B429" s="49"/>
      <c r="C429" s="49"/>
      <c r="D429" s="140" t="s">
        <v>1754</v>
      </c>
      <c r="E429" s="49" t="str">
        <f>VLOOKUP(D429,'03. Insumos'!A:D,2,0)</f>
        <v>Material - Instalação de carpete em placas</v>
      </c>
      <c r="F429" s="52"/>
      <c r="G429" s="52" t="str">
        <f>VLOOKUP(D429,'03. Insumos'!A:F,3,0)</f>
        <v>m²</v>
      </c>
      <c r="H429" s="53">
        <v>1</v>
      </c>
      <c r="I429" s="141"/>
      <c r="J429" s="54">
        <f>IFERROR(IF(K429&lt;&gt;0,K429*$K$5,0),0)</f>
        <v>150.47999999999999</v>
      </c>
      <c r="K429" s="54">
        <f>IF(A429=0,VLOOKUP(D429,'03. Insumos'!A:F,4,0),"")</f>
        <v>150.47999999999999</v>
      </c>
      <c r="L429" s="274">
        <f>H429*J429*I429</f>
        <v>0</v>
      </c>
      <c r="M429" s="153">
        <f t="shared" si="54"/>
        <v>0</v>
      </c>
      <c r="O429" s="148">
        <f>IF(I429&lt;&gt;0,I429*H429*K429,)</f>
        <v>0</v>
      </c>
      <c r="R429" s="12">
        <f>IF(J429&lt;&gt;0,J429/1.03-K429,0)</f>
        <v>-4.3829126213592247</v>
      </c>
    </row>
    <row r="430" spans="1:18" s="51" customFormat="1" ht="13.5" hidden="1" customHeight="1" outlineLevel="1" x14ac:dyDescent="0.3">
      <c r="A430" s="290">
        <f t="shared" si="55"/>
        <v>0</v>
      </c>
      <c r="B430" s="49"/>
      <c r="C430" s="49"/>
      <c r="D430" s="140" t="s">
        <v>1755</v>
      </c>
      <c r="E430" s="49" t="str">
        <f>VLOOKUP(D430,'03. Insumos'!A:D,2,0)</f>
        <v>Mão de obra - Instalação de carpete em placas</v>
      </c>
      <c r="F430" s="52"/>
      <c r="G430" s="52" t="str">
        <f>VLOOKUP(D430,'03. Insumos'!A:F,3,0)</f>
        <v>m²</v>
      </c>
      <c r="H430" s="53">
        <v>1</v>
      </c>
      <c r="I430" s="141"/>
      <c r="J430" s="54">
        <f>IFERROR(IF(K430&lt;&gt;0,K430*$K$5,0),0)</f>
        <v>12</v>
      </c>
      <c r="K430" s="54">
        <f>IF(A430=0,VLOOKUP(D430,'03. Insumos'!A:F,4,0),"")</f>
        <v>12</v>
      </c>
      <c r="L430" s="274">
        <f>H430*J430*I430</f>
        <v>0</v>
      </c>
      <c r="M430" s="153">
        <f t="shared" si="54"/>
        <v>0</v>
      </c>
      <c r="O430" s="148"/>
      <c r="R430" s="12"/>
    </row>
    <row r="431" spans="1:18" s="51" customFormat="1" ht="13.5" hidden="1" customHeight="1" outlineLevel="1" x14ac:dyDescent="0.3">
      <c r="A431" s="290">
        <f t="shared" si="55"/>
        <v>0</v>
      </c>
      <c r="B431" s="49"/>
      <c r="C431" s="49"/>
      <c r="D431" s="140" t="s">
        <v>769</v>
      </c>
      <c r="E431" s="49" t="str">
        <f>VLOOKUP(D431,'03. Insumos'!A:D,2,0)</f>
        <v>Cola para execução do piso em taco de madeira</v>
      </c>
      <c r="F431" s="52"/>
      <c r="G431" s="52" t="str">
        <f>VLOOKUP(D431,'03. Insumos'!A:F,3,0)</f>
        <v>Kg</v>
      </c>
      <c r="H431" s="53">
        <v>1</v>
      </c>
      <c r="I431" s="141"/>
      <c r="J431" s="54">
        <f>IFERROR(IF(K431&lt;&gt;0,K431*$K$5,0),0)</f>
        <v>23.9</v>
      </c>
      <c r="K431" s="54">
        <f>IF(A431=0,VLOOKUP(D431,'03. Insumos'!A:F,4,0),"")</f>
        <v>23.9</v>
      </c>
      <c r="L431" s="274">
        <f>H431*J431*I431</f>
        <v>0</v>
      </c>
      <c r="M431" s="153">
        <f t="shared" si="54"/>
        <v>0</v>
      </c>
      <c r="O431" s="148"/>
      <c r="R431" s="12"/>
    </row>
    <row r="432" spans="1:18" s="59" customFormat="1" ht="13.5" customHeight="1" outlineLevel="1" x14ac:dyDescent="0.3">
      <c r="A432" s="290">
        <f t="shared" si="55"/>
        <v>6</v>
      </c>
      <c r="B432" s="55"/>
      <c r="C432" s="55" t="s">
        <v>1312</v>
      </c>
      <c r="D432" s="55" t="s">
        <v>2531</v>
      </c>
      <c r="E432" s="55"/>
      <c r="F432" s="56"/>
      <c r="G432" s="56" t="s">
        <v>74</v>
      </c>
      <c r="H432" s="57">
        <v>171.39</v>
      </c>
      <c r="I432" s="57"/>
      <c r="J432" s="58"/>
      <c r="K432" s="58" t="str">
        <f>IF(A432=0,VLOOKUP(D432,'03. Insumos'!A:F,4,0),"")</f>
        <v/>
      </c>
      <c r="L432" s="58">
        <f>SUM(L433:L434)</f>
        <v>6928.2693600000002</v>
      </c>
      <c r="M432" s="153">
        <f t="shared" si="54"/>
        <v>1.8954757636631613E-3</v>
      </c>
      <c r="O432" s="148">
        <f>IF(I432&lt;&gt;0,I432*H432*K432,)</f>
        <v>0</v>
      </c>
      <c r="R432" s="12">
        <f>IF(J432&lt;&gt;0,J432/1.03-K432,0)</f>
        <v>0</v>
      </c>
    </row>
    <row r="433" spans="1:18" s="51" customFormat="1" ht="13.5" customHeight="1" outlineLevel="1" x14ac:dyDescent="0.3">
      <c r="A433" s="290">
        <f t="shared" si="55"/>
        <v>0</v>
      </c>
      <c r="B433" s="49"/>
      <c r="C433" s="49"/>
      <c r="D433" s="140" t="s">
        <v>2428</v>
      </c>
      <c r="E433" s="49" t="str">
        <f>VLOOKUP(D433,'03. Insumos'!A:D,2,0)</f>
        <v>Material - Fornecimento de rodapé em MDF h= 20 cm</v>
      </c>
      <c r="F433" s="52" t="s">
        <v>2613</v>
      </c>
      <c r="G433" s="52" t="str">
        <f>VLOOKUP(D433,'03. Insumos'!A:F,3,0)</f>
        <v>m</v>
      </c>
      <c r="H433" s="53">
        <v>1</v>
      </c>
      <c r="I433" s="141">
        <f>H432*1.1</f>
        <v>188.529</v>
      </c>
      <c r="J433" s="54">
        <f>IFERROR(IF(K433&lt;&gt;0,K433*$K$5,0),0)</f>
        <v>25.84</v>
      </c>
      <c r="K433" s="54">
        <f>IF(A433=0,VLOOKUP(D433,'03. Insumos'!A:F,4,0),"")</f>
        <v>25.84</v>
      </c>
      <c r="L433" s="274">
        <f>H433*J433*I433</f>
        <v>4871.5893599999999</v>
      </c>
      <c r="M433" s="153">
        <f t="shared" si="54"/>
        <v>1.3327974249545244E-3</v>
      </c>
      <c r="O433" s="148">
        <f>IF(I433&lt;&gt;0,I433*H433*K433,)</f>
        <v>4871.5893599999999</v>
      </c>
      <c r="R433" s="12">
        <f>IF(J433&lt;&gt;0,J433/1.03-K433,0)</f>
        <v>-0.75262135922330131</v>
      </c>
    </row>
    <row r="434" spans="1:18" s="51" customFormat="1" ht="13.5" customHeight="1" outlineLevel="1" x14ac:dyDescent="0.3">
      <c r="A434" s="290">
        <f t="shared" si="55"/>
        <v>0</v>
      </c>
      <c r="B434" s="49"/>
      <c r="C434" s="49"/>
      <c r="D434" s="140" t="s">
        <v>771</v>
      </c>
      <c r="E434" s="49" t="str">
        <f>VLOOKUP(D434,'03. Insumos'!A:D,2,0)</f>
        <v xml:space="preserve">Mão de obra - Execução de rodapé </v>
      </c>
      <c r="F434" s="52" t="s">
        <v>2607</v>
      </c>
      <c r="G434" s="52" t="str">
        <f>VLOOKUP(D434,'03. Insumos'!A:F,3,0)</f>
        <v>m</v>
      </c>
      <c r="H434" s="53">
        <v>1</v>
      </c>
      <c r="I434" s="141">
        <f>H432</f>
        <v>171.39</v>
      </c>
      <c r="J434" s="54">
        <f>IFERROR(IF(K434&lt;&gt;0,K434*$K$5,0),0)</f>
        <v>12</v>
      </c>
      <c r="K434" s="54">
        <f>IF(A434=0,VLOOKUP(D434,'03. Insumos'!A:F,4,0),"")</f>
        <v>12</v>
      </c>
      <c r="L434" s="274">
        <f>H434*J434*I434</f>
        <v>2056.6799999999998</v>
      </c>
      <c r="M434" s="153">
        <f t="shared" si="54"/>
        <v>5.6267833870863682E-4</v>
      </c>
      <c r="O434" s="148"/>
      <c r="R434" s="12"/>
    </row>
    <row r="435" spans="1:18" s="59" customFormat="1" ht="13.5" customHeight="1" outlineLevel="1" x14ac:dyDescent="0.3">
      <c r="A435" s="290">
        <f>LEN(C435)</f>
        <v>6</v>
      </c>
      <c r="B435" s="55"/>
      <c r="C435" s="55" t="s">
        <v>1311</v>
      </c>
      <c r="D435" s="55" t="s">
        <v>2427</v>
      </c>
      <c r="E435" s="55"/>
      <c r="F435" s="56"/>
      <c r="G435" s="56" t="s">
        <v>74</v>
      </c>
      <c r="H435" s="57">
        <v>10.67</v>
      </c>
      <c r="I435" s="57"/>
      <c r="J435" s="58"/>
      <c r="K435" s="58" t="str">
        <f>IF(A435=0,VLOOKUP(D435,'03. Insumos'!A:F,4,0),"")</f>
        <v/>
      </c>
      <c r="L435" s="58">
        <f>SUM(L436:L437)</f>
        <v>590.05100000000004</v>
      </c>
      <c r="M435" s="153">
        <f t="shared" si="54"/>
        <v>1.614295449138271E-4</v>
      </c>
      <c r="O435" s="148">
        <f>IF(I435&lt;&gt;0,I435*H435*K435,)</f>
        <v>0</v>
      </c>
      <c r="R435" s="12">
        <f>IF(J435&lt;&gt;0,J435/1.03-K435,0)</f>
        <v>0</v>
      </c>
    </row>
    <row r="436" spans="1:18" s="51" customFormat="1" ht="13.5" customHeight="1" outlineLevel="1" x14ac:dyDescent="0.3">
      <c r="A436" s="290">
        <f>LEN(C436)</f>
        <v>0</v>
      </c>
      <c r="B436" s="49"/>
      <c r="C436" s="49"/>
      <c r="D436" s="140" t="s">
        <v>2431</v>
      </c>
      <c r="E436" s="49" t="str">
        <f>VLOOKUP(D436,'03. Insumos'!A:D,2,0)</f>
        <v>Material - Fornecimento de rodapé em alumínio invertido h= 3 cm</v>
      </c>
      <c r="F436" s="52" t="s">
        <v>2613</v>
      </c>
      <c r="G436" s="52" t="str">
        <f>VLOOKUP(D436,'03. Insumos'!A:F,3,0)</f>
        <v>m</v>
      </c>
      <c r="H436" s="53">
        <v>1</v>
      </c>
      <c r="I436" s="141">
        <f>H435*1.1</f>
        <v>11.737</v>
      </c>
      <c r="J436" s="54">
        <f>IFERROR(IF(K436&lt;&gt;0,K436*$K$5,0),0)</f>
        <v>23</v>
      </c>
      <c r="K436" s="54">
        <f>IF(A436=0,VLOOKUP(D436,'03. Insumos'!A:F,4,0),"")</f>
        <v>23</v>
      </c>
      <c r="L436" s="274">
        <f>H436*J436*I436</f>
        <v>269.95100000000002</v>
      </c>
      <c r="M436" s="153">
        <f t="shared" si="54"/>
        <v>7.385474658806195E-5</v>
      </c>
      <c r="O436" s="148">
        <f>IF(I436&lt;&gt;0,I436*H436*K436,)</f>
        <v>269.95100000000002</v>
      </c>
      <c r="R436" s="12">
        <f>IF(J436&lt;&gt;0,J436/1.03-K436,0)</f>
        <v>-0.66990291262136026</v>
      </c>
    </row>
    <row r="437" spans="1:18" s="51" customFormat="1" ht="13.5" hidden="1" customHeight="1" outlineLevel="1" x14ac:dyDescent="0.3">
      <c r="A437" s="290">
        <f>LEN(C437)</f>
        <v>0</v>
      </c>
      <c r="B437" s="49"/>
      <c r="C437" s="49"/>
      <c r="D437" s="140" t="s">
        <v>2432</v>
      </c>
      <c r="E437" s="49" t="str">
        <f>VLOOKUP(D437,'03. Insumos'!A:D,2,0)</f>
        <v>Mão de obra - Assentamento de rodapé em alumínio invertido h= 3 cm</v>
      </c>
      <c r="F437" s="52"/>
      <c r="G437" s="52" t="str">
        <f>VLOOKUP(D437,'03. Insumos'!A:F,3,0)</f>
        <v>m</v>
      </c>
      <c r="H437" s="53">
        <v>1</v>
      </c>
      <c r="I437" s="141">
        <f>H435</f>
        <v>10.67</v>
      </c>
      <c r="J437" s="54">
        <f>IFERROR(IF(K437&lt;&gt;0,K437*$K$5,0),0)</f>
        <v>30</v>
      </c>
      <c r="K437" s="54">
        <f>IF(A437=0,VLOOKUP(D437,'03. Insumos'!A:F,4,0),"")</f>
        <v>30</v>
      </c>
      <c r="L437" s="274">
        <f>H437*J437*I437</f>
        <v>320.10000000000002</v>
      </c>
      <c r="M437" s="153">
        <f t="shared" si="54"/>
        <v>8.7574798325765153E-5</v>
      </c>
      <c r="O437" s="148"/>
      <c r="R437" s="12"/>
    </row>
    <row r="438" spans="1:18" s="59" customFormat="1" ht="13.5" hidden="1" customHeight="1" outlineLevel="1" x14ac:dyDescent="0.3">
      <c r="A438" s="290">
        <f t="shared" si="55"/>
        <v>6</v>
      </c>
      <c r="B438" s="55"/>
      <c r="C438" s="55" t="s">
        <v>1311</v>
      </c>
      <c r="D438" s="55" t="s">
        <v>1860</v>
      </c>
      <c r="E438" s="55"/>
      <c r="F438" s="56"/>
      <c r="G438" s="56"/>
      <c r="H438" s="57"/>
      <c r="I438" s="57"/>
      <c r="J438" s="58"/>
      <c r="K438" s="58" t="str">
        <f>IF(A438=0,VLOOKUP(D438,'03. Insumos'!A:F,4,0),"")</f>
        <v/>
      </c>
      <c r="L438" s="58">
        <f>SUM(L439:L444)</f>
        <v>0</v>
      </c>
      <c r="M438" s="153">
        <f t="shared" si="54"/>
        <v>0</v>
      </c>
      <c r="O438" s="148">
        <f>IF(I438&lt;&gt;0,I438*H438*K438,)</f>
        <v>0</v>
      </c>
      <c r="R438" s="12">
        <f>IF(J438&lt;&gt;0,J438/1.03-K438,0)</f>
        <v>0</v>
      </c>
    </row>
    <row r="439" spans="1:18" s="51" customFormat="1" ht="13.5" hidden="1" customHeight="1" outlineLevel="1" x14ac:dyDescent="0.3">
      <c r="A439" s="290">
        <f t="shared" si="55"/>
        <v>0</v>
      </c>
      <c r="B439" s="49"/>
      <c r="C439" s="49"/>
      <c r="D439" s="140" t="s">
        <v>1863</v>
      </c>
      <c r="E439" s="49" t="str">
        <f>VLOOKUP(D439,'03. Insumos'!A:D,2,0)</f>
        <v>Aplicação de Bona Fosco + Lixamento</v>
      </c>
      <c r="F439" s="52"/>
      <c r="G439" s="52" t="str">
        <f>VLOOKUP(D439,'03. Insumos'!A:F,3,0)</f>
        <v>m²</v>
      </c>
      <c r="H439" s="53">
        <v>1</v>
      </c>
      <c r="I439" s="141"/>
      <c r="J439" s="54">
        <f t="shared" ref="J439:J444" si="58">IFERROR(IF(K439&lt;&gt;0,K439*$K$5,0),0)</f>
        <v>135</v>
      </c>
      <c r="K439" s="54">
        <f>IF(A439=0,VLOOKUP(D439,'03. Insumos'!A:F,4,0),"")</f>
        <v>135</v>
      </c>
      <c r="L439" s="274">
        <f t="shared" ref="L439:L444" si="59">H439*J439*I439</f>
        <v>0</v>
      </c>
      <c r="M439" s="153">
        <f t="shared" si="54"/>
        <v>0</v>
      </c>
      <c r="O439" s="148"/>
      <c r="R439" s="12"/>
    </row>
    <row r="440" spans="1:18" s="51" customFormat="1" ht="13.5" hidden="1" customHeight="1" outlineLevel="1" x14ac:dyDescent="0.3">
      <c r="A440" s="290">
        <f t="shared" si="55"/>
        <v>0</v>
      </c>
      <c r="B440" s="49"/>
      <c r="C440" s="49"/>
      <c r="D440" s="140" t="s">
        <v>1864</v>
      </c>
      <c r="E440" s="49" t="str">
        <f>VLOOKUP(D440,'03. Insumos'!A:D,2,0)</f>
        <v>Frete - Tábua corrida em Peroba Mica, 15cm</v>
      </c>
      <c r="F440" s="52"/>
      <c r="G440" s="52" t="str">
        <f>VLOOKUP(D440,'03. Insumos'!A:F,3,0)</f>
        <v>vb</v>
      </c>
      <c r="H440" s="53">
        <v>1</v>
      </c>
      <c r="I440" s="141"/>
      <c r="J440" s="54">
        <f t="shared" si="58"/>
        <v>1000</v>
      </c>
      <c r="K440" s="54">
        <f>IF(A440=0,VLOOKUP(D440,'03. Insumos'!A:F,4,0),"")</f>
        <v>1000</v>
      </c>
      <c r="L440" s="274">
        <f t="shared" si="59"/>
        <v>0</v>
      </c>
      <c r="M440" s="153">
        <f t="shared" si="54"/>
        <v>0</v>
      </c>
      <c r="O440" s="148"/>
      <c r="R440" s="12"/>
    </row>
    <row r="441" spans="1:18" s="51" customFormat="1" ht="13.5" hidden="1" customHeight="1" outlineLevel="1" x14ac:dyDescent="0.3">
      <c r="A441" s="290">
        <f t="shared" si="55"/>
        <v>0</v>
      </c>
      <c r="B441" s="49"/>
      <c r="C441" s="49"/>
      <c r="D441" s="140" t="s">
        <v>191</v>
      </c>
      <c r="E441" s="49" t="str">
        <f>VLOOKUP(D441,'03. Insumos'!A:D,2,0)</f>
        <v>Argamassa multiuso 50kg (pequenas Qtde)</v>
      </c>
      <c r="F441" s="52"/>
      <c r="G441" s="52" t="str">
        <f>VLOOKUP(D441,'03. Insumos'!A:F,3,0)</f>
        <v>uni</v>
      </c>
      <c r="H441" s="53">
        <v>1</v>
      </c>
      <c r="I441" s="141"/>
      <c r="J441" s="54">
        <f t="shared" si="58"/>
        <v>21.5</v>
      </c>
      <c r="K441" s="54">
        <f>IF(A441=0,VLOOKUP(D441,'03. Insumos'!A:F,4,0),"")</f>
        <v>21.5</v>
      </c>
      <c r="L441" s="274">
        <f t="shared" si="59"/>
        <v>0</v>
      </c>
      <c r="M441" s="153">
        <f t="shared" si="54"/>
        <v>0</v>
      </c>
      <c r="O441" s="148"/>
      <c r="R441" s="12"/>
    </row>
    <row r="442" spans="1:18" s="51" customFormat="1" ht="13.5" hidden="1" customHeight="1" outlineLevel="1" x14ac:dyDescent="0.3">
      <c r="A442" s="290">
        <f t="shared" si="55"/>
        <v>0</v>
      </c>
      <c r="B442" s="49"/>
      <c r="C442" s="49"/>
      <c r="D442" s="140" t="s">
        <v>1899</v>
      </c>
      <c r="E442" s="49" t="str">
        <f>VLOOKUP(D442,'03. Insumos'!A:D,2,0)</f>
        <v>Areia ensacada ( saco 20 Kg)</v>
      </c>
      <c r="F442" s="52"/>
      <c r="G442" s="52" t="str">
        <f>VLOOKUP(D442,'03. Insumos'!A:F,3,0)</f>
        <v>m³</v>
      </c>
      <c r="H442" s="53">
        <v>1</v>
      </c>
      <c r="I442" s="141"/>
      <c r="J442" s="54">
        <f t="shared" si="58"/>
        <v>422</v>
      </c>
      <c r="K442" s="54">
        <f>IF(A442=0,VLOOKUP(D442,'03. Insumos'!A:F,4,0),"")</f>
        <v>422</v>
      </c>
      <c r="L442" s="274">
        <f t="shared" si="59"/>
        <v>0</v>
      </c>
      <c r="M442" s="153">
        <f t="shared" si="54"/>
        <v>0</v>
      </c>
      <c r="O442" s="148"/>
      <c r="R442" s="12"/>
    </row>
    <row r="443" spans="1:18" s="51" customFormat="1" ht="13.5" hidden="1" customHeight="1" outlineLevel="1" x14ac:dyDescent="0.3">
      <c r="A443" s="290">
        <f t="shared" si="55"/>
        <v>0</v>
      </c>
      <c r="B443" s="49"/>
      <c r="C443" s="49"/>
      <c r="D443" s="140" t="s">
        <v>1900</v>
      </c>
      <c r="E443" s="49" t="str">
        <f>VLOOKUP(D443,'03. Insumos'!A:D,2,0)</f>
        <v>Cimento (saco 50 Kg)</v>
      </c>
      <c r="F443" s="52"/>
      <c r="G443" s="52" t="str">
        <f>VLOOKUP(D443,'03. Insumos'!A:F,3,0)</f>
        <v>unid</v>
      </c>
      <c r="H443" s="53">
        <v>1</v>
      </c>
      <c r="I443" s="141"/>
      <c r="J443" s="54">
        <f t="shared" si="58"/>
        <v>16</v>
      </c>
      <c r="K443" s="54">
        <f>IF(A443=0,VLOOKUP(D443,'03. Insumos'!A:F,4,0),"")</f>
        <v>16</v>
      </c>
      <c r="L443" s="274">
        <f t="shared" si="59"/>
        <v>0</v>
      </c>
      <c r="M443" s="153">
        <f t="shared" si="54"/>
        <v>0</v>
      </c>
      <c r="O443" s="148"/>
      <c r="R443" s="12"/>
    </row>
    <row r="444" spans="1:18" s="51" customFormat="1" ht="13.5" hidden="1" customHeight="1" outlineLevel="1" x14ac:dyDescent="0.3">
      <c r="A444" s="290">
        <f t="shared" si="55"/>
        <v>0</v>
      </c>
      <c r="B444" s="49"/>
      <c r="C444" s="49"/>
      <c r="D444" s="140" t="s">
        <v>1915</v>
      </c>
      <c r="E444" s="49" t="str">
        <f>VLOOKUP(D444,'03. Insumos'!A:D,2,0)</f>
        <v>Bianco Vedacit</v>
      </c>
      <c r="F444" s="52"/>
      <c r="G444" s="52" t="str">
        <f>VLOOKUP(D444,'03. Insumos'!A:F,3,0)</f>
        <v>Balde 18 L</v>
      </c>
      <c r="H444" s="53">
        <v>1</v>
      </c>
      <c r="I444" s="141"/>
      <c r="J444" s="54">
        <f t="shared" si="58"/>
        <v>239.9</v>
      </c>
      <c r="K444" s="54">
        <f>IF(A444=0,VLOOKUP(D444,'03. Insumos'!A:F,4,0),"")</f>
        <v>239.9</v>
      </c>
      <c r="L444" s="274">
        <f t="shared" si="59"/>
        <v>0</v>
      </c>
      <c r="M444" s="153">
        <f t="shared" si="54"/>
        <v>0</v>
      </c>
      <c r="O444" s="148"/>
      <c r="R444" s="12"/>
    </row>
    <row r="445" spans="1:18" s="59" customFormat="1" ht="13.5" customHeight="1" outlineLevel="1" x14ac:dyDescent="0.3">
      <c r="A445" s="290">
        <f t="shared" si="55"/>
        <v>6</v>
      </c>
      <c r="B445" s="55"/>
      <c r="C445" s="55" t="s">
        <v>1369</v>
      </c>
      <c r="D445" s="55" t="s">
        <v>2433</v>
      </c>
      <c r="E445" s="55"/>
      <c r="F445" s="56"/>
      <c r="G445" s="56" t="s">
        <v>74</v>
      </c>
      <c r="H445" s="57">
        <v>13.12</v>
      </c>
      <c r="I445" s="57"/>
      <c r="J445" s="58"/>
      <c r="K445" s="58" t="str">
        <f>IF(A445=0,VLOOKUP(D445,'03. Insumos'!A:F,4,0),"")</f>
        <v/>
      </c>
      <c r="L445" s="58">
        <f>SUM(L446:L450)</f>
        <v>3311.4335999999998</v>
      </c>
      <c r="M445" s="153">
        <f t="shared" si="54"/>
        <v>9.0596104245286603E-4</v>
      </c>
      <c r="O445" s="148">
        <f>IF(I445&lt;&gt;0,I445*H445*K445,)</f>
        <v>0</v>
      </c>
      <c r="R445" s="12">
        <f>IF(J445&lt;&gt;0,J445/1.03-K445,0)</f>
        <v>0</v>
      </c>
    </row>
    <row r="446" spans="1:18" s="51" customFormat="1" ht="13.5" customHeight="1" outlineLevel="1" x14ac:dyDescent="0.3">
      <c r="A446" s="290">
        <f t="shared" si="55"/>
        <v>0</v>
      </c>
      <c r="B446" s="49"/>
      <c r="C446" s="49"/>
      <c r="D446" s="140" t="s">
        <v>2436</v>
      </c>
      <c r="E446" s="49" t="str">
        <f>VLOOKUP(D446,'03. Insumos'!A:D,2,0)</f>
        <v>Material - Fornecimento de Painel borda mini crystalli fino cinza - 50 x 17</v>
      </c>
      <c r="F446" s="52" t="s">
        <v>2613</v>
      </c>
      <c r="G446" s="52" t="str">
        <f>VLOOKUP(D446,'03. Insumos'!A:F,3,0)</f>
        <v>pç</v>
      </c>
      <c r="H446" s="53">
        <v>1</v>
      </c>
      <c r="I446" s="141">
        <f>ROUNDUP((27*1.1),0)</f>
        <v>30</v>
      </c>
      <c r="J446" s="54">
        <f>IFERROR(IF(K446&lt;&gt;0,K446*$K$5,0),0)</f>
        <v>90.75</v>
      </c>
      <c r="K446" s="54">
        <f>IF(A446=0,VLOOKUP(D446,'03. Insumos'!A:F,4,0),"")</f>
        <v>90.75</v>
      </c>
      <c r="L446" s="274">
        <f>H446*J446*I446</f>
        <v>2722.5</v>
      </c>
      <c r="M446" s="153">
        <f t="shared" si="54"/>
        <v>7.4483720225521901E-4</v>
      </c>
      <c r="O446" s="148">
        <f>IF(I446&lt;&gt;0,I446*H446*K446,)</f>
        <v>2722.5</v>
      </c>
      <c r="R446" s="12">
        <f>IF(J446&lt;&gt;0,J446/1.03-K446,0)</f>
        <v>-2.643203883495147</v>
      </c>
    </row>
    <row r="447" spans="1:18" s="51" customFormat="1" ht="13.5" customHeight="1" outlineLevel="1" x14ac:dyDescent="0.3">
      <c r="A447" s="290">
        <f t="shared" si="55"/>
        <v>0</v>
      </c>
      <c r="B447" s="49"/>
      <c r="C447" s="49"/>
      <c r="D447" s="140" t="s">
        <v>2437</v>
      </c>
      <c r="E447" s="49" t="str">
        <f>VLOOKUP(D447,'03. Insumos'!A:D,2,0)</f>
        <v>Mão de obra - Assentamento de Painel borda mini crystalli fino cinza - 50 x 17</v>
      </c>
      <c r="F447" s="52" t="s">
        <v>2607</v>
      </c>
      <c r="G447" s="52" t="str">
        <f>VLOOKUP(D447,'03. Insumos'!A:F,3,0)</f>
        <v>m</v>
      </c>
      <c r="H447" s="53">
        <v>1</v>
      </c>
      <c r="I447" s="141">
        <f>H445</f>
        <v>13.12</v>
      </c>
      <c r="J447" s="54">
        <f>IFERROR(IF(K447&lt;&gt;0,K447*$K$5,0),0)</f>
        <v>27.28</v>
      </c>
      <c r="K447" s="54">
        <f>IF(A447=0,VLOOKUP(D447,'03. Insumos'!A:F,4,0),"")</f>
        <v>27.28</v>
      </c>
      <c r="L447" s="274">
        <f>H447*J447*I447</f>
        <v>357.91359999999997</v>
      </c>
      <c r="M447" s="153">
        <f t="shared" si="54"/>
        <v>9.7920060412522882E-5</v>
      </c>
      <c r="O447" s="148"/>
      <c r="R447" s="12"/>
    </row>
    <row r="448" spans="1:18" s="51" customFormat="1" ht="13.5" customHeight="1" outlineLevel="1" x14ac:dyDescent="0.3">
      <c r="A448" s="290">
        <f t="shared" si="55"/>
        <v>0</v>
      </c>
      <c r="B448" s="49"/>
      <c r="C448" s="49"/>
      <c r="D448" s="140" t="s">
        <v>199</v>
      </c>
      <c r="E448" s="49" t="str">
        <f>VLOOKUP(D448,'03. Insumos'!A:D,2,0)</f>
        <v>Argamassa colante 20kg</v>
      </c>
      <c r="F448" s="52" t="s">
        <v>2612</v>
      </c>
      <c r="G448" s="52" t="str">
        <f>VLOOKUP(D448,'03. Insumos'!A:F,3,0)</f>
        <v>uni</v>
      </c>
      <c r="H448" s="53">
        <v>1</v>
      </c>
      <c r="I448" s="141">
        <f>ROUND((H445*8)/20,0)</f>
        <v>5</v>
      </c>
      <c r="J448" s="54">
        <f>IFERROR(IF(K448&lt;&gt;0,K448*$K$5,0),0)</f>
        <v>21.9</v>
      </c>
      <c r="K448" s="54">
        <f>IF(A448=0,VLOOKUP(D448,'03. Insumos'!A:F,4,0),"")</f>
        <v>21.9</v>
      </c>
      <c r="L448" s="274">
        <f>H448*J448*I448</f>
        <v>109.5</v>
      </c>
      <c r="M448" s="153">
        <f t="shared" si="54"/>
        <v>2.9957639539741591E-5</v>
      </c>
      <c r="O448" s="148"/>
      <c r="R448" s="12"/>
    </row>
    <row r="449" spans="1:18" s="51" customFormat="1" ht="13.5" customHeight="1" outlineLevel="1" x14ac:dyDescent="0.3">
      <c r="A449" s="290">
        <f t="shared" si="55"/>
        <v>0</v>
      </c>
      <c r="B449" s="49"/>
      <c r="C449" s="49"/>
      <c r="D449" s="140" t="s">
        <v>772</v>
      </c>
      <c r="E449" s="49" t="str">
        <f>VLOOKUP(D449,'03. Insumos'!A:D,2,0)</f>
        <v xml:space="preserve">Rejunte acrílico Portokoll </v>
      </c>
      <c r="F449" s="52" t="s">
        <v>2612</v>
      </c>
      <c r="G449" s="52" t="str">
        <f>VLOOKUP(D449,'03. Insumos'!A:F,3,0)</f>
        <v>Kg</v>
      </c>
      <c r="H449" s="53">
        <v>1</v>
      </c>
      <c r="I449" s="141">
        <f>ROUNDUP((H445*0.35),0)</f>
        <v>5</v>
      </c>
      <c r="J449" s="54">
        <f>IFERROR(IF(K449&lt;&gt;0,K449*$K$5,0),0)</f>
        <v>19.87</v>
      </c>
      <c r="K449" s="54">
        <f>IF(A449=0,VLOOKUP(D449,'03. Insumos'!A:F,4,0),"")</f>
        <v>19.87</v>
      </c>
      <c r="L449" s="274">
        <f>H449*J449*I449</f>
        <v>99.350000000000009</v>
      </c>
      <c r="M449" s="153">
        <f t="shared" si="54"/>
        <v>2.7180744185144542E-5</v>
      </c>
      <c r="O449" s="148"/>
      <c r="R449" s="12"/>
    </row>
    <row r="450" spans="1:18" s="51" customFormat="1" ht="13.5" customHeight="1" outlineLevel="1" x14ac:dyDescent="0.3">
      <c r="A450" s="290">
        <f t="shared" si="55"/>
        <v>0</v>
      </c>
      <c r="B450" s="49"/>
      <c r="C450" s="49"/>
      <c r="D450" s="140" t="s">
        <v>773</v>
      </c>
      <c r="E450" s="49" t="str">
        <f>VLOOKUP(D450,'03. Insumos'!A:D,2,0)</f>
        <v>Espaçador - Cunha</v>
      </c>
      <c r="F450" s="52" t="s">
        <v>2612</v>
      </c>
      <c r="G450" s="52" t="str">
        <f>VLOOKUP(D450,'03. Insumos'!A:F,3,0)</f>
        <v>50 pcs</v>
      </c>
      <c r="H450" s="53">
        <v>1</v>
      </c>
      <c r="I450" s="141">
        <f>ROUNDUP(((H445*5)/100),0)</f>
        <v>1</v>
      </c>
      <c r="J450" s="54">
        <f>IFERROR(IF(K450&lt;&gt;0,K450*$K$5,0),0)</f>
        <v>22.17</v>
      </c>
      <c r="K450" s="54">
        <f>IF(A450=0,VLOOKUP(D450,'03. Insumos'!A:F,4,0),"")</f>
        <v>22.17</v>
      </c>
      <c r="L450" s="274">
        <f>H450*J450*I450</f>
        <v>22.17</v>
      </c>
      <c r="M450" s="153">
        <f t="shared" si="54"/>
        <v>6.0653960602380926E-6</v>
      </c>
      <c r="O450" s="148"/>
      <c r="R450" s="12"/>
    </row>
    <row r="451" spans="1:18" s="59" customFormat="1" ht="13.5" hidden="1" customHeight="1" outlineLevel="1" x14ac:dyDescent="0.3">
      <c r="A451" s="290">
        <f t="shared" si="55"/>
        <v>6</v>
      </c>
      <c r="B451" s="55"/>
      <c r="C451" s="55" t="s">
        <v>1370</v>
      </c>
      <c r="D451" s="55" t="s">
        <v>2212</v>
      </c>
      <c r="E451" s="55"/>
      <c r="F451" s="56"/>
      <c r="G451" s="56" t="s">
        <v>73</v>
      </c>
      <c r="H451" s="57"/>
      <c r="I451" s="57"/>
      <c r="J451" s="58"/>
      <c r="K451" s="58" t="str">
        <f>IF(A451=0,VLOOKUP(D451,'03. Insumos'!A:F,4,0),"")</f>
        <v/>
      </c>
      <c r="L451" s="58">
        <f>SUM(L452:L458)</f>
        <v>0</v>
      </c>
      <c r="M451" s="153">
        <f t="shared" si="54"/>
        <v>0</v>
      </c>
      <c r="O451" s="148">
        <f>IF(I451&lt;&gt;0,I451*H451*K451,)</f>
        <v>0</v>
      </c>
      <c r="R451" s="12">
        <f>IF(J451&lt;&gt;0,J451/1.03-K451,0)</f>
        <v>0</v>
      </c>
    </row>
    <row r="452" spans="1:18" s="51" customFormat="1" ht="13.5" hidden="1" customHeight="1" outlineLevel="1" x14ac:dyDescent="0.3">
      <c r="A452" s="290">
        <f t="shared" si="55"/>
        <v>0</v>
      </c>
      <c r="B452" s="49"/>
      <c r="C452" s="49"/>
      <c r="D452" s="140" t="s">
        <v>2215</v>
      </c>
      <c r="E452" s="49" t="str">
        <f>VLOOKUP(D452,'03. Insumos'!A:D,2,0)</f>
        <v>Piso Manhatan Offwhite Estato Delarte 84 x 84</v>
      </c>
      <c r="F452" s="52"/>
      <c r="G452" s="52" t="str">
        <f>VLOOKUP(D452,'03. Insumos'!A:F,3,0)</f>
        <v>m²</v>
      </c>
      <c r="H452" s="53">
        <v>1</v>
      </c>
      <c r="I452" s="141">
        <f>H451*1.15</f>
        <v>0</v>
      </c>
      <c r="J452" s="54">
        <f t="shared" ref="J452:J458" si="60">IFERROR(IF(K452&lt;&gt;0,K452*$K$5,0),0)</f>
        <v>0</v>
      </c>
      <c r="K452" s="54">
        <f>IF(A452=0,VLOOKUP(D452,'03. Insumos'!A:F,4,0),"")</f>
        <v>0</v>
      </c>
      <c r="L452" s="274">
        <f t="shared" ref="L452:L458" si="61">H452*J452*I452</f>
        <v>0</v>
      </c>
      <c r="M452" s="153">
        <f t="shared" si="54"/>
        <v>0</v>
      </c>
      <c r="O452" s="148">
        <f>IF(I452&lt;&gt;0,I452*H452*K452,)</f>
        <v>0</v>
      </c>
      <c r="R452" s="12">
        <f>IF(J452&lt;&gt;0,J452/1.03-K452,0)</f>
        <v>0</v>
      </c>
    </row>
    <row r="453" spans="1:18" s="51" customFormat="1" ht="13.5" hidden="1" customHeight="1" outlineLevel="1" x14ac:dyDescent="0.3">
      <c r="A453" s="290">
        <f t="shared" si="55"/>
        <v>0</v>
      </c>
      <c r="B453" s="49"/>
      <c r="C453" s="49"/>
      <c r="D453" s="140" t="s">
        <v>2096</v>
      </c>
      <c r="E453" s="49" t="str">
        <f>VLOOKUP(D453,'03. Insumos'!A:D,2,0)</f>
        <v>Impermeabilizante oleofugante</v>
      </c>
      <c r="F453" s="52"/>
      <c r="G453" s="52" t="str">
        <f>VLOOKUP(D453,'03. Insumos'!A:F,3,0)</f>
        <v>LT</v>
      </c>
      <c r="H453" s="53">
        <v>1</v>
      </c>
      <c r="I453" s="141"/>
      <c r="J453" s="54">
        <f t="shared" si="60"/>
        <v>74</v>
      </c>
      <c r="K453" s="54">
        <f>IF(A453=0,VLOOKUP(D453,'03. Insumos'!A:F,4,0),"")</f>
        <v>74</v>
      </c>
      <c r="L453" s="274">
        <f>H453*J453*I453</f>
        <v>0</v>
      </c>
      <c r="M453" s="153">
        <f t="shared" si="54"/>
        <v>0</v>
      </c>
      <c r="O453" s="148"/>
      <c r="R453" s="12"/>
    </row>
    <row r="454" spans="1:18" s="51" customFormat="1" ht="13.5" hidden="1" customHeight="1" outlineLevel="1" x14ac:dyDescent="0.3">
      <c r="A454" s="290">
        <f t="shared" si="55"/>
        <v>0</v>
      </c>
      <c r="B454" s="49"/>
      <c r="C454" s="49"/>
      <c r="D454" s="140" t="s">
        <v>779</v>
      </c>
      <c r="E454" s="49" t="str">
        <f>VLOOKUP(D454,'03. Insumos'!A:D,2,0)</f>
        <v>Mão de obra - Execução do porcelanato 90x90cm Karst off white EXT</v>
      </c>
      <c r="F454" s="52"/>
      <c r="G454" s="52" t="str">
        <f>VLOOKUP(D454,'03. Insumos'!A:F,3,0)</f>
        <v>m²</v>
      </c>
      <c r="H454" s="53">
        <v>1</v>
      </c>
      <c r="I454" s="141"/>
      <c r="J454" s="54">
        <f t="shared" si="60"/>
        <v>79.52</v>
      </c>
      <c r="K454" s="54">
        <f>IF(A454=0,VLOOKUP(D454,'03. Insumos'!A:F,4,0),"")</f>
        <v>79.52</v>
      </c>
      <c r="L454" s="274">
        <f t="shared" si="61"/>
        <v>0</v>
      </c>
      <c r="M454" s="153">
        <f t="shared" si="54"/>
        <v>0</v>
      </c>
      <c r="O454" s="148"/>
      <c r="R454" s="12"/>
    </row>
    <row r="455" spans="1:18" s="51" customFormat="1" ht="13.5" hidden="1" customHeight="1" outlineLevel="1" x14ac:dyDescent="0.3">
      <c r="A455" s="290">
        <f t="shared" si="55"/>
        <v>0</v>
      </c>
      <c r="B455" s="49"/>
      <c r="C455" s="49"/>
      <c r="D455" s="140" t="s">
        <v>1588</v>
      </c>
      <c r="E455" s="49" t="str">
        <f>VLOOKUP(D455,'03. Insumos'!A:D,2,0)</f>
        <v>Material - Execução borda do porcelanato 90x90cm Karst off white EXT</v>
      </c>
      <c r="F455" s="52"/>
      <c r="G455" s="52" t="str">
        <f>VLOOKUP(D455,'03. Insumos'!A:F,3,0)</f>
        <v>pç</v>
      </c>
      <c r="H455" s="53">
        <v>1</v>
      </c>
      <c r="I455" s="141"/>
      <c r="J455" s="54">
        <f t="shared" si="60"/>
        <v>143.9</v>
      </c>
      <c r="K455" s="54">
        <f>IF(A455=0,VLOOKUP(D455,'03. Insumos'!A:F,4,0),"")</f>
        <v>143.9</v>
      </c>
      <c r="L455" s="274">
        <f t="shared" si="61"/>
        <v>0</v>
      </c>
      <c r="M455" s="153">
        <f t="shared" si="54"/>
        <v>0</v>
      </c>
      <c r="O455" s="148"/>
      <c r="R455" s="12"/>
    </row>
    <row r="456" spans="1:18" s="51" customFormat="1" ht="13.5" hidden="1" customHeight="1" outlineLevel="1" x14ac:dyDescent="0.3">
      <c r="A456" s="290">
        <f t="shared" si="55"/>
        <v>0</v>
      </c>
      <c r="B456" s="49"/>
      <c r="C456" s="49"/>
      <c r="D456" s="140" t="s">
        <v>199</v>
      </c>
      <c r="E456" s="49" t="str">
        <f>VLOOKUP(D456,'03. Insumos'!A:D,2,0)</f>
        <v>Argamassa colante 20kg</v>
      </c>
      <c r="F456" s="52"/>
      <c r="G456" s="52" t="str">
        <f>VLOOKUP(D456,'03. Insumos'!A:F,3,0)</f>
        <v>uni</v>
      </c>
      <c r="H456" s="53">
        <v>1</v>
      </c>
      <c r="I456" s="141">
        <f>ROUND((H451*10)/20,0)</f>
        <v>0</v>
      </c>
      <c r="J456" s="54">
        <f t="shared" si="60"/>
        <v>21.9</v>
      </c>
      <c r="K456" s="54">
        <f>IF(A456=0,VLOOKUP(D456,'03. Insumos'!A:F,4,0),"")</f>
        <v>21.9</v>
      </c>
      <c r="L456" s="274">
        <f t="shared" si="61"/>
        <v>0</v>
      </c>
      <c r="M456" s="153">
        <f t="shared" ref="M456:M519" si="62">L456/$L$7</f>
        <v>0</v>
      </c>
      <c r="O456" s="148"/>
      <c r="R456" s="12"/>
    </row>
    <row r="457" spans="1:18" s="51" customFormat="1" ht="13.5" hidden="1" customHeight="1" outlineLevel="1" x14ac:dyDescent="0.3">
      <c r="A457" s="290">
        <f t="shared" si="55"/>
        <v>0</v>
      </c>
      <c r="B457" s="49"/>
      <c r="C457" s="49"/>
      <c r="D457" s="140" t="s">
        <v>772</v>
      </c>
      <c r="E457" s="49" t="str">
        <f>VLOOKUP(D457,'03. Insumos'!A:D,2,0)</f>
        <v xml:space="preserve">Rejunte acrílico Portokoll </v>
      </c>
      <c r="F457" s="52"/>
      <c r="G457" s="52" t="str">
        <f>VLOOKUP(D457,'03. Insumos'!A:F,3,0)</f>
        <v>Kg</v>
      </c>
      <c r="H457" s="53"/>
      <c r="I457" s="141">
        <f>ROUNDUP((H453*0.05),0)</f>
        <v>1</v>
      </c>
      <c r="J457" s="54">
        <f t="shared" si="60"/>
        <v>19.87</v>
      </c>
      <c r="K457" s="54">
        <f>IF(A457=0,VLOOKUP(D457,'03. Insumos'!A:F,4,0),"")</f>
        <v>19.87</v>
      </c>
      <c r="L457" s="274">
        <f t="shared" si="61"/>
        <v>0</v>
      </c>
      <c r="M457" s="153">
        <f t="shared" si="62"/>
        <v>0</v>
      </c>
      <c r="O457" s="148"/>
      <c r="R457" s="12"/>
    </row>
    <row r="458" spans="1:18" s="51" customFormat="1" ht="13.5" hidden="1" customHeight="1" outlineLevel="1" x14ac:dyDescent="0.3">
      <c r="A458" s="290">
        <f t="shared" si="55"/>
        <v>0</v>
      </c>
      <c r="B458" s="49"/>
      <c r="C458" s="49"/>
      <c r="D458" s="140" t="s">
        <v>773</v>
      </c>
      <c r="E458" s="49" t="str">
        <f>VLOOKUP(D458,'03. Insumos'!A:D,2,0)</f>
        <v>Espaçador - Cunha</v>
      </c>
      <c r="F458" s="52"/>
      <c r="G458" s="52" t="str">
        <f>VLOOKUP(D458,'03. Insumos'!A:F,3,0)</f>
        <v>50 pcs</v>
      </c>
      <c r="H458" s="53">
        <v>1</v>
      </c>
      <c r="I458" s="141">
        <f>ROUNDUP((H451/100),0)</f>
        <v>0</v>
      </c>
      <c r="J458" s="54">
        <f t="shared" si="60"/>
        <v>22.17</v>
      </c>
      <c r="K458" s="54">
        <f>IF(A458=0,VLOOKUP(D458,'03. Insumos'!A:F,4,0),"")</f>
        <v>22.17</v>
      </c>
      <c r="L458" s="274">
        <f t="shared" si="61"/>
        <v>0</v>
      </c>
      <c r="M458" s="153">
        <f t="shared" si="62"/>
        <v>0</v>
      </c>
      <c r="O458" s="148"/>
      <c r="R458" s="12"/>
    </row>
    <row r="459" spans="1:18" s="59" customFormat="1" ht="13.5" hidden="1" customHeight="1" outlineLevel="1" x14ac:dyDescent="0.3">
      <c r="A459" s="290">
        <f t="shared" si="55"/>
        <v>6</v>
      </c>
      <c r="B459" s="55"/>
      <c r="C459" s="55" t="s">
        <v>1510</v>
      </c>
      <c r="D459" s="55" t="s">
        <v>1447</v>
      </c>
      <c r="E459" s="55"/>
      <c r="F459" s="56"/>
      <c r="G459" s="56" t="s">
        <v>73</v>
      </c>
      <c r="H459" s="57"/>
      <c r="I459" s="57"/>
      <c r="J459" s="58"/>
      <c r="K459" s="58" t="str">
        <f>IF(A459=0,VLOOKUP(D459,'03. Insumos'!A:F,4,0),"")</f>
        <v/>
      </c>
      <c r="L459" s="58">
        <f>SUM(L460:L463)</f>
        <v>0</v>
      </c>
      <c r="M459" s="153">
        <f t="shared" si="62"/>
        <v>0</v>
      </c>
      <c r="O459" s="148">
        <f>IF(I459&lt;&gt;0,I459*H459*K459,)</f>
        <v>0</v>
      </c>
      <c r="R459" s="12">
        <f>IF(J459&lt;&gt;0,J459/1.03-K459,0)</f>
        <v>0</v>
      </c>
    </row>
    <row r="460" spans="1:18" s="51" customFormat="1" ht="13.5" hidden="1" customHeight="1" outlineLevel="1" x14ac:dyDescent="0.3">
      <c r="A460" s="290">
        <f t="shared" si="55"/>
        <v>0</v>
      </c>
      <c r="B460" s="49"/>
      <c r="C460" s="49"/>
      <c r="D460" s="140" t="s">
        <v>780</v>
      </c>
      <c r="E460" s="49" t="str">
        <f>VLOOKUP(D460,'03. Insumos'!A:D,2,0)</f>
        <v>Material - Execução do piso vinílico Tarkett, linha Ambienta coleção Rustico</v>
      </c>
      <c r="F460" s="52"/>
      <c r="G460" s="52" t="str">
        <f>VLOOKUP(D460,'03. Insumos'!A:F,3,0)</f>
        <v>m²</v>
      </c>
      <c r="H460" s="53">
        <v>1</v>
      </c>
      <c r="I460" s="141">
        <f>H459</f>
        <v>0</v>
      </c>
      <c r="J460" s="54">
        <f>IFERROR(IF(K460&lt;&gt;0,K460*$K$5,0),0)</f>
        <v>130.79</v>
      </c>
      <c r="K460" s="54">
        <f>IF(A460=0,VLOOKUP(D460,'03. Insumos'!A:F,4,0),"")</f>
        <v>130.79</v>
      </c>
      <c r="L460" s="274">
        <f>H460*J460*I460</f>
        <v>0</v>
      </c>
      <c r="M460" s="153">
        <f t="shared" si="62"/>
        <v>0</v>
      </c>
      <c r="O460" s="148">
        <f>IF(I460&lt;&gt;0,I460*H460*K460,)</f>
        <v>0</v>
      </c>
      <c r="R460" s="12">
        <f>IF(J460&lt;&gt;0,J460/1.03-K460,0)</f>
        <v>-3.8094174757281536</v>
      </c>
    </row>
    <row r="461" spans="1:18" s="51" customFormat="1" ht="13.5" hidden="1" customHeight="1" outlineLevel="1" x14ac:dyDescent="0.3">
      <c r="A461" s="290">
        <f t="shared" si="55"/>
        <v>0</v>
      </c>
      <c r="B461" s="49"/>
      <c r="C461" s="49"/>
      <c r="D461" s="140" t="s">
        <v>781</v>
      </c>
      <c r="E461" s="49" t="str">
        <f>VLOOKUP(D461,'03. Insumos'!A:D,2,0)</f>
        <v>Mão de obra - Execução do piso vinílico Tarkett, linha Ambienta coleção Rustico</v>
      </c>
      <c r="F461" s="52"/>
      <c r="G461" s="52" t="str">
        <f>VLOOKUP(D461,'03. Insumos'!A:F,3,0)</f>
        <v>m²</v>
      </c>
      <c r="H461" s="53">
        <v>1</v>
      </c>
      <c r="I461" s="141">
        <f>H459</f>
        <v>0</v>
      </c>
      <c r="J461" s="54">
        <f>IFERROR(IF(K461&lt;&gt;0,K461*$K$5,0),0)</f>
        <v>35</v>
      </c>
      <c r="K461" s="54">
        <f>IF(A461=0,VLOOKUP(D461,'03. Insumos'!A:F,4,0),"")</f>
        <v>35</v>
      </c>
      <c r="L461" s="274">
        <f>H461*J461*I461</f>
        <v>0</v>
      </c>
      <c r="M461" s="153">
        <f t="shared" si="62"/>
        <v>0</v>
      </c>
      <c r="O461" s="148"/>
      <c r="R461" s="12"/>
    </row>
    <row r="462" spans="1:18" s="51" customFormat="1" ht="13.5" hidden="1" customHeight="1" outlineLevel="1" x14ac:dyDescent="0.3">
      <c r="A462" s="290">
        <f t="shared" si="55"/>
        <v>0</v>
      </c>
      <c r="B462" s="49"/>
      <c r="C462" s="49"/>
      <c r="D462" s="140" t="s">
        <v>789</v>
      </c>
      <c r="E462" s="49" t="str">
        <f>VLOOKUP(D462,'03. Insumos'!A:D,2,0)</f>
        <v>Frete revestimentos</v>
      </c>
      <c r="F462" s="52"/>
      <c r="G462" s="52" t="str">
        <f>VLOOKUP(D462,'03. Insumos'!A:F,3,0)</f>
        <v>vb</v>
      </c>
      <c r="H462" s="53">
        <v>1</v>
      </c>
      <c r="I462" s="141"/>
      <c r="J462" s="54">
        <f>IFERROR(IF(K462&lt;&gt;0,K462*$K$5,0),0)</f>
        <v>10000</v>
      </c>
      <c r="K462" s="54">
        <f>IF(A462=0,VLOOKUP(D462,'03. Insumos'!A:F,4,0),"")</f>
        <v>10000</v>
      </c>
      <c r="L462" s="274">
        <f>H462*J462*I462</f>
        <v>0</v>
      </c>
      <c r="M462" s="153">
        <f t="shared" si="62"/>
        <v>0</v>
      </c>
      <c r="O462" s="148"/>
      <c r="R462" s="12"/>
    </row>
    <row r="463" spans="1:18" s="51" customFormat="1" ht="13.5" hidden="1" customHeight="1" outlineLevel="1" x14ac:dyDescent="0.3">
      <c r="A463" s="290">
        <f t="shared" si="55"/>
        <v>0</v>
      </c>
      <c r="B463" s="49"/>
      <c r="C463" s="49"/>
      <c r="D463" s="140" t="s">
        <v>791</v>
      </c>
      <c r="E463" s="49" t="str">
        <f>VLOOKUP(D463,'03. Insumos'!A:D,2,0)</f>
        <v>Cola para piso vinílico global fix - balde 4kg</v>
      </c>
      <c r="F463" s="52"/>
      <c r="G463" s="52" t="str">
        <f>VLOOKUP(D463,'03. Insumos'!A:F,3,0)</f>
        <v>balde</v>
      </c>
      <c r="H463" s="53">
        <v>1</v>
      </c>
      <c r="I463" s="141"/>
      <c r="J463" s="54">
        <f>IFERROR(IF(K463&lt;&gt;0,K463*$K$5,0),0)</f>
        <v>129</v>
      </c>
      <c r="K463" s="54">
        <f>IF(A463=0,VLOOKUP(D463,'03. Insumos'!A:F,4,0),"")</f>
        <v>129</v>
      </c>
      <c r="L463" s="274">
        <f>H463*J463*I463</f>
        <v>0</v>
      </c>
      <c r="M463" s="153">
        <f t="shared" si="62"/>
        <v>0</v>
      </c>
      <c r="O463" s="148"/>
      <c r="R463" s="12"/>
    </row>
    <row r="464" spans="1:18" s="59" customFormat="1" ht="13.5" customHeight="1" outlineLevel="1" x14ac:dyDescent="0.3">
      <c r="A464" s="290">
        <f t="shared" si="55"/>
        <v>6</v>
      </c>
      <c r="B464" s="55"/>
      <c r="C464" s="55" t="s">
        <v>1511</v>
      </c>
      <c r="D464" s="55" t="s">
        <v>2419</v>
      </c>
      <c r="E464" s="55"/>
      <c r="F464" s="56"/>
      <c r="G464" s="56" t="s">
        <v>73</v>
      </c>
      <c r="H464" s="57">
        <v>62.89</v>
      </c>
      <c r="I464" s="57"/>
      <c r="J464" s="58"/>
      <c r="K464" s="58" t="str">
        <f>IF(A464=0,VLOOKUP(D464,'03. Insumos'!A:F,4,0),"")</f>
        <v/>
      </c>
      <c r="L464" s="58">
        <f>SUM(L465:L470)</f>
        <v>24959.558499999999</v>
      </c>
      <c r="M464" s="153">
        <f t="shared" si="62"/>
        <v>6.8285795124574727E-3</v>
      </c>
      <c r="O464" s="148">
        <f>IF(I464&lt;&gt;0,I464*H464*K464,)</f>
        <v>0</v>
      </c>
      <c r="R464" s="12">
        <f>IF(J464&lt;&gt;0,J464/1.03-K464,0)</f>
        <v>0</v>
      </c>
    </row>
    <row r="465" spans="1:18" s="51" customFormat="1" ht="13.5" customHeight="1" outlineLevel="1" x14ac:dyDescent="0.3">
      <c r="A465" s="290">
        <f t="shared" si="55"/>
        <v>0</v>
      </c>
      <c r="B465" s="49"/>
      <c r="C465" s="49"/>
      <c r="D465" s="140" t="s">
        <v>2420</v>
      </c>
      <c r="E465" s="49" t="str">
        <f>VLOOKUP(D465,'03. Insumos'!A:D,2,0)</f>
        <v>Material - Fornecimento de painel madeyra vecchia - 20 x 100</v>
      </c>
      <c r="F465" s="52" t="s">
        <v>2613</v>
      </c>
      <c r="G465" s="52" t="str">
        <f>VLOOKUP(D465,'03. Insumos'!A:F,3,0)</f>
        <v>m²</v>
      </c>
      <c r="H465" s="53">
        <v>1</v>
      </c>
      <c r="I465" s="141">
        <f>H464*1.1</f>
        <v>69.179000000000002</v>
      </c>
      <c r="J465" s="54">
        <f t="shared" ref="J465:J470" si="63">IFERROR(IF(K465&lt;&gt;0,K465*$K$5,0),0)</f>
        <v>279</v>
      </c>
      <c r="K465" s="54">
        <f>IF(A465=0,VLOOKUP(D465,'03. Insumos'!A:F,4,0),"")</f>
        <v>279</v>
      </c>
      <c r="L465" s="274">
        <f t="shared" ref="L465:L470" si="64">H465*J465*I465</f>
        <v>19300.940999999999</v>
      </c>
      <c r="M465" s="153">
        <f t="shared" si="62"/>
        <v>5.2804624041627359E-3</v>
      </c>
      <c r="O465" s="148">
        <f>IF(I465&lt;&gt;0,I465*H465*K465,)</f>
        <v>19300.940999999999</v>
      </c>
      <c r="R465" s="12">
        <f>IF(J465&lt;&gt;0,J465/1.03-K465,0)</f>
        <v>-8.1262135922330003</v>
      </c>
    </row>
    <row r="466" spans="1:18" s="51" customFormat="1" ht="13.5" customHeight="1" outlineLevel="1" x14ac:dyDescent="0.3">
      <c r="A466" s="290">
        <f t="shared" si="55"/>
        <v>0</v>
      </c>
      <c r="B466" s="49"/>
      <c r="C466" s="49"/>
      <c r="D466" s="140" t="s">
        <v>2421</v>
      </c>
      <c r="E466" s="49" t="str">
        <f>VLOOKUP(D466,'03. Insumos'!A:D,2,0)</f>
        <v>Mão de obra - Assentamento de painel madeyra vecchia - 20 x 100</v>
      </c>
      <c r="F466" s="52" t="s">
        <v>2607</v>
      </c>
      <c r="G466" s="52" t="str">
        <f>VLOOKUP(D466,'03. Insumos'!A:F,3,0)</f>
        <v>m²</v>
      </c>
      <c r="H466" s="53">
        <v>1</v>
      </c>
      <c r="I466" s="141">
        <f>H464</f>
        <v>62.89</v>
      </c>
      <c r="J466" s="54">
        <f t="shared" si="63"/>
        <v>49.75</v>
      </c>
      <c r="K466" s="54">
        <f>IF(A466=0,VLOOKUP(D466,'03. Insumos'!A:F,4,0),"")</f>
        <v>49.75</v>
      </c>
      <c r="L466" s="274">
        <f t="shared" si="64"/>
        <v>3128.7775000000001</v>
      </c>
      <c r="M466" s="153">
        <f t="shared" si="62"/>
        <v>8.5598893648451007E-4</v>
      </c>
      <c r="O466" s="148"/>
      <c r="R466" s="12"/>
    </row>
    <row r="467" spans="1:18" s="51" customFormat="1" ht="13.5" customHeight="1" outlineLevel="1" x14ac:dyDescent="0.3">
      <c r="A467" s="290">
        <f t="shared" si="55"/>
        <v>0</v>
      </c>
      <c r="B467" s="49"/>
      <c r="C467" s="49"/>
      <c r="D467" s="140" t="s">
        <v>2577</v>
      </c>
      <c r="E467" s="49" t="str">
        <f>VLOOKUP(D467,'03. Insumos'!A:D,2,0)</f>
        <v>Cera BS 200 WB - canela (galão)</v>
      </c>
      <c r="F467" s="52" t="s">
        <v>2613</v>
      </c>
      <c r="G467" s="52" t="str">
        <f>VLOOKUP(D467,'03. Insumos'!A:F,3,0)</f>
        <v>Unid</v>
      </c>
      <c r="H467" s="53">
        <v>1</v>
      </c>
      <c r="I467" s="141">
        <f>ROUNDUP((H464*0.1818),0)</f>
        <v>12</v>
      </c>
      <c r="J467" s="54">
        <f t="shared" si="63"/>
        <v>128</v>
      </c>
      <c r="K467" s="54">
        <f>IF(A467=0,VLOOKUP(D467,'03. Insumos'!A:F,4,0),"")</f>
        <v>128</v>
      </c>
      <c r="L467" s="274">
        <f t="shared" si="64"/>
        <v>1536</v>
      </c>
      <c r="M467" s="153">
        <f t="shared" si="62"/>
        <v>4.2022771080404644E-4</v>
      </c>
      <c r="O467" s="148"/>
      <c r="R467" s="12"/>
    </row>
    <row r="468" spans="1:18" s="51" customFormat="1" ht="13.5" customHeight="1" outlineLevel="1" x14ac:dyDescent="0.3">
      <c r="A468" s="290">
        <f t="shared" si="55"/>
        <v>0</v>
      </c>
      <c r="B468" s="49"/>
      <c r="C468" s="49"/>
      <c r="D468" s="140" t="s">
        <v>199</v>
      </c>
      <c r="E468" s="49" t="str">
        <f>VLOOKUP(D468,'03. Insumos'!A:D,2,0)</f>
        <v>Argamassa colante 20kg</v>
      </c>
      <c r="F468" s="52" t="s">
        <v>2612</v>
      </c>
      <c r="G468" s="52" t="str">
        <f>VLOOKUP(D468,'03. Insumos'!A:F,3,0)</f>
        <v>uni</v>
      </c>
      <c r="H468" s="53">
        <v>1</v>
      </c>
      <c r="I468" s="141">
        <f>ROUND((H464*8)/20,0)</f>
        <v>25</v>
      </c>
      <c r="J468" s="54">
        <f t="shared" si="63"/>
        <v>21.9</v>
      </c>
      <c r="K468" s="54">
        <f>IF(A468=0,VLOOKUP(D468,'03. Insumos'!A:F,4,0),"")</f>
        <v>21.9</v>
      </c>
      <c r="L468" s="274">
        <f t="shared" si="64"/>
        <v>547.5</v>
      </c>
      <c r="M468" s="153">
        <f t="shared" si="62"/>
        <v>1.4978819769870795E-4</v>
      </c>
      <c r="O468" s="148"/>
      <c r="R468" s="12"/>
    </row>
    <row r="469" spans="1:18" s="51" customFormat="1" ht="13.5" customHeight="1" outlineLevel="1" x14ac:dyDescent="0.3">
      <c r="A469" s="290">
        <f t="shared" si="55"/>
        <v>0</v>
      </c>
      <c r="B469" s="49"/>
      <c r="C469" s="49"/>
      <c r="D469" s="140" t="s">
        <v>772</v>
      </c>
      <c r="E469" s="49" t="str">
        <f>VLOOKUP(D469,'03. Insumos'!A:D,2,0)</f>
        <v xml:space="preserve">Rejunte acrílico Portokoll </v>
      </c>
      <c r="F469" s="52" t="s">
        <v>2612</v>
      </c>
      <c r="G469" s="52" t="str">
        <f>VLOOKUP(D469,'03. Insumos'!A:F,3,0)</f>
        <v>Kg</v>
      </c>
      <c r="H469" s="53">
        <v>1</v>
      </c>
      <c r="I469" s="141">
        <v>18</v>
      </c>
      <c r="J469" s="54">
        <f t="shared" si="63"/>
        <v>19.87</v>
      </c>
      <c r="K469" s="54">
        <f>IF(A469=0,VLOOKUP(D469,'03. Insumos'!A:F,4,0),"")</f>
        <v>19.87</v>
      </c>
      <c r="L469" s="274">
        <f t="shared" si="64"/>
        <v>357.66</v>
      </c>
      <c r="M469" s="153">
        <f t="shared" si="62"/>
        <v>9.7850679066520347E-5</v>
      </c>
      <c r="O469" s="148"/>
      <c r="R469" s="12"/>
    </row>
    <row r="470" spans="1:18" s="51" customFormat="1" ht="13.5" customHeight="1" outlineLevel="1" x14ac:dyDescent="0.3">
      <c r="A470" s="290">
        <f t="shared" si="55"/>
        <v>0</v>
      </c>
      <c r="B470" s="49"/>
      <c r="C470" s="49"/>
      <c r="D470" s="140" t="s">
        <v>773</v>
      </c>
      <c r="E470" s="49" t="str">
        <f>VLOOKUP(D470,'03. Insumos'!A:D,2,0)</f>
        <v>Espaçador - Cunha</v>
      </c>
      <c r="F470" s="52" t="s">
        <v>2612</v>
      </c>
      <c r="G470" s="52" t="str">
        <f>VLOOKUP(D470,'03. Insumos'!A:F,3,0)</f>
        <v>50 pcs</v>
      </c>
      <c r="H470" s="53">
        <v>1</v>
      </c>
      <c r="I470" s="141">
        <f>ROUNDUP(((H464*5)/100),0)</f>
        <v>4</v>
      </c>
      <c r="J470" s="54">
        <f t="shared" si="63"/>
        <v>22.17</v>
      </c>
      <c r="K470" s="54">
        <f>IF(A470=0,VLOOKUP(D470,'03. Insumos'!A:F,4,0),"")</f>
        <v>22.17</v>
      </c>
      <c r="L470" s="274">
        <f t="shared" si="64"/>
        <v>88.68</v>
      </c>
      <c r="M470" s="153">
        <f t="shared" si="62"/>
        <v>2.426158424095237E-5</v>
      </c>
      <c r="O470" s="148"/>
      <c r="R470" s="12"/>
    </row>
    <row r="471" spans="1:18" s="59" customFormat="1" ht="13.5" customHeight="1" outlineLevel="1" x14ac:dyDescent="0.3">
      <c r="A471" s="290">
        <f t="shared" si="55"/>
        <v>6</v>
      </c>
      <c r="B471" s="55"/>
      <c r="C471" s="55" t="s">
        <v>1512</v>
      </c>
      <c r="D471" s="55" t="s">
        <v>2438</v>
      </c>
      <c r="E471" s="55"/>
      <c r="F471" s="56"/>
      <c r="G471" s="56" t="s">
        <v>73</v>
      </c>
      <c r="H471" s="57">
        <v>200.1</v>
      </c>
      <c r="I471" s="57"/>
      <c r="J471" s="58"/>
      <c r="K471" s="58" t="str">
        <f>IF(A471=0,VLOOKUP(D471,'03. Insumos'!A:F,4,0),"")</f>
        <v/>
      </c>
      <c r="L471" s="58">
        <f>SUM(L472:L477)</f>
        <v>78421.774999999994</v>
      </c>
      <c r="M471" s="153">
        <f t="shared" si="62"/>
        <v>2.145508006864583E-2</v>
      </c>
      <c r="O471" s="148">
        <f>IF(I471&lt;&gt;0,I471*H471*K471,)</f>
        <v>0</v>
      </c>
      <c r="R471" s="12">
        <f>IF(J471&lt;&gt;0,J471/1.03-K471,0)</f>
        <v>0</v>
      </c>
    </row>
    <row r="472" spans="1:18" s="51" customFormat="1" ht="13.5" customHeight="1" outlineLevel="1" x14ac:dyDescent="0.3">
      <c r="A472" s="290">
        <f t="shared" si="55"/>
        <v>0</v>
      </c>
      <c r="B472" s="49"/>
      <c r="C472" s="49"/>
      <c r="D472" s="140" t="s">
        <v>2441</v>
      </c>
      <c r="E472" s="49" t="str">
        <f>VLOOKUP(D472,'03. Insumos'!A:D,2,0)</f>
        <v>Material - Fornecimento de Painel acabamento plano crystalli fino cinza - 100 x 100</v>
      </c>
      <c r="F472" s="52" t="s">
        <v>2613</v>
      </c>
      <c r="G472" s="52" t="str">
        <f>VLOOKUP(D472,'03. Insumos'!A:F,3,0)</f>
        <v>pç</v>
      </c>
      <c r="H472" s="53">
        <v>1</v>
      </c>
      <c r="I472" s="141">
        <f>ROUNDUP((201*1.1),0)</f>
        <v>222</v>
      </c>
      <c r="J472" s="54">
        <f t="shared" ref="J472:J477" si="65">IFERROR(IF(K472&lt;&gt;0,K472*$K$5,0),0)</f>
        <v>289</v>
      </c>
      <c r="K472" s="54">
        <f>IF(A472=0,VLOOKUP(D472,'03. Insumos'!A:F,4,0),"")</f>
        <v>289</v>
      </c>
      <c r="L472" s="274">
        <f t="shared" ref="L472:L477" si="66">H472*J472*I472</f>
        <v>64158</v>
      </c>
      <c r="M472" s="153">
        <f t="shared" si="62"/>
        <v>1.755271449854558E-2</v>
      </c>
      <c r="O472" s="148">
        <f>IF(I472&lt;&gt;0,I472*H472*K472,)</f>
        <v>64158</v>
      </c>
      <c r="R472" s="12">
        <f>IF(J472&lt;&gt;0,J472/1.03-K472,0)</f>
        <v>-8.4174757281553525</v>
      </c>
    </row>
    <row r="473" spans="1:18" s="51" customFormat="1" ht="13.5" customHeight="1" outlineLevel="1" x14ac:dyDescent="0.3">
      <c r="A473" s="290">
        <f t="shared" si="55"/>
        <v>0</v>
      </c>
      <c r="B473" s="49"/>
      <c r="C473" s="49"/>
      <c r="D473" s="140" t="s">
        <v>2442</v>
      </c>
      <c r="E473" s="49" t="str">
        <f>VLOOKUP(D473,'03. Insumos'!A:D,2,0)</f>
        <v>Mão de obra - Assentamento de Painel acabamento plano crystalli fino cinza - 100 x 100</v>
      </c>
      <c r="F473" s="52" t="s">
        <v>2607</v>
      </c>
      <c r="G473" s="52" t="str">
        <f>VLOOKUP(D473,'03. Insumos'!A:F,3,0)</f>
        <v>m²</v>
      </c>
      <c r="H473" s="53">
        <v>1</v>
      </c>
      <c r="I473" s="141">
        <f>H471</f>
        <v>200.1</v>
      </c>
      <c r="J473" s="54">
        <f t="shared" si="65"/>
        <v>54.55</v>
      </c>
      <c r="K473" s="54">
        <f>IF(A473=0,VLOOKUP(D473,'03. Insumos'!A:F,4,0),"")</f>
        <v>54.55</v>
      </c>
      <c r="L473" s="274">
        <f t="shared" si="66"/>
        <v>10915.455</v>
      </c>
      <c r="M473" s="153">
        <f t="shared" si="62"/>
        <v>2.9863129342673064E-3</v>
      </c>
      <c r="O473" s="148"/>
      <c r="R473" s="12"/>
    </row>
    <row r="474" spans="1:18" s="51" customFormat="1" ht="13.5" customHeight="1" outlineLevel="1" x14ac:dyDescent="0.3">
      <c r="A474" s="290">
        <f t="shared" si="55"/>
        <v>0</v>
      </c>
      <c r="B474" s="49"/>
      <c r="C474" s="49"/>
      <c r="D474" s="140" t="s">
        <v>2578</v>
      </c>
      <c r="E474" s="49" t="str">
        <f>VLOOKUP(D474,'03. Insumos'!A:D,2,0)</f>
        <v>Cera externa - cinza</v>
      </c>
      <c r="F474" s="52" t="s">
        <v>2613</v>
      </c>
      <c r="G474" s="52" t="str">
        <f>VLOOKUP(D474,'03. Insumos'!A:F,3,0)</f>
        <v>pç</v>
      </c>
      <c r="H474" s="53">
        <v>1</v>
      </c>
      <c r="I474" s="141">
        <v>9</v>
      </c>
      <c r="J474" s="54">
        <f t="shared" si="65"/>
        <v>73</v>
      </c>
      <c r="K474" s="54">
        <f>IF(A474=0,VLOOKUP(D474,'03. Insumos'!A:F,4,0),"")</f>
        <v>73</v>
      </c>
      <c r="L474" s="274">
        <f t="shared" si="66"/>
        <v>657</v>
      </c>
      <c r="M474" s="153">
        <f t="shared" si="62"/>
        <v>1.7974583723844956E-4</v>
      </c>
      <c r="O474" s="148"/>
      <c r="R474" s="12"/>
    </row>
    <row r="475" spans="1:18" s="51" customFormat="1" ht="13.5" customHeight="1" outlineLevel="1" x14ac:dyDescent="0.3">
      <c r="A475" s="290">
        <f t="shared" si="55"/>
        <v>0</v>
      </c>
      <c r="B475" s="49"/>
      <c r="C475" s="49"/>
      <c r="D475" s="140" t="s">
        <v>199</v>
      </c>
      <c r="E475" s="49" t="str">
        <f>VLOOKUP(D475,'03. Insumos'!A:D,2,0)</f>
        <v>Argamassa colante 20kg</v>
      </c>
      <c r="F475" s="52" t="s">
        <v>2612</v>
      </c>
      <c r="G475" s="52" t="str">
        <f>VLOOKUP(D475,'03. Insumos'!A:F,3,0)</f>
        <v>uni</v>
      </c>
      <c r="H475" s="53">
        <v>1</v>
      </c>
      <c r="I475" s="141">
        <f>ROUND((H471*8)/20,0)</f>
        <v>80</v>
      </c>
      <c r="J475" s="54">
        <f t="shared" si="65"/>
        <v>21.9</v>
      </c>
      <c r="K475" s="54">
        <f>IF(A475=0,VLOOKUP(D475,'03. Insumos'!A:F,4,0),"")</f>
        <v>21.9</v>
      </c>
      <c r="L475" s="274">
        <f t="shared" si="66"/>
        <v>1752</v>
      </c>
      <c r="M475" s="153">
        <f t="shared" si="62"/>
        <v>4.7932223263586545E-4</v>
      </c>
      <c r="O475" s="148"/>
      <c r="R475" s="12"/>
    </row>
    <row r="476" spans="1:18" s="51" customFormat="1" ht="13.5" customHeight="1" outlineLevel="1" x14ac:dyDescent="0.3">
      <c r="A476" s="290">
        <f t="shared" si="55"/>
        <v>0</v>
      </c>
      <c r="B476" s="49"/>
      <c r="C476" s="49"/>
      <c r="D476" s="140" t="s">
        <v>772</v>
      </c>
      <c r="E476" s="49" t="str">
        <f>VLOOKUP(D476,'03. Insumos'!A:D,2,0)</f>
        <v xml:space="preserve">Rejunte acrílico Portokoll </v>
      </c>
      <c r="F476" s="52" t="s">
        <v>2612</v>
      </c>
      <c r="G476" s="52" t="str">
        <f>VLOOKUP(D476,'03. Insumos'!A:F,3,0)</f>
        <v>Kg</v>
      </c>
      <c r="H476" s="53">
        <v>1</v>
      </c>
      <c r="I476" s="141">
        <v>35</v>
      </c>
      <c r="J476" s="54">
        <f t="shared" si="65"/>
        <v>19.87</v>
      </c>
      <c r="K476" s="54">
        <f>IF(A476=0,VLOOKUP(D476,'03. Insumos'!A:F,4,0),"")</f>
        <v>19.87</v>
      </c>
      <c r="L476" s="274">
        <f t="shared" si="66"/>
        <v>695.45</v>
      </c>
      <c r="M476" s="153">
        <f t="shared" si="62"/>
        <v>1.9026520929601179E-4</v>
      </c>
      <c r="O476" s="148"/>
      <c r="R476" s="12"/>
    </row>
    <row r="477" spans="1:18" s="51" customFormat="1" ht="13.5" customHeight="1" outlineLevel="1" x14ac:dyDescent="0.3">
      <c r="A477" s="290">
        <f t="shared" si="55"/>
        <v>0</v>
      </c>
      <c r="B477" s="49"/>
      <c r="C477" s="49"/>
      <c r="D477" s="140" t="s">
        <v>773</v>
      </c>
      <c r="E477" s="49" t="str">
        <f>VLOOKUP(D477,'03. Insumos'!A:D,2,0)</f>
        <v>Espaçador - Cunha</v>
      </c>
      <c r="F477" s="52" t="s">
        <v>2612</v>
      </c>
      <c r="G477" s="52" t="str">
        <f>VLOOKUP(D477,'03. Insumos'!A:F,3,0)</f>
        <v>50 pcs</v>
      </c>
      <c r="H477" s="53">
        <v>1</v>
      </c>
      <c r="I477" s="141">
        <f>ROUNDUP(((H471*5)/100),0)</f>
        <v>11</v>
      </c>
      <c r="J477" s="54">
        <f t="shared" si="65"/>
        <v>22.17</v>
      </c>
      <c r="K477" s="54">
        <f>IF(A477=0,VLOOKUP(D477,'03. Insumos'!A:F,4,0),"")</f>
        <v>22.17</v>
      </c>
      <c r="L477" s="274">
        <f t="shared" si="66"/>
        <v>243.87</v>
      </c>
      <c r="M477" s="153">
        <f t="shared" si="62"/>
        <v>6.6719356662619018E-5</v>
      </c>
      <c r="O477" s="148"/>
      <c r="R477" s="12"/>
    </row>
    <row r="478" spans="1:18" s="59" customFormat="1" ht="13.5" customHeight="1" outlineLevel="1" x14ac:dyDescent="0.3">
      <c r="A478" s="290">
        <f t="shared" si="55"/>
        <v>6</v>
      </c>
      <c r="B478" s="55"/>
      <c r="C478" s="55" t="s">
        <v>1513</v>
      </c>
      <c r="D478" s="55" t="s">
        <v>2423</v>
      </c>
      <c r="E478" s="55"/>
      <c r="F478" s="56"/>
      <c r="G478" s="56" t="s">
        <v>73</v>
      </c>
      <c r="H478" s="57">
        <v>27.15</v>
      </c>
      <c r="I478" s="57"/>
      <c r="J478" s="58"/>
      <c r="K478" s="58" t="str">
        <f>IF(A478=0,VLOOKUP(D478,'03. Insumos'!A:F,4,0),"")</f>
        <v/>
      </c>
      <c r="L478" s="58">
        <f>SUM(L479:L481)</f>
        <v>8093.6784999999991</v>
      </c>
      <c r="M478" s="153">
        <f t="shared" si="62"/>
        <v>2.2143150963795104E-3</v>
      </c>
      <c r="O478" s="148">
        <f>IF(I478&lt;&gt;0,I478*H478*K478,)</f>
        <v>0</v>
      </c>
      <c r="R478" s="12">
        <f>IF(J478&lt;&gt;0,J478/1.03-K478,0)</f>
        <v>0</v>
      </c>
    </row>
    <row r="479" spans="1:18" s="51" customFormat="1" ht="13.5" customHeight="1" outlineLevel="1" x14ac:dyDescent="0.3">
      <c r="A479" s="290">
        <f t="shared" si="55"/>
        <v>0</v>
      </c>
      <c r="B479" s="49"/>
      <c r="C479" s="49"/>
      <c r="D479" s="140" t="s">
        <v>2425</v>
      </c>
      <c r="E479" s="49" t="str">
        <f>VLOOKUP(D479,'03. Insumos'!A:D,2,0)</f>
        <v>Material - Cerâmica Jatobá 5x5 Verde Etna</v>
      </c>
      <c r="F479" s="52" t="s">
        <v>2613</v>
      </c>
      <c r="G479" s="52" t="str">
        <f>VLOOKUP(D479,'03. Insumos'!A:F,3,0)</f>
        <v>m²</v>
      </c>
      <c r="H479" s="53">
        <v>1</v>
      </c>
      <c r="I479" s="141">
        <f>H478*1.15</f>
        <v>31.222499999999997</v>
      </c>
      <c r="J479" s="54">
        <f>IFERROR(IF(K479&lt;&gt;0,K479*$K$5,0),0)</f>
        <v>202.6</v>
      </c>
      <c r="K479" s="54">
        <f>IF(A479=0,VLOOKUP(D479,'03. Insumos'!A:F,4,0),"")</f>
        <v>202.6</v>
      </c>
      <c r="L479" s="274">
        <f>H479*J479*I479</f>
        <v>6325.6784999999991</v>
      </c>
      <c r="M479" s="153">
        <f t="shared" si="62"/>
        <v>1.7306154917561029E-3</v>
      </c>
      <c r="O479" s="148">
        <f>IF(I479&lt;&gt;0,I479*H479*K479,)</f>
        <v>6325.6784999999991</v>
      </c>
      <c r="R479" s="12">
        <f>IF(J479&lt;&gt;0,J479/1.03-K479,0)</f>
        <v>-5.9009708737864059</v>
      </c>
    </row>
    <row r="480" spans="1:18" s="51" customFormat="1" ht="13.5" customHeight="1" outlineLevel="1" x14ac:dyDescent="0.3">
      <c r="A480" s="290">
        <f t="shared" si="55"/>
        <v>0</v>
      </c>
      <c r="B480" s="49"/>
      <c r="C480" s="49"/>
      <c r="D480" s="140" t="s">
        <v>2426</v>
      </c>
      <c r="E480" s="49" t="str">
        <f>VLOOKUP(D480,'03. Insumos'!A:D,2,0)</f>
        <v>Mão de obra - Assentamento Cerâmica Jatobá 5x5 Verde Etna</v>
      </c>
      <c r="F480" s="52" t="s">
        <v>2607</v>
      </c>
      <c r="G480" s="52" t="str">
        <f>VLOOKUP(D480,'03. Insumos'!A:F,3,0)</f>
        <v>m²</v>
      </c>
      <c r="H480" s="53">
        <v>1</v>
      </c>
      <c r="I480" s="141">
        <f>H478</f>
        <v>27.15</v>
      </c>
      <c r="J480" s="54">
        <f>IFERROR(IF(K480&lt;&gt;0,K480*$K$5,0),0)</f>
        <v>40</v>
      </c>
      <c r="K480" s="54">
        <f>IF(A480=0,VLOOKUP(D480,'03. Insumos'!A:F,4,0),"")</f>
        <v>40</v>
      </c>
      <c r="L480" s="274">
        <f>H480*J480*I480</f>
        <v>1086</v>
      </c>
      <c r="M480" s="153">
        <f t="shared" si="62"/>
        <v>2.9711412365442347E-4</v>
      </c>
      <c r="O480" s="148"/>
      <c r="R480" s="12"/>
    </row>
    <row r="481" spans="1:18" s="59" customFormat="1" ht="13.5" customHeight="1" outlineLevel="1" x14ac:dyDescent="0.3">
      <c r="A481" s="290">
        <f t="shared" si="55"/>
        <v>0</v>
      </c>
      <c r="B481" s="55"/>
      <c r="C481" s="55"/>
      <c r="D481" s="140" t="s">
        <v>2557</v>
      </c>
      <c r="E481" s="49" t="str">
        <f>VLOOKUP(D481,'03. Insumos'!A:D,2,0)</f>
        <v xml:space="preserve">Argamassa Pastilhas e Mosaicos Interno e Externo Branco 20kg Axton
</v>
      </c>
      <c r="F481" s="52" t="s">
        <v>2612</v>
      </c>
      <c r="G481" s="52" t="str">
        <f>VLOOKUP(D481,'03. Insumos'!A:F,3,0)</f>
        <v>Unid</v>
      </c>
      <c r="H481" s="53">
        <v>1</v>
      </c>
      <c r="I481" s="141">
        <f>ROUND((H478*8)/20,0)</f>
        <v>11</v>
      </c>
      <c r="J481" s="54">
        <f>IFERROR(IF(K481&lt;&gt;0,K481*$K$5,0),0)</f>
        <v>62</v>
      </c>
      <c r="K481" s="54">
        <f>IF(A481=0,VLOOKUP(D481,'03. Insumos'!A:F,4,0),"")</f>
        <v>62</v>
      </c>
      <c r="L481" s="274">
        <f>H481*J481*I481</f>
        <v>682</v>
      </c>
      <c r="M481" s="153">
        <f t="shared" si="62"/>
        <v>1.8658548096898417E-4</v>
      </c>
      <c r="O481" s="148">
        <f>IF(I481&lt;&gt;0,I481*H481*K481,)</f>
        <v>682</v>
      </c>
      <c r="R481" s="12">
        <f>IF(J481&lt;&gt;0,J481/1.03-K481,0)</f>
        <v>-1.8058252427184485</v>
      </c>
    </row>
    <row r="482" spans="1:18" s="59" customFormat="1" ht="13.5" customHeight="1" outlineLevel="1" x14ac:dyDescent="0.3">
      <c r="A482" s="290">
        <f t="shared" si="55"/>
        <v>6</v>
      </c>
      <c r="B482" s="55"/>
      <c r="C482" s="55" t="s">
        <v>1513</v>
      </c>
      <c r="D482" s="55" t="s">
        <v>2443</v>
      </c>
      <c r="E482" s="55"/>
      <c r="F482" s="56"/>
      <c r="G482" s="56" t="s">
        <v>73</v>
      </c>
      <c r="H482" s="57">
        <v>8.66</v>
      </c>
      <c r="I482" s="57"/>
      <c r="J482" s="58"/>
      <c r="K482" s="58" t="str">
        <f>IF(A482=0,VLOOKUP(D482,'03. Insumos'!A:F,4,0),"")</f>
        <v/>
      </c>
      <c r="L482" s="58">
        <f>SUM(L483:L485)</f>
        <v>2899.7582200000002</v>
      </c>
      <c r="M482" s="153">
        <f t="shared" si="62"/>
        <v>7.9333252517956802E-4</v>
      </c>
      <c r="O482" s="148">
        <f>IF(I482&lt;&gt;0,I482*H482*K482,)</f>
        <v>0</v>
      </c>
      <c r="R482" s="12">
        <f>IF(J482&lt;&gt;0,J482/1.03-K482,0)</f>
        <v>0</v>
      </c>
    </row>
    <row r="483" spans="1:18" s="51" customFormat="1" ht="13.5" customHeight="1" outlineLevel="1" x14ac:dyDescent="0.3">
      <c r="A483" s="290">
        <f t="shared" si="55"/>
        <v>0</v>
      </c>
      <c r="B483" s="49"/>
      <c r="C483" s="49"/>
      <c r="D483" s="140" t="s">
        <v>2446</v>
      </c>
      <c r="E483" s="49" t="str">
        <f>VLOOKUP(D483,'03. Insumos'!A:D,2,0)</f>
        <v>Material - Fornecimento de pedra Hijau bruta - 10 x 10</v>
      </c>
      <c r="F483" s="52" t="s">
        <v>2613</v>
      </c>
      <c r="G483" s="52" t="str">
        <f>VLOOKUP(D483,'03. Insumos'!A:F,3,0)</f>
        <v>m²</v>
      </c>
      <c r="H483" s="53">
        <v>1</v>
      </c>
      <c r="I483" s="141">
        <f>H482*1.15</f>
        <v>9.9589999999999996</v>
      </c>
      <c r="J483" s="54">
        <f>IFERROR(IF(K483&lt;&gt;0,K483*$K$5,0),0)</f>
        <v>198.58</v>
      </c>
      <c r="K483" s="54">
        <f>IF(A483=0,VLOOKUP(D483,'03. Insumos'!A:F,4,0),"")</f>
        <v>198.58</v>
      </c>
      <c r="L483" s="274">
        <f>H483*J483*I483</f>
        <v>1977.65822</v>
      </c>
      <c r="M483" s="153">
        <f t="shared" si="62"/>
        <v>5.4105910582252943E-4</v>
      </c>
      <c r="O483" s="148">
        <f>IF(I483&lt;&gt;0,I483*H483*K483,)</f>
        <v>1977.65822</v>
      </c>
      <c r="R483" s="12">
        <f>IF(J483&lt;&gt;0,J483/1.03-K483,0)</f>
        <v>-5.7838834951456306</v>
      </c>
    </row>
    <row r="484" spans="1:18" s="51" customFormat="1" ht="13.5" customHeight="1" outlineLevel="1" x14ac:dyDescent="0.3">
      <c r="A484" s="290">
        <f t="shared" si="55"/>
        <v>0</v>
      </c>
      <c r="B484" s="49"/>
      <c r="C484" s="49"/>
      <c r="D484" s="140" t="s">
        <v>2447</v>
      </c>
      <c r="E484" s="49" t="str">
        <f>VLOOKUP(D484,'03. Insumos'!A:D,2,0)</f>
        <v>Mão de obra - Assentamento de de pedra Hijau bruta - 10 x 10</v>
      </c>
      <c r="F484" s="52" t="s">
        <v>2607</v>
      </c>
      <c r="G484" s="52" t="str">
        <f>VLOOKUP(D484,'03. Insumos'!A:F,3,0)</f>
        <v>m²</v>
      </c>
      <c r="H484" s="53">
        <v>1</v>
      </c>
      <c r="I484" s="141">
        <f>H482</f>
        <v>8.66</v>
      </c>
      <c r="J484" s="54">
        <f>IFERROR(IF(K484&lt;&gt;0,K484*$K$5,0),0)</f>
        <v>85</v>
      </c>
      <c r="K484" s="54">
        <f>IF(A484=0,VLOOKUP(D484,'03. Insumos'!A:F,4,0),"")</f>
        <v>85</v>
      </c>
      <c r="L484" s="274">
        <f>H484*J484*I484</f>
        <v>736.1</v>
      </c>
      <c r="M484" s="153">
        <f t="shared" si="62"/>
        <v>2.0138647000186107E-4</v>
      </c>
      <c r="O484" s="148"/>
      <c r="R484" s="12"/>
    </row>
    <row r="485" spans="1:18" s="59" customFormat="1" ht="13.5" customHeight="1" outlineLevel="1" x14ac:dyDescent="0.3">
      <c r="A485" s="290">
        <f t="shared" si="55"/>
        <v>0</v>
      </c>
      <c r="B485" s="55"/>
      <c r="C485" s="55"/>
      <c r="D485" s="140" t="s">
        <v>2557</v>
      </c>
      <c r="E485" s="49" t="str">
        <f>VLOOKUP(D485,'03. Insumos'!A:D,2,0)</f>
        <v xml:space="preserve">Argamassa Pastilhas e Mosaicos Interno e Externo Branco 20kg Axton
</v>
      </c>
      <c r="F485" s="52" t="s">
        <v>2612</v>
      </c>
      <c r="G485" s="52" t="str">
        <f>VLOOKUP(D485,'03. Insumos'!A:F,3,0)</f>
        <v>Unid</v>
      </c>
      <c r="H485" s="53">
        <v>1</v>
      </c>
      <c r="I485" s="141">
        <f>ROUND((H482*8)/20,0)</f>
        <v>3</v>
      </c>
      <c r="J485" s="54">
        <f>IFERROR(IF(K485&lt;&gt;0,K485*$K$5,0),0)</f>
        <v>62</v>
      </c>
      <c r="K485" s="54">
        <f>IF(A485=0,VLOOKUP(D485,'03. Insumos'!A:F,4,0),"")</f>
        <v>62</v>
      </c>
      <c r="L485" s="274">
        <f>H485*J485*I485</f>
        <v>186</v>
      </c>
      <c r="M485" s="153">
        <f t="shared" si="62"/>
        <v>5.0886949355177499E-5</v>
      </c>
      <c r="O485" s="148">
        <f>IF(I485&lt;&gt;0,I485*H485*K485,)</f>
        <v>186</v>
      </c>
      <c r="R485" s="12">
        <f>IF(J485&lt;&gt;0,J485/1.03-K485,0)</f>
        <v>-1.8058252427184485</v>
      </c>
    </row>
    <row r="486" spans="1:18" s="59" customFormat="1" ht="13.5" customHeight="1" outlineLevel="1" x14ac:dyDescent="0.3">
      <c r="A486" s="290">
        <f t="shared" si="55"/>
        <v>6</v>
      </c>
      <c r="B486" s="55"/>
      <c r="C486" s="55" t="s">
        <v>1513</v>
      </c>
      <c r="D486" s="55" t="s">
        <v>2406</v>
      </c>
      <c r="E486" s="55"/>
      <c r="F486" s="56"/>
      <c r="G486" s="56" t="s">
        <v>73</v>
      </c>
      <c r="H486" s="57">
        <v>12.96</v>
      </c>
      <c r="I486" s="57"/>
      <c r="J486" s="58"/>
      <c r="K486" s="58" t="str">
        <f>IF(A486=0,VLOOKUP(D486,'03. Insumos'!A:F,4,0),"")</f>
        <v/>
      </c>
      <c r="L486" s="58">
        <f>SUM(L487:L491)</f>
        <v>2607.2359999999999</v>
      </c>
      <c r="M486" s="153">
        <f t="shared" si="62"/>
        <v>7.1330261445696531E-4</v>
      </c>
      <c r="O486" s="148">
        <f>IF(I486&lt;&gt;0,I486*H486*K486,)</f>
        <v>0</v>
      </c>
      <c r="R486" s="12">
        <f>IF(J486&lt;&gt;0,J486/1.03-K486,0)</f>
        <v>0</v>
      </c>
    </row>
    <row r="487" spans="1:18" s="51" customFormat="1" ht="13.5" customHeight="1" outlineLevel="1" x14ac:dyDescent="0.3">
      <c r="A487" s="290">
        <f t="shared" si="55"/>
        <v>0</v>
      </c>
      <c r="B487" s="49"/>
      <c r="C487" s="49"/>
      <c r="D487" s="140" t="s">
        <v>2404</v>
      </c>
      <c r="E487" s="49" t="str">
        <f>VLOOKUP(D487,'03. Insumos'!A:D,2,0)</f>
        <v>Material - Fornecimento de Luminosita Statuario polido - 60 x 120</v>
      </c>
      <c r="F487" s="52" t="s">
        <v>2613</v>
      </c>
      <c r="G487" s="52" t="str">
        <f>VLOOKUP(D487,'03. Insumos'!A:F,3,0)</f>
        <v>m²</v>
      </c>
      <c r="H487" s="53">
        <v>1</v>
      </c>
      <c r="I487" s="141">
        <f>H486*1.15</f>
        <v>14.904</v>
      </c>
      <c r="J487" s="54">
        <f>IFERROR(IF(K487&lt;&gt;0,K487*$K$5,0),0)</f>
        <v>129</v>
      </c>
      <c r="K487" s="54">
        <f>IF(A487=0,VLOOKUP(D487,'03. Insumos'!A:F,4,0),"")</f>
        <v>129</v>
      </c>
      <c r="L487" s="274">
        <f>H487*J487*I487</f>
        <v>1922.616</v>
      </c>
      <c r="M487" s="153">
        <f t="shared" si="62"/>
        <v>5.260003388250212E-4</v>
      </c>
      <c r="O487" s="148">
        <f>IF(I487&lt;&gt;0,I487*H487*K487,)</f>
        <v>1922.616</v>
      </c>
      <c r="R487" s="12">
        <f>IF(J487&lt;&gt;0,J487/1.03-K487,0)</f>
        <v>-3.7572815533980588</v>
      </c>
    </row>
    <row r="488" spans="1:18" s="51" customFormat="1" ht="13.5" customHeight="1" outlineLevel="1" x14ac:dyDescent="0.3">
      <c r="A488" s="290">
        <f t="shared" si="55"/>
        <v>0</v>
      </c>
      <c r="B488" s="49"/>
      <c r="C488" s="49"/>
      <c r="D488" s="140" t="s">
        <v>2405</v>
      </c>
      <c r="E488" s="49" t="str">
        <f>VLOOKUP(D488,'03. Insumos'!A:D,2,0)</f>
        <v>Mão de obra - Assentamento até 60x60cm</v>
      </c>
      <c r="F488" s="52" t="s">
        <v>2607</v>
      </c>
      <c r="G488" s="52" t="str">
        <f>VLOOKUP(D488,'03. Insumos'!A:F,3,0)</f>
        <v>m²</v>
      </c>
      <c r="H488" s="53">
        <v>1</v>
      </c>
      <c r="I488" s="141">
        <f>H486</f>
        <v>12.96</v>
      </c>
      <c r="J488" s="54">
        <f>IFERROR(IF(K488&lt;&gt;0,K488*$K$5,0),0)</f>
        <v>35</v>
      </c>
      <c r="K488" s="54">
        <f>IF(A488=0,VLOOKUP(D488,'03. Insumos'!A:F,4,0),"")</f>
        <v>35</v>
      </c>
      <c r="L488" s="274">
        <f>H488*J488*I488</f>
        <v>453.6</v>
      </c>
      <c r="M488" s="153">
        <f t="shared" si="62"/>
        <v>1.2409849584681996E-4</v>
      </c>
      <c r="O488" s="148"/>
      <c r="R488" s="12"/>
    </row>
    <row r="489" spans="1:18" s="59" customFormat="1" ht="13.5" customHeight="1" outlineLevel="1" x14ac:dyDescent="0.3">
      <c r="A489" s="290">
        <f t="shared" si="55"/>
        <v>0</v>
      </c>
      <c r="B489" s="55"/>
      <c r="C489" s="55"/>
      <c r="D489" s="140" t="s">
        <v>199</v>
      </c>
      <c r="E489" s="49" t="str">
        <f>VLOOKUP(D489,'03. Insumos'!A:D,2,0)</f>
        <v>Argamassa colante 20kg</v>
      </c>
      <c r="F489" s="52" t="s">
        <v>2612</v>
      </c>
      <c r="G489" s="52" t="str">
        <f>VLOOKUP(D489,'03. Insumos'!A:F,3,0)</f>
        <v>uni</v>
      </c>
      <c r="H489" s="53">
        <v>1</v>
      </c>
      <c r="I489" s="141">
        <f>ROUND((H486*8)/20,0)</f>
        <v>5</v>
      </c>
      <c r="J489" s="54">
        <f>IFERROR(IF(K489&lt;&gt;0,K489*$K$5,0),0)</f>
        <v>21.9</v>
      </c>
      <c r="K489" s="54">
        <f>IF(A489=0,VLOOKUP(D489,'03. Insumos'!A:F,4,0),"")</f>
        <v>21.9</v>
      </c>
      <c r="L489" s="274">
        <f>H489*J489*I489</f>
        <v>109.5</v>
      </c>
      <c r="M489" s="153">
        <f t="shared" si="62"/>
        <v>2.9957639539741591E-5</v>
      </c>
      <c r="O489" s="148">
        <f>IF(I489&lt;&gt;0,I489*H489*K489,)</f>
        <v>109.5</v>
      </c>
      <c r="R489" s="12">
        <f>IF(J489&lt;&gt;0,J489/1.03-K489,0)</f>
        <v>-0.63786407766990294</v>
      </c>
    </row>
    <row r="490" spans="1:18" s="51" customFormat="1" ht="13.5" customHeight="1" outlineLevel="1" x14ac:dyDescent="0.3">
      <c r="A490" s="290">
        <f t="shared" si="55"/>
        <v>0</v>
      </c>
      <c r="B490" s="49"/>
      <c r="C490" s="49"/>
      <c r="D490" s="140" t="s">
        <v>772</v>
      </c>
      <c r="E490" s="49" t="str">
        <f>VLOOKUP(D490,'03. Insumos'!A:D,2,0)</f>
        <v xml:space="preserve">Rejunte acrílico Portokoll </v>
      </c>
      <c r="F490" s="52" t="s">
        <v>2612</v>
      </c>
      <c r="G490" s="52" t="str">
        <f>VLOOKUP(D490,'03. Insumos'!A:F,3,0)</f>
        <v>Kg</v>
      </c>
      <c r="H490" s="53">
        <v>1</v>
      </c>
      <c r="I490" s="141">
        <f>ROUNDUP((H486*0.35),0)</f>
        <v>5</v>
      </c>
      <c r="J490" s="54">
        <f>IFERROR(IF(K490&lt;&gt;0,K490*$K$5,0),0)</f>
        <v>19.87</v>
      </c>
      <c r="K490" s="54">
        <f>IF(A490=0,VLOOKUP(D490,'03. Insumos'!A:F,4,0),"")</f>
        <v>19.87</v>
      </c>
      <c r="L490" s="274">
        <f>H490*J490*I490</f>
        <v>99.350000000000009</v>
      </c>
      <c r="M490" s="153">
        <f t="shared" si="62"/>
        <v>2.7180744185144542E-5</v>
      </c>
      <c r="O490" s="148">
        <f>IF(I490&lt;&gt;0,I490*H490*K490,)</f>
        <v>99.350000000000009</v>
      </c>
      <c r="R490" s="12">
        <f>IF(J490&lt;&gt;0,J490/1.03-K490,0)</f>
        <v>-0.57873786407767014</v>
      </c>
    </row>
    <row r="491" spans="1:18" s="51" customFormat="1" ht="13.5" customHeight="1" outlineLevel="1" x14ac:dyDescent="0.3">
      <c r="A491" s="290">
        <f t="shared" si="55"/>
        <v>0</v>
      </c>
      <c r="B491" s="49"/>
      <c r="C491" s="49"/>
      <c r="D491" s="140" t="s">
        <v>773</v>
      </c>
      <c r="E491" s="49" t="str">
        <f>VLOOKUP(D491,'03. Insumos'!A:D,2,0)</f>
        <v>Espaçador - Cunha</v>
      </c>
      <c r="F491" s="52" t="s">
        <v>2612</v>
      </c>
      <c r="G491" s="52" t="str">
        <f>VLOOKUP(D491,'03. Insumos'!A:F,3,0)</f>
        <v>50 pcs</v>
      </c>
      <c r="H491" s="53">
        <v>1</v>
      </c>
      <c r="I491" s="141">
        <f>ROUNDUP(((H486*5)/100),0)</f>
        <v>1</v>
      </c>
      <c r="J491" s="54">
        <f>IFERROR(IF(K491&lt;&gt;0,K491*$K$5,0),0)</f>
        <v>22.17</v>
      </c>
      <c r="K491" s="54">
        <f>IF(A491=0,VLOOKUP(D491,'03. Insumos'!A:F,4,0),"")</f>
        <v>22.17</v>
      </c>
      <c r="L491" s="274">
        <f>H491*J491*I491</f>
        <v>22.17</v>
      </c>
      <c r="M491" s="153">
        <f t="shared" si="62"/>
        <v>6.0653960602380926E-6</v>
      </c>
      <c r="O491" s="148">
        <f>IF(I491&lt;&gt;0,I491*H491*K491,)</f>
        <v>22.17</v>
      </c>
      <c r="R491" s="12">
        <f>IF(J491&lt;&gt;0,J491/1.03-K491,0)</f>
        <v>-0.64572815533980688</v>
      </c>
    </row>
    <row r="492" spans="1:18" s="59" customFormat="1" ht="13.5" customHeight="1" outlineLevel="1" x14ac:dyDescent="0.3">
      <c r="A492" s="290">
        <f t="shared" si="55"/>
        <v>6</v>
      </c>
      <c r="B492" s="55"/>
      <c r="C492" s="55" t="s">
        <v>1513</v>
      </c>
      <c r="D492" s="55" t="s">
        <v>2448</v>
      </c>
      <c r="E492" s="55"/>
      <c r="F492" s="56"/>
      <c r="G492" s="56" t="s">
        <v>73</v>
      </c>
      <c r="H492" s="57">
        <v>131.1</v>
      </c>
      <c r="I492" s="57"/>
      <c r="J492" s="58"/>
      <c r="K492" s="58" t="str">
        <f>IF(A492=0,VLOOKUP(D492,'03. Insumos'!A:F,4,0),"")</f>
        <v/>
      </c>
      <c r="L492" s="58">
        <f>SUM(L493:L497)</f>
        <v>43880.001700000008</v>
      </c>
      <c r="M492" s="153">
        <f t="shared" si="62"/>
        <v>1.2004943140930124E-2</v>
      </c>
      <c r="O492" s="148">
        <f>IF(I492&lt;&gt;0,I492*H492*K492,)</f>
        <v>0</v>
      </c>
      <c r="R492" s="12">
        <f>IF(J492&lt;&gt;0,J492/1.03-K492,0)</f>
        <v>0</v>
      </c>
    </row>
    <row r="493" spans="1:18" s="51" customFormat="1" ht="13.5" customHeight="1" outlineLevel="1" x14ac:dyDescent="0.3">
      <c r="A493" s="290">
        <f t="shared" si="55"/>
        <v>0</v>
      </c>
      <c r="B493" s="49"/>
      <c r="C493" s="49"/>
      <c r="D493" s="140" t="s">
        <v>2449</v>
      </c>
      <c r="E493" s="49" t="str">
        <f>VLOOKUP(D493,'03. Insumos'!A:D,2,0)</f>
        <v>Material - Fornecimento de LM Koronis Ext Wh pol - 120 x 120</v>
      </c>
      <c r="F493" s="52" t="s">
        <v>2613</v>
      </c>
      <c r="G493" s="52" t="str">
        <f>VLOOKUP(D493,'03. Insumos'!A:F,3,0)</f>
        <v>m²</v>
      </c>
      <c r="H493" s="53">
        <v>1</v>
      </c>
      <c r="I493" s="141">
        <f>H492*1.1</f>
        <v>144.21</v>
      </c>
      <c r="J493" s="54">
        <f>IFERROR(IF(K493&lt;&gt;0,K493*$K$5,0),0)</f>
        <v>242.27</v>
      </c>
      <c r="K493" s="54">
        <f>IF(A493=0,VLOOKUP(D493,'03. Insumos'!A:F,4,0),"")</f>
        <v>242.27</v>
      </c>
      <c r="L493" s="274">
        <f>H493*J493*I493</f>
        <v>34937.756700000005</v>
      </c>
      <c r="M493" s="153">
        <f t="shared" si="62"/>
        <v>9.5584723428839436E-3</v>
      </c>
      <c r="O493" s="148">
        <f>IF(I493&lt;&gt;0,I493*H493*K493,)</f>
        <v>34937.756700000005</v>
      </c>
      <c r="R493" s="12">
        <f>IF(J493&lt;&gt;0,J493/1.03-K493,0)</f>
        <v>-7.0564077669903043</v>
      </c>
    </row>
    <row r="494" spans="1:18" s="51" customFormat="1" ht="13.5" customHeight="1" outlineLevel="1" x14ac:dyDescent="0.3">
      <c r="A494" s="290">
        <f t="shared" si="55"/>
        <v>0</v>
      </c>
      <c r="B494" s="49"/>
      <c r="C494" s="49"/>
      <c r="D494" s="140" t="s">
        <v>2450</v>
      </c>
      <c r="E494" s="49" t="str">
        <f>VLOOKUP(D494,'03. Insumos'!A:D,2,0)</f>
        <v>Mão de obra - Assentamento de LM Koronis Ext Wh pol - 120 x 120</v>
      </c>
      <c r="F494" s="52" t="s">
        <v>2607</v>
      </c>
      <c r="G494" s="52" t="str">
        <f>VLOOKUP(D494,'03. Insumos'!A:F,3,0)</f>
        <v>m²</v>
      </c>
      <c r="H494" s="53">
        <v>1</v>
      </c>
      <c r="I494" s="141">
        <f>H492</f>
        <v>131.1</v>
      </c>
      <c r="J494" s="54">
        <f>IFERROR(IF(K494&lt;&gt;0,K494*$K$5,0),0)</f>
        <v>54.55</v>
      </c>
      <c r="K494" s="54">
        <f>IF(A494=0,VLOOKUP(D494,'03. Insumos'!A:F,4,0),"")</f>
        <v>54.55</v>
      </c>
      <c r="L494" s="274">
        <f>H494*J494*I494</f>
        <v>7151.5049999999992</v>
      </c>
      <c r="M494" s="153">
        <f t="shared" si="62"/>
        <v>1.9565498534854764E-3</v>
      </c>
      <c r="O494" s="148"/>
      <c r="R494" s="12"/>
    </row>
    <row r="495" spans="1:18" s="59" customFormat="1" ht="13.5" customHeight="1" outlineLevel="1" x14ac:dyDescent="0.3">
      <c r="A495" s="290">
        <f t="shared" si="55"/>
        <v>0</v>
      </c>
      <c r="B495" s="55"/>
      <c r="C495" s="55"/>
      <c r="D495" s="140" t="s">
        <v>199</v>
      </c>
      <c r="E495" s="49" t="str">
        <f>VLOOKUP(D495,'03. Insumos'!A:D,2,0)</f>
        <v>Argamassa colante 20kg</v>
      </c>
      <c r="F495" s="52" t="s">
        <v>2612</v>
      </c>
      <c r="G495" s="52" t="str">
        <f>VLOOKUP(D495,'03. Insumos'!A:F,3,0)</f>
        <v>uni</v>
      </c>
      <c r="H495" s="53">
        <v>1</v>
      </c>
      <c r="I495" s="141">
        <f>ROUND((H492*8)/20,0)</f>
        <v>52</v>
      </c>
      <c r="J495" s="54">
        <f>IFERROR(IF(K495&lt;&gt;0,K495*$K$5,0),0)</f>
        <v>21.9</v>
      </c>
      <c r="K495" s="54">
        <f>IF(A495=0,VLOOKUP(D495,'03. Insumos'!A:F,4,0),"")</f>
        <v>21.9</v>
      </c>
      <c r="L495" s="274">
        <f>H495*J495*I495</f>
        <v>1138.8</v>
      </c>
      <c r="M495" s="153">
        <f t="shared" si="62"/>
        <v>3.1155945121331253E-4</v>
      </c>
      <c r="O495" s="148">
        <f>IF(I495&lt;&gt;0,I495*H495*K495,)</f>
        <v>1138.8</v>
      </c>
      <c r="R495" s="12">
        <f>IF(J495&lt;&gt;0,J495/1.03-K495,0)</f>
        <v>-0.63786407766990294</v>
      </c>
    </row>
    <row r="496" spans="1:18" s="51" customFormat="1" ht="13.5" customHeight="1" outlineLevel="1" x14ac:dyDescent="0.3">
      <c r="A496" s="290">
        <f t="shared" si="55"/>
        <v>0</v>
      </c>
      <c r="B496" s="49"/>
      <c r="C496" s="49"/>
      <c r="D496" s="140" t="s">
        <v>772</v>
      </c>
      <c r="E496" s="49" t="str">
        <f>VLOOKUP(D496,'03. Insumos'!A:D,2,0)</f>
        <v xml:space="preserve">Rejunte acrílico Portokoll </v>
      </c>
      <c r="F496" s="52" t="s">
        <v>2612</v>
      </c>
      <c r="G496" s="52" t="str">
        <f>VLOOKUP(D496,'03. Insumos'!A:F,3,0)</f>
        <v>Kg</v>
      </c>
      <c r="H496" s="53">
        <v>1</v>
      </c>
      <c r="I496" s="141">
        <v>25</v>
      </c>
      <c r="J496" s="54">
        <f>IFERROR(IF(K496&lt;&gt;0,K496*$K$5,0),0)</f>
        <v>19.87</v>
      </c>
      <c r="K496" s="54">
        <f>IF(A496=0,VLOOKUP(D496,'03. Insumos'!A:F,4,0),"")</f>
        <v>19.87</v>
      </c>
      <c r="L496" s="274">
        <f>H496*J496*I496</f>
        <v>496.75</v>
      </c>
      <c r="M496" s="153">
        <f t="shared" si="62"/>
        <v>1.359037209257227E-4</v>
      </c>
      <c r="O496" s="148">
        <f>IF(I496&lt;&gt;0,I496*H496*K496,)</f>
        <v>496.75</v>
      </c>
      <c r="R496" s="12">
        <f>IF(J496&lt;&gt;0,J496/1.03-K496,0)</f>
        <v>-0.57873786407767014</v>
      </c>
    </row>
    <row r="497" spans="1:18" s="51" customFormat="1" ht="13.5" customHeight="1" outlineLevel="1" x14ac:dyDescent="0.3">
      <c r="A497" s="290">
        <f t="shared" si="55"/>
        <v>0</v>
      </c>
      <c r="B497" s="49"/>
      <c r="C497" s="49"/>
      <c r="D497" s="140" t="s">
        <v>773</v>
      </c>
      <c r="E497" s="49" t="str">
        <f>VLOOKUP(D497,'03. Insumos'!A:D,2,0)</f>
        <v>Espaçador - Cunha</v>
      </c>
      <c r="F497" s="52" t="s">
        <v>2612</v>
      </c>
      <c r="G497" s="52" t="str">
        <f>VLOOKUP(D497,'03. Insumos'!A:F,3,0)</f>
        <v>50 pcs</v>
      </c>
      <c r="H497" s="53">
        <v>1</v>
      </c>
      <c r="I497" s="141">
        <f>ROUNDUP(((H492*5)/100),0)</f>
        <v>7</v>
      </c>
      <c r="J497" s="54">
        <f>IFERROR(IF(K497&lt;&gt;0,K497*$K$5,0),0)</f>
        <v>22.17</v>
      </c>
      <c r="K497" s="54">
        <f>IF(A497=0,VLOOKUP(D497,'03. Insumos'!A:F,4,0),"")</f>
        <v>22.17</v>
      </c>
      <c r="L497" s="274">
        <f>H497*J497*I497</f>
        <v>155.19</v>
      </c>
      <c r="M497" s="153">
        <f t="shared" si="62"/>
        <v>4.2457772421666644E-5</v>
      </c>
      <c r="O497" s="148">
        <f>IF(I497&lt;&gt;0,I497*H497*K497,)</f>
        <v>155.19</v>
      </c>
      <c r="R497" s="12">
        <f>IF(J497&lt;&gt;0,J497/1.03-K497,0)</f>
        <v>-0.64572815533980688</v>
      </c>
    </row>
    <row r="498" spans="1:18" s="59" customFormat="1" ht="13.5" customHeight="1" outlineLevel="1" x14ac:dyDescent="0.3">
      <c r="A498" s="290">
        <f t="shared" si="55"/>
        <v>6</v>
      </c>
      <c r="B498" s="55"/>
      <c r="C498" s="55" t="s">
        <v>1513</v>
      </c>
      <c r="D498" s="55" t="s">
        <v>2453</v>
      </c>
      <c r="E498" s="55"/>
      <c r="F498" s="56"/>
      <c r="G498" s="56" t="s">
        <v>73</v>
      </c>
      <c r="H498" s="57">
        <v>73.709999999999994</v>
      </c>
      <c r="I498" s="57"/>
      <c r="J498" s="58"/>
      <c r="K498" s="58" t="str">
        <f>IF(A498=0,VLOOKUP(D498,'03. Insumos'!A:F,4,0),"")</f>
        <v/>
      </c>
      <c r="L498" s="58">
        <f>SUM(L499:L503)</f>
        <v>7988.0610549999992</v>
      </c>
      <c r="M498" s="153">
        <f t="shared" si="62"/>
        <v>2.1854196685583372E-3</v>
      </c>
      <c r="O498" s="148">
        <f>IF(I498&lt;&gt;0,I498*H498*K498,)</f>
        <v>0</v>
      </c>
      <c r="R498" s="12">
        <f>IF(J498&lt;&gt;0,J498/1.03-K498,0)</f>
        <v>0</v>
      </c>
    </row>
    <row r="499" spans="1:18" s="51" customFormat="1" ht="13.5" customHeight="1" outlineLevel="1" x14ac:dyDescent="0.3">
      <c r="A499" s="290">
        <f t="shared" si="55"/>
        <v>0</v>
      </c>
      <c r="B499" s="49"/>
      <c r="C499" s="49"/>
      <c r="D499" s="140" t="s">
        <v>2465</v>
      </c>
      <c r="E499" s="49" t="str">
        <f>VLOOKUP(D499,'03. Insumos'!A:D,2,0)</f>
        <v>Material - Fornecimento de piso intertravado</v>
      </c>
      <c r="F499" s="52" t="s">
        <v>2613</v>
      </c>
      <c r="G499" s="52" t="str">
        <f>VLOOKUP(D499,'03. Insumos'!A:F,3,0)</f>
        <v>m²</v>
      </c>
      <c r="H499" s="53">
        <v>1</v>
      </c>
      <c r="I499" s="141">
        <f>H498*1.1</f>
        <v>81.081000000000003</v>
      </c>
      <c r="J499" s="54">
        <f>IFERROR(IF(K499&lt;&gt;0,K499*$K$5,0),0)</f>
        <v>33.5</v>
      </c>
      <c r="K499" s="54">
        <f>IF(A499=0,VLOOKUP(D499,'03. Insumos'!A:F,4,0),"")</f>
        <v>33.5</v>
      </c>
      <c r="L499" s="274">
        <f>H499*J499*I499</f>
        <v>2716.2135000000003</v>
      </c>
      <c r="M499" s="153">
        <f t="shared" si="62"/>
        <v>7.4311730544273887E-4</v>
      </c>
      <c r="O499" s="148">
        <f>IF(I499&lt;&gt;0,I499*H499*K499,)</f>
        <v>2716.2135000000003</v>
      </c>
      <c r="R499" s="12">
        <f>IF(J499&lt;&gt;0,J499/1.03-K499,0)</f>
        <v>-0.97572815533980872</v>
      </c>
    </row>
    <row r="500" spans="1:18" s="51" customFormat="1" ht="13.5" customHeight="1" outlineLevel="1" x14ac:dyDescent="0.3">
      <c r="A500" s="290">
        <f t="shared" si="55"/>
        <v>0</v>
      </c>
      <c r="B500" s="49"/>
      <c r="C500" s="49"/>
      <c r="D500" s="140" t="s">
        <v>2554</v>
      </c>
      <c r="E500" s="49" t="str">
        <f>VLOOKUP(D500,'03. Insumos'!A:D,2,0)</f>
        <v>Mão de obra - Assentamento de piso intertravado</v>
      </c>
      <c r="F500" s="52" t="s">
        <v>2607</v>
      </c>
      <c r="G500" s="52" t="str">
        <f>VLOOKUP(D500,'03. Insumos'!A:F,3,0)</f>
        <v>m²</v>
      </c>
      <c r="H500" s="53">
        <v>1</v>
      </c>
      <c r="I500" s="141">
        <f>H498</f>
        <v>73.709999999999994</v>
      </c>
      <c r="J500" s="54">
        <f>IFERROR(IF(K500&lt;&gt;0,K500*$K$5,0),0)</f>
        <v>59</v>
      </c>
      <c r="K500" s="54">
        <f>IF(A500=0,VLOOKUP(D500,'03. Insumos'!A:F,4,0),"")</f>
        <v>59</v>
      </c>
      <c r="L500" s="274">
        <f>H500*J500*I500</f>
        <v>4348.8899999999994</v>
      </c>
      <c r="M500" s="153">
        <f t="shared" si="62"/>
        <v>1.1897943289313861E-3</v>
      </c>
      <c r="O500" s="148"/>
      <c r="R500" s="12"/>
    </row>
    <row r="501" spans="1:18" s="51" customFormat="1" ht="13.5" customHeight="1" outlineLevel="1" x14ac:dyDescent="0.3">
      <c r="A501" s="290">
        <f t="shared" si="55"/>
        <v>0</v>
      </c>
      <c r="B501" s="49"/>
      <c r="C501" s="49"/>
      <c r="D501" s="140" t="s">
        <v>481</v>
      </c>
      <c r="E501" s="49" t="str">
        <f>VLOOKUP(D501,'03. Insumos'!A:D,2,0)</f>
        <v xml:space="preserve">Base de bica corrida </v>
      </c>
      <c r="F501" s="52" t="s">
        <v>2612</v>
      </c>
      <c r="G501" s="52" t="str">
        <f>VLOOKUP(D501,'03. Insumos'!A:F,3,0)</f>
        <v>m³</v>
      </c>
      <c r="H501" s="53">
        <v>1</v>
      </c>
      <c r="I501" s="141">
        <f>H498*0.1</f>
        <v>7.3709999999999996</v>
      </c>
      <c r="J501" s="54">
        <f>IFERROR(IF(K501&lt;&gt;0,K501*$K$5,0),0)</f>
        <v>58</v>
      </c>
      <c r="K501" s="54">
        <f>IF(A501=0,VLOOKUP(D501,'03. Insumos'!A:F,4,0),"")</f>
        <v>58</v>
      </c>
      <c r="L501" s="274">
        <f>H501*J501*I501</f>
        <v>427.51799999999997</v>
      </c>
      <c r="M501" s="153">
        <f t="shared" si="62"/>
        <v>1.1696283233562781E-4</v>
      </c>
      <c r="O501" s="148"/>
      <c r="R501" s="12"/>
    </row>
    <row r="502" spans="1:18" s="59" customFormat="1" ht="13.5" customHeight="1" outlineLevel="1" x14ac:dyDescent="0.3">
      <c r="A502" s="290">
        <f t="shared" si="55"/>
        <v>0</v>
      </c>
      <c r="B502" s="55"/>
      <c r="C502" s="55"/>
      <c r="D502" s="140" t="s">
        <v>2466</v>
      </c>
      <c r="E502" s="49" t="str">
        <f>VLOOKUP(D502,'03. Insumos'!A:D,2,0)</f>
        <v>Pó de pedra</v>
      </c>
      <c r="F502" s="52" t="s">
        <v>2612</v>
      </c>
      <c r="G502" s="52" t="str">
        <f>VLOOKUP(D502,'03. Insumos'!A:F,3,0)</f>
        <v>m³</v>
      </c>
      <c r="H502" s="53">
        <v>1</v>
      </c>
      <c r="I502" s="141">
        <f>H498*0.07</f>
        <v>5.1597</v>
      </c>
      <c r="J502" s="54">
        <f>IFERROR(IF(K502&lt;&gt;0,K502*$K$5,0),0)</f>
        <v>48.15</v>
      </c>
      <c r="K502" s="54">
        <f>IF(A502=0,VLOOKUP(D502,'03. Insumos'!A:F,4,0),"")</f>
        <v>48.15</v>
      </c>
      <c r="L502" s="274">
        <f>H502*J502*I502</f>
        <v>248.43955499999998</v>
      </c>
      <c r="M502" s="153">
        <f t="shared" si="62"/>
        <v>6.7969521790902328E-5</v>
      </c>
      <c r="O502" s="148">
        <f>IF(I502&lt;&gt;0,I502*H502*K502,)</f>
        <v>248.43955499999998</v>
      </c>
      <c r="R502" s="12">
        <f>IF(J502&lt;&gt;0,J502/1.03-K502,0)</f>
        <v>-1.4024271844660205</v>
      </c>
    </row>
    <row r="503" spans="1:18" s="59" customFormat="1" ht="13.5" customHeight="1" outlineLevel="1" x14ac:dyDescent="0.3">
      <c r="A503" s="290">
        <f t="shared" si="55"/>
        <v>0</v>
      </c>
      <c r="B503" s="55"/>
      <c r="C503" s="55"/>
      <c r="D503" s="140" t="s">
        <v>2470</v>
      </c>
      <c r="E503" s="49" t="str">
        <f>VLOOKUP(D503,'03. Insumos'!A:D,2,0)</f>
        <v>Tento pré moldado concreto</v>
      </c>
      <c r="F503" s="52" t="s">
        <v>2613</v>
      </c>
      <c r="G503" s="52" t="str">
        <f>VLOOKUP(D503,'03. Insumos'!A:F,3,0)</f>
        <v>m</v>
      </c>
      <c r="H503" s="53">
        <v>1</v>
      </c>
      <c r="I503" s="141">
        <v>19</v>
      </c>
      <c r="J503" s="54">
        <f>IFERROR(IF(K503&lt;&gt;0,K503*$K$5,0),0)</f>
        <v>13</v>
      </c>
      <c r="K503" s="54">
        <f>IF(A503=0,VLOOKUP(D503,'03. Insumos'!A:F,4,0),"")</f>
        <v>13</v>
      </c>
      <c r="L503" s="274">
        <f>H503*J503*I503</f>
        <v>247</v>
      </c>
      <c r="M503" s="153">
        <f t="shared" si="62"/>
        <v>6.757568005768195E-5</v>
      </c>
      <c r="O503" s="148"/>
      <c r="R503" s="12"/>
    </row>
    <row r="504" spans="1:18" s="59" customFormat="1" ht="13.5" customHeight="1" outlineLevel="1" x14ac:dyDescent="0.3">
      <c r="A504" s="290">
        <f t="shared" si="55"/>
        <v>6</v>
      </c>
      <c r="B504" s="55"/>
      <c r="C504" s="55" t="s">
        <v>1513</v>
      </c>
      <c r="D504" s="55" t="s">
        <v>973</v>
      </c>
      <c r="E504" s="55"/>
      <c r="F504" s="56"/>
      <c r="G504" s="56" t="s">
        <v>73</v>
      </c>
      <c r="H504" s="57">
        <v>76.069999999999993</v>
      </c>
      <c r="I504" s="57"/>
      <c r="J504" s="58"/>
      <c r="K504" s="58" t="str">
        <f>IF(A504=0,VLOOKUP(D504,'03. Insumos'!A:F,4,0),"")</f>
        <v/>
      </c>
      <c r="L504" s="58">
        <f>SUM(L505:L506)</f>
        <v>1799.7659999999998</v>
      </c>
      <c r="M504" s="153">
        <f t="shared" si="62"/>
        <v>4.9239032953317407E-4</v>
      </c>
      <c r="O504" s="148">
        <f>IF(I504&lt;&gt;0,I504*H504*K504,)</f>
        <v>0</v>
      </c>
      <c r="R504" s="12">
        <f>IF(J504&lt;&gt;0,J504/1.03-K504,0)</f>
        <v>0</v>
      </c>
    </row>
    <row r="505" spans="1:18" s="51" customFormat="1" ht="13.5" customHeight="1" outlineLevel="1" x14ac:dyDescent="0.3">
      <c r="A505" s="290">
        <f t="shared" si="55"/>
        <v>0</v>
      </c>
      <c r="B505" s="49"/>
      <c r="C505" s="49"/>
      <c r="D505" s="140" t="s">
        <v>2455</v>
      </c>
      <c r="E505" s="49" t="str">
        <f>VLOOKUP(D505,'03. Insumos'!A:D,2,0)</f>
        <v>Fornecimento e instalação de grama</v>
      </c>
      <c r="F505" s="52" t="s">
        <v>2613</v>
      </c>
      <c r="G505" s="52" t="str">
        <f>VLOOKUP(D505,'03. Insumos'!A:F,3,0)</f>
        <v>m²</v>
      </c>
      <c r="H505" s="53">
        <v>1</v>
      </c>
      <c r="I505" s="141">
        <f>H504*1.15</f>
        <v>87.480499999999992</v>
      </c>
      <c r="J505" s="54">
        <f>IFERROR(IF(K505&lt;&gt;0,K505*$K$5,0),0)</f>
        <v>12</v>
      </c>
      <c r="K505" s="54">
        <f>IF(A505=0,VLOOKUP(D505,'03. Insumos'!A:F,4,0),"")</f>
        <v>12</v>
      </c>
      <c r="L505" s="274">
        <f>H505*J505*I505</f>
        <v>1049.7659999999998</v>
      </c>
      <c r="M505" s="153">
        <f t="shared" si="62"/>
        <v>2.8720101761713578E-4</v>
      </c>
      <c r="O505" s="148">
        <f>IF(I505&lt;&gt;0,I505*H505*K505,)</f>
        <v>1049.7659999999998</v>
      </c>
      <c r="R505" s="12">
        <f>IF(J505&lt;&gt;0,J505/1.03-K505,0)</f>
        <v>-0.34951456310679596</v>
      </c>
    </row>
    <row r="506" spans="1:18" s="51" customFormat="1" ht="13.5" customHeight="1" outlineLevel="1" x14ac:dyDescent="0.3">
      <c r="A506" s="290">
        <f t="shared" si="55"/>
        <v>0</v>
      </c>
      <c r="B506" s="49"/>
      <c r="C506" s="49"/>
      <c r="D506" s="140" t="s">
        <v>2539</v>
      </c>
      <c r="E506" s="49" t="str">
        <f>VLOOKUP(D506,'03. Insumos'!A:D,2,0)</f>
        <v>Jardineiro</v>
      </c>
      <c r="F506" s="52" t="s">
        <v>2607</v>
      </c>
      <c r="G506" s="52" t="str">
        <f>VLOOKUP(D506,'03. Insumos'!A:F,3,0)</f>
        <v>Diária</v>
      </c>
      <c r="H506" s="53">
        <v>1</v>
      </c>
      <c r="I506" s="141">
        <v>3</v>
      </c>
      <c r="J506" s="54">
        <f>IFERROR(IF(K506&lt;&gt;0,K506*$K$5,0),0)</f>
        <v>250</v>
      </c>
      <c r="K506" s="54">
        <f>IF(A506=0,VLOOKUP(D506,'03. Insumos'!A:F,4,0),"")</f>
        <v>250</v>
      </c>
      <c r="L506" s="274">
        <f>H506*J506*I506</f>
        <v>750</v>
      </c>
      <c r="M506" s="153">
        <f t="shared" si="62"/>
        <v>2.0518931191603829E-4</v>
      </c>
      <c r="O506" s="148"/>
      <c r="R506" s="12"/>
    </row>
    <row r="507" spans="1:18" s="59" customFormat="1" ht="13.5" customHeight="1" outlineLevel="1" x14ac:dyDescent="0.3">
      <c r="A507" s="290">
        <f t="shared" si="55"/>
        <v>6</v>
      </c>
      <c r="B507" s="55"/>
      <c r="C507" s="55" t="s">
        <v>1513</v>
      </c>
      <c r="D507" s="55" t="s">
        <v>2395</v>
      </c>
      <c r="E507" s="55"/>
      <c r="F507" s="56"/>
      <c r="G507" s="56" t="s">
        <v>73</v>
      </c>
      <c r="H507" s="57">
        <v>6.95</v>
      </c>
      <c r="I507" s="57"/>
      <c r="J507" s="58"/>
      <c r="K507" s="58" t="str">
        <f>IF(A507=0,VLOOKUP(D507,'03. Insumos'!A:F,4,0),"")</f>
        <v/>
      </c>
      <c r="L507" s="58">
        <f>SUM(L508:L512)</f>
        <v>1160.7762831858406</v>
      </c>
      <c r="M507" s="153">
        <f t="shared" si="62"/>
        <v>3.1757184911381208E-4</v>
      </c>
      <c r="O507" s="148">
        <f>IF(I507&lt;&gt;0,I507*H507*K507,)</f>
        <v>0</v>
      </c>
      <c r="R507" s="12">
        <f>IF(J507&lt;&gt;0,J507/1.03-K507,0)</f>
        <v>0</v>
      </c>
    </row>
    <row r="508" spans="1:18" s="51" customFormat="1" ht="13.5" customHeight="1" outlineLevel="1" x14ac:dyDescent="0.3">
      <c r="A508" s="290">
        <f t="shared" si="55"/>
        <v>0</v>
      </c>
      <c r="B508" s="49"/>
      <c r="C508" s="49"/>
      <c r="D508" s="140" t="s">
        <v>2393</v>
      </c>
      <c r="E508" s="49" t="str">
        <f>VLOOKUP(D508,'03. Insumos'!A:D,2,0)</f>
        <v>Material - Fornecimento de Concret Decortiles - 60 x 120</v>
      </c>
      <c r="F508" s="52" t="s">
        <v>2613</v>
      </c>
      <c r="G508" s="52" t="str">
        <f>VLOOKUP(D508,'03. Insumos'!A:F,3,0)</f>
        <v>m²</v>
      </c>
      <c r="H508" s="53">
        <v>1</v>
      </c>
      <c r="I508" s="141">
        <f>H507*1.15</f>
        <v>7.9924999999999997</v>
      </c>
      <c r="J508" s="54">
        <f>IFERROR(IF(K508&lt;&gt;0,K508*$K$5,0),0)</f>
        <v>83.52002291971732</v>
      </c>
      <c r="K508" s="54">
        <f>IF(A508=0,VLOOKUP(D508,'03. Insumos'!A:F,4,0),"")</f>
        <v>83.52002291971732</v>
      </c>
      <c r="L508" s="274">
        <f>H508*J508*I508</f>
        <v>667.53378318584066</v>
      </c>
      <c r="M508" s="153">
        <f t="shared" si="62"/>
        <v>1.8262773020348338E-4</v>
      </c>
      <c r="O508" s="148">
        <f>IF(I508&lt;&gt;0,I508*H508*K508,)</f>
        <v>667.53378318584066</v>
      </c>
      <c r="R508" s="12">
        <f>IF(J508&lt;&gt;0,J508/1.03-K508,0)</f>
        <v>-2.4326220267878824</v>
      </c>
    </row>
    <row r="509" spans="1:18" s="51" customFormat="1" ht="13.5" customHeight="1" outlineLevel="1" x14ac:dyDescent="0.3">
      <c r="A509" s="290">
        <f t="shared" si="55"/>
        <v>0</v>
      </c>
      <c r="B509" s="49"/>
      <c r="C509" s="49"/>
      <c r="D509" s="140" t="s">
        <v>2394</v>
      </c>
      <c r="E509" s="49" t="str">
        <f>VLOOKUP(D509,'03. Insumos'!A:D,2,0)</f>
        <v>Mão de obra - Assentamento de Concret Decortiles - 60 x 120</v>
      </c>
      <c r="F509" s="52" t="s">
        <v>2607</v>
      </c>
      <c r="G509" s="52" t="str">
        <f>VLOOKUP(D509,'03. Insumos'!A:F,3,0)</f>
        <v>m²</v>
      </c>
      <c r="H509" s="53">
        <v>1</v>
      </c>
      <c r="I509" s="141">
        <f>H507</f>
        <v>6.95</v>
      </c>
      <c r="J509" s="54">
        <f>IFERROR(IF(K509&lt;&gt;0,K509*$K$5,0),0)</f>
        <v>49.75</v>
      </c>
      <c r="K509" s="54">
        <f>IF(A509=0,VLOOKUP(D509,'03. Insumos'!A:F,4,0),"")</f>
        <v>49.75</v>
      </c>
      <c r="L509" s="274">
        <f>H509*J509*I509</f>
        <v>345.76249999999999</v>
      </c>
      <c r="M509" s="153">
        <f t="shared" si="62"/>
        <v>9.4595692615158922E-5</v>
      </c>
      <c r="O509" s="148"/>
      <c r="R509" s="12"/>
    </row>
    <row r="510" spans="1:18" s="59" customFormat="1" ht="13.5" customHeight="1" outlineLevel="1" x14ac:dyDescent="0.3">
      <c r="A510" s="290">
        <f t="shared" si="55"/>
        <v>0</v>
      </c>
      <c r="B510" s="55"/>
      <c r="C510" s="55"/>
      <c r="D510" s="140" t="s">
        <v>199</v>
      </c>
      <c r="E510" s="49" t="str">
        <f>VLOOKUP(D510,'03. Insumos'!A:D,2,0)</f>
        <v>Argamassa colante 20kg</v>
      </c>
      <c r="F510" s="52" t="s">
        <v>2612</v>
      </c>
      <c r="G510" s="52" t="str">
        <f>VLOOKUP(D510,'03. Insumos'!A:F,3,0)</f>
        <v>uni</v>
      </c>
      <c r="H510" s="53">
        <v>1</v>
      </c>
      <c r="I510" s="141">
        <f>ROUND((H507*8)/20,0)</f>
        <v>3</v>
      </c>
      <c r="J510" s="54">
        <f>IFERROR(IF(K510&lt;&gt;0,K510*$K$5,0),0)</f>
        <v>21.9</v>
      </c>
      <c r="K510" s="54">
        <f>IF(A510=0,VLOOKUP(D510,'03. Insumos'!A:F,4,0),"")</f>
        <v>21.9</v>
      </c>
      <c r="L510" s="274">
        <f>H510*J510*I510</f>
        <v>65.699999999999989</v>
      </c>
      <c r="M510" s="153">
        <f t="shared" si="62"/>
        <v>1.797458372384495E-5</v>
      </c>
      <c r="O510" s="148">
        <f t="shared" ref="O510:O516" si="67">IF(I510&lt;&gt;0,I510*H510*K510,)</f>
        <v>65.699999999999989</v>
      </c>
      <c r="R510" s="12">
        <f t="shared" ref="R510:R516" si="68">IF(J510&lt;&gt;0,J510/1.03-K510,0)</f>
        <v>-0.63786407766990294</v>
      </c>
    </row>
    <row r="511" spans="1:18" s="51" customFormat="1" ht="13.5" customHeight="1" outlineLevel="1" x14ac:dyDescent="0.3">
      <c r="A511" s="290">
        <f t="shared" si="55"/>
        <v>0</v>
      </c>
      <c r="B511" s="49"/>
      <c r="C511" s="49"/>
      <c r="D511" s="140" t="s">
        <v>772</v>
      </c>
      <c r="E511" s="49" t="str">
        <f>VLOOKUP(D511,'03. Insumos'!A:D,2,0)</f>
        <v xml:space="preserve">Rejunte acrílico Portokoll </v>
      </c>
      <c r="F511" s="52" t="s">
        <v>2612</v>
      </c>
      <c r="G511" s="52" t="str">
        <f>VLOOKUP(D511,'03. Insumos'!A:F,3,0)</f>
        <v>Kg</v>
      </c>
      <c r="H511" s="53">
        <v>1</v>
      </c>
      <c r="I511" s="141">
        <f>ROUNDUP((H507*0.35),0)</f>
        <v>3</v>
      </c>
      <c r="J511" s="54">
        <f>IFERROR(IF(K511&lt;&gt;0,K511*$K$5,0),0)</f>
        <v>19.87</v>
      </c>
      <c r="K511" s="54">
        <f>IF(A511=0,VLOOKUP(D511,'03. Insumos'!A:F,4,0),"")</f>
        <v>19.87</v>
      </c>
      <c r="L511" s="274">
        <f>H511*J511*I511</f>
        <v>59.61</v>
      </c>
      <c r="M511" s="153">
        <f t="shared" si="62"/>
        <v>1.6308446511086725E-5</v>
      </c>
      <c r="O511" s="148">
        <f t="shared" si="67"/>
        <v>59.61</v>
      </c>
      <c r="R511" s="12">
        <f t="shared" si="68"/>
        <v>-0.57873786407767014</v>
      </c>
    </row>
    <row r="512" spans="1:18" s="51" customFormat="1" ht="13.5" customHeight="1" outlineLevel="1" x14ac:dyDescent="0.3">
      <c r="A512" s="290">
        <f t="shared" si="55"/>
        <v>0</v>
      </c>
      <c r="B512" s="49"/>
      <c r="C512" s="49"/>
      <c r="D512" s="140" t="s">
        <v>773</v>
      </c>
      <c r="E512" s="49" t="str">
        <f>VLOOKUP(D512,'03. Insumos'!A:D,2,0)</f>
        <v>Espaçador - Cunha</v>
      </c>
      <c r="F512" s="52" t="s">
        <v>2612</v>
      </c>
      <c r="G512" s="52" t="str">
        <f>VLOOKUP(D512,'03. Insumos'!A:F,3,0)</f>
        <v>50 pcs</v>
      </c>
      <c r="H512" s="53">
        <v>1</v>
      </c>
      <c r="I512" s="141">
        <f>ROUNDUP(((H507*5)/100),0)</f>
        <v>1</v>
      </c>
      <c r="J512" s="54">
        <f>IFERROR(IF(K512&lt;&gt;0,K512*$K$5,0),0)</f>
        <v>22.17</v>
      </c>
      <c r="K512" s="54">
        <f>IF(A512=0,VLOOKUP(D512,'03. Insumos'!A:F,4,0),"")</f>
        <v>22.17</v>
      </c>
      <c r="L512" s="274">
        <f>H512*J512*I512</f>
        <v>22.17</v>
      </c>
      <c r="M512" s="153">
        <f t="shared" si="62"/>
        <v>6.0653960602380926E-6</v>
      </c>
      <c r="O512" s="148">
        <f t="shared" si="67"/>
        <v>22.17</v>
      </c>
      <c r="R512" s="12">
        <f t="shared" si="68"/>
        <v>-0.64572815533980688</v>
      </c>
    </row>
    <row r="513" spans="1:18" s="59" customFormat="1" ht="13.5" customHeight="1" outlineLevel="1" x14ac:dyDescent="0.3">
      <c r="A513" s="290">
        <f>LEN(C513)</f>
        <v>6</v>
      </c>
      <c r="B513" s="55"/>
      <c r="C513" s="55" t="s">
        <v>1513</v>
      </c>
      <c r="D513" s="55" t="s">
        <v>2456</v>
      </c>
      <c r="E513" s="55"/>
      <c r="F513" s="56"/>
      <c r="G513" s="56" t="s">
        <v>73</v>
      </c>
      <c r="H513" s="57">
        <v>27.61</v>
      </c>
      <c r="I513" s="57"/>
      <c r="J513" s="58"/>
      <c r="K513" s="58" t="str">
        <f>IF(A513=0,VLOOKUP(D513,'03. Insumos'!A:F,4,0),"")</f>
        <v/>
      </c>
      <c r="L513" s="58">
        <f>SUM(L514)</f>
        <v>3340.8100000000004</v>
      </c>
      <c r="M513" s="153">
        <f>L513/$L$7</f>
        <v>9.1399800685629327E-4</v>
      </c>
      <c r="O513" s="148">
        <f t="shared" si="67"/>
        <v>0</v>
      </c>
      <c r="R513" s="12">
        <f t="shared" si="68"/>
        <v>0</v>
      </c>
    </row>
    <row r="514" spans="1:18" s="51" customFormat="1" ht="13.5" customHeight="1" outlineLevel="1" x14ac:dyDescent="0.3">
      <c r="A514" s="290">
        <f>LEN(C514)</f>
        <v>0</v>
      </c>
      <c r="B514" s="49"/>
      <c r="C514" s="49"/>
      <c r="D514" s="140" t="s">
        <v>2457</v>
      </c>
      <c r="E514" s="49" t="str">
        <f>VLOOKUP(D514,'03. Insumos'!A:D,2,0)</f>
        <v>Fornecimento e instalação de piso laminado de madeira Durafloor Sense Carvalho</v>
      </c>
      <c r="F514" s="52" t="s">
        <v>2613</v>
      </c>
      <c r="G514" s="52" t="str">
        <f>VLOOKUP(D514,'03. Insumos'!A:F,3,0)</f>
        <v>m²</v>
      </c>
      <c r="H514" s="53">
        <v>1</v>
      </c>
      <c r="I514" s="141">
        <f>H513*1.1</f>
        <v>30.371000000000002</v>
      </c>
      <c r="J514" s="54">
        <f>IFERROR(IF(K514&lt;&gt;0,K514*$K$5,0),0)</f>
        <v>110</v>
      </c>
      <c r="K514" s="54">
        <f>IF(A514=0,VLOOKUP(D514,'03. Insumos'!A:F,4,0),"")</f>
        <v>110</v>
      </c>
      <c r="L514" s="274">
        <f>H514*J514*I514</f>
        <v>3340.8100000000004</v>
      </c>
      <c r="M514" s="153">
        <f>L514/$L$7</f>
        <v>9.1399800685629327E-4</v>
      </c>
      <c r="O514" s="148">
        <f t="shared" si="67"/>
        <v>3340.8100000000004</v>
      </c>
      <c r="R514" s="12">
        <f t="shared" si="68"/>
        <v>-3.2038834951456323</v>
      </c>
    </row>
    <row r="515" spans="1:18" s="59" customFormat="1" ht="13.5" customHeight="1" outlineLevel="1" x14ac:dyDescent="0.3">
      <c r="A515" s="290">
        <f t="shared" si="55"/>
        <v>6</v>
      </c>
      <c r="B515" s="55"/>
      <c r="C515" s="55" t="s">
        <v>1513</v>
      </c>
      <c r="D515" s="55" t="s">
        <v>2458</v>
      </c>
      <c r="E515" s="55"/>
      <c r="F515" s="56"/>
      <c r="G515" s="56" t="s">
        <v>73</v>
      </c>
      <c r="H515" s="57">
        <v>15.4</v>
      </c>
      <c r="I515" s="57"/>
      <c r="J515" s="58"/>
      <c r="K515" s="58" t="str">
        <f>IF(A515=0,VLOOKUP(D515,'03. Insumos'!A:F,4,0),"")</f>
        <v/>
      </c>
      <c r="L515" s="58">
        <f>SUM(L516:L522)</f>
        <v>11013.359</v>
      </c>
      <c r="M515" s="153">
        <f t="shared" si="62"/>
        <v>3.013098073459077E-3</v>
      </c>
      <c r="O515" s="148">
        <f t="shared" si="67"/>
        <v>0</v>
      </c>
      <c r="R515" s="12">
        <f t="shared" si="68"/>
        <v>0</v>
      </c>
    </row>
    <row r="516" spans="1:18" s="51" customFormat="1" ht="13.5" customHeight="1" outlineLevel="1" x14ac:dyDescent="0.3">
      <c r="A516" s="290">
        <f t="shared" si="55"/>
        <v>0</v>
      </c>
      <c r="B516" s="49"/>
      <c r="C516" s="49"/>
      <c r="D516" s="140" t="s">
        <v>2461</v>
      </c>
      <c r="E516" s="49" t="str">
        <f>VLOOKUP(D516,'03. Insumos'!A:D,2,0)</f>
        <v>Material - Fornecimento de Downtown HD White</v>
      </c>
      <c r="F516" s="52" t="s">
        <v>2613</v>
      </c>
      <c r="G516" s="52" t="str">
        <f>VLOOKUP(D516,'03. Insumos'!A:F,3,0)</f>
        <v>m²</v>
      </c>
      <c r="H516" s="53">
        <v>1</v>
      </c>
      <c r="I516" s="141">
        <f>H515*1.15</f>
        <v>17.709999999999997</v>
      </c>
      <c r="J516" s="54">
        <f t="shared" ref="J516:J522" si="69">IFERROR(IF(K516&lt;&gt;0,K516*$K$5,0),0)</f>
        <v>88.9</v>
      </c>
      <c r="K516" s="54">
        <f>IF(A516=0,VLOOKUP(D516,'03. Insumos'!A:F,4,0),"")</f>
        <v>88.9</v>
      </c>
      <c r="L516" s="274">
        <f t="shared" ref="L516:L522" si="70">H516*J516*I516</f>
        <v>1574.4189999999999</v>
      </c>
      <c r="M516" s="153">
        <f t="shared" si="62"/>
        <v>4.3073860170338277E-4</v>
      </c>
      <c r="O516" s="148">
        <f t="shared" si="67"/>
        <v>1574.4189999999999</v>
      </c>
      <c r="R516" s="12">
        <f t="shared" si="68"/>
        <v>-2.5893203883495204</v>
      </c>
    </row>
    <row r="517" spans="1:18" s="51" customFormat="1" ht="13.5" customHeight="1" outlineLevel="1" x14ac:dyDescent="0.3">
      <c r="A517" s="290">
        <f t="shared" si="55"/>
        <v>0</v>
      </c>
      <c r="B517" s="49"/>
      <c r="C517" s="49"/>
      <c r="D517" s="140" t="s">
        <v>2462</v>
      </c>
      <c r="E517" s="49" t="str">
        <f>VLOOKUP(D517,'03. Insumos'!A:D,2,0)</f>
        <v>Mão de obra - Assentamento de Downtown HD White</v>
      </c>
      <c r="F517" s="52" t="s">
        <v>2607</v>
      </c>
      <c r="G517" s="52" t="str">
        <f>VLOOKUP(D517,'03. Insumos'!A:F,3,0)</f>
        <v>m²</v>
      </c>
      <c r="H517" s="53">
        <v>1</v>
      </c>
      <c r="I517" s="141">
        <f>H515</f>
        <v>15.4</v>
      </c>
      <c r="J517" s="54">
        <f t="shared" si="69"/>
        <v>49.75</v>
      </c>
      <c r="K517" s="54">
        <f>IF(A517=0,VLOOKUP(D517,'03. Insumos'!A:F,4,0),"")</f>
        <v>49.75</v>
      </c>
      <c r="L517" s="274">
        <f t="shared" si="70"/>
        <v>766.15</v>
      </c>
      <c r="M517" s="153">
        <f t="shared" si="62"/>
        <v>2.0960772176596365E-4</v>
      </c>
      <c r="O517" s="148"/>
      <c r="R517" s="12"/>
    </row>
    <row r="518" spans="1:18" s="59" customFormat="1" ht="13.5" customHeight="1" outlineLevel="1" x14ac:dyDescent="0.3">
      <c r="A518" s="290">
        <f t="shared" si="55"/>
        <v>0</v>
      </c>
      <c r="B518" s="55"/>
      <c r="C518" s="55"/>
      <c r="D518" s="140" t="s">
        <v>199</v>
      </c>
      <c r="E518" s="49" t="str">
        <f>VLOOKUP(D518,'03. Insumos'!A:D,2,0)</f>
        <v>Argamassa colante 20kg</v>
      </c>
      <c r="F518" s="52" t="s">
        <v>2612</v>
      </c>
      <c r="G518" s="52" t="str">
        <f>VLOOKUP(D518,'03. Insumos'!A:F,3,0)</f>
        <v>uni</v>
      </c>
      <c r="H518" s="53">
        <v>1</v>
      </c>
      <c r="I518" s="141">
        <f>ROUND((H515*8)/20,0)</f>
        <v>6</v>
      </c>
      <c r="J518" s="54">
        <f t="shared" si="69"/>
        <v>21.9</v>
      </c>
      <c r="K518" s="54">
        <f>IF(A518=0,VLOOKUP(D518,'03. Insumos'!A:F,4,0),"")</f>
        <v>21.9</v>
      </c>
      <c r="L518" s="274">
        <f t="shared" si="70"/>
        <v>131.39999999999998</v>
      </c>
      <c r="M518" s="153">
        <f t="shared" si="62"/>
        <v>3.5949167447689901E-5</v>
      </c>
      <c r="O518" s="148">
        <f>IF(I518&lt;&gt;0,I518*H518*K518,)</f>
        <v>131.39999999999998</v>
      </c>
      <c r="R518" s="12">
        <f>IF(J518&lt;&gt;0,J518/1.03-K518,0)</f>
        <v>-0.63786407766990294</v>
      </c>
    </row>
    <row r="519" spans="1:18" s="51" customFormat="1" ht="13.5" customHeight="1" outlineLevel="1" x14ac:dyDescent="0.3">
      <c r="A519" s="290">
        <f t="shared" si="55"/>
        <v>0</v>
      </c>
      <c r="B519" s="49"/>
      <c r="C519" s="49"/>
      <c r="D519" s="140" t="s">
        <v>772</v>
      </c>
      <c r="E519" s="49" t="str">
        <f>VLOOKUP(D519,'03. Insumos'!A:D,2,0)</f>
        <v xml:space="preserve">Rejunte acrílico Portokoll </v>
      </c>
      <c r="F519" s="52" t="s">
        <v>2612</v>
      </c>
      <c r="G519" s="52" t="str">
        <f>VLOOKUP(D519,'03. Insumos'!A:F,3,0)</f>
        <v>Kg</v>
      </c>
      <c r="H519" s="53">
        <v>1</v>
      </c>
      <c r="I519" s="141">
        <f>ROUNDUP((H515*0.35),0)</f>
        <v>6</v>
      </c>
      <c r="J519" s="54">
        <f t="shared" si="69"/>
        <v>19.87</v>
      </c>
      <c r="K519" s="54">
        <f>IF(A519=0,VLOOKUP(D519,'03. Insumos'!A:F,4,0),"")</f>
        <v>19.87</v>
      </c>
      <c r="L519" s="274">
        <f t="shared" si="70"/>
        <v>119.22</v>
      </c>
      <c r="M519" s="153">
        <f t="shared" si="62"/>
        <v>3.2616893022173449E-5</v>
      </c>
      <c r="O519" s="148">
        <f>IF(I519&lt;&gt;0,I519*H519*K519,)</f>
        <v>119.22</v>
      </c>
      <c r="R519" s="12">
        <f>IF(J519&lt;&gt;0,J519/1.03-K519,0)</f>
        <v>-0.57873786407767014</v>
      </c>
    </row>
    <row r="520" spans="1:18" s="51" customFormat="1" ht="13.5" customHeight="1" outlineLevel="1" x14ac:dyDescent="0.3">
      <c r="A520" s="290">
        <f t="shared" si="55"/>
        <v>0</v>
      </c>
      <c r="B520" s="49"/>
      <c r="C520" s="49"/>
      <c r="D520" s="140" t="s">
        <v>773</v>
      </c>
      <c r="E520" s="49" t="str">
        <f>VLOOKUP(D520,'03. Insumos'!A:D,2,0)</f>
        <v>Espaçador - Cunha</v>
      </c>
      <c r="F520" s="52" t="s">
        <v>2612</v>
      </c>
      <c r="G520" s="52" t="str">
        <f>VLOOKUP(D520,'03. Insumos'!A:F,3,0)</f>
        <v>50 pcs</v>
      </c>
      <c r="H520" s="53">
        <v>1</v>
      </c>
      <c r="I520" s="141">
        <f>ROUNDUP(((H514*5)/100),0)</f>
        <v>1</v>
      </c>
      <c r="J520" s="54">
        <f t="shared" si="69"/>
        <v>22.17</v>
      </c>
      <c r="K520" s="54">
        <f>IF(A520=0,VLOOKUP(D520,'03. Insumos'!A:F,4,0),"")</f>
        <v>22.17</v>
      </c>
      <c r="L520" s="274">
        <f>H520*J520*I520</f>
        <v>22.17</v>
      </c>
      <c r="M520" s="153">
        <f t="shared" ref="M520:M552" si="71">L520/$L$7</f>
        <v>6.0653960602380926E-6</v>
      </c>
      <c r="O520" s="148"/>
      <c r="R520" s="12"/>
    </row>
    <row r="521" spans="1:18" s="51" customFormat="1" ht="13.5" customHeight="1" outlineLevel="1" x14ac:dyDescent="0.3">
      <c r="A521" s="290">
        <f t="shared" si="55"/>
        <v>0</v>
      </c>
      <c r="B521" s="49"/>
      <c r="C521" s="49"/>
      <c r="D521" s="140" t="s">
        <v>2566</v>
      </c>
      <c r="E521" s="49" t="str">
        <f>VLOOKUP(D521,'03. Insumos'!A:D,2,0)</f>
        <v>Frete cerâmica</v>
      </c>
      <c r="F521" s="52" t="s">
        <v>2613</v>
      </c>
      <c r="G521" s="52" t="str">
        <f>VLOOKUP(D521,'03. Insumos'!A:F,3,0)</f>
        <v>vb</v>
      </c>
      <c r="H521" s="53">
        <v>1</v>
      </c>
      <c r="I521" s="141">
        <f>ROUNDUP((H515/100),0)</f>
        <v>1</v>
      </c>
      <c r="J521" s="54">
        <f t="shared" si="69"/>
        <v>8400</v>
      </c>
      <c r="K521" s="54">
        <f>IF(A521=0,VLOOKUP(D521,'03. Insumos'!A:F,4,0),"")</f>
        <v>8400</v>
      </c>
      <c r="L521" s="274">
        <f t="shared" si="70"/>
        <v>8400</v>
      </c>
      <c r="M521" s="153">
        <f t="shared" si="71"/>
        <v>2.2981202934596288E-3</v>
      </c>
      <c r="O521" s="148">
        <f>IF(I521&lt;&gt;0,I521*H521*K521,)</f>
        <v>8400</v>
      </c>
      <c r="R521" s="12">
        <f>IF(J521&lt;&gt;0,J521/1.03-K521,0)</f>
        <v>-244.66019417475763</v>
      </c>
    </row>
    <row r="522" spans="1:18" s="51" customFormat="1" ht="13.5" hidden="1" customHeight="1" outlineLevel="1" x14ac:dyDescent="0.3">
      <c r="A522" s="290">
        <f t="shared" si="55"/>
        <v>0</v>
      </c>
      <c r="B522" s="49"/>
      <c r="C522" s="49"/>
      <c r="D522" s="140" t="s">
        <v>788</v>
      </c>
      <c r="E522" s="49" t="str">
        <f>VLOOKUP(D522,'03. Insumos'!A:D,2,0)</f>
        <v>Frete Portobello</v>
      </c>
      <c r="F522" s="52"/>
      <c r="G522" s="52" t="str">
        <f>VLOOKUP(D522,'03. Insumos'!A:F,3,0)</f>
        <v>vb</v>
      </c>
      <c r="H522" s="53">
        <v>1</v>
      </c>
      <c r="I522" s="141"/>
      <c r="J522" s="54">
        <f t="shared" si="69"/>
        <v>11000</v>
      </c>
      <c r="K522" s="54">
        <f>IF(A522=0,VLOOKUP(D522,'03. Insumos'!A:F,4,0),"")</f>
        <v>11000</v>
      </c>
      <c r="L522" s="274">
        <f t="shared" si="70"/>
        <v>0</v>
      </c>
      <c r="M522" s="153">
        <f t="shared" si="71"/>
        <v>0</v>
      </c>
      <c r="O522" s="148"/>
      <c r="R522" s="12"/>
    </row>
    <row r="523" spans="1:18" s="51" customFormat="1" ht="13.5" hidden="1" customHeight="1" outlineLevel="1" x14ac:dyDescent="0.3">
      <c r="A523" s="290">
        <f t="shared" si="55"/>
        <v>6</v>
      </c>
      <c r="B523" s="49"/>
      <c r="C523" s="55" t="s">
        <v>1512</v>
      </c>
      <c r="D523" s="55" t="s">
        <v>2218</v>
      </c>
      <c r="E523" s="49"/>
      <c r="F523" s="52"/>
      <c r="G523" s="56" t="s">
        <v>73</v>
      </c>
      <c r="H523" s="57"/>
      <c r="I523" s="141"/>
      <c r="J523" s="54"/>
      <c r="K523" s="54"/>
      <c r="L523" s="58">
        <f>SUM(L524:L525)</f>
        <v>0</v>
      </c>
      <c r="M523" s="153">
        <f t="shared" si="71"/>
        <v>0</v>
      </c>
      <c r="O523" s="148"/>
      <c r="R523" s="12"/>
    </row>
    <row r="524" spans="1:18" s="51" customFormat="1" ht="13.5" hidden="1" customHeight="1" outlineLevel="1" x14ac:dyDescent="0.3">
      <c r="A524" s="290">
        <f t="shared" si="55"/>
        <v>0</v>
      </c>
      <c r="B524" s="49"/>
      <c r="C524" s="49"/>
      <c r="D524" s="140" t="s">
        <v>2221</v>
      </c>
      <c r="E524" s="49" t="str">
        <f>VLOOKUP(D524,'03. Insumos'!A:D,2,0)</f>
        <v>Rodapé Madeirado Reserva Natural 20 x 120</v>
      </c>
      <c r="F524" s="52"/>
      <c r="G524" s="52" t="str">
        <f>VLOOKUP(D524,'03. Insumos'!A:F,3,0)</f>
        <v>m²</v>
      </c>
      <c r="H524" s="53">
        <v>1</v>
      </c>
      <c r="I524" s="141">
        <f>H523*1.15</f>
        <v>0</v>
      </c>
      <c r="J524" s="54">
        <f>IFERROR(IF(K524&lt;&gt;0,K524*$K$5,0),0)</f>
        <v>0</v>
      </c>
      <c r="K524" s="54">
        <f>IF(A524=0,VLOOKUP(D524,'03. Insumos'!A:F,4,0),"")</f>
        <v>0</v>
      </c>
      <c r="L524" s="274">
        <f>H524*J524*I524</f>
        <v>0</v>
      </c>
      <c r="M524" s="153">
        <f t="shared" si="71"/>
        <v>0</v>
      </c>
      <c r="O524" s="148"/>
      <c r="R524" s="12"/>
    </row>
    <row r="525" spans="1:18" s="51" customFormat="1" ht="13.5" hidden="1" customHeight="1" outlineLevel="1" x14ac:dyDescent="0.3">
      <c r="A525" s="290">
        <f t="shared" si="55"/>
        <v>0</v>
      </c>
      <c r="B525" s="49"/>
      <c r="C525" s="49"/>
      <c r="D525" s="140" t="s">
        <v>199</v>
      </c>
      <c r="E525" s="49" t="str">
        <f>VLOOKUP(D525,'03. Insumos'!A:D,2,0)</f>
        <v>Argamassa colante 20kg</v>
      </c>
      <c r="F525" s="52"/>
      <c r="G525" s="52" t="str">
        <f>VLOOKUP(D525,'03. Insumos'!A:F,3,0)</f>
        <v>uni</v>
      </c>
      <c r="H525" s="53">
        <v>1</v>
      </c>
      <c r="I525" s="141">
        <f>ROUND((H523*8)/20,0)</f>
        <v>0</v>
      </c>
      <c r="J525" s="54">
        <f>IFERROR(IF(K525&lt;&gt;0,K525*$K$5,0),0)</f>
        <v>21.9</v>
      </c>
      <c r="K525" s="54">
        <f>IF(A525=0,VLOOKUP(D525,'03. Insumos'!A:F,4,0),"")</f>
        <v>21.9</v>
      </c>
      <c r="L525" s="274">
        <f>H525*J525*I525</f>
        <v>0</v>
      </c>
      <c r="M525" s="153">
        <f t="shared" si="71"/>
        <v>0</v>
      </c>
      <c r="O525" s="148"/>
      <c r="R525" s="12"/>
    </row>
    <row r="526" spans="1:18" s="51" customFormat="1" ht="13.5" hidden="1" customHeight="1" outlineLevel="1" x14ac:dyDescent="0.3">
      <c r="A526" s="290">
        <f t="shared" si="55"/>
        <v>6</v>
      </c>
      <c r="B526" s="49"/>
      <c r="C526" s="55" t="s">
        <v>1513</v>
      </c>
      <c r="D526" s="55" t="s">
        <v>2219</v>
      </c>
      <c r="E526" s="49"/>
      <c r="F526" s="52"/>
      <c r="G526" s="56" t="s">
        <v>73</v>
      </c>
      <c r="H526" s="57"/>
      <c r="I526" s="141"/>
      <c r="J526" s="54"/>
      <c r="K526" s="54"/>
      <c r="L526" s="58">
        <f>SUM(L527:L528)</f>
        <v>0</v>
      </c>
      <c r="M526" s="153">
        <f t="shared" si="71"/>
        <v>0</v>
      </c>
      <c r="O526" s="148"/>
      <c r="R526" s="12"/>
    </row>
    <row r="527" spans="1:18" s="51" customFormat="1" ht="13.5" hidden="1" customHeight="1" outlineLevel="1" x14ac:dyDescent="0.3">
      <c r="A527" s="290">
        <f t="shared" si="55"/>
        <v>0</v>
      </c>
      <c r="B527" s="49"/>
      <c r="C527" s="49"/>
      <c r="D527" s="140" t="s">
        <v>2222</v>
      </c>
      <c r="E527" s="49" t="str">
        <f>VLOOKUP(D527,'03. Insumos'!A:D,2,0)</f>
        <v>Rodapé Manhatan Offwhite Estato Delarte 84 x 84</v>
      </c>
      <c r="F527" s="52"/>
      <c r="G527" s="52" t="str">
        <f>VLOOKUP(D527,'03. Insumos'!A:F,3,0)</f>
        <v>m²</v>
      </c>
      <c r="H527" s="53">
        <v>1</v>
      </c>
      <c r="I527" s="141">
        <f>H526*1.15</f>
        <v>0</v>
      </c>
      <c r="J527" s="54">
        <f>IFERROR(IF(K527&lt;&gt;0,K527*$K$5,0),0)</f>
        <v>0</v>
      </c>
      <c r="K527" s="54">
        <f>IF(A527=0,VLOOKUP(D527,'03. Insumos'!A:F,4,0),"")</f>
        <v>0</v>
      </c>
      <c r="L527" s="274">
        <f>H527*J527*I527</f>
        <v>0</v>
      </c>
      <c r="M527" s="153">
        <f t="shared" si="71"/>
        <v>0</v>
      </c>
      <c r="O527" s="148"/>
      <c r="R527" s="12"/>
    </row>
    <row r="528" spans="1:18" s="51" customFormat="1" ht="13.5" hidden="1" customHeight="1" outlineLevel="1" x14ac:dyDescent="0.3">
      <c r="A528" s="290">
        <f t="shared" si="55"/>
        <v>0</v>
      </c>
      <c r="B528" s="49"/>
      <c r="C528" s="49"/>
      <c r="D528" s="140" t="s">
        <v>199</v>
      </c>
      <c r="E528" s="49" t="str">
        <f>VLOOKUP(D528,'03. Insumos'!A:D,2,0)</f>
        <v>Argamassa colante 20kg</v>
      </c>
      <c r="F528" s="52"/>
      <c r="G528" s="52" t="str">
        <f>VLOOKUP(D528,'03. Insumos'!A:F,3,0)</f>
        <v>uni</v>
      </c>
      <c r="H528" s="53">
        <v>1</v>
      </c>
      <c r="I528" s="141">
        <f>ROUND((H526*8)/20,0)</f>
        <v>0</v>
      </c>
      <c r="J528" s="54">
        <f>IFERROR(IF(K528&lt;&gt;0,K528*$K$5,0),0)</f>
        <v>21.9</v>
      </c>
      <c r="K528" s="54">
        <f>IF(A528=0,VLOOKUP(D528,'03. Insumos'!A:F,4,0),"")</f>
        <v>21.9</v>
      </c>
      <c r="L528" s="274">
        <f>H528*J528*I528</f>
        <v>0</v>
      </c>
      <c r="M528" s="153">
        <f t="shared" si="71"/>
        <v>0</v>
      </c>
      <c r="O528" s="148"/>
      <c r="R528" s="12"/>
    </row>
    <row r="529" spans="1:18" s="18" customFormat="1" ht="13.5" customHeight="1" x14ac:dyDescent="0.3">
      <c r="A529" s="290">
        <f t="shared" si="55"/>
        <v>3</v>
      </c>
      <c r="B529" s="35"/>
      <c r="C529" s="35" t="s">
        <v>324</v>
      </c>
      <c r="D529" s="35" t="s">
        <v>336</v>
      </c>
      <c r="E529" s="35"/>
      <c r="F529" s="36"/>
      <c r="G529" s="36"/>
      <c r="H529" s="37"/>
      <c r="I529" s="37"/>
      <c r="J529" s="38"/>
      <c r="K529" s="38"/>
      <c r="L529" s="38">
        <f>SUMIF(A530:A619,4,L530:L619)</f>
        <v>35933.0533</v>
      </c>
      <c r="M529" s="153">
        <f t="shared" si="71"/>
        <v>9.8307713088924397E-3</v>
      </c>
      <c r="O529" s="148">
        <f>IF(I529&lt;&gt;0,I529*H529*K529,)</f>
        <v>0</v>
      </c>
      <c r="R529" s="12">
        <f>IF(J529&lt;&gt;0,J529/1.03-K529,0)</f>
        <v>0</v>
      </c>
    </row>
    <row r="530" spans="1:18" s="18" customFormat="1" ht="5.25" customHeight="1" outlineLevel="1" x14ac:dyDescent="0.3">
      <c r="A530" s="290">
        <f t="shared" si="55"/>
        <v>0</v>
      </c>
      <c r="B530" s="63"/>
      <c r="C530" s="63"/>
      <c r="D530" s="63"/>
      <c r="E530" s="63"/>
      <c r="F530" s="64"/>
      <c r="G530" s="64"/>
      <c r="H530" s="65"/>
      <c r="I530" s="65"/>
      <c r="J530" s="66">
        <f>IFERROR(IF(K530&lt;&gt;0,K530*$K$5,0),0)</f>
        <v>0</v>
      </c>
      <c r="K530" s="66" t="e">
        <f>IF(A530=0,VLOOKUP(D530,'03. Insumos'!A:F,4,0),"")</f>
        <v>#N/A</v>
      </c>
      <c r="L530" s="66"/>
      <c r="M530" s="153">
        <f t="shared" si="71"/>
        <v>0</v>
      </c>
      <c r="O530" s="148">
        <f>IF(I530&lt;&gt;0,I530*H530*K530,)</f>
        <v>0</v>
      </c>
      <c r="R530" s="12">
        <f>IF(J530&lt;&gt;0,J530/1.03-K530,0)</f>
        <v>0</v>
      </c>
    </row>
    <row r="531" spans="1:18" s="18" customFormat="1" ht="13.5" customHeight="1" outlineLevel="1" x14ac:dyDescent="0.3">
      <c r="A531" s="290">
        <f t="shared" si="55"/>
        <v>4</v>
      </c>
      <c r="B531" s="45"/>
      <c r="C531" s="45" t="s">
        <v>325</v>
      </c>
      <c r="D531" s="45" t="s">
        <v>348</v>
      </c>
      <c r="E531" s="45"/>
      <c r="F531" s="60"/>
      <c r="G531" s="60"/>
      <c r="H531" s="61"/>
      <c r="I531" s="61"/>
      <c r="J531" s="62"/>
      <c r="K531" s="62" t="str">
        <f>IF(A531=0,VLOOKUP(D531,'03. Insumos'!A:F,4,0),"")</f>
        <v/>
      </c>
      <c r="L531" s="62">
        <f>SUMIF(A532:A619,6,L532:L619)</f>
        <v>35933.0533</v>
      </c>
      <c r="M531" s="153">
        <f t="shared" si="71"/>
        <v>9.8307713088924397E-3</v>
      </c>
      <c r="O531" s="148">
        <f>IF(I531&lt;&gt;0,I531*H531*K531,)</f>
        <v>0</v>
      </c>
      <c r="R531" s="12">
        <f>IF(J531&lt;&gt;0,J531/1.03-K531,0)</f>
        <v>0</v>
      </c>
    </row>
    <row r="532" spans="1:18" s="59" customFormat="1" ht="13.5" customHeight="1" outlineLevel="1" x14ac:dyDescent="0.3">
      <c r="A532" s="290">
        <f t="shared" si="55"/>
        <v>6</v>
      </c>
      <c r="B532" s="55"/>
      <c r="C532" s="55" t="s">
        <v>326</v>
      </c>
      <c r="D532" s="55" t="s">
        <v>2473</v>
      </c>
      <c r="E532" s="55"/>
      <c r="F532" s="56"/>
      <c r="G532" s="56"/>
      <c r="H532" s="57"/>
      <c r="I532" s="57"/>
      <c r="J532" s="58"/>
      <c r="K532" s="58" t="str">
        <f>IF(A532=0,VLOOKUP(D532,'03. Insumos'!A:F,4,0),"")</f>
        <v/>
      </c>
      <c r="L532" s="58">
        <f>SUM(L533:L542)</f>
        <v>35933.0533</v>
      </c>
      <c r="M532" s="153">
        <f t="shared" si="71"/>
        <v>9.8307713088924397E-3</v>
      </c>
      <c r="O532" s="148">
        <f>IF(I532&lt;&gt;0,I532*H532*K532,)</f>
        <v>0</v>
      </c>
      <c r="R532" s="12">
        <f>IF(J532&lt;&gt;0,J532/1.03-K532,0)</f>
        <v>0</v>
      </c>
    </row>
    <row r="533" spans="1:18" s="59" customFormat="1" ht="13.5" customHeight="1" outlineLevel="1" x14ac:dyDescent="0.3">
      <c r="A533" s="290">
        <f>LEN(C533)</f>
        <v>0</v>
      </c>
      <c r="B533" s="55"/>
      <c r="C533" s="55"/>
      <c r="D533" s="140" t="s">
        <v>2481</v>
      </c>
      <c r="E533" s="49" t="str">
        <f>VLOOKUP(D533,'03. Insumos'!A:D,2,0)</f>
        <v>Bancadas em Nanoglass</v>
      </c>
      <c r="F533" s="52" t="s">
        <v>2613</v>
      </c>
      <c r="G533" s="52" t="str">
        <f>VLOOKUP(D533,'03. Insumos'!A:F,3,0)</f>
        <v>vb</v>
      </c>
      <c r="H533" s="53">
        <v>1</v>
      </c>
      <c r="I533" s="141">
        <v>1</v>
      </c>
      <c r="J533" s="54">
        <f t="shared" ref="J533:J542" si="72">IFERROR(IF(K533&lt;&gt;0,K533*$K$5,0),0)</f>
        <v>18924.62</v>
      </c>
      <c r="K533" s="54">
        <f>IF(A533=0,VLOOKUP(D533,'03. Insumos'!A:F,4,0),"")</f>
        <v>18924.62</v>
      </c>
      <c r="L533" s="274">
        <f>H533*J533*I533</f>
        <v>18924.62</v>
      </c>
      <c r="M533" s="153">
        <f t="shared" si="71"/>
        <v>5.1775063414299955E-3</v>
      </c>
      <c r="O533" s="148"/>
      <c r="R533" s="12"/>
    </row>
    <row r="534" spans="1:18" s="59" customFormat="1" ht="13.5" customHeight="1" outlineLevel="1" x14ac:dyDescent="0.3">
      <c r="A534" s="290">
        <f t="shared" ref="A534:A541" si="73">LEN(C534)</f>
        <v>0</v>
      </c>
      <c r="B534" s="55"/>
      <c r="C534" s="55"/>
      <c r="D534" s="140" t="s">
        <v>2482</v>
      </c>
      <c r="E534" s="49" t="str">
        <f>VLOOKUP(D534,'03. Insumos'!A:D,2,0)</f>
        <v>Chapim Banco Itaúnas</v>
      </c>
      <c r="F534" s="52" t="s">
        <v>2613</v>
      </c>
      <c r="G534" s="52" t="str">
        <f>VLOOKUP(D534,'03. Insumos'!A:F,3,0)</f>
        <v>vb</v>
      </c>
      <c r="H534" s="53">
        <v>1</v>
      </c>
      <c r="I534" s="141">
        <v>1</v>
      </c>
      <c r="J534" s="54">
        <f t="shared" si="72"/>
        <v>3844.15</v>
      </c>
      <c r="K534" s="54">
        <f>IF(A534=0,VLOOKUP(D534,'03. Insumos'!A:F,4,0),"")</f>
        <v>3844.15</v>
      </c>
      <c r="L534" s="274">
        <f t="shared" ref="L534:L540" si="74">H534*J534*I534</f>
        <v>3844.15</v>
      </c>
      <c r="M534" s="153">
        <f t="shared" si="71"/>
        <v>1.0517046578693849E-3</v>
      </c>
      <c r="O534" s="148"/>
      <c r="R534" s="12"/>
    </row>
    <row r="535" spans="1:18" s="59" customFormat="1" ht="13.5" customHeight="1" outlineLevel="1" x14ac:dyDescent="0.3">
      <c r="A535" s="290">
        <f t="shared" si="73"/>
        <v>0</v>
      </c>
      <c r="B535" s="55"/>
      <c r="C535" s="55"/>
      <c r="D535" s="140" t="s">
        <v>2483</v>
      </c>
      <c r="E535" s="49" t="str">
        <f>VLOOKUP(D535,'03. Insumos'!A:D,2,0)</f>
        <v>Chapim Nanoglass</v>
      </c>
      <c r="F535" s="52" t="s">
        <v>2613</v>
      </c>
      <c r="G535" s="52" t="str">
        <f>VLOOKUP(D535,'03. Insumos'!A:F,3,0)</f>
        <v>vb</v>
      </c>
      <c r="H535" s="53">
        <v>1</v>
      </c>
      <c r="I535" s="141">
        <v>1</v>
      </c>
      <c r="J535" s="54">
        <f t="shared" si="72"/>
        <v>1960.46</v>
      </c>
      <c r="K535" s="54">
        <f>IF(A535=0,VLOOKUP(D535,'03. Insumos'!A:F,4,0),"")</f>
        <v>1960.46</v>
      </c>
      <c r="L535" s="274">
        <f>H535*J535*I535</f>
        <v>1960.46</v>
      </c>
      <c r="M535" s="153">
        <f t="shared" si="71"/>
        <v>5.3635391791855523E-4</v>
      </c>
      <c r="O535" s="148"/>
      <c r="R535" s="12"/>
    </row>
    <row r="536" spans="1:18" s="59" customFormat="1" ht="13.5" customHeight="1" outlineLevel="1" x14ac:dyDescent="0.3">
      <c r="A536" s="290">
        <f t="shared" si="73"/>
        <v>0</v>
      </c>
      <c r="B536" s="55"/>
      <c r="C536" s="55"/>
      <c r="D536" s="140" t="s">
        <v>2484</v>
      </c>
      <c r="E536" s="49" t="str">
        <f>VLOOKUP(D536,'03. Insumos'!A:D,2,0)</f>
        <v>Espelho degrau em Nanoglass</v>
      </c>
      <c r="F536" s="52" t="s">
        <v>2613</v>
      </c>
      <c r="G536" s="52" t="str">
        <f>VLOOKUP(D536,'03. Insumos'!A:F,3,0)</f>
        <v>vb</v>
      </c>
      <c r="H536" s="53">
        <v>1</v>
      </c>
      <c r="I536" s="141">
        <v>1</v>
      </c>
      <c r="J536" s="54">
        <f t="shared" si="72"/>
        <v>1617.34</v>
      </c>
      <c r="K536" s="54">
        <f>IF(A536=0,VLOOKUP(D536,'03. Insumos'!A:F,4,0),"")</f>
        <v>1617.34</v>
      </c>
      <c r="L536" s="274">
        <f>H536*J536*I536</f>
        <v>1617.34</v>
      </c>
      <c r="M536" s="153">
        <f t="shared" si="71"/>
        <v>4.4248117564571384E-4</v>
      </c>
      <c r="O536" s="148"/>
      <c r="R536" s="12"/>
    </row>
    <row r="537" spans="1:18" s="59" customFormat="1" ht="13.5" customHeight="1" outlineLevel="1" x14ac:dyDescent="0.3">
      <c r="A537" s="290">
        <f t="shared" si="73"/>
        <v>0</v>
      </c>
      <c r="B537" s="55"/>
      <c r="C537" s="55"/>
      <c r="D537" s="140" t="s">
        <v>2485</v>
      </c>
      <c r="E537" s="49" t="str">
        <f>VLOOKUP(D537,'03. Insumos'!A:D,2,0)</f>
        <v>Nicho em Nanoglass</v>
      </c>
      <c r="F537" s="52" t="s">
        <v>2613</v>
      </c>
      <c r="G537" s="52" t="str">
        <f>VLOOKUP(D537,'03. Insumos'!A:F,3,0)</f>
        <v>vb</v>
      </c>
      <c r="H537" s="53">
        <v>1</v>
      </c>
      <c r="I537" s="141">
        <v>1</v>
      </c>
      <c r="J537" s="54">
        <f t="shared" si="72"/>
        <v>1746.04</v>
      </c>
      <c r="K537" s="54">
        <f>IF(A537=0,VLOOKUP(D537,'03. Insumos'!A:F,4,0),"")</f>
        <v>1746.04</v>
      </c>
      <c r="L537" s="274">
        <f t="shared" si="74"/>
        <v>1746.04</v>
      </c>
      <c r="M537" s="153">
        <f t="shared" si="71"/>
        <v>4.7769166157050598E-4</v>
      </c>
      <c r="O537" s="148"/>
      <c r="R537" s="12"/>
    </row>
    <row r="538" spans="1:18" s="59" customFormat="1" ht="13.5" customHeight="1" outlineLevel="1" x14ac:dyDescent="0.3">
      <c r="A538" s="290">
        <f t="shared" si="73"/>
        <v>0</v>
      </c>
      <c r="B538" s="55"/>
      <c r="C538" s="55"/>
      <c r="D538" s="140" t="s">
        <v>2486</v>
      </c>
      <c r="E538" s="49" t="str">
        <f>VLOOKUP(D538,'03. Insumos'!A:D,2,0)</f>
        <v>Material + MO - Granito Santa Cecília Levigado</v>
      </c>
      <c r="F538" s="52" t="s">
        <v>2613</v>
      </c>
      <c r="G538" s="52" t="str">
        <f>VLOOKUP(D538,'03. Insumos'!A:F,3,0)</f>
        <v>m²</v>
      </c>
      <c r="H538" s="53">
        <v>1</v>
      </c>
      <c r="I538" s="141">
        <v>1</v>
      </c>
      <c r="J538" s="54">
        <f t="shared" si="72"/>
        <v>445.33330000000001</v>
      </c>
      <c r="K538" s="54">
        <f>IF(A538=0,VLOOKUP(D538,'03. Insumos'!A:F,4,0),"")</f>
        <v>445.33330000000001</v>
      </c>
      <c r="L538" s="274">
        <f t="shared" si="74"/>
        <v>445.33330000000001</v>
      </c>
      <c r="M538" s="153">
        <f t="shared" si="71"/>
        <v>1.2183684453373155E-4</v>
      </c>
      <c r="O538" s="148"/>
      <c r="R538" s="12"/>
    </row>
    <row r="539" spans="1:18" s="59" customFormat="1" ht="13.5" customHeight="1" outlineLevel="1" x14ac:dyDescent="0.3">
      <c r="A539" s="290">
        <f t="shared" si="73"/>
        <v>0</v>
      </c>
      <c r="B539" s="55"/>
      <c r="C539" s="55"/>
      <c r="D539" s="140" t="s">
        <v>2487</v>
      </c>
      <c r="E539" s="49" t="str">
        <f>VLOOKUP(D539,'03. Insumos'!A:D,2,0)</f>
        <v>Cozinha Bancada Ardósia cinza - 2.25 x 0.6</v>
      </c>
      <c r="F539" s="52" t="s">
        <v>2613</v>
      </c>
      <c r="G539" s="52" t="str">
        <f>VLOOKUP(D539,'03. Insumos'!A:F,3,0)</f>
        <v>unid</v>
      </c>
      <c r="H539" s="53">
        <v>1</v>
      </c>
      <c r="I539" s="141">
        <v>1</v>
      </c>
      <c r="J539" s="54">
        <f t="shared" si="72"/>
        <v>603</v>
      </c>
      <c r="K539" s="54">
        <f>IF(A539=0,VLOOKUP(D539,'03. Insumos'!A:F,4,0),"")</f>
        <v>603</v>
      </c>
      <c r="L539" s="274">
        <f t="shared" si="74"/>
        <v>603</v>
      </c>
      <c r="M539" s="153">
        <f t="shared" si="71"/>
        <v>1.6497220678049479E-4</v>
      </c>
      <c r="O539" s="148"/>
      <c r="R539" s="12"/>
    </row>
    <row r="540" spans="1:18" s="59" customFormat="1" ht="13.5" customHeight="1" outlineLevel="1" x14ac:dyDescent="0.3">
      <c r="A540" s="290">
        <f t="shared" si="73"/>
        <v>0</v>
      </c>
      <c r="B540" s="55"/>
      <c r="C540" s="55"/>
      <c r="D540" s="140" t="s">
        <v>2488</v>
      </c>
      <c r="E540" s="49" t="str">
        <f>VLOOKUP(D540,'03. Insumos'!A:D,2,0)</f>
        <v>Cozinha Bancada Ardózia Cinza - 7.5 x 0.6</v>
      </c>
      <c r="F540" s="52" t="s">
        <v>2613</v>
      </c>
      <c r="G540" s="52" t="str">
        <f>VLOOKUP(D540,'03. Insumos'!A:F,3,0)</f>
        <v>vb</v>
      </c>
      <c r="H540" s="53">
        <v>1</v>
      </c>
      <c r="I540" s="141">
        <v>1</v>
      </c>
      <c r="J540" s="54">
        <f t="shared" si="72"/>
        <v>2007</v>
      </c>
      <c r="K540" s="54">
        <f>IF(A540=0,VLOOKUP(D540,'03. Insumos'!A:F,4,0),"")</f>
        <v>2007</v>
      </c>
      <c r="L540" s="274">
        <f t="shared" si="74"/>
        <v>2007</v>
      </c>
      <c r="M540" s="153">
        <f t="shared" si="71"/>
        <v>5.4908659868731853E-4</v>
      </c>
      <c r="O540" s="148"/>
      <c r="R540" s="12"/>
    </row>
    <row r="541" spans="1:18" s="59" customFormat="1" ht="13.5" customHeight="1" outlineLevel="1" x14ac:dyDescent="0.3">
      <c r="A541" s="290">
        <f t="shared" si="73"/>
        <v>0</v>
      </c>
      <c r="B541" s="55"/>
      <c r="C541" s="55"/>
      <c r="D541" s="140" t="s">
        <v>2489</v>
      </c>
      <c r="E541" s="49" t="str">
        <f>VLOOKUP(D541,'03. Insumos'!A:D,2,0)</f>
        <v>Soleira em Nanoglass</v>
      </c>
      <c r="F541" s="52" t="s">
        <v>2613</v>
      </c>
      <c r="G541" s="52" t="str">
        <f>VLOOKUP(D541,'03. Insumos'!A:F,3,0)</f>
        <v>vb</v>
      </c>
      <c r="H541" s="53">
        <v>1</v>
      </c>
      <c r="I541" s="141">
        <v>1</v>
      </c>
      <c r="J541" s="54">
        <f t="shared" si="72"/>
        <v>4048.2400000000002</v>
      </c>
      <c r="K541" s="54">
        <f>IF(A541=0,VLOOKUP(D541,'03. Insumos'!A:F,4,0),"")</f>
        <v>4048.2400000000002</v>
      </c>
      <c r="L541" s="274">
        <f>H541*J541*I541</f>
        <v>4048.2400000000002</v>
      </c>
      <c r="M541" s="153">
        <f t="shared" si="71"/>
        <v>1.1075407734279772E-3</v>
      </c>
      <c r="O541" s="148"/>
      <c r="R541" s="12"/>
    </row>
    <row r="542" spans="1:18" s="51" customFormat="1" ht="13.5" customHeight="1" outlineLevel="1" x14ac:dyDescent="0.3">
      <c r="A542" s="290">
        <f>LEN(C542)</f>
        <v>0</v>
      </c>
      <c r="B542" s="49"/>
      <c r="C542" s="49"/>
      <c r="D542" s="140" t="s">
        <v>2490</v>
      </c>
      <c r="E542" s="49" t="str">
        <f>VLOOKUP(D542,'03. Insumos'!A:D,2,0)</f>
        <v>Tento em Nanoglass</v>
      </c>
      <c r="F542" s="52" t="s">
        <v>2613</v>
      </c>
      <c r="G542" s="52" t="str">
        <f>VLOOKUP(D542,'03. Insumos'!A:F,3,0)</f>
        <v>vb</v>
      </c>
      <c r="H542" s="53">
        <v>1</v>
      </c>
      <c r="I542" s="141">
        <v>1</v>
      </c>
      <c r="J542" s="54">
        <f t="shared" si="72"/>
        <v>736.87</v>
      </c>
      <c r="K542" s="54">
        <f>IF(A542=0,VLOOKUP(D542,'03. Insumos'!A:F,4,0),"")</f>
        <v>736.87</v>
      </c>
      <c r="L542" s="274">
        <f>H542*J542*I542</f>
        <v>736.87</v>
      </c>
      <c r="M542" s="153">
        <f t="shared" si="71"/>
        <v>2.0159713102876152E-4</v>
      </c>
      <c r="O542" s="148">
        <f>IF(I542&lt;&gt;0,I542*H542*K542,)</f>
        <v>736.87</v>
      </c>
      <c r="R542" s="12">
        <f>IF(J542&lt;&gt;0,J542/1.03-K542,0)</f>
        <v>-21.462233009708712</v>
      </c>
    </row>
    <row r="543" spans="1:18" s="51" customFormat="1" ht="13.5" hidden="1" customHeight="1" outlineLevel="1" x14ac:dyDescent="0.3">
      <c r="A543" s="290">
        <f>LEN(C543)</f>
        <v>6</v>
      </c>
      <c r="B543" s="49"/>
      <c r="C543" s="55" t="s">
        <v>326</v>
      </c>
      <c r="D543" s="55" t="s">
        <v>2169</v>
      </c>
      <c r="E543" s="49"/>
      <c r="F543" s="52"/>
      <c r="G543" s="52"/>
      <c r="H543" s="53"/>
      <c r="I543" s="141"/>
      <c r="J543" s="54"/>
      <c r="K543" s="54"/>
      <c r="L543" s="58">
        <f>SUM(L544)</f>
        <v>0</v>
      </c>
      <c r="M543" s="153">
        <f t="shared" si="71"/>
        <v>0</v>
      </c>
      <c r="O543" s="148"/>
      <c r="R543" s="12"/>
    </row>
    <row r="544" spans="1:18" s="51" customFormat="1" ht="13.5" hidden="1" customHeight="1" outlineLevel="1" x14ac:dyDescent="0.3">
      <c r="A544" s="290">
        <f>LEN(C544)</f>
        <v>0</v>
      </c>
      <c r="B544" s="49"/>
      <c r="C544" s="49"/>
      <c r="D544" s="140" t="s">
        <v>2170</v>
      </c>
      <c r="E544" s="49" t="str">
        <f>VLOOKUP(D544,'03. Insumos'!A:D,2,0)</f>
        <v>Soleiras, Tentos, Peitoris e Chapins - Mármore Branco Prime Nano</v>
      </c>
      <c r="F544" s="52"/>
      <c r="G544" s="52" t="str">
        <f>VLOOKUP(D544,'03. Insumos'!A:F,3,0)</f>
        <v>vb</v>
      </c>
      <c r="H544" s="53">
        <v>1</v>
      </c>
      <c r="I544" s="141"/>
      <c r="J544" s="54">
        <f>IFERROR(IF(K544&lt;&gt;0,K544*$K$5,0),0)</f>
        <v>20399.268</v>
      </c>
      <c r="K544" s="54">
        <f>IF(A544=0,VLOOKUP(D544,'03. Insumos'!A:F,4,0),"")</f>
        <v>20399.268</v>
      </c>
      <c r="L544" s="274">
        <f>H544*J544*I544</f>
        <v>0</v>
      </c>
      <c r="M544" s="153">
        <f t="shared" si="71"/>
        <v>0</v>
      </c>
      <c r="O544" s="148"/>
      <c r="R544" s="12"/>
    </row>
    <row r="545" spans="1:18" s="59" customFormat="1" ht="13.5" hidden="1" customHeight="1" outlineLevel="1" x14ac:dyDescent="0.3">
      <c r="A545" s="290">
        <f t="shared" ref="A545:A608" si="75">LEN(C545)</f>
        <v>6</v>
      </c>
      <c r="B545" s="55"/>
      <c r="C545" s="55" t="s">
        <v>896</v>
      </c>
      <c r="D545" s="55" t="s">
        <v>2112</v>
      </c>
      <c r="E545" s="55"/>
      <c r="F545" s="56"/>
      <c r="G545" s="56"/>
      <c r="H545" s="57"/>
      <c r="I545" s="57"/>
      <c r="J545" s="58"/>
      <c r="K545" s="58" t="str">
        <f>IF(A545=0,VLOOKUP(D545,'03. Insumos'!A:F,4,0),"")</f>
        <v/>
      </c>
      <c r="L545" s="58">
        <f>SUM(L546:L548)</f>
        <v>0</v>
      </c>
      <c r="M545" s="153">
        <f t="shared" si="71"/>
        <v>0</v>
      </c>
      <c r="O545" s="148">
        <f>IF(I545&lt;&gt;0,I545*H545*K545,)</f>
        <v>0</v>
      </c>
      <c r="R545" s="12">
        <f>IF(J545&lt;&gt;0,J545/1.03-K545,0)</f>
        <v>0</v>
      </c>
    </row>
    <row r="546" spans="1:18" s="51" customFormat="1" ht="13.5" hidden="1" customHeight="1" outlineLevel="1" x14ac:dyDescent="0.3">
      <c r="A546" s="290">
        <f t="shared" si="75"/>
        <v>0</v>
      </c>
      <c r="B546" s="49"/>
      <c r="C546" s="49"/>
      <c r="D546" s="140" t="s">
        <v>2126</v>
      </c>
      <c r="E546" s="49" t="str">
        <f>VLOOKUP(D546,'03. Insumos'!A:D,2,0)</f>
        <v>Bancada de branco prime 1,32 x 0,55</v>
      </c>
      <c r="F546" s="52"/>
      <c r="G546" s="52" t="str">
        <f>VLOOKUP(D546,'03. Insumos'!A:F,3,0)</f>
        <v>vb</v>
      </c>
      <c r="H546" s="53">
        <v>1</v>
      </c>
      <c r="I546" s="141"/>
      <c r="J546" s="54">
        <f>IFERROR(IF(K546&lt;&gt;0,K546*$K$5,0),0)</f>
        <v>1651.44</v>
      </c>
      <c r="K546" s="54">
        <f>IF(A546=0,VLOOKUP(D546,'03. Insumos'!A:F,4,0),"")</f>
        <v>1651.44</v>
      </c>
      <c r="L546" s="274">
        <f>H546*J546*I546</f>
        <v>0</v>
      </c>
      <c r="M546" s="153">
        <f t="shared" si="71"/>
        <v>0</v>
      </c>
      <c r="O546" s="148">
        <f>IF(I546&lt;&gt;0,I546*H546*K546,)</f>
        <v>0</v>
      </c>
      <c r="R546" s="12">
        <f>IF(J546&lt;&gt;0,J546/1.03-K546,0)</f>
        <v>-48.100194174757235</v>
      </c>
    </row>
    <row r="547" spans="1:18" s="51" customFormat="1" ht="13.5" hidden="1" customHeight="1" outlineLevel="1" x14ac:dyDescent="0.3">
      <c r="A547" s="290">
        <f t="shared" si="75"/>
        <v>0</v>
      </c>
      <c r="B547" s="49"/>
      <c r="C547" s="49"/>
      <c r="D547" s="140" t="s">
        <v>2127</v>
      </c>
      <c r="E547" s="49" t="str">
        <f>VLOOKUP(D547,'03. Insumos'!A:D,2,0)</f>
        <v>Tento duplo de branco prime 1,70 x 0,10</v>
      </c>
      <c r="F547" s="52"/>
      <c r="G547" s="52" t="str">
        <f>VLOOKUP(D547,'03. Insumos'!A:F,3,0)</f>
        <v>vb</v>
      </c>
      <c r="H547" s="53">
        <v>1</v>
      </c>
      <c r="I547" s="141"/>
      <c r="J547" s="54">
        <f>IFERROR(IF(K547&lt;&gt;0,K547*$K$5,0),0)</f>
        <v>350.86</v>
      </c>
      <c r="K547" s="54">
        <f>IF(A547=0,VLOOKUP(D547,'03. Insumos'!A:F,4,0),"")</f>
        <v>350.86</v>
      </c>
      <c r="L547" s="274">
        <f>H547*J547*I547</f>
        <v>0</v>
      </c>
      <c r="M547" s="153">
        <f t="shared" si="71"/>
        <v>0</v>
      </c>
      <c r="O547" s="148"/>
      <c r="R547" s="12"/>
    </row>
    <row r="548" spans="1:18" s="51" customFormat="1" ht="13.5" hidden="1" customHeight="1" outlineLevel="1" x14ac:dyDescent="0.3">
      <c r="A548" s="290">
        <f t="shared" si="75"/>
        <v>0</v>
      </c>
      <c r="B548" s="49"/>
      <c r="C548" s="49"/>
      <c r="D548" s="140" t="s">
        <v>2128</v>
      </c>
      <c r="E548" s="49" t="str">
        <f>VLOOKUP(D548,'03. Insumos'!A:D,2,0)</f>
        <v>Nicho de branco prime b. suíte</v>
      </c>
      <c r="F548" s="52"/>
      <c r="G548" s="52" t="str">
        <f>VLOOKUP(D548,'03. Insumos'!A:F,3,0)</f>
        <v>vb</v>
      </c>
      <c r="H548" s="53">
        <v>1</v>
      </c>
      <c r="I548" s="141"/>
      <c r="J548" s="54">
        <f>IFERROR(IF(K548&lt;&gt;0,K548*$K$5,0),0)</f>
        <v>780</v>
      </c>
      <c r="K548" s="54">
        <f>IF(A548=0,VLOOKUP(D548,'03. Insumos'!A:F,4,0),"")</f>
        <v>780</v>
      </c>
      <c r="L548" s="274">
        <f>H548*J548*I548</f>
        <v>0</v>
      </c>
      <c r="M548" s="153">
        <f t="shared" si="71"/>
        <v>0</v>
      </c>
      <c r="O548" s="148"/>
      <c r="R548" s="12"/>
    </row>
    <row r="549" spans="1:18" s="59" customFormat="1" ht="13.5" hidden="1" customHeight="1" outlineLevel="1" x14ac:dyDescent="0.3">
      <c r="A549" s="290">
        <f t="shared" si="75"/>
        <v>6</v>
      </c>
      <c r="B549" s="55"/>
      <c r="C549" s="55" t="s">
        <v>1467</v>
      </c>
      <c r="D549" s="55" t="s">
        <v>2113</v>
      </c>
      <c r="E549" s="55"/>
      <c r="F549" s="56"/>
      <c r="G549" s="56" t="s">
        <v>74</v>
      </c>
      <c r="H549" s="57"/>
      <c r="I549" s="57"/>
      <c r="J549" s="58"/>
      <c r="K549" s="58" t="str">
        <f>IF(A549=0,VLOOKUP(D549,'03. Insumos'!A:F,4,0),"")</f>
        <v/>
      </c>
      <c r="L549" s="58">
        <f>SUM(L550:L552)</f>
        <v>0</v>
      </c>
      <c r="M549" s="153">
        <f t="shared" si="71"/>
        <v>0</v>
      </c>
      <c r="O549" s="148">
        <f>IF(I549&lt;&gt;0,I549*H549*K549,)</f>
        <v>0</v>
      </c>
      <c r="R549" s="12">
        <f>IF(J549&lt;&gt;0,J549/1.03-K549,0)</f>
        <v>0</v>
      </c>
    </row>
    <row r="550" spans="1:18" s="51" customFormat="1" ht="13.5" hidden="1" customHeight="1" outlineLevel="1" x14ac:dyDescent="0.3">
      <c r="A550" s="290">
        <f t="shared" si="75"/>
        <v>0</v>
      </c>
      <c r="B550" s="49"/>
      <c r="C550" s="49"/>
      <c r="D550" s="140" t="s">
        <v>2129</v>
      </c>
      <c r="E550" s="49" t="str">
        <f>VLOOKUP(D550,'03. Insumos'!A:D,2,0)</f>
        <v>Bancada de branco prime 1,14 x 0,55</v>
      </c>
      <c r="F550" s="52"/>
      <c r="G550" s="52" t="str">
        <f>VLOOKUP(D550,'03. Insumos'!A:F,3,0)</f>
        <v>vb</v>
      </c>
      <c r="H550" s="53">
        <v>1</v>
      </c>
      <c r="I550" s="141"/>
      <c r="J550" s="54">
        <f>IFERROR(IF(K550&lt;&gt;0,K550*$K$5,0),0)</f>
        <v>908.62</v>
      </c>
      <c r="K550" s="54">
        <f>IF(A550=0,VLOOKUP(D550,'03. Insumos'!A:F,4,0),"")</f>
        <v>908.62</v>
      </c>
      <c r="L550" s="274">
        <f>H550*J550*I550</f>
        <v>0</v>
      </c>
      <c r="M550" s="153">
        <f t="shared" si="71"/>
        <v>0</v>
      </c>
      <c r="O550" s="148">
        <f>IF(I550&lt;&gt;0,I550*H550*K550,)</f>
        <v>0</v>
      </c>
      <c r="R550" s="12">
        <f>IF(J550&lt;&gt;0,J550/1.03-K550,0)</f>
        <v>-26.464660194174826</v>
      </c>
    </row>
    <row r="551" spans="1:18" s="51" customFormat="1" ht="13.5" hidden="1" customHeight="1" outlineLevel="1" x14ac:dyDescent="0.3">
      <c r="A551" s="290">
        <f t="shared" si="75"/>
        <v>0</v>
      </c>
      <c r="B551" s="49"/>
      <c r="C551" s="49"/>
      <c r="D551" s="140" t="s">
        <v>2130</v>
      </c>
      <c r="E551" s="49" t="str">
        <f>VLOOKUP(D551,'03. Insumos'!A:D,2,0)</f>
        <v>Tento duplo de branco prime 1,27 x 0,10</v>
      </c>
      <c r="F551" s="52"/>
      <c r="G551" s="52" t="str">
        <f>VLOOKUP(D551,'03. Insumos'!A:F,3,0)</f>
        <v>vb</v>
      </c>
      <c r="H551" s="53">
        <v>1</v>
      </c>
      <c r="I551" s="141"/>
      <c r="J551" s="54">
        <f>IFERROR(IF(K551&lt;&gt;0,K551*$K$5,0),0)</f>
        <v>262.11</v>
      </c>
      <c r="K551" s="54">
        <f>IF(A551=0,VLOOKUP(D551,'03. Insumos'!A:F,4,0),"")</f>
        <v>262.11</v>
      </c>
      <c r="L551" s="274">
        <f>H551*J551*I551</f>
        <v>0</v>
      </c>
      <c r="M551" s="153">
        <f t="shared" si="71"/>
        <v>0</v>
      </c>
      <c r="O551" s="148"/>
      <c r="R551" s="12"/>
    </row>
    <row r="552" spans="1:18" s="51" customFormat="1" ht="13.5" hidden="1" customHeight="1" outlineLevel="1" x14ac:dyDescent="0.3">
      <c r="A552" s="290">
        <f t="shared" si="75"/>
        <v>0</v>
      </c>
      <c r="B552" s="49"/>
      <c r="C552" s="49"/>
      <c r="D552" s="140" t="s">
        <v>2131</v>
      </c>
      <c r="E552" s="49" t="str">
        <f>VLOOKUP(D552,'03. Insumos'!A:D,2,0)</f>
        <v>Nicho de branco prime b. social</v>
      </c>
      <c r="F552" s="52"/>
      <c r="G552" s="52" t="str">
        <f>VLOOKUP(D552,'03. Insumos'!A:F,3,0)</f>
        <v>vb</v>
      </c>
      <c r="H552" s="53">
        <v>1</v>
      </c>
      <c r="I552" s="141"/>
      <c r="J552" s="54">
        <f>IFERROR(IF(K552&lt;&gt;0,K552*$K$5,0),0)</f>
        <v>739.33</v>
      </c>
      <c r="K552" s="54">
        <f>IF(A552=0,VLOOKUP(D552,'03. Insumos'!A:F,4,0),"")</f>
        <v>739.33</v>
      </c>
      <c r="L552" s="274">
        <f>H552*J552*I552</f>
        <v>0</v>
      </c>
      <c r="M552" s="153">
        <f t="shared" si="71"/>
        <v>0</v>
      </c>
      <c r="O552" s="148"/>
      <c r="R552" s="12"/>
    </row>
    <row r="553" spans="1:18" s="51" customFormat="1" ht="13.5" hidden="1" customHeight="1" outlineLevel="1" x14ac:dyDescent="0.3">
      <c r="A553" s="290">
        <f t="shared" si="75"/>
        <v>6</v>
      </c>
      <c r="B553" s="49"/>
      <c r="C553" s="55" t="s">
        <v>955</v>
      </c>
      <c r="D553" s="55" t="s">
        <v>2114</v>
      </c>
      <c r="E553" s="49"/>
      <c r="F553" s="52"/>
      <c r="G553" s="52"/>
      <c r="H553" s="53"/>
      <c r="I553" s="141"/>
      <c r="J553" s="54"/>
      <c r="K553" s="54"/>
      <c r="L553" s="58">
        <f>SUM(L554:L554)</f>
        <v>0</v>
      </c>
      <c r="M553" s="153">
        <f t="shared" ref="M553:M616" si="76">L553/$L$7</f>
        <v>0</v>
      </c>
      <c r="O553" s="148"/>
      <c r="R553" s="12"/>
    </row>
    <row r="554" spans="1:18" s="51" customFormat="1" ht="13.5" hidden="1" customHeight="1" outlineLevel="1" x14ac:dyDescent="0.3">
      <c r="A554" s="290">
        <f t="shared" si="75"/>
        <v>0</v>
      </c>
      <c r="B554" s="49"/>
      <c r="C554" s="49"/>
      <c r="D554" s="140" t="s">
        <v>2132</v>
      </c>
      <c r="E554" s="49" t="str">
        <f>VLOOKUP(D554,'03. Insumos'!A:D,2,0)</f>
        <v>Bancada branco nanoglass 0,90 x 0,55</v>
      </c>
      <c r="F554" s="52"/>
      <c r="G554" s="52" t="str">
        <f>VLOOKUP(D554,'03. Insumos'!A:F,3,0)</f>
        <v>vb</v>
      </c>
      <c r="H554" s="53">
        <v>1</v>
      </c>
      <c r="I554" s="141"/>
      <c r="J554" s="54">
        <f>IFERROR(IF(K554&lt;&gt;0,K554*$K$5,0),0)</f>
        <v>1534.75</v>
      </c>
      <c r="K554" s="54">
        <f>IF(A554=0,VLOOKUP(D554,'03. Insumos'!A:F,4,0),"")</f>
        <v>1534.75</v>
      </c>
      <c r="L554" s="274">
        <f>H554*J554*I554</f>
        <v>0</v>
      </c>
      <c r="M554" s="153">
        <f t="shared" si="76"/>
        <v>0</v>
      </c>
      <c r="O554" s="148"/>
      <c r="R554" s="12"/>
    </row>
    <row r="555" spans="1:18" s="51" customFormat="1" ht="13.5" hidden="1" customHeight="1" outlineLevel="1" x14ac:dyDescent="0.3">
      <c r="A555" s="290">
        <f t="shared" si="75"/>
        <v>6</v>
      </c>
      <c r="B555" s="49"/>
      <c r="C555" s="55" t="s">
        <v>1477</v>
      </c>
      <c r="D555" s="55" t="s">
        <v>2174</v>
      </c>
      <c r="E555" s="49"/>
      <c r="F555" s="52"/>
      <c r="G555" s="52"/>
      <c r="H555" s="53"/>
      <c r="I555" s="141"/>
      <c r="J555" s="54"/>
      <c r="K555" s="54"/>
      <c r="L555" s="58">
        <f>SUM(L556:L558)</f>
        <v>0</v>
      </c>
      <c r="M555" s="153">
        <f t="shared" si="76"/>
        <v>0</v>
      </c>
      <c r="O555" s="148"/>
      <c r="R555" s="12"/>
    </row>
    <row r="556" spans="1:18" s="51" customFormat="1" ht="13.5" hidden="1" customHeight="1" outlineLevel="1" x14ac:dyDescent="0.3">
      <c r="A556" s="290">
        <f t="shared" si="75"/>
        <v>0</v>
      </c>
      <c r="B556" s="49"/>
      <c r="C556" s="55"/>
      <c r="D556" s="140" t="s">
        <v>2172</v>
      </c>
      <c r="E556" s="49" t="str">
        <f>VLOOKUP(D556,'03. Insumos'!A:D,2,0)</f>
        <v>Bancada em Inox</v>
      </c>
      <c r="F556" s="52"/>
      <c r="G556" s="52" t="str">
        <f>VLOOKUP(D556,'03. Insumos'!A:F,3,0)</f>
        <v>vb</v>
      </c>
      <c r="H556" s="53">
        <v>1</v>
      </c>
      <c r="I556" s="141"/>
      <c r="J556" s="54">
        <f>IFERROR(IF(K556&lt;&gt;0,K556*$K$5,0),0)</f>
        <v>3374</v>
      </c>
      <c r="K556" s="54">
        <f>IF(A556=0,VLOOKUP(D556,'03. Insumos'!A:F,4,0),"")</f>
        <v>3374</v>
      </c>
      <c r="L556" s="274">
        <f>H556*J556*I556</f>
        <v>0</v>
      </c>
      <c r="M556" s="153">
        <f t="shared" si="76"/>
        <v>0</v>
      </c>
      <c r="O556" s="148"/>
      <c r="R556" s="12"/>
    </row>
    <row r="557" spans="1:18" s="51" customFormat="1" ht="13.5" hidden="1" customHeight="1" outlineLevel="1" x14ac:dyDescent="0.3">
      <c r="A557" s="290">
        <f t="shared" si="75"/>
        <v>0</v>
      </c>
      <c r="B557" s="49"/>
      <c r="C557" s="49"/>
      <c r="D557" s="140" t="s">
        <v>2133</v>
      </c>
      <c r="E557" s="49" t="str">
        <f>VLOOKUP(D557,'03. Insumos'!A:D,2,0)</f>
        <v>Bancada molhada e seca preto são gabriel</v>
      </c>
      <c r="F557" s="52"/>
      <c r="G557" s="52" t="str">
        <f>VLOOKUP(D557,'03. Insumos'!A:F,3,0)</f>
        <v>vb</v>
      </c>
      <c r="H557" s="53">
        <v>1</v>
      </c>
      <c r="I557" s="141"/>
      <c r="J557" s="54">
        <f>IFERROR(IF(K557&lt;&gt;0,K557*$K$5,0),0)</f>
        <v>1249.73</v>
      </c>
      <c r="K557" s="54">
        <f>IF(A557=0,VLOOKUP(D557,'03. Insumos'!A:F,4,0),"")</f>
        <v>1249.73</v>
      </c>
      <c r="L557" s="274">
        <f>H557*J557*I557</f>
        <v>0</v>
      </c>
      <c r="M557" s="153">
        <f t="shared" si="76"/>
        <v>0</v>
      </c>
      <c r="O557" s="148"/>
      <c r="R557" s="12"/>
    </row>
    <row r="558" spans="1:18" s="51" customFormat="1" ht="13.5" hidden="1" customHeight="1" outlineLevel="1" x14ac:dyDescent="0.3">
      <c r="A558" s="290">
        <f t="shared" si="75"/>
        <v>0</v>
      </c>
      <c r="B558" s="49"/>
      <c r="C558" s="49"/>
      <c r="D558" s="140" t="s">
        <v>2134</v>
      </c>
      <c r="E558" s="49" t="str">
        <f>VLOOKUP(D558,'03. Insumos'!A:D,2,0)</f>
        <v>Soco preto são gabriel</v>
      </c>
      <c r="F558" s="52"/>
      <c r="G558" s="52" t="str">
        <f>VLOOKUP(D558,'03. Insumos'!A:F,3,0)</f>
        <v>vb</v>
      </c>
      <c r="H558" s="53">
        <v>1</v>
      </c>
      <c r="I558" s="141"/>
      <c r="J558" s="54">
        <f>IFERROR(IF(K558&lt;&gt;0,K558*$K$5,0),0)</f>
        <v>187.93</v>
      </c>
      <c r="K558" s="54">
        <f>IF(A558=0,VLOOKUP(D558,'03. Insumos'!A:F,4,0),"")</f>
        <v>187.93</v>
      </c>
      <c r="L558" s="274">
        <f>H558*J558*I558</f>
        <v>0</v>
      </c>
      <c r="M558" s="153">
        <f t="shared" si="76"/>
        <v>0</v>
      </c>
      <c r="O558" s="148"/>
      <c r="R558" s="12"/>
    </row>
    <row r="559" spans="1:18" s="51" customFormat="1" ht="13.5" hidden="1" customHeight="1" outlineLevel="1" x14ac:dyDescent="0.3">
      <c r="A559" s="290">
        <f t="shared" si="75"/>
        <v>6</v>
      </c>
      <c r="B559" s="49"/>
      <c r="C559" s="55" t="s">
        <v>1480</v>
      </c>
      <c r="D559" s="55" t="s">
        <v>1551</v>
      </c>
      <c r="E559" s="49"/>
      <c r="F559" s="52"/>
      <c r="G559" s="52"/>
      <c r="H559" s="53"/>
      <c r="I559" s="141"/>
      <c r="J559" s="54"/>
      <c r="K559" s="54"/>
      <c r="L559" s="58">
        <f>SUM(L560:L565)</f>
        <v>0</v>
      </c>
      <c r="M559" s="153">
        <f t="shared" si="76"/>
        <v>0</v>
      </c>
      <c r="O559" s="148"/>
      <c r="R559" s="12"/>
    </row>
    <row r="560" spans="1:18" s="51" customFormat="1" ht="13.5" hidden="1" customHeight="1" outlineLevel="1" x14ac:dyDescent="0.3">
      <c r="A560" s="290">
        <f t="shared" si="75"/>
        <v>0</v>
      </c>
      <c r="B560" s="49"/>
      <c r="C560" s="49"/>
      <c r="D560" s="140" t="s">
        <v>2135</v>
      </c>
      <c r="E560" s="49" t="str">
        <f>VLOOKUP(D560,'03. Insumos'!A:D,2,0)</f>
        <v>Bancada preto são gabriel 1,21 x 0,60</v>
      </c>
      <c r="F560" s="52"/>
      <c r="G560" s="52" t="str">
        <f>VLOOKUP(D560,'03. Insumos'!A:F,3,0)</f>
        <v>vb</v>
      </c>
      <c r="H560" s="53">
        <v>1</v>
      </c>
      <c r="I560" s="141"/>
      <c r="J560" s="54">
        <f t="shared" ref="J560:J565" si="77">IFERROR(IF(K560&lt;&gt;0,K560*$K$5,0),0)</f>
        <v>696.88</v>
      </c>
      <c r="K560" s="54">
        <f>IF(A560=0,VLOOKUP(D560,'03. Insumos'!A:F,4,0),"")</f>
        <v>696.88</v>
      </c>
      <c r="L560" s="274">
        <f t="shared" ref="L560:L565" si="78">H560*J560*I560</f>
        <v>0</v>
      </c>
      <c r="M560" s="153">
        <f t="shared" si="76"/>
        <v>0</v>
      </c>
      <c r="O560" s="148"/>
      <c r="R560" s="12"/>
    </row>
    <row r="561" spans="1:18" s="51" customFormat="1" ht="13.5" hidden="1" customHeight="1" outlineLevel="1" x14ac:dyDescent="0.3">
      <c r="A561" s="290">
        <f t="shared" si="75"/>
        <v>0</v>
      </c>
      <c r="B561" s="49"/>
      <c r="C561" s="49"/>
      <c r="D561" s="140" t="s">
        <v>810</v>
      </c>
      <c r="E561" s="49" t="str">
        <f>VLOOKUP(D561,'03. Insumos'!A:D,2,0)</f>
        <v>Material - Frontispício mármore branco Pigues 2,08 x 0,15</v>
      </c>
      <c r="F561" s="52"/>
      <c r="G561" s="52" t="str">
        <f>VLOOKUP(D561,'03. Insumos'!A:F,3,0)</f>
        <v>vb</v>
      </c>
      <c r="H561" s="53">
        <v>1</v>
      </c>
      <c r="I561" s="141"/>
      <c r="J561" s="54">
        <f t="shared" si="77"/>
        <v>515</v>
      </c>
      <c r="K561" s="54">
        <f>IF(A561=0,VLOOKUP(D561,'03. Insumos'!A:F,4,0),"")</f>
        <v>515</v>
      </c>
      <c r="L561" s="274">
        <f t="shared" si="78"/>
        <v>0</v>
      </c>
      <c r="M561" s="153">
        <f t="shared" si="76"/>
        <v>0</v>
      </c>
      <c r="O561" s="148"/>
      <c r="R561" s="12"/>
    </row>
    <row r="562" spans="1:18" s="51" customFormat="1" ht="13.5" hidden="1" customHeight="1" outlineLevel="1" x14ac:dyDescent="0.3">
      <c r="A562" s="290">
        <f t="shared" si="75"/>
        <v>0</v>
      </c>
      <c r="B562" s="49"/>
      <c r="C562" s="49"/>
      <c r="D562" s="140" t="s">
        <v>811</v>
      </c>
      <c r="E562" s="49" t="str">
        <f>VLOOKUP(D562,'03. Insumos'!A:D,2,0)</f>
        <v>Material - Tento mármore branco pigues 2,20 x 0,10 m</v>
      </c>
      <c r="F562" s="52"/>
      <c r="G562" s="52" t="str">
        <f>VLOOKUP(D562,'03. Insumos'!A:F,3,0)</f>
        <v>vb</v>
      </c>
      <c r="H562" s="53">
        <v>1</v>
      </c>
      <c r="I562" s="141"/>
      <c r="J562" s="54">
        <f t="shared" si="77"/>
        <v>871</v>
      </c>
      <c r="K562" s="54">
        <f>IF(A562=0,VLOOKUP(D562,'03. Insumos'!A:F,4,0),"")</f>
        <v>871</v>
      </c>
      <c r="L562" s="274">
        <f t="shared" si="78"/>
        <v>0</v>
      </c>
      <c r="M562" s="153">
        <f t="shared" si="76"/>
        <v>0</v>
      </c>
      <c r="O562" s="148"/>
      <c r="R562" s="12"/>
    </row>
    <row r="563" spans="1:18" s="51" customFormat="1" ht="13.5" hidden="1" customHeight="1" outlineLevel="1" x14ac:dyDescent="0.3">
      <c r="A563" s="290">
        <f t="shared" si="75"/>
        <v>0</v>
      </c>
      <c r="B563" s="49"/>
      <c r="C563" s="49"/>
      <c r="D563" s="140" t="s">
        <v>800</v>
      </c>
      <c r="E563" s="49" t="str">
        <f>VLOOKUP(D563,'03. Insumos'!A:D,2,0)</f>
        <v>Material - Soleira mármore branco pigues 0,75 x 0,15</v>
      </c>
      <c r="F563" s="52"/>
      <c r="G563" s="52" t="str">
        <f>VLOOKUP(D563,'03. Insumos'!A:F,3,0)</f>
        <v>vb</v>
      </c>
      <c r="H563" s="53">
        <v>1</v>
      </c>
      <c r="I563" s="141"/>
      <c r="J563" s="54">
        <f t="shared" si="77"/>
        <v>185</v>
      </c>
      <c r="K563" s="54">
        <f>IF(A563=0,VLOOKUP(D563,'03. Insumos'!A:F,4,0),"")</f>
        <v>185</v>
      </c>
      <c r="L563" s="274">
        <f t="shared" si="78"/>
        <v>0</v>
      </c>
      <c r="M563" s="153">
        <f t="shared" si="76"/>
        <v>0</v>
      </c>
      <c r="O563" s="148"/>
      <c r="R563" s="12"/>
    </row>
    <row r="564" spans="1:18" s="51" customFormat="1" ht="13.5" hidden="1" customHeight="1" outlineLevel="1" x14ac:dyDescent="0.3">
      <c r="A564" s="290">
        <f t="shared" si="75"/>
        <v>0</v>
      </c>
      <c r="B564" s="49"/>
      <c r="C564" s="49"/>
      <c r="D564" s="140" t="s">
        <v>1648</v>
      </c>
      <c r="E564" s="49" t="str">
        <f>VLOOKUP(D564,'03. Insumos'!A:D,2,0)</f>
        <v>Material - Nicho mármore branco Piguês</v>
      </c>
      <c r="F564" s="52"/>
      <c r="G564" s="52" t="str">
        <f>VLOOKUP(D564,'03. Insumos'!A:F,3,0)</f>
        <v>vb</v>
      </c>
      <c r="H564" s="53">
        <v>1</v>
      </c>
      <c r="I564" s="141"/>
      <c r="J564" s="54">
        <f t="shared" si="77"/>
        <v>400</v>
      </c>
      <c r="K564" s="54">
        <f>IF(A564=0,VLOOKUP(D564,'03. Insumos'!A:F,4,0),"")</f>
        <v>400</v>
      </c>
      <c r="L564" s="274">
        <f t="shared" si="78"/>
        <v>0</v>
      </c>
      <c r="M564" s="153">
        <f t="shared" si="76"/>
        <v>0</v>
      </c>
      <c r="O564" s="148"/>
      <c r="R564" s="12"/>
    </row>
    <row r="565" spans="1:18" s="51" customFormat="1" ht="13.5" hidden="1" customHeight="1" outlineLevel="1" x14ac:dyDescent="0.3">
      <c r="A565" s="290">
        <f t="shared" si="75"/>
        <v>0</v>
      </c>
      <c r="B565" s="49"/>
      <c r="C565" s="49"/>
      <c r="D565" s="140" t="s">
        <v>812</v>
      </c>
      <c r="E565" s="49" t="str">
        <f>VLOOKUP(D565,'03. Insumos'!A:D,2,0)</f>
        <v>Mão de obra -  Instalação de itens do banheiro suíte 01</v>
      </c>
      <c r="F565" s="52"/>
      <c r="G565" s="52" t="str">
        <f>VLOOKUP(D565,'03. Insumos'!A:F,3,0)</f>
        <v>vb</v>
      </c>
      <c r="H565" s="53">
        <v>1</v>
      </c>
      <c r="I565" s="141"/>
      <c r="J565" s="54">
        <f t="shared" si="77"/>
        <v>1000</v>
      </c>
      <c r="K565" s="54">
        <f>IF(A565=0,VLOOKUP(D565,'03. Insumos'!A:F,4,0),"")</f>
        <v>1000</v>
      </c>
      <c r="L565" s="274">
        <f t="shared" si="78"/>
        <v>0</v>
      </c>
      <c r="M565" s="153">
        <f t="shared" si="76"/>
        <v>0</v>
      </c>
      <c r="O565" s="148"/>
      <c r="R565" s="12"/>
    </row>
    <row r="566" spans="1:18" s="51" customFormat="1" ht="13.5" hidden="1" customHeight="1" outlineLevel="1" x14ac:dyDescent="0.3">
      <c r="A566" s="290">
        <f t="shared" si="75"/>
        <v>6</v>
      </c>
      <c r="B566" s="49"/>
      <c r="C566" s="55" t="s">
        <v>1482</v>
      </c>
      <c r="D566" s="55" t="s">
        <v>1488</v>
      </c>
      <c r="E566" s="49"/>
      <c r="F566" s="52"/>
      <c r="G566" s="52"/>
      <c r="H566" s="53"/>
      <c r="I566" s="141"/>
      <c r="J566" s="54"/>
      <c r="K566" s="54"/>
      <c r="L566" s="58">
        <f>SUM(L567:L572)</f>
        <v>0</v>
      </c>
      <c r="M566" s="153">
        <f t="shared" si="76"/>
        <v>0</v>
      </c>
      <c r="O566" s="148"/>
      <c r="R566" s="12"/>
    </row>
    <row r="567" spans="1:18" s="51" customFormat="1" ht="13.5" hidden="1" customHeight="1" outlineLevel="1" x14ac:dyDescent="0.3">
      <c r="A567" s="290">
        <f t="shared" si="75"/>
        <v>0</v>
      </c>
      <c r="B567" s="49"/>
      <c r="C567" s="49"/>
      <c r="D567" s="140" t="s">
        <v>813</v>
      </c>
      <c r="E567" s="49" t="str">
        <f>VLOOKUP(D567,'03. Insumos'!A:D,2,0)</f>
        <v>Material -  Bancada mármore branco Pigues 2,03 x 0,60</v>
      </c>
      <c r="F567" s="52"/>
      <c r="G567" s="52" t="str">
        <f>VLOOKUP(D567,'03. Insumos'!A:F,3,0)</f>
        <v>vb</v>
      </c>
      <c r="H567" s="53">
        <v>1</v>
      </c>
      <c r="I567" s="141"/>
      <c r="J567" s="54">
        <f t="shared" ref="J567:J572" si="79">IFERROR(IF(K567&lt;&gt;0,K567*$K$5,0),0)</f>
        <v>2743</v>
      </c>
      <c r="K567" s="54">
        <f>IF(A567=0,VLOOKUP(D567,'03. Insumos'!A:F,4,0),"")</f>
        <v>2743</v>
      </c>
      <c r="L567" s="274">
        <f t="shared" ref="L567:L572" si="80">H567*J567*I567</f>
        <v>0</v>
      </c>
      <c r="M567" s="153">
        <f t="shared" si="76"/>
        <v>0</v>
      </c>
      <c r="O567" s="148"/>
      <c r="R567" s="12"/>
    </row>
    <row r="568" spans="1:18" s="51" customFormat="1" ht="13.5" hidden="1" customHeight="1" outlineLevel="1" x14ac:dyDescent="0.3">
      <c r="A568" s="290">
        <f t="shared" si="75"/>
        <v>0</v>
      </c>
      <c r="B568" s="49"/>
      <c r="C568" s="49"/>
      <c r="D568" s="140" t="s">
        <v>814</v>
      </c>
      <c r="E568" s="49" t="str">
        <f>VLOOKUP(D568,'03. Insumos'!A:D,2,0)</f>
        <v>Material - Frontispício mármore branco Pigues 2,63 x 0,15</v>
      </c>
      <c r="F568" s="52"/>
      <c r="G568" s="52" t="str">
        <f>VLOOKUP(D568,'03. Insumos'!A:F,3,0)</f>
        <v>vb</v>
      </c>
      <c r="H568" s="53">
        <v>1</v>
      </c>
      <c r="I568" s="141"/>
      <c r="J568" s="54">
        <f t="shared" si="79"/>
        <v>651</v>
      </c>
      <c r="K568" s="54">
        <f>IF(A568=0,VLOOKUP(D568,'03. Insumos'!A:F,4,0),"")</f>
        <v>651</v>
      </c>
      <c r="L568" s="274">
        <f t="shared" si="80"/>
        <v>0</v>
      </c>
      <c r="M568" s="153">
        <f t="shared" si="76"/>
        <v>0</v>
      </c>
      <c r="O568" s="148"/>
      <c r="R568" s="12"/>
    </row>
    <row r="569" spans="1:18" s="51" customFormat="1" ht="13.5" hidden="1" customHeight="1" outlineLevel="1" x14ac:dyDescent="0.3">
      <c r="A569" s="290">
        <f t="shared" si="75"/>
        <v>0</v>
      </c>
      <c r="B569" s="49"/>
      <c r="C569" s="49"/>
      <c r="D569" s="140" t="s">
        <v>815</v>
      </c>
      <c r="E569" s="49" t="str">
        <f>VLOOKUP(D569,'03. Insumos'!A:D,2,0)</f>
        <v>Material - Tento mármore branco pigues 1,80 x 0,10 m</v>
      </c>
      <c r="F569" s="52"/>
      <c r="G569" s="52" t="str">
        <f>VLOOKUP(D569,'03. Insumos'!A:F,3,0)</f>
        <v>vb</v>
      </c>
      <c r="H569" s="53">
        <v>1</v>
      </c>
      <c r="I569" s="141"/>
      <c r="J569" s="54">
        <f t="shared" si="79"/>
        <v>713</v>
      </c>
      <c r="K569" s="54">
        <f>IF(A569=0,VLOOKUP(D569,'03. Insumos'!A:F,4,0),"")</f>
        <v>713</v>
      </c>
      <c r="L569" s="274">
        <f t="shared" si="80"/>
        <v>0</v>
      </c>
      <c r="M569" s="153">
        <f t="shared" si="76"/>
        <v>0</v>
      </c>
      <c r="O569" s="148"/>
      <c r="R569" s="12"/>
    </row>
    <row r="570" spans="1:18" s="51" customFormat="1" ht="13.5" hidden="1" customHeight="1" outlineLevel="1" x14ac:dyDescent="0.3">
      <c r="A570" s="290">
        <f t="shared" si="75"/>
        <v>0</v>
      </c>
      <c r="B570" s="49"/>
      <c r="C570" s="49"/>
      <c r="D570" s="140" t="s">
        <v>800</v>
      </c>
      <c r="E570" s="49" t="str">
        <f>VLOOKUP(D570,'03. Insumos'!A:D,2,0)</f>
        <v>Material - Soleira mármore branco pigues 0,75 x 0,15</v>
      </c>
      <c r="F570" s="52"/>
      <c r="G570" s="52" t="str">
        <f>VLOOKUP(D570,'03. Insumos'!A:F,3,0)</f>
        <v>vb</v>
      </c>
      <c r="H570" s="53">
        <v>1</v>
      </c>
      <c r="I570" s="141"/>
      <c r="J570" s="54">
        <f t="shared" si="79"/>
        <v>185</v>
      </c>
      <c r="K570" s="54">
        <f>IF(A570=0,VLOOKUP(D570,'03. Insumos'!A:F,4,0),"")</f>
        <v>185</v>
      </c>
      <c r="L570" s="274">
        <f t="shared" si="80"/>
        <v>0</v>
      </c>
      <c r="M570" s="153">
        <f t="shared" si="76"/>
        <v>0</v>
      </c>
      <c r="O570" s="148"/>
      <c r="R570" s="12"/>
    </row>
    <row r="571" spans="1:18" s="51" customFormat="1" ht="13.5" hidden="1" customHeight="1" outlineLevel="1" x14ac:dyDescent="0.3">
      <c r="A571" s="290">
        <f t="shared" si="75"/>
        <v>0</v>
      </c>
      <c r="B571" s="49"/>
      <c r="C571" s="49"/>
      <c r="D571" s="140" t="s">
        <v>1648</v>
      </c>
      <c r="E571" s="49" t="str">
        <f>VLOOKUP(D571,'03. Insumos'!A:D,2,0)</f>
        <v>Material - Nicho mármore branco Piguês</v>
      </c>
      <c r="F571" s="52"/>
      <c r="G571" s="52" t="str">
        <f>VLOOKUP(D571,'03. Insumos'!A:F,3,0)</f>
        <v>vb</v>
      </c>
      <c r="H571" s="53">
        <v>1</v>
      </c>
      <c r="I571" s="141"/>
      <c r="J571" s="54">
        <f t="shared" si="79"/>
        <v>400</v>
      </c>
      <c r="K571" s="54">
        <f>IF(A571=0,VLOOKUP(D571,'03. Insumos'!A:F,4,0),"")</f>
        <v>400</v>
      </c>
      <c r="L571" s="274">
        <f t="shared" si="80"/>
        <v>0</v>
      </c>
      <c r="M571" s="153">
        <f t="shared" si="76"/>
        <v>0</v>
      </c>
      <c r="O571" s="148"/>
      <c r="R571" s="12"/>
    </row>
    <row r="572" spans="1:18" s="51" customFormat="1" ht="13.5" hidden="1" customHeight="1" outlineLevel="1" x14ac:dyDescent="0.3">
      <c r="A572" s="290">
        <f t="shared" si="75"/>
        <v>0</v>
      </c>
      <c r="B572" s="49"/>
      <c r="C572" s="49"/>
      <c r="D572" s="140" t="s">
        <v>816</v>
      </c>
      <c r="E572" s="49" t="str">
        <f>VLOOKUP(D572,'03. Insumos'!A:D,2,0)</f>
        <v>Mão de obra -  Instalação de itens do banheiro suíte 02</v>
      </c>
      <c r="F572" s="52"/>
      <c r="G572" s="52" t="str">
        <f>VLOOKUP(D572,'03. Insumos'!A:F,3,0)</f>
        <v>vb</v>
      </c>
      <c r="H572" s="53">
        <v>1</v>
      </c>
      <c r="I572" s="141"/>
      <c r="J572" s="54">
        <f t="shared" si="79"/>
        <v>1000</v>
      </c>
      <c r="K572" s="54">
        <f>IF(A572=0,VLOOKUP(D572,'03. Insumos'!A:F,4,0),"")</f>
        <v>1000</v>
      </c>
      <c r="L572" s="274">
        <f t="shared" si="80"/>
        <v>0</v>
      </c>
      <c r="M572" s="153">
        <f t="shared" si="76"/>
        <v>0</v>
      </c>
      <c r="O572" s="148"/>
      <c r="R572" s="12"/>
    </row>
    <row r="573" spans="1:18" s="51" customFormat="1" ht="13.5" hidden="1" customHeight="1" outlineLevel="1" x14ac:dyDescent="0.3">
      <c r="A573" s="290">
        <f t="shared" si="75"/>
        <v>6</v>
      </c>
      <c r="B573" s="49"/>
      <c r="C573" s="55" t="s">
        <v>1487</v>
      </c>
      <c r="D573" s="55" t="s">
        <v>1494</v>
      </c>
      <c r="E573" s="49"/>
      <c r="F573" s="52"/>
      <c r="G573" s="52"/>
      <c r="H573" s="53"/>
      <c r="I573" s="141"/>
      <c r="J573" s="54"/>
      <c r="K573" s="54"/>
      <c r="L573" s="58">
        <f>SUM(L574:L579)</f>
        <v>0</v>
      </c>
      <c r="M573" s="153">
        <f t="shared" si="76"/>
        <v>0</v>
      </c>
      <c r="O573" s="148"/>
      <c r="R573" s="12"/>
    </row>
    <row r="574" spans="1:18" s="51" customFormat="1" ht="13.5" hidden="1" customHeight="1" outlineLevel="1" x14ac:dyDescent="0.3">
      <c r="A574" s="290">
        <f t="shared" si="75"/>
        <v>0</v>
      </c>
      <c r="B574" s="49"/>
      <c r="C574" s="49"/>
      <c r="D574" s="140" t="s">
        <v>817</v>
      </c>
      <c r="E574" s="49" t="str">
        <f>VLOOKUP(D574,'03. Insumos'!A:D,2,0)</f>
        <v>Material -  Bancada mármore branco Pigues 1,96 x 0,60</v>
      </c>
      <c r="F574" s="52"/>
      <c r="G574" s="52" t="str">
        <f>VLOOKUP(D574,'03. Insumos'!A:F,3,0)</f>
        <v>vb</v>
      </c>
      <c r="H574" s="53">
        <v>1</v>
      </c>
      <c r="I574" s="141"/>
      <c r="J574" s="54">
        <f t="shared" ref="J574:J579" si="81">IFERROR(IF(K574&lt;&gt;0,K574*$K$5,0),0)</f>
        <v>2661</v>
      </c>
      <c r="K574" s="54">
        <f>IF(A574=0,VLOOKUP(D574,'03. Insumos'!A:F,4,0),"")</f>
        <v>2661</v>
      </c>
      <c r="L574" s="274">
        <f t="shared" ref="L574:L579" si="82">H574*J574*I574</f>
        <v>0</v>
      </c>
      <c r="M574" s="153">
        <f t="shared" si="76"/>
        <v>0</v>
      </c>
      <c r="O574" s="148"/>
      <c r="R574" s="12"/>
    </row>
    <row r="575" spans="1:18" s="51" customFormat="1" ht="13.5" hidden="1" customHeight="1" outlineLevel="1" x14ac:dyDescent="0.3">
      <c r="A575" s="290">
        <f t="shared" si="75"/>
        <v>0</v>
      </c>
      <c r="B575" s="49"/>
      <c r="C575" s="49"/>
      <c r="D575" s="140" t="s">
        <v>818</v>
      </c>
      <c r="E575" s="49" t="str">
        <f>VLOOKUP(D575,'03. Insumos'!A:D,2,0)</f>
        <v>Material - Frontispício mármore branco Pigues 2,56 x 0,15</v>
      </c>
      <c r="F575" s="52"/>
      <c r="G575" s="52" t="str">
        <f>VLOOKUP(D575,'03. Insumos'!A:F,3,0)</f>
        <v>vb</v>
      </c>
      <c r="H575" s="53">
        <v>1</v>
      </c>
      <c r="I575" s="141"/>
      <c r="J575" s="54">
        <f t="shared" si="81"/>
        <v>633</v>
      </c>
      <c r="K575" s="54">
        <f>IF(A575=0,VLOOKUP(D575,'03. Insumos'!A:F,4,0),"")</f>
        <v>633</v>
      </c>
      <c r="L575" s="274">
        <f t="shared" si="82"/>
        <v>0</v>
      </c>
      <c r="M575" s="153">
        <f t="shared" si="76"/>
        <v>0</v>
      </c>
      <c r="O575" s="148"/>
      <c r="R575" s="12"/>
    </row>
    <row r="576" spans="1:18" s="51" customFormat="1" ht="13.5" hidden="1" customHeight="1" outlineLevel="1" x14ac:dyDescent="0.3">
      <c r="A576" s="290">
        <f t="shared" si="75"/>
        <v>0</v>
      </c>
      <c r="B576" s="49"/>
      <c r="C576" s="49"/>
      <c r="D576" s="140" t="s">
        <v>815</v>
      </c>
      <c r="E576" s="49" t="str">
        <f>VLOOKUP(D576,'03. Insumos'!A:D,2,0)</f>
        <v>Material - Tento mármore branco pigues 1,80 x 0,10 m</v>
      </c>
      <c r="F576" s="52"/>
      <c r="G576" s="52" t="str">
        <f>VLOOKUP(D576,'03. Insumos'!A:F,3,0)</f>
        <v>vb</v>
      </c>
      <c r="H576" s="53">
        <v>1</v>
      </c>
      <c r="I576" s="141"/>
      <c r="J576" s="54">
        <f t="shared" si="81"/>
        <v>713</v>
      </c>
      <c r="K576" s="54">
        <f>IF(A576=0,VLOOKUP(D576,'03. Insumos'!A:F,4,0),"")</f>
        <v>713</v>
      </c>
      <c r="L576" s="274">
        <f t="shared" si="82"/>
        <v>0</v>
      </c>
      <c r="M576" s="153">
        <f t="shared" si="76"/>
        <v>0</v>
      </c>
      <c r="O576" s="148"/>
      <c r="R576" s="12"/>
    </row>
    <row r="577" spans="1:18" s="51" customFormat="1" ht="13.5" hidden="1" customHeight="1" outlineLevel="1" x14ac:dyDescent="0.3">
      <c r="A577" s="290">
        <f t="shared" si="75"/>
        <v>0</v>
      </c>
      <c r="B577" s="49"/>
      <c r="C577" s="49"/>
      <c r="D577" s="140" t="s">
        <v>800</v>
      </c>
      <c r="E577" s="49" t="str">
        <f>VLOOKUP(D577,'03. Insumos'!A:D,2,0)</f>
        <v>Material - Soleira mármore branco pigues 0,75 x 0,15</v>
      </c>
      <c r="F577" s="52"/>
      <c r="G577" s="52" t="str">
        <f>VLOOKUP(D577,'03. Insumos'!A:F,3,0)</f>
        <v>vb</v>
      </c>
      <c r="H577" s="53">
        <v>1</v>
      </c>
      <c r="I577" s="141"/>
      <c r="J577" s="54">
        <f t="shared" si="81"/>
        <v>185</v>
      </c>
      <c r="K577" s="54">
        <f>IF(A577=0,VLOOKUP(D577,'03. Insumos'!A:F,4,0),"")</f>
        <v>185</v>
      </c>
      <c r="L577" s="274">
        <f t="shared" si="82"/>
        <v>0</v>
      </c>
      <c r="M577" s="153">
        <f t="shared" si="76"/>
        <v>0</v>
      </c>
      <c r="O577" s="148"/>
      <c r="R577" s="12"/>
    </row>
    <row r="578" spans="1:18" s="51" customFormat="1" ht="13.5" hidden="1" customHeight="1" outlineLevel="1" x14ac:dyDescent="0.3">
      <c r="A578" s="290">
        <f t="shared" si="75"/>
        <v>0</v>
      </c>
      <c r="B578" s="49"/>
      <c r="C578" s="49"/>
      <c r="D578" s="140" t="s">
        <v>1648</v>
      </c>
      <c r="E578" s="49" t="str">
        <f>VLOOKUP(D578,'03. Insumos'!A:D,2,0)</f>
        <v>Material - Nicho mármore branco Piguês</v>
      </c>
      <c r="F578" s="52"/>
      <c r="G578" s="52" t="str">
        <f>VLOOKUP(D578,'03. Insumos'!A:F,3,0)</f>
        <v>vb</v>
      </c>
      <c r="H578" s="53">
        <v>1</v>
      </c>
      <c r="I578" s="141"/>
      <c r="J578" s="54">
        <f t="shared" si="81"/>
        <v>400</v>
      </c>
      <c r="K578" s="54">
        <f>IF(A578=0,VLOOKUP(D578,'03. Insumos'!A:F,4,0),"")</f>
        <v>400</v>
      </c>
      <c r="L578" s="274">
        <f t="shared" si="82"/>
        <v>0</v>
      </c>
      <c r="M578" s="153">
        <f t="shared" si="76"/>
        <v>0</v>
      </c>
      <c r="O578" s="148"/>
      <c r="R578" s="12"/>
    </row>
    <row r="579" spans="1:18" s="51" customFormat="1" ht="13.5" hidden="1" customHeight="1" outlineLevel="1" x14ac:dyDescent="0.3">
      <c r="A579" s="290">
        <f t="shared" si="75"/>
        <v>0</v>
      </c>
      <c r="B579" s="49"/>
      <c r="C579" s="49"/>
      <c r="D579" s="140" t="s">
        <v>819</v>
      </c>
      <c r="E579" s="49" t="str">
        <f>VLOOKUP(D579,'03. Insumos'!A:D,2,0)</f>
        <v>Mão de obra -  Instalação de itens do banheiro suíte 03</v>
      </c>
      <c r="F579" s="52"/>
      <c r="G579" s="52" t="str">
        <f>VLOOKUP(D579,'03. Insumos'!A:F,3,0)</f>
        <v>vb</v>
      </c>
      <c r="H579" s="53">
        <v>1</v>
      </c>
      <c r="I579" s="141"/>
      <c r="J579" s="54">
        <f t="shared" si="81"/>
        <v>1000</v>
      </c>
      <c r="K579" s="54">
        <f>IF(A579=0,VLOOKUP(D579,'03. Insumos'!A:F,4,0),"")</f>
        <v>1000</v>
      </c>
      <c r="L579" s="274">
        <f t="shared" si="82"/>
        <v>0</v>
      </c>
      <c r="M579" s="153">
        <f t="shared" si="76"/>
        <v>0</v>
      </c>
      <c r="O579" s="148"/>
      <c r="R579" s="12"/>
    </row>
    <row r="580" spans="1:18" s="51" customFormat="1" ht="13.5" hidden="1" customHeight="1" outlineLevel="1" x14ac:dyDescent="0.3">
      <c r="A580" s="290">
        <f t="shared" si="75"/>
        <v>6</v>
      </c>
      <c r="B580" s="49"/>
      <c r="C580" s="55" t="s">
        <v>1493</v>
      </c>
      <c r="D580" s="55" t="s">
        <v>1498</v>
      </c>
      <c r="E580" s="49"/>
      <c r="F580" s="52"/>
      <c r="G580" s="52"/>
      <c r="H580" s="53"/>
      <c r="I580" s="141"/>
      <c r="J580" s="54"/>
      <c r="K580" s="54"/>
      <c r="L580" s="58">
        <f>SUM(L581:L586)</f>
        <v>0</v>
      </c>
      <c r="M580" s="153">
        <f t="shared" si="76"/>
        <v>0</v>
      </c>
      <c r="O580" s="148"/>
      <c r="R580" s="12"/>
    </row>
    <row r="581" spans="1:18" s="51" customFormat="1" ht="13.5" hidden="1" customHeight="1" outlineLevel="1" x14ac:dyDescent="0.3">
      <c r="A581" s="290">
        <f t="shared" si="75"/>
        <v>0</v>
      </c>
      <c r="B581" s="49"/>
      <c r="C581" s="49"/>
      <c r="D581" s="140" t="s">
        <v>820</v>
      </c>
      <c r="E581" s="49" t="str">
        <f>VLOOKUP(D581,'03. Insumos'!A:D,2,0)</f>
        <v>Material -  Bancada mármore branco Pigues 2,28 x 0,60</v>
      </c>
      <c r="F581" s="52"/>
      <c r="G581" s="52" t="str">
        <f>VLOOKUP(D581,'03. Insumos'!A:F,3,0)</f>
        <v>vb</v>
      </c>
      <c r="H581" s="53">
        <v>1</v>
      </c>
      <c r="I581" s="141"/>
      <c r="J581" s="54">
        <f t="shared" ref="J581:J586" si="83">IFERROR(IF(K581&lt;&gt;0,K581*$K$5,0),0)</f>
        <v>2338</v>
      </c>
      <c r="K581" s="54">
        <f>IF(A581=0,VLOOKUP(D581,'03. Insumos'!A:F,4,0),"")</f>
        <v>2338</v>
      </c>
      <c r="L581" s="274">
        <f t="shared" ref="L581:L586" si="84">H581*J581*I581</f>
        <v>0</v>
      </c>
      <c r="M581" s="153">
        <f t="shared" si="76"/>
        <v>0</v>
      </c>
      <c r="O581" s="148"/>
      <c r="R581" s="12"/>
    </row>
    <row r="582" spans="1:18" s="51" customFormat="1" ht="13.5" hidden="1" customHeight="1" outlineLevel="1" x14ac:dyDescent="0.3">
      <c r="A582" s="290">
        <f t="shared" si="75"/>
        <v>0</v>
      </c>
      <c r="B582" s="49"/>
      <c r="C582" s="49"/>
      <c r="D582" s="140" t="s">
        <v>821</v>
      </c>
      <c r="E582" s="49" t="str">
        <f>VLOOKUP(D582,'03. Insumos'!A:D,2,0)</f>
        <v>Material - Frontispício mármore branco Pigues 2,56 x 0,15</v>
      </c>
      <c r="F582" s="52"/>
      <c r="G582" s="52" t="str">
        <f>VLOOKUP(D582,'03. Insumos'!A:F,3,0)</f>
        <v>vb</v>
      </c>
      <c r="H582" s="53">
        <v>1</v>
      </c>
      <c r="I582" s="141"/>
      <c r="J582" s="54">
        <f t="shared" si="83"/>
        <v>564</v>
      </c>
      <c r="K582" s="54">
        <f>IF(A582=0,VLOOKUP(D582,'03. Insumos'!A:F,4,0),"")</f>
        <v>564</v>
      </c>
      <c r="L582" s="274">
        <f t="shared" si="84"/>
        <v>0</v>
      </c>
      <c r="M582" s="153">
        <f t="shared" si="76"/>
        <v>0</v>
      </c>
      <c r="O582" s="148"/>
      <c r="R582" s="12"/>
    </row>
    <row r="583" spans="1:18" s="51" customFormat="1" ht="13.5" hidden="1" customHeight="1" outlineLevel="1" x14ac:dyDescent="0.3">
      <c r="A583" s="290">
        <f t="shared" si="75"/>
        <v>0</v>
      </c>
      <c r="B583" s="49"/>
      <c r="C583" s="49"/>
      <c r="D583" s="140" t="s">
        <v>822</v>
      </c>
      <c r="E583" s="49" t="str">
        <f>VLOOKUP(D583,'03. Insumos'!A:D,2,0)</f>
        <v>Material - Tento mármore branco pigues 1,22 x 0,10 m</v>
      </c>
      <c r="F583" s="52"/>
      <c r="G583" s="52" t="str">
        <f>VLOOKUP(D583,'03. Insumos'!A:F,3,0)</f>
        <v>vb</v>
      </c>
      <c r="H583" s="53">
        <v>1</v>
      </c>
      <c r="I583" s="141"/>
      <c r="J583" s="54">
        <f t="shared" si="83"/>
        <v>483</v>
      </c>
      <c r="K583" s="54">
        <f>IF(A583=0,VLOOKUP(D583,'03. Insumos'!A:F,4,0),"")</f>
        <v>483</v>
      </c>
      <c r="L583" s="274">
        <f t="shared" si="84"/>
        <v>0</v>
      </c>
      <c r="M583" s="153">
        <f t="shared" si="76"/>
        <v>0</v>
      </c>
      <c r="O583" s="148"/>
      <c r="R583" s="12"/>
    </row>
    <row r="584" spans="1:18" s="51" customFormat="1" ht="13.5" hidden="1" customHeight="1" outlineLevel="1" x14ac:dyDescent="0.3">
      <c r="A584" s="290">
        <f t="shared" si="75"/>
        <v>0</v>
      </c>
      <c r="B584" s="49"/>
      <c r="C584" s="49"/>
      <c r="D584" s="140" t="s">
        <v>800</v>
      </c>
      <c r="E584" s="49" t="str">
        <f>VLOOKUP(D584,'03. Insumos'!A:D,2,0)</f>
        <v>Material - Soleira mármore branco pigues 0,75 x 0,15</v>
      </c>
      <c r="F584" s="52"/>
      <c r="G584" s="52" t="str">
        <f>VLOOKUP(D584,'03. Insumos'!A:F,3,0)</f>
        <v>vb</v>
      </c>
      <c r="H584" s="53">
        <v>1</v>
      </c>
      <c r="I584" s="141"/>
      <c r="J584" s="54">
        <f t="shared" si="83"/>
        <v>185</v>
      </c>
      <c r="K584" s="54">
        <f>IF(A584=0,VLOOKUP(D584,'03. Insumos'!A:F,4,0),"")</f>
        <v>185</v>
      </c>
      <c r="L584" s="274">
        <f t="shared" si="84"/>
        <v>0</v>
      </c>
      <c r="M584" s="153">
        <f t="shared" si="76"/>
        <v>0</v>
      </c>
      <c r="O584" s="148"/>
      <c r="R584" s="12"/>
    </row>
    <row r="585" spans="1:18" s="51" customFormat="1" ht="13.5" hidden="1" customHeight="1" outlineLevel="1" x14ac:dyDescent="0.3">
      <c r="A585" s="290">
        <f t="shared" si="75"/>
        <v>0</v>
      </c>
      <c r="B585" s="49"/>
      <c r="C585" s="49"/>
      <c r="D585" s="140" t="s">
        <v>1648</v>
      </c>
      <c r="E585" s="49" t="str">
        <f>VLOOKUP(D585,'03. Insumos'!A:D,2,0)</f>
        <v>Material - Nicho mármore branco Piguês</v>
      </c>
      <c r="F585" s="52"/>
      <c r="G585" s="52" t="str">
        <f>VLOOKUP(D585,'03. Insumos'!A:F,3,0)</f>
        <v>vb</v>
      </c>
      <c r="H585" s="53">
        <v>1</v>
      </c>
      <c r="I585" s="141"/>
      <c r="J585" s="54">
        <f t="shared" si="83"/>
        <v>400</v>
      </c>
      <c r="K585" s="54">
        <f>IF(A585=0,VLOOKUP(D585,'03. Insumos'!A:F,4,0),"")</f>
        <v>400</v>
      </c>
      <c r="L585" s="274">
        <f t="shared" si="84"/>
        <v>0</v>
      </c>
      <c r="M585" s="153">
        <f t="shared" si="76"/>
        <v>0</v>
      </c>
      <c r="O585" s="148"/>
      <c r="R585" s="12"/>
    </row>
    <row r="586" spans="1:18" s="51" customFormat="1" ht="13.5" hidden="1" customHeight="1" outlineLevel="1" x14ac:dyDescent="0.3">
      <c r="A586" s="290">
        <f t="shared" si="75"/>
        <v>0</v>
      </c>
      <c r="B586" s="49"/>
      <c r="C586" s="49"/>
      <c r="D586" s="140" t="s">
        <v>823</v>
      </c>
      <c r="E586" s="49" t="str">
        <f>VLOOKUP(D586,'03. Insumos'!A:D,2,0)</f>
        <v>Mão de obra -  Instalação de itens do banheiro 01 suíte master</v>
      </c>
      <c r="F586" s="52"/>
      <c r="G586" s="52" t="str">
        <f>VLOOKUP(D586,'03. Insumos'!A:F,3,0)</f>
        <v>vb</v>
      </c>
      <c r="H586" s="53">
        <v>1</v>
      </c>
      <c r="I586" s="141"/>
      <c r="J586" s="54">
        <f t="shared" si="83"/>
        <v>1000</v>
      </c>
      <c r="K586" s="54">
        <f>IF(A586=0,VLOOKUP(D586,'03. Insumos'!A:F,4,0),"")</f>
        <v>1000</v>
      </c>
      <c r="L586" s="274">
        <f t="shared" si="84"/>
        <v>0</v>
      </c>
      <c r="M586" s="153">
        <f t="shared" si="76"/>
        <v>0</v>
      </c>
      <c r="O586" s="148"/>
      <c r="R586" s="12"/>
    </row>
    <row r="587" spans="1:18" s="51" customFormat="1" ht="13.5" hidden="1" customHeight="1" outlineLevel="1" x14ac:dyDescent="0.3">
      <c r="A587" s="290">
        <f t="shared" si="75"/>
        <v>6</v>
      </c>
      <c r="B587" s="49"/>
      <c r="C587" s="55" t="s">
        <v>1493</v>
      </c>
      <c r="D587" s="55" t="s">
        <v>1502</v>
      </c>
      <c r="E587" s="49"/>
      <c r="F587" s="52"/>
      <c r="G587" s="52"/>
      <c r="H587" s="53"/>
      <c r="I587" s="141"/>
      <c r="J587" s="54"/>
      <c r="K587" s="54"/>
      <c r="L587" s="58">
        <f>SUM(L588:L593)</f>
        <v>0</v>
      </c>
      <c r="M587" s="153">
        <f t="shared" si="76"/>
        <v>0</v>
      </c>
      <c r="O587" s="148"/>
      <c r="R587" s="12"/>
    </row>
    <row r="588" spans="1:18" s="51" customFormat="1" ht="13.5" hidden="1" customHeight="1" outlineLevel="1" x14ac:dyDescent="0.3">
      <c r="A588" s="290">
        <f t="shared" si="75"/>
        <v>0</v>
      </c>
      <c r="B588" s="49"/>
      <c r="C588" s="49"/>
      <c r="D588" s="140" t="s">
        <v>797</v>
      </c>
      <c r="E588" s="49" t="str">
        <f>VLOOKUP(D588,'03. Insumos'!A:D,2,0)</f>
        <v>Material -  Bancada mármore branco Pigues 2,96 x 0,60</v>
      </c>
      <c r="F588" s="52"/>
      <c r="G588" s="52" t="str">
        <f>VLOOKUP(D588,'03. Insumos'!A:F,3,0)</f>
        <v>vb</v>
      </c>
      <c r="H588" s="53">
        <v>1</v>
      </c>
      <c r="I588" s="141"/>
      <c r="J588" s="54">
        <f t="shared" ref="J588:J593" si="85">IFERROR(IF(K588&lt;&gt;0,K588*$K$5,0),0)</f>
        <v>3816</v>
      </c>
      <c r="K588" s="54">
        <f>IF(A588=0,VLOOKUP(D588,'03. Insumos'!A:F,4,0),"")</f>
        <v>3816</v>
      </c>
      <c r="L588" s="274">
        <f t="shared" ref="L588:L593" si="86">H588*J588*I588</f>
        <v>0</v>
      </c>
      <c r="M588" s="153">
        <f t="shared" si="76"/>
        <v>0</v>
      </c>
      <c r="O588" s="148"/>
      <c r="R588" s="12"/>
    </row>
    <row r="589" spans="1:18" s="51" customFormat="1" ht="13.5" hidden="1" customHeight="1" outlineLevel="1" x14ac:dyDescent="0.3">
      <c r="A589" s="290">
        <f t="shared" si="75"/>
        <v>0</v>
      </c>
      <c r="B589" s="49"/>
      <c r="C589" s="49"/>
      <c r="D589" s="140" t="s">
        <v>824</v>
      </c>
      <c r="E589" s="49" t="str">
        <f>VLOOKUP(D589,'03. Insumos'!A:D,2,0)</f>
        <v>Material - Frontispício mármore branco Pigues 3,56 x 0,15</v>
      </c>
      <c r="F589" s="52"/>
      <c r="G589" s="52" t="str">
        <f>VLOOKUP(D589,'03. Insumos'!A:F,3,0)</f>
        <v>vb</v>
      </c>
      <c r="H589" s="53">
        <v>1</v>
      </c>
      <c r="I589" s="141"/>
      <c r="J589" s="54">
        <f t="shared" si="85"/>
        <v>881</v>
      </c>
      <c r="K589" s="54">
        <f>IF(A589=0,VLOOKUP(D589,'03. Insumos'!A:F,4,0),"")</f>
        <v>881</v>
      </c>
      <c r="L589" s="274">
        <f t="shared" si="86"/>
        <v>0</v>
      </c>
      <c r="M589" s="153">
        <f t="shared" si="76"/>
        <v>0</v>
      </c>
      <c r="O589" s="148"/>
      <c r="R589" s="12"/>
    </row>
    <row r="590" spans="1:18" s="51" customFormat="1" ht="13.5" hidden="1" customHeight="1" outlineLevel="1" x14ac:dyDescent="0.3">
      <c r="A590" s="290">
        <f t="shared" si="75"/>
        <v>0</v>
      </c>
      <c r="B590" s="49"/>
      <c r="C590" s="49"/>
      <c r="D590" s="140" t="s">
        <v>825</v>
      </c>
      <c r="E590" s="49" t="str">
        <f>VLOOKUP(D590,'03. Insumos'!A:D,2,0)</f>
        <v>Material - Tento mármore branco pigues 4,18 x 0,10 m</v>
      </c>
      <c r="F590" s="52"/>
      <c r="G590" s="52" t="str">
        <f>VLOOKUP(D590,'03. Insumos'!A:F,3,0)</f>
        <v>vb</v>
      </c>
      <c r="H590" s="53">
        <v>1</v>
      </c>
      <c r="I590" s="141"/>
      <c r="J590" s="54">
        <f t="shared" si="85"/>
        <v>1656</v>
      </c>
      <c r="K590" s="54">
        <f>IF(A590=0,VLOOKUP(D590,'03. Insumos'!A:F,4,0),"")</f>
        <v>1656</v>
      </c>
      <c r="L590" s="274">
        <f t="shared" si="86"/>
        <v>0</v>
      </c>
      <c r="M590" s="153">
        <f t="shared" si="76"/>
        <v>0</v>
      </c>
      <c r="O590" s="148"/>
      <c r="R590" s="12"/>
    </row>
    <row r="591" spans="1:18" s="51" customFormat="1" ht="13.5" hidden="1" customHeight="1" outlineLevel="1" x14ac:dyDescent="0.3">
      <c r="A591" s="290">
        <f t="shared" si="75"/>
        <v>0</v>
      </c>
      <c r="B591" s="49"/>
      <c r="C591" s="49"/>
      <c r="D591" s="140" t="s">
        <v>826</v>
      </c>
      <c r="E591" s="49" t="str">
        <f>VLOOKUP(D591,'03. Insumos'!A:D,2,0)</f>
        <v>Material - soleira mármore branco piguês 0,90 x 0,15</v>
      </c>
      <c r="F591" s="52"/>
      <c r="G591" s="52" t="str">
        <f>VLOOKUP(D591,'03. Insumos'!A:F,3,0)</f>
        <v>vb</v>
      </c>
      <c r="H591" s="53">
        <v>1</v>
      </c>
      <c r="I591" s="141"/>
      <c r="J591" s="54">
        <f t="shared" si="85"/>
        <v>223</v>
      </c>
      <c r="K591" s="54">
        <f>IF(A591=0,VLOOKUP(D591,'03. Insumos'!A:F,4,0),"")</f>
        <v>223</v>
      </c>
      <c r="L591" s="274">
        <f t="shared" si="86"/>
        <v>0</v>
      </c>
      <c r="M591" s="153">
        <f t="shared" si="76"/>
        <v>0</v>
      </c>
      <c r="O591" s="148"/>
      <c r="R591" s="12"/>
    </row>
    <row r="592" spans="1:18" s="51" customFormat="1" ht="13.5" hidden="1" customHeight="1" outlineLevel="1" x14ac:dyDescent="0.3">
      <c r="A592" s="290">
        <f t="shared" si="75"/>
        <v>0</v>
      </c>
      <c r="B592" s="49"/>
      <c r="C592" s="49"/>
      <c r="D592" s="140" t="s">
        <v>1648</v>
      </c>
      <c r="E592" s="49" t="str">
        <f>VLOOKUP(D592,'03. Insumos'!A:D,2,0)</f>
        <v>Material - Nicho mármore branco Piguês</v>
      </c>
      <c r="F592" s="52"/>
      <c r="G592" s="52" t="str">
        <f>VLOOKUP(D592,'03. Insumos'!A:F,3,0)</f>
        <v>vb</v>
      </c>
      <c r="H592" s="53">
        <v>1</v>
      </c>
      <c r="I592" s="141"/>
      <c r="J592" s="54">
        <f t="shared" si="85"/>
        <v>400</v>
      </c>
      <c r="K592" s="54">
        <f>IF(A592=0,VLOOKUP(D592,'03. Insumos'!A:F,4,0),"")</f>
        <v>400</v>
      </c>
      <c r="L592" s="274">
        <f t="shared" si="86"/>
        <v>0</v>
      </c>
      <c r="M592" s="153">
        <f t="shared" si="76"/>
        <v>0</v>
      </c>
      <c r="O592" s="148"/>
      <c r="R592" s="12"/>
    </row>
    <row r="593" spans="1:18" s="51" customFormat="1" ht="13.5" hidden="1" customHeight="1" outlineLevel="1" x14ac:dyDescent="0.3">
      <c r="A593" s="290">
        <f t="shared" si="75"/>
        <v>0</v>
      </c>
      <c r="B593" s="49"/>
      <c r="C593" s="49"/>
      <c r="D593" s="140" t="s">
        <v>827</v>
      </c>
      <c r="E593" s="49" t="str">
        <f>VLOOKUP(D593,'03. Insumos'!A:D,2,0)</f>
        <v>Mão de obra -  Instalação de itens do banheiro 02 suíte master</v>
      </c>
      <c r="F593" s="52"/>
      <c r="G593" s="52" t="str">
        <f>VLOOKUP(D593,'03. Insumos'!A:F,3,0)</f>
        <v>vb</v>
      </c>
      <c r="H593" s="53">
        <v>1</v>
      </c>
      <c r="I593" s="141"/>
      <c r="J593" s="54">
        <f t="shared" si="85"/>
        <v>1300</v>
      </c>
      <c r="K593" s="54">
        <f>IF(A593=0,VLOOKUP(D593,'03. Insumos'!A:F,4,0),"")</f>
        <v>1300</v>
      </c>
      <c r="L593" s="274">
        <f t="shared" si="86"/>
        <v>0</v>
      </c>
      <c r="M593" s="153">
        <f t="shared" si="76"/>
        <v>0</v>
      </c>
      <c r="O593" s="148"/>
      <c r="R593" s="12"/>
    </row>
    <row r="594" spans="1:18" s="51" customFormat="1" ht="13.5" hidden="1" customHeight="1" outlineLevel="1" x14ac:dyDescent="0.3">
      <c r="A594" s="290">
        <f t="shared" si="75"/>
        <v>6</v>
      </c>
      <c r="B594" s="49"/>
      <c r="C594" s="55" t="s">
        <v>1493</v>
      </c>
      <c r="D594" s="55" t="s">
        <v>1546</v>
      </c>
      <c r="E594" s="49"/>
      <c r="F594" s="52"/>
      <c r="G594" s="52"/>
      <c r="H594" s="53"/>
      <c r="I594" s="141"/>
      <c r="J594" s="54"/>
      <c r="K594" s="54"/>
      <c r="L594" s="58">
        <f>SUM(L595:L600)</f>
        <v>0</v>
      </c>
      <c r="M594" s="153">
        <f t="shared" si="76"/>
        <v>0</v>
      </c>
      <c r="O594" s="148"/>
      <c r="R594" s="12"/>
    </row>
    <row r="595" spans="1:18" s="51" customFormat="1" ht="13.5" hidden="1" customHeight="1" outlineLevel="1" x14ac:dyDescent="0.3">
      <c r="A595" s="290">
        <f t="shared" si="75"/>
        <v>0</v>
      </c>
      <c r="B595" s="49"/>
      <c r="C595" s="49"/>
      <c r="D595" s="140" t="s">
        <v>1619</v>
      </c>
      <c r="E595" s="49" t="str">
        <f>VLOOKUP(D595,'03. Insumos'!A:D,2,0)</f>
        <v>Material - Bancada de  preto são gabriel 3,62 x 0,60</v>
      </c>
      <c r="F595" s="52"/>
      <c r="G595" s="52" t="str">
        <f>VLOOKUP(D595,'03. Insumos'!A:F,3,0)</f>
        <v>vb</v>
      </c>
      <c r="H595" s="53">
        <v>1</v>
      </c>
      <c r="I595" s="141"/>
      <c r="J595" s="54">
        <f t="shared" ref="J595:J600" si="87">IFERROR(IF(K595&lt;&gt;0,K595*$K$5,0),0)</f>
        <v>1660</v>
      </c>
      <c r="K595" s="54">
        <f>IF(A595=0,VLOOKUP(D595,'03. Insumos'!A:F,4,0),"")</f>
        <v>1660</v>
      </c>
      <c r="L595" s="274">
        <f t="shared" ref="L595:L600" si="88">H595*J595*I595</f>
        <v>0</v>
      </c>
      <c r="M595" s="153">
        <f t="shared" si="76"/>
        <v>0</v>
      </c>
      <c r="O595" s="148"/>
      <c r="R595" s="12"/>
    </row>
    <row r="596" spans="1:18" s="51" customFormat="1" ht="13.5" hidden="1" customHeight="1" outlineLevel="1" x14ac:dyDescent="0.3">
      <c r="A596" s="290">
        <f t="shared" si="75"/>
        <v>0</v>
      </c>
      <c r="B596" s="49"/>
      <c r="C596" s="49"/>
      <c r="D596" s="140" t="s">
        <v>1620</v>
      </c>
      <c r="E596" s="49" t="str">
        <f>VLOOKUP(D596,'03. Insumos'!A:D,2,0)</f>
        <v>Material - Frontispício até h=15cm de preto são gabriel 4,22 x 0,15</v>
      </c>
      <c r="F596" s="52"/>
      <c r="G596" s="52" t="str">
        <f>VLOOKUP(D596,'03. Insumos'!A:F,3,0)</f>
        <v>vb</v>
      </c>
      <c r="H596" s="53">
        <v>1</v>
      </c>
      <c r="I596" s="141"/>
      <c r="J596" s="54">
        <f t="shared" si="87"/>
        <v>348</v>
      </c>
      <c r="K596" s="54">
        <f>IF(A596=0,VLOOKUP(D596,'03. Insumos'!A:F,4,0),"")</f>
        <v>348</v>
      </c>
      <c r="L596" s="274">
        <f t="shared" si="88"/>
        <v>0</v>
      </c>
      <c r="M596" s="153">
        <f t="shared" si="76"/>
        <v>0</v>
      </c>
      <c r="O596" s="148"/>
      <c r="R596" s="12"/>
    </row>
    <row r="597" spans="1:18" s="51" customFormat="1" ht="13.5" hidden="1" customHeight="1" outlineLevel="1" x14ac:dyDescent="0.3">
      <c r="A597" s="290">
        <f t="shared" si="75"/>
        <v>0</v>
      </c>
      <c r="B597" s="49"/>
      <c r="C597" s="49"/>
      <c r="D597" s="140" t="s">
        <v>1621</v>
      </c>
      <c r="E597" s="49" t="str">
        <f>VLOOKUP(D597,'03. Insumos'!A:D,2,0)</f>
        <v>Material - Ilhargas dupla de preto são gabriel 0,85 x 0,60</v>
      </c>
      <c r="F597" s="52"/>
      <c r="G597" s="52" t="str">
        <f>VLOOKUP(D597,'03. Insumos'!A:F,3,0)</f>
        <v>vb</v>
      </c>
      <c r="H597" s="53">
        <v>2</v>
      </c>
      <c r="I597" s="141"/>
      <c r="J597" s="54">
        <f t="shared" si="87"/>
        <v>393</v>
      </c>
      <c r="K597" s="54">
        <f>IF(A597=0,VLOOKUP(D597,'03. Insumos'!A:F,4,0),"")</f>
        <v>393</v>
      </c>
      <c r="L597" s="274">
        <f t="shared" si="88"/>
        <v>0</v>
      </c>
      <c r="M597" s="153">
        <f t="shared" si="76"/>
        <v>0</v>
      </c>
      <c r="O597" s="148"/>
      <c r="R597" s="12"/>
    </row>
    <row r="598" spans="1:18" s="51" customFormat="1" ht="13.5" hidden="1" customHeight="1" outlineLevel="1" x14ac:dyDescent="0.3">
      <c r="A598" s="290">
        <f t="shared" si="75"/>
        <v>0</v>
      </c>
      <c r="B598" s="49"/>
      <c r="C598" s="49"/>
      <c r="D598" s="140" t="s">
        <v>1622</v>
      </c>
      <c r="E598" s="49" t="str">
        <f>VLOOKUP(D598,'03. Insumos'!A:D,2,0)</f>
        <v>Material - Ilha com saia de 5cm de preto são gabriel 3,15 x 0,85</v>
      </c>
      <c r="F598" s="52"/>
      <c r="G598" s="52" t="str">
        <f>VLOOKUP(D598,'03. Insumos'!A:F,3,0)</f>
        <v>vb</v>
      </c>
      <c r="H598" s="53">
        <v>1</v>
      </c>
      <c r="I598" s="141"/>
      <c r="J598" s="54">
        <f t="shared" si="87"/>
        <v>2410</v>
      </c>
      <c r="K598" s="54">
        <f>IF(A598=0,VLOOKUP(D598,'03. Insumos'!A:F,4,0),"")</f>
        <v>2410</v>
      </c>
      <c r="L598" s="274">
        <f t="shared" si="88"/>
        <v>0</v>
      </c>
      <c r="M598" s="153">
        <f t="shared" si="76"/>
        <v>0</v>
      </c>
      <c r="O598" s="148"/>
      <c r="R598" s="12"/>
    </row>
    <row r="599" spans="1:18" s="51" customFormat="1" ht="13.5" hidden="1" customHeight="1" outlineLevel="1" x14ac:dyDescent="0.3">
      <c r="A599" s="290">
        <f t="shared" si="75"/>
        <v>0</v>
      </c>
      <c r="B599" s="49"/>
      <c r="C599" s="49"/>
      <c r="D599" s="140" t="s">
        <v>1623</v>
      </c>
      <c r="E599" s="49" t="str">
        <f>VLOOKUP(D599,'03. Insumos'!A:D,2,0)</f>
        <v>Material - Fechamento da ilha de preto são gabriel 8,1 x 0,85</v>
      </c>
      <c r="F599" s="52"/>
      <c r="G599" s="52" t="str">
        <f>VLOOKUP(D599,'03. Insumos'!A:F,3,0)</f>
        <v>vb</v>
      </c>
      <c r="H599" s="53">
        <v>1</v>
      </c>
      <c r="I599" s="141"/>
      <c r="J599" s="54">
        <f t="shared" si="87"/>
        <v>4009.0000000000005</v>
      </c>
      <c r="K599" s="54">
        <f>IF(A599=0,VLOOKUP(D599,'03. Insumos'!A:F,4,0),"")</f>
        <v>4009.0000000000005</v>
      </c>
      <c r="L599" s="274">
        <f t="shared" si="88"/>
        <v>0</v>
      </c>
      <c r="M599" s="153">
        <f t="shared" si="76"/>
        <v>0</v>
      </c>
      <c r="O599" s="148"/>
      <c r="R599" s="12"/>
    </row>
    <row r="600" spans="1:18" s="51" customFormat="1" ht="13.5" hidden="1" customHeight="1" outlineLevel="1" x14ac:dyDescent="0.3">
      <c r="A600" s="290">
        <f t="shared" si="75"/>
        <v>0</v>
      </c>
      <c r="B600" s="49"/>
      <c r="C600" s="49"/>
      <c r="D600" s="140" t="s">
        <v>1624</v>
      </c>
      <c r="E600" s="49" t="str">
        <f>VLOOKUP(D600,'03. Insumos'!A:D,2,0)</f>
        <v>Mão de obra  - Instalação dos itens da cozinha</v>
      </c>
      <c r="F600" s="52"/>
      <c r="G600" s="52" t="str">
        <f>VLOOKUP(D600,'03. Insumos'!A:F,3,0)</f>
        <v>vb</v>
      </c>
      <c r="H600" s="53">
        <v>1</v>
      </c>
      <c r="I600" s="141"/>
      <c r="J600" s="54">
        <f t="shared" si="87"/>
        <v>2840</v>
      </c>
      <c r="K600" s="54">
        <f>IF(A600=0,VLOOKUP(D600,'03. Insumos'!A:F,4,0),"")</f>
        <v>2840</v>
      </c>
      <c r="L600" s="274">
        <f t="shared" si="88"/>
        <v>0</v>
      </c>
      <c r="M600" s="153">
        <f t="shared" si="76"/>
        <v>0</v>
      </c>
      <c r="O600" s="148"/>
      <c r="R600" s="12"/>
    </row>
    <row r="601" spans="1:18" s="51" customFormat="1" ht="13.5" hidden="1" customHeight="1" outlineLevel="1" x14ac:dyDescent="0.3">
      <c r="A601" s="290">
        <f t="shared" si="75"/>
        <v>6</v>
      </c>
      <c r="B601" s="49"/>
      <c r="C601" s="55" t="s">
        <v>1493</v>
      </c>
      <c r="D601" s="55" t="s">
        <v>1547</v>
      </c>
      <c r="E601" s="49"/>
      <c r="F601" s="52"/>
      <c r="G601" s="52"/>
      <c r="H601" s="53"/>
      <c r="I601" s="141"/>
      <c r="J601" s="54"/>
      <c r="K601" s="54"/>
      <c r="L601" s="58">
        <f>SUM(L602:L604)</f>
        <v>0</v>
      </c>
      <c r="M601" s="153">
        <f t="shared" si="76"/>
        <v>0</v>
      </c>
      <c r="O601" s="148"/>
      <c r="R601" s="12"/>
    </row>
    <row r="602" spans="1:18" s="51" customFormat="1" ht="13.5" hidden="1" customHeight="1" outlineLevel="1" x14ac:dyDescent="0.3">
      <c r="A602" s="290">
        <f t="shared" si="75"/>
        <v>0</v>
      </c>
      <c r="B602" s="49"/>
      <c r="C602" s="49"/>
      <c r="D602" s="140" t="s">
        <v>1628</v>
      </c>
      <c r="E602" s="49" t="str">
        <f>VLOOKUP(D602,'03. Insumos'!A:D,2,0)</f>
        <v>Material - Bancada com furo para tanque preto são gabriel 3,51 x 0,60</v>
      </c>
      <c r="F602" s="52"/>
      <c r="G602" s="52" t="str">
        <f>VLOOKUP(D602,'03. Insumos'!A:F,3,0)</f>
        <v>vb</v>
      </c>
      <c r="H602" s="53">
        <v>1</v>
      </c>
      <c r="I602" s="141"/>
      <c r="J602" s="54">
        <f>IFERROR(IF(K602&lt;&gt;0,K602*$K$5,0),0)</f>
        <v>1518</v>
      </c>
      <c r="K602" s="54">
        <f>IF(A602=0,VLOOKUP(D602,'03. Insumos'!A:F,4,0),"")</f>
        <v>1518</v>
      </c>
      <c r="L602" s="274">
        <f>H602*J602*I602</f>
        <v>0</v>
      </c>
      <c r="M602" s="153">
        <f t="shared" si="76"/>
        <v>0</v>
      </c>
      <c r="O602" s="148"/>
      <c r="R602" s="12"/>
    </row>
    <row r="603" spans="1:18" s="51" customFormat="1" ht="13.5" hidden="1" customHeight="1" outlineLevel="1" x14ac:dyDescent="0.3">
      <c r="A603" s="290">
        <f t="shared" si="75"/>
        <v>0</v>
      </c>
      <c r="B603" s="49"/>
      <c r="C603" s="49"/>
      <c r="D603" s="140" t="s">
        <v>1629</v>
      </c>
      <c r="E603" s="49" t="str">
        <f>VLOOKUP(D603,'03. Insumos'!A:D,2,0)</f>
        <v>Material - Frontispício até h=15cm de preto são gabriel 3,63 x 0,15</v>
      </c>
      <c r="F603" s="52"/>
      <c r="G603" s="52" t="str">
        <f>VLOOKUP(D603,'03. Insumos'!A:F,3,0)</f>
        <v>vb</v>
      </c>
      <c r="H603" s="53">
        <v>1</v>
      </c>
      <c r="I603" s="141"/>
      <c r="J603" s="54">
        <f>IFERROR(IF(K603&lt;&gt;0,K603*$K$5,0),0)</f>
        <v>300</v>
      </c>
      <c r="K603" s="54">
        <f>IF(A603=0,VLOOKUP(D603,'03. Insumos'!A:F,4,0),"")</f>
        <v>300</v>
      </c>
      <c r="L603" s="274">
        <f>H603*J603*I603</f>
        <v>0</v>
      </c>
      <c r="M603" s="153">
        <f t="shared" si="76"/>
        <v>0</v>
      </c>
      <c r="O603" s="148"/>
      <c r="R603" s="12"/>
    </row>
    <row r="604" spans="1:18" s="51" customFormat="1" ht="13.5" hidden="1" customHeight="1" outlineLevel="1" x14ac:dyDescent="0.3">
      <c r="A604" s="290">
        <f t="shared" si="75"/>
        <v>0</v>
      </c>
      <c r="B604" s="49"/>
      <c r="C604" s="49"/>
      <c r="D604" s="140" t="s">
        <v>1630</v>
      </c>
      <c r="E604" s="49" t="str">
        <f>VLOOKUP(D604,'03. Insumos'!A:D,2,0)</f>
        <v>Mão de obra  - Instalação dos itens da lavanderia</v>
      </c>
      <c r="F604" s="52"/>
      <c r="G604" s="52" t="str">
        <f>VLOOKUP(D604,'03. Insumos'!A:F,3,0)</f>
        <v>vb</v>
      </c>
      <c r="H604" s="53">
        <v>1</v>
      </c>
      <c r="I604" s="141"/>
      <c r="J604" s="54">
        <f>IFERROR(IF(K604&lt;&gt;0,K604*$K$5,0),0)</f>
        <v>600</v>
      </c>
      <c r="K604" s="54">
        <f>IF(A604=0,VLOOKUP(D604,'03. Insumos'!A:F,4,0),"")</f>
        <v>600</v>
      </c>
      <c r="L604" s="274">
        <f>H604*J604*I604</f>
        <v>0</v>
      </c>
      <c r="M604" s="153">
        <f t="shared" si="76"/>
        <v>0</v>
      </c>
      <c r="O604" s="148"/>
      <c r="R604" s="12"/>
    </row>
    <row r="605" spans="1:18" s="51" customFormat="1" ht="13.5" hidden="1" customHeight="1" outlineLevel="1" x14ac:dyDescent="0.3">
      <c r="A605" s="290">
        <f t="shared" si="75"/>
        <v>6</v>
      </c>
      <c r="B605" s="49"/>
      <c r="C605" s="55" t="s">
        <v>1493</v>
      </c>
      <c r="D605" s="55" t="s">
        <v>1551</v>
      </c>
      <c r="E605" s="49"/>
      <c r="F605" s="52"/>
      <c r="G605" s="52"/>
      <c r="H605" s="53"/>
      <c r="I605" s="141"/>
      <c r="J605" s="54"/>
      <c r="K605" s="54"/>
      <c r="L605" s="58">
        <f>SUM(L606:L610)</f>
        <v>0</v>
      </c>
      <c r="M605" s="153">
        <f t="shared" si="76"/>
        <v>0</v>
      </c>
      <c r="O605" s="148"/>
      <c r="R605" s="12"/>
    </row>
    <row r="606" spans="1:18" s="51" customFormat="1" ht="13.5" hidden="1" customHeight="1" outlineLevel="1" x14ac:dyDescent="0.3">
      <c r="A606" s="290">
        <f t="shared" si="75"/>
        <v>0</v>
      </c>
      <c r="B606" s="49"/>
      <c r="C606" s="49"/>
      <c r="D606" s="140" t="s">
        <v>1633</v>
      </c>
      <c r="E606" s="49" t="str">
        <f>VLOOKUP(D606,'03. Insumos'!A:D,2,0)</f>
        <v>Material - Bancada de  preto são gabriel 4,50 x 0,60</v>
      </c>
      <c r="F606" s="52"/>
      <c r="G606" s="52" t="str">
        <f>VLOOKUP(D606,'03. Insumos'!A:F,3,0)</f>
        <v>vb</v>
      </c>
      <c r="H606" s="53">
        <v>1</v>
      </c>
      <c r="I606" s="141"/>
      <c r="J606" s="54">
        <f>IFERROR(IF(K606&lt;&gt;0,K606*$K$5,0),0)</f>
        <v>2050</v>
      </c>
      <c r="K606" s="54">
        <f>IF(A606=0,VLOOKUP(D606,'03. Insumos'!A:F,4,0),"")</f>
        <v>2050</v>
      </c>
      <c r="L606" s="274">
        <f>H606*J606*I606</f>
        <v>0</v>
      </c>
      <c r="M606" s="153">
        <f t="shared" si="76"/>
        <v>0</v>
      </c>
      <c r="O606" s="148"/>
      <c r="R606" s="12"/>
    </row>
    <row r="607" spans="1:18" s="51" customFormat="1" ht="13.5" hidden="1" customHeight="1" outlineLevel="1" x14ac:dyDescent="0.3">
      <c r="A607" s="290">
        <f t="shared" si="75"/>
        <v>0</v>
      </c>
      <c r="B607" s="49"/>
      <c r="C607" s="49"/>
      <c r="D607" s="140" t="s">
        <v>1634</v>
      </c>
      <c r="E607" s="49" t="str">
        <f>VLOOKUP(D607,'03. Insumos'!A:D,2,0)</f>
        <v>Material - Frontispício até h=15cm de preto são gabriel  5,10 x 0,15</v>
      </c>
      <c r="F607" s="52"/>
      <c r="G607" s="52" t="str">
        <f>VLOOKUP(D607,'03. Insumos'!A:F,3,0)</f>
        <v>vb</v>
      </c>
      <c r="H607" s="53">
        <v>1</v>
      </c>
      <c r="I607" s="141"/>
      <c r="J607" s="54">
        <f>IFERROR(IF(K607&lt;&gt;0,K607*$K$5,0),0)</f>
        <v>421</v>
      </c>
      <c r="K607" s="54">
        <f>IF(A607=0,VLOOKUP(D607,'03. Insumos'!A:F,4,0),"")</f>
        <v>421</v>
      </c>
      <c r="L607" s="274">
        <f>H607*J607*I607</f>
        <v>0</v>
      </c>
      <c r="M607" s="153">
        <f t="shared" si="76"/>
        <v>0</v>
      </c>
      <c r="O607" s="148"/>
      <c r="R607" s="12"/>
    </row>
    <row r="608" spans="1:18" s="51" customFormat="1" ht="13.5" hidden="1" customHeight="1" outlineLevel="1" x14ac:dyDescent="0.3">
      <c r="A608" s="290">
        <f t="shared" si="75"/>
        <v>0</v>
      </c>
      <c r="B608" s="49"/>
      <c r="C608" s="49"/>
      <c r="D608" s="140" t="s">
        <v>1635</v>
      </c>
      <c r="E608" s="49" t="str">
        <f>VLOOKUP(D608,'03. Insumos'!A:D,2,0)</f>
        <v>Material - Ilhargas dupla de preto são gabriel 0,85 x 0,60</v>
      </c>
      <c r="F608" s="52"/>
      <c r="G608" s="52" t="str">
        <f>VLOOKUP(D608,'03. Insumos'!A:F,3,0)</f>
        <v>vb</v>
      </c>
      <c r="H608" s="53">
        <v>1</v>
      </c>
      <c r="I608" s="141"/>
      <c r="J608" s="54">
        <f>IFERROR(IF(K608&lt;&gt;0,K608*$K$5,0),0)</f>
        <v>393</v>
      </c>
      <c r="K608" s="54">
        <f>IF(A608=0,VLOOKUP(D608,'03. Insumos'!A:F,4,0),"")</f>
        <v>393</v>
      </c>
      <c r="L608" s="274">
        <f>H608*J608*I608</f>
        <v>0</v>
      </c>
      <c r="M608" s="153">
        <f t="shared" si="76"/>
        <v>0</v>
      </c>
      <c r="O608" s="148"/>
      <c r="R608" s="12"/>
    </row>
    <row r="609" spans="1:18" s="51" customFormat="1" ht="13.5" hidden="1" customHeight="1" outlineLevel="1" x14ac:dyDescent="0.3">
      <c r="A609" s="290">
        <f t="shared" ref="A609:A692" si="89">LEN(C609)</f>
        <v>0</v>
      </c>
      <c r="B609" s="49"/>
      <c r="C609" s="49"/>
      <c r="D609" s="140" t="s">
        <v>1636</v>
      </c>
      <c r="E609" s="49" t="str">
        <f>VLOOKUP(D609,'03. Insumos'!A:D,2,0)</f>
        <v>Material - Ilha com saia de 5cm de preto são gabriel  6,48 x 0,85</v>
      </c>
      <c r="F609" s="52"/>
      <c r="G609" s="52" t="str">
        <f>VLOOKUP(D609,'03. Insumos'!A:F,3,0)</f>
        <v>vb</v>
      </c>
      <c r="H609" s="53">
        <v>1</v>
      </c>
      <c r="I609" s="141"/>
      <c r="J609" s="54">
        <f>IFERROR(IF(K609&lt;&gt;0,K609*$K$5,0),0)</f>
        <v>4758</v>
      </c>
      <c r="K609" s="54">
        <f>IF(A609=0,VLOOKUP(D609,'03. Insumos'!A:F,4,0),"")</f>
        <v>4758</v>
      </c>
      <c r="L609" s="274">
        <f>H609*J609*I609</f>
        <v>0</v>
      </c>
      <c r="M609" s="153">
        <f t="shared" si="76"/>
        <v>0</v>
      </c>
      <c r="O609" s="148"/>
      <c r="R609" s="12"/>
    </row>
    <row r="610" spans="1:18" s="51" customFormat="1" ht="13.5" hidden="1" customHeight="1" outlineLevel="1" x14ac:dyDescent="0.3">
      <c r="A610" s="290">
        <f t="shared" si="89"/>
        <v>0</v>
      </c>
      <c r="B610" s="49"/>
      <c r="C610" s="49"/>
      <c r="D610" s="140" t="s">
        <v>1639</v>
      </c>
      <c r="E610" s="49" t="str">
        <f>VLOOKUP(D610,'03. Insumos'!A:D,2,0)</f>
        <v>Mão de obra  - Instalação dos itens da churrasqueira</v>
      </c>
      <c r="F610" s="52"/>
      <c r="G610" s="52" t="str">
        <f>VLOOKUP(D610,'03. Insumos'!A:F,3,0)</f>
        <v>vb</v>
      </c>
      <c r="H610" s="53">
        <v>1</v>
      </c>
      <c r="I610" s="141"/>
      <c r="J610" s="54">
        <f>IFERROR(IF(K610&lt;&gt;0,K610*$K$5,0),0)</f>
        <v>2340</v>
      </c>
      <c r="K610" s="54">
        <f>IF(A610=0,VLOOKUP(D610,'03. Insumos'!A:F,4,0),"")</f>
        <v>2340</v>
      </c>
      <c r="L610" s="274">
        <f>H610*J610*I610</f>
        <v>0</v>
      </c>
      <c r="M610" s="153">
        <f t="shared" si="76"/>
        <v>0</v>
      </c>
      <c r="O610" s="148"/>
      <c r="R610" s="12"/>
    </row>
    <row r="611" spans="1:18" s="51" customFormat="1" ht="13.5" hidden="1" customHeight="1" outlineLevel="1" x14ac:dyDescent="0.3">
      <c r="A611" s="290">
        <f t="shared" si="89"/>
        <v>6</v>
      </c>
      <c r="B611" s="49"/>
      <c r="C611" s="55" t="s">
        <v>1493</v>
      </c>
      <c r="D611" s="55" t="s">
        <v>1640</v>
      </c>
      <c r="E611" s="49"/>
      <c r="F611" s="52"/>
      <c r="G611" s="52"/>
      <c r="H611" s="53"/>
      <c r="I611" s="141"/>
      <c r="J611" s="54"/>
      <c r="K611" s="54"/>
      <c r="L611" s="58">
        <f>SUM(L612:L616)</f>
        <v>0</v>
      </c>
      <c r="M611" s="153">
        <f t="shared" si="76"/>
        <v>0</v>
      </c>
      <c r="O611" s="148"/>
      <c r="R611" s="12"/>
    </row>
    <row r="612" spans="1:18" s="51" customFormat="1" ht="13.5" hidden="1" customHeight="1" outlineLevel="1" x14ac:dyDescent="0.3">
      <c r="A612" s="290">
        <f t="shared" si="89"/>
        <v>0</v>
      </c>
      <c r="B612" s="49"/>
      <c r="C612" s="49"/>
      <c r="D612" s="140" t="s">
        <v>1641</v>
      </c>
      <c r="E612" s="49" t="str">
        <f>VLOOKUP(D612,'03. Insumos'!A:D,2,0)</f>
        <v>Material - Bancanda com furo para cuba e saia de 15cm de mármore branco piguês 1,97 x 0,6</v>
      </c>
      <c r="F612" s="52"/>
      <c r="G612" s="52" t="str">
        <f>VLOOKUP(D612,'03. Insumos'!A:F,3,0)</f>
        <v>vb</v>
      </c>
      <c r="H612" s="53">
        <v>1</v>
      </c>
      <c r="I612" s="141"/>
      <c r="J612" s="54">
        <f>IFERROR(IF(K612&lt;&gt;0,K612*$K$5,0),0)</f>
        <v>1171</v>
      </c>
      <c r="K612" s="54">
        <f>IF(A612=0,VLOOKUP(D612,'03. Insumos'!A:F,4,0),"")</f>
        <v>1171</v>
      </c>
      <c r="L612" s="274">
        <f>H612*J612*I612</f>
        <v>0</v>
      </c>
      <c r="M612" s="153">
        <f t="shared" si="76"/>
        <v>0</v>
      </c>
      <c r="O612" s="148"/>
      <c r="R612" s="12"/>
    </row>
    <row r="613" spans="1:18" s="51" customFormat="1" ht="13.5" hidden="1" customHeight="1" outlineLevel="1" x14ac:dyDescent="0.3">
      <c r="A613" s="290">
        <f t="shared" si="89"/>
        <v>0</v>
      </c>
      <c r="B613" s="49"/>
      <c r="C613" s="49"/>
      <c r="D613" s="140" t="s">
        <v>1642</v>
      </c>
      <c r="E613" s="49" t="str">
        <f>VLOOKUP(D613,'03. Insumos'!A:D,2,0)</f>
        <v>Material - Frontispício até h=15cm de mármore branco piguês 3,17 x 0,15</v>
      </c>
      <c r="F613" s="52"/>
      <c r="G613" s="52" t="str">
        <f>VLOOKUP(D613,'03. Insumos'!A:F,3,0)</f>
        <v>vb</v>
      </c>
      <c r="H613" s="53">
        <v>1</v>
      </c>
      <c r="I613" s="141"/>
      <c r="J613" s="54">
        <f>IFERROR(IF(K613&lt;&gt;0,K613*$K$5,0),0)</f>
        <v>262</v>
      </c>
      <c r="K613" s="54">
        <f>IF(A613=0,VLOOKUP(D613,'03. Insumos'!A:F,4,0),"")</f>
        <v>262</v>
      </c>
      <c r="L613" s="274">
        <f>H613*J613*I613</f>
        <v>0</v>
      </c>
      <c r="M613" s="153">
        <f t="shared" si="76"/>
        <v>0</v>
      </c>
      <c r="O613" s="148"/>
      <c r="R613" s="12"/>
    </row>
    <row r="614" spans="1:18" s="51" customFormat="1" ht="13.5" hidden="1" customHeight="1" outlineLevel="1" x14ac:dyDescent="0.3">
      <c r="A614" s="290">
        <f t="shared" si="89"/>
        <v>0</v>
      </c>
      <c r="B614" s="49"/>
      <c r="C614" s="49"/>
      <c r="D614" s="140" t="s">
        <v>1648</v>
      </c>
      <c r="E614" s="49" t="str">
        <f>VLOOKUP(D614,'03. Insumos'!A:D,2,0)</f>
        <v>Material - Nicho mármore branco Piguês</v>
      </c>
      <c r="F614" s="52"/>
      <c r="G614" s="52" t="str">
        <f>VLOOKUP(D614,'03. Insumos'!A:F,3,0)</f>
        <v>vb</v>
      </c>
      <c r="H614" s="53">
        <v>1</v>
      </c>
      <c r="I614" s="141"/>
      <c r="J614" s="54">
        <f>IFERROR(IF(K614&lt;&gt;0,K614*$K$5,0),0)</f>
        <v>400</v>
      </c>
      <c r="K614" s="54">
        <f>IF(A614=0,VLOOKUP(D614,'03. Insumos'!A:F,4,0),"")</f>
        <v>400</v>
      </c>
      <c r="L614" s="274">
        <f>H614*J614*I614</f>
        <v>0</v>
      </c>
      <c r="M614" s="153">
        <f t="shared" si="76"/>
        <v>0</v>
      </c>
      <c r="O614" s="148"/>
      <c r="R614" s="12"/>
    </row>
    <row r="615" spans="1:18" s="51" customFormat="1" ht="13.5" hidden="1" customHeight="1" outlineLevel="1" x14ac:dyDescent="0.3">
      <c r="A615" s="290">
        <f t="shared" si="89"/>
        <v>0</v>
      </c>
      <c r="B615" s="49"/>
      <c r="C615" s="49"/>
      <c r="D615" s="140" t="s">
        <v>808</v>
      </c>
      <c r="E615" s="49" t="str">
        <f>VLOOKUP(D615,'03. Insumos'!A:D,2,0)</f>
        <v>Material - soleira mármore branco piguês 0,65 x 0,15</v>
      </c>
      <c r="F615" s="52"/>
      <c r="G615" s="52" t="str">
        <f>VLOOKUP(D615,'03. Insumos'!A:F,3,0)</f>
        <v>vb</v>
      </c>
      <c r="H615" s="53">
        <v>1</v>
      </c>
      <c r="I615" s="141"/>
      <c r="J615" s="54">
        <f>IFERROR(IF(K615&lt;&gt;0,K615*$K$5,0),0)</f>
        <v>161</v>
      </c>
      <c r="K615" s="54">
        <f>IF(A615=0,VLOOKUP(D615,'03. Insumos'!A:F,4,0),"")</f>
        <v>161</v>
      </c>
      <c r="L615" s="274">
        <f>H615*J615*I615</f>
        <v>0</v>
      </c>
      <c r="M615" s="153">
        <f t="shared" si="76"/>
        <v>0</v>
      </c>
      <c r="O615" s="148"/>
      <c r="R615" s="12"/>
    </row>
    <row r="616" spans="1:18" s="51" customFormat="1" ht="13.5" hidden="1" customHeight="1" outlineLevel="1" x14ac:dyDescent="0.3">
      <c r="A616" s="290">
        <f t="shared" si="89"/>
        <v>0</v>
      </c>
      <c r="B616" s="49"/>
      <c r="C616" s="49"/>
      <c r="D616" s="140" t="s">
        <v>1643</v>
      </c>
      <c r="E616" s="49" t="str">
        <f>VLOOKUP(D616,'03. Insumos'!A:D,2,0)</f>
        <v>Mão de obra  - Instalação dos itens do banheiro da churrasqueira</v>
      </c>
      <c r="F616" s="52"/>
      <c r="G616" s="52" t="str">
        <f>VLOOKUP(D616,'03. Insumos'!A:F,3,0)</f>
        <v>vb</v>
      </c>
      <c r="H616" s="53">
        <v>1</v>
      </c>
      <c r="I616" s="141"/>
      <c r="J616" s="54">
        <f>IFERROR(IF(K616&lt;&gt;0,K616*$K$5,0),0)</f>
        <v>1800</v>
      </c>
      <c r="K616" s="54">
        <f>IF(A616=0,VLOOKUP(D616,'03. Insumos'!A:F,4,0),"")</f>
        <v>1800</v>
      </c>
      <c r="L616" s="274">
        <f>H616*J616*I616</f>
        <v>0</v>
      </c>
      <c r="M616" s="153">
        <f t="shared" si="76"/>
        <v>0</v>
      </c>
      <c r="O616" s="148"/>
      <c r="R616" s="12"/>
    </row>
    <row r="617" spans="1:18" s="51" customFormat="1" ht="13.5" hidden="1" customHeight="1" outlineLevel="1" x14ac:dyDescent="0.3">
      <c r="A617" s="290">
        <f t="shared" si="89"/>
        <v>6</v>
      </c>
      <c r="B617" s="49"/>
      <c r="C617" s="55" t="s">
        <v>1493</v>
      </c>
      <c r="D617" s="55" t="s">
        <v>1650</v>
      </c>
      <c r="E617" s="49"/>
      <c r="F617" s="52"/>
      <c r="G617" s="52"/>
      <c r="H617" s="53"/>
      <c r="I617" s="141"/>
      <c r="J617" s="54"/>
      <c r="K617" s="54"/>
      <c r="L617" s="58">
        <f>SUM(L618:L619)</f>
        <v>0</v>
      </c>
      <c r="M617" s="153">
        <f t="shared" ref="M617:M680" si="90">L617/$L$7</f>
        <v>0</v>
      </c>
      <c r="O617" s="148"/>
      <c r="R617" s="12"/>
    </row>
    <row r="618" spans="1:18" s="51" customFormat="1" ht="13.5" hidden="1" customHeight="1" outlineLevel="1" x14ac:dyDescent="0.3">
      <c r="A618" s="290">
        <f t="shared" si="89"/>
        <v>0</v>
      </c>
      <c r="B618" s="49"/>
      <c r="C618" s="49"/>
      <c r="D618" s="140" t="s">
        <v>805</v>
      </c>
      <c r="E618" s="49" t="str">
        <f>VLOOKUP(D618,'03. Insumos'!A:D,2,0)</f>
        <v>Material - rodapé granito cinza andorinha altura de  10 cm</v>
      </c>
      <c r="F618" s="52"/>
      <c r="G618" s="52" t="str">
        <f>VLOOKUP(D618,'03. Insumos'!A:F,3,0)</f>
        <v>m</v>
      </c>
      <c r="H618" s="53">
        <v>1</v>
      </c>
      <c r="I618" s="141"/>
      <c r="J618" s="54">
        <f>IFERROR(IF(K618&lt;&gt;0,K618*$K$5,0),0)</f>
        <v>25.05</v>
      </c>
      <c r="K618" s="54">
        <f>IF(A618=0,VLOOKUP(D618,'03. Insumos'!A:F,4,0),"")</f>
        <v>25.05</v>
      </c>
      <c r="L618" s="274">
        <f>H618*J618*I618</f>
        <v>0</v>
      </c>
      <c r="M618" s="153">
        <f t="shared" si="90"/>
        <v>0</v>
      </c>
      <c r="O618" s="148"/>
      <c r="R618" s="12"/>
    </row>
    <row r="619" spans="1:18" s="51" customFormat="1" ht="13.5" hidden="1" customHeight="1" outlineLevel="1" x14ac:dyDescent="0.3">
      <c r="A619" s="290">
        <f t="shared" si="89"/>
        <v>0</v>
      </c>
      <c r="B619" s="49"/>
      <c r="C619" s="49"/>
      <c r="D619" s="140" t="s">
        <v>802</v>
      </c>
      <c r="E619" s="49" t="str">
        <f>VLOOKUP(D619,'03. Insumos'!A:D,2,0)</f>
        <v>Mão de obra - instalação rodapé da escada / varanda suíte 03 / varanda suíte master / mirante</v>
      </c>
      <c r="F619" s="52"/>
      <c r="G619" s="52" t="str">
        <f>VLOOKUP(D619,'03. Insumos'!A:F,3,0)</f>
        <v>vb</v>
      </c>
      <c r="H619" s="53">
        <v>2</v>
      </c>
      <c r="I619" s="141"/>
      <c r="J619" s="54">
        <f>IFERROR(IF(K619&lt;&gt;0,K619*$K$5,0),0)</f>
        <v>1389</v>
      </c>
      <c r="K619" s="54">
        <f>IF(A619=0,VLOOKUP(D619,'03. Insumos'!A:F,4,0),"")</f>
        <v>1389</v>
      </c>
      <c r="L619" s="274">
        <f>H619*J619*I619</f>
        <v>0</v>
      </c>
      <c r="M619" s="153">
        <f t="shared" si="90"/>
        <v>0</v>
      </c>
      <c r="O619" s="148"/>
      <c r="R619" s="12"/>
    </row>
    <row r="620" spans="1:18" s="18" customFormat="1" ht="13.5" customHeight="1" x14ac:dyDescent="0.3">
      <c r="A620" s="290">
        <f t="shared" si="89"/>
        <v>3</v>
      </c>
      <c r="B620" s="35"/>
      <c r="C620" s="35" t="s">
        <v>84</v>
      </c>
      <c r="D620" s="35" t="s">
        <v>307</v>
      </c>
      <c r="E620" s="35"/>
      <c r="F620" s="36"/>
      <c r="G620" s="36"/>
      <c r="H620" s="37"/>
      <c r="I620" s="37"/>
      <c r="J620" s="38"/>
      <c r="K620" s="38"/>
      <c r="L620" s="38">
        <f>SUMIF(A621:A662,4,L621:L662)</f>
        <v>23313.724200913242</v>
      </c>
      <c r="M620" s="153">
        <f t="shared" si="90"/>
        <v>6.378302702647571E-3</v>
      </c>
      <c r="O620" s="148">
        <f>IF(I620&lt;&gt;0,I620*H620*K620,)</f>
        <v>0</v>
      </c>
      <c r="R620" s="12">
        <f>IF(J620&lt;&gt;0,J620/1.03-K620,0)</f>
        <v>0</v>
      </c>
    </row>
    <row r="621" spans="1:18" s="18" customFormat="1" ht="5.25" customHeight="1" outlineLevel="1" x14ac:dyDescent="0.3">
      <c r="A621" s="290">
        <f t="shared" si="89"/>
        <v>0</v>
      </c>
      <c r="B621" s="63"/>
      <c r="C621" s="63"/>
      <c r="D621" s="63"/>
      <c r="E621" s="63"/>
      <c r="F621" s="64"/>
      <c r="G621" s="64"/>
      <c r="H621" s="65"/>
      <c r="I621" s="65"/>
      <c r="J621" s="66">
        <f>IFERROR(IF(K621&lt;&gt;0,K621*$K$5,0),0)</f>
        <v>0</v>
      </c>
      <c r="K621" s="66" t="e">
        <f>IF(A621=0,VLOOKUP(D621,'03. Insumos'!A:F,4,0),"")</f>
        <v>#N/A</v>
      </c>
      <c r="L621" s="66"/>
      <c r="M621" s="153">
        <f t="shared" si="90"/>
        <v>0</v>
      </c>
      <c r="O621" s="148">
        <f>IF(I621&lt;&gt;0,I621*H621*K621,)</f>
        <v>0</v>
      </c>
      <c r="R621" s="12">
        <f>IF(J621&lt;&gt;0,J621/1.03-K621,0)</f>
        <v>0</v>
      </c>
    </row>
    <row r="622" spans="1:18" s="18" customFormat="1" ht="13.5" customHeight="1" outlineLevel="1" x14ac:dyDescent="0.3">
      <c r="A622" s="290">
        <f t="shared" si="89"/>
        <v>4</v>
      </c>
      <c r="B622" s="45"/>
      <c r="C622" s="45" t="s">
        <v>327</v>
      </c>
      <c r="D622" s="45" t="s">
        <v>307</v>
      </c>
      <c r="E622" s="45"/>
      <c r="F622" s="60"/>
      <c r="G622" s="60"/>
      <c r="H622" s="61"/>
      <c r="I622" s="61"/>
      <c r="J622" s="62"/>
      <c r="K622" s="62" t="str">
        <f>IF(A622=0,VLOOKUP(D622,'03. Insumos'!A:F,4,0),"")</f>
        <v/>
      </c>
      <c r="L622" s="62">
        <f>SUMIF(A623:A662,6,L623:L662)</f>
        <v>23313.724200913242</v>
      </c>
      <c r="M622" s="153">
        <f t="shared" si="90"/>
        <v>6.378302702647571E-3</v>
      </c>
      <c r="O622" s="148">
        <f>IF(I622&lt;&gt;0,I622*H622*K622,)</f>
        <v>0</v>
      </c>
      <c r="R622" s="12">
        <f>IF(J622&lt;&gt;0,J622/1.03-K622,0)</f>
        <v>0</v>
      </c>
    </row>
    <row r="623" spans="1:18" s="59" customFormat="1" ht="13.5" customHeight="1" outlineLevel="1" x14ac:dyDescent="0.3">
      <c r="A623" s="290">
        <f t="shared" si="89"/>
        <v>6</v>
      </c>
      <c r="B623" s="55"/>
      <c r="C623" s="55" t="s">
        <v>280</v>
      </c>
      <c r="D623" s="55" t="s">
        <v>2507</v>
      </c>
      <c r="E623" s="55"/>
      <c r="F623" s="56"/>
      <c r="G623" s="56"/>
      <c r="H623" s="57"/>
      <c r="I623" s="57"/>
      <c r="J623" s="58"/>
      <c r="K623" s="58" t="str">
        <f>IF(A623=0,VLOOKUP(D623,'03. Insumos'!A:F,4,0),"")</f>
        <v/>
      </c>
      <c r="L623" s="58">
        <f>SUM(L624:L634)</f>
        <v>23313.724200913242</v>
      </c>
      <c r="M623" s="153">
        <f t="shared" si="90"/>
        <v>6.378302702647571E-3</v>
      </c>
      <c r="O623" s="148">
        <f>IF(I623&lt;&gt;0,I623*H623*K623,)</f>
        <v>0</v>
      </c>
      <c r="R623" s="12">
        <f>IF(J623&lt;&gt;0,J623/1.03-K623,0)</f>
        <v>0</v>
      </c>
    </row>
    <row r="624" spans="1:18" s="51" customFormat="1" ht="13.5" customHeight="1" outlineLevel="1" x14ac:dyDescent="0.3">
      <c r="A624" s="290">
        <f t="shared" si="89"/>
        <v>0</v>
      </c>
      <c r="B624" s="49"/>
      <c r="C624" s="49"/>
      <c r="D624" s="140" t="s">
        <v>2496</v>
      </c>
      <c r="E624" s="49" t="str">
        <f>VLOOKUP(D624,'03. Insumos'!A:D,2,0)</f>
        <v>P17 - PORTA DE CORRER DE DUAS 
FOLHAS E BANDEIRA FIXA
EM ALUMÍNIO E MIOLOS EM
TELA EXPANDIDA</v>
      </c>
      <c r="F624" s="52" t="s">
        <v>2599</v>
      </c>
      <c r="G624" s="52" t="str">
        <f>VLOOKUP(D624,'03. Insumos'!A:F,3,0)</f>
        <v>vb</v>
      </c>
      <c r="H624" s="53">
        <v>1</v>
      </c>
      <c r="I624" s="141">
        <v>2</v>
      </c>
      <c r="J624" s="54">
        <f t="shared" ref="J624:J634" si="91">IFERROR(IF(K624&lt;&gt;0,K624*$K$5,0),0)</f>
        <v>0</v>
      </c>
      <c r="K624" s="54">
        <f>IF(A624=0,VLOOKUP(D624,'03. Insumos'!A:F,4,0),"")</f>
        <v>0</v>
      </c>
      <c r="L624" s="274">
        <f>H624*J624*I624</f>
        <v>0</v>
      </c>
      <c r="M624" s="153">
        <f t="shared" si="90"/>
        <v>0</v>
      </c>
      <c r="O624" s="148">
        <f>IF(I624&lt;&gt;0,I624*H624*K624,)</f>
        <v>0</v>
      </c>
      <c r="R624" s="12">
        <f>IF(J624&lt;&gt;0,J624/1.03-K624,0)</f>
        <v>0</v>
      </c>
    </row>
    <row r="625" spans="1:18" s="51" customFormat="1" ht="13.5" customHeight="1" outlineLevel="1" x14ac:dyDescent="0.3">
      <c r="A625" s="290">
        <f t="shared" si="89"/>
        <v>0</v>
      </c>
      <c r="B625" s="49"/>
      <c r="C625" s="49"/>
      <c r="D625" s="140" t="s">
        <v>2497</v>
      </c>
      <c r="E625" s="49" t="str">
        <f>VLOOKUP(D625,'03. Insumos'!A:D,2,0)</f>
        <v>P18 - PORTA DE ABRIR E 
BANDEIRA FIXA EM 
ALUMÍNIO E MIOLOS EM 
TELA EXPANDIDA</v>
      </c>
      <c r="F625" s="52" t="s">
        <v>2599</v>
      </c>
      <c r="G625" s="52" t="str">
        <f>VLOOKUP(D625,'03. Insumos'!A:F,3,0)</f>
        <v>vb</v>
      </c>
      <c r="H625" s="53">
        <v>1</v>
      </c>
      <c r="I625" s="141">
        <v>1</v>
      </c>
      <c r="J625" s="54">
        <f t="shared" si="91"/>
        <v>0</v>
      </c>
      <c r="K625" s="54">
        <f>IF(A625=0,VLOOKUP(D625,'03. Insumos'!A:F,4,0),"")</f>
        <v>0</v>
      </c>
      <c r="L625" s="274">
        <f t="shared" ref="L625:L634" si="92">H625*J625*I625</f>
        <v>0</v>
      </c>
      <c r="M625" s="153">
        <f t="shared" si="90"/>
        <v>0</v>
      </c>
      <c r="O625" s="148"/>
      <c r="R625" s="12"/>
    </row>
    <row r="626" spans="1:18" s="51" customFormat="1" ht="13.5" customHeight="1" outlineLevel="1" x14ac:dyDescent="0.3">
      <c r="A626" s="290">
        <f t="shared" si="89"/>
        <v>0</v>
      </c>
      <c r="B626" s="49"/>
      <c r="C626" s="49"/>
      <c r="D626" s="140" t="s">
        <v>2498</v>
      </c>
      <c r="E626" s="49" t="str">
        <f>VLOOKUP(D626,'03. Insumos'!A:D,2,0)</f>
        <v>Vidro fixo vitral</v>
      </c>
      <c r="F626" s="52" t="s">
        <v>2599</v>
      </c>
      <c r="G626" s="52" t="str">
        <f>VLOOKUP(D626,'03. Insumos'!A:F,3,0)</f>
        <v>vb</v>
      </c>
      <c r="H626" s="53">
        <v>1</v>
      </c>
      <c r="I626" s="141">
        <v>1</v>
      </c>
      <c r="J626" s="54">
        <f t="shared" si="91"/>
        <v>0</v>
      </c>
      <c r="K626" s="54">
        <f>IF(A626=0,VLOOKUP(D626,'03. Insumos'!A:F,4,0),"")</f>
        <v>0</v>
      </c>
      <c r="L626" s="274">
        <f t="shared" si="92"/>
        <v>0</v>
      </c>
      <c r="M626" s="153">
        <f t="shared" si="90"/>
        <v>0</v>
      </c>
      <c r="O626" s="148"/>
      <c r="R626" s="12"/>
    </row>
    <row r="627" spans="1:18" s="51" customFormat="1" ht="13.5" customHeight="1" outlineLevel="1" x14ac:dyDescent="0.3">
      <c r="A627" s="290">
        <f t="shared" si="89"/>
        <v>0</v>
      </c>
      <c r="B627" s="49"/>
      <c r="C627" s="49"/>
      <c r="D627" s="140" t="s">
        <v>2499</v>
      </c>
      <c r="E627" s="49" t="str">
        <f>VLOOKUP(D627,'03. Insumos'!A:D,2,0)</f>
        <v>Vidros Translúcidos Portas de Madeira</v>
      </c>
      <c r="F627" s="52" t="s">
        <v>2599</v>
      </c>
      <c r="G627" s="52" t="str">
        <f>VLOOKUP(D627,'03. Insumos'!A:F,3,0)</f>
        <v>m²</v>
      </c>
      <c r="H627" s="53">
        <v>1</v>
      </c>
      <c r="I627" s="141">
        <v>1</v>
      </c>
      <c r="J627" s="54">
        <f t="shared" si="91"/>
        <v>75</v>
      </c>
      <c r="K627" s="54">
        <f>IF(A627=0,VLOOKUP(D627,'03. Insumos'!A:F,4,0),"")</f>
        <v>75</v>
      </c>
      <c r="L627" s="274">
        <f t="shared" si="92"/>
        <v>75</v>
      </c>
      <c r="M627" s="153">
        <f t="shared" si="90"/>
        <v>2.0518931191603829E-5</v>
      </c>
      <c r="O627" s="148"/>
      <c r="R627" s="12"/>
    </row>
    <row r="628" spans="1:18" s="51" customFormat="1" ht="13.5" customHeight="1" outlineLevel="1" x14ac:dyDescent="0.3">
      <c r="A628" s="290">
        <f t="shared" si="89"/>
        <v>0</v>
      </c>
      <c r="B628" s="49"/>
      <c r="C628" s="49"/>
      <c r="D628" s="140" t="s">
        <v>2500</v>
      </c>
      <c r="E628" s="49" t="str">
        <f>VLOOKUP(D628,'03. Insumos'!A:D,2,0)</f>
        <v>Janelas de alumínio</v>
      </c>
      <c r="F628" s="52" t="s">
        <v>2599</v>
      </c>
      <c r="G628" s="52" t="str">
        <f>VLOOKUP(D628,'03. Insumos'!A:F,3,0)</f>
        <v>m²</v>
      </c>
      <c r="H628" s="53">
        <v>1</v>
      </c>
      <c r="I628" s="141">
        <v>1</v>
      </c>
      <c r="J628" s="54">
        <f t="shared" si="91"/>
        <v>750</v>
      </c>
      <c r="K628" s="54">
        <f>IF(A628=0,VLOOKUP(D628,'03. Insumos'!A:F,4,0),"")</f>
        <v>750</v>
      </c>
      <c r="L628" s="274">
        <f t="shared" si="92"/>
        <v>750</v>
      </c>
      <c r="M628" s="153">
        <f t="shared" si="90"/>
        <v>2.0518931191603829E-4</v>
      </c>
      <c r="O628" s="148"/>
      <c r="R628" s="12"/>
    </row>
    <row r="629" spans="1:18" s="51" customFormat="1" ht="13.5" customHeight="1" outlineLevel="1" x14ac:dyDescent="0.3">
      <c r="A629" s="290">
        <f t="shared" si="89"/>
        <v>0</v>
      </c>
      <c r="B629" s="49"/>
      <c r="C629" s="49"/>
      <c r="D629" s="140" t="s">
        <v>2501</v>
      </c>
      <c r="E629" s="49" t="str">
        <f>VLOOKUP(D629,'03. Insumos'!A:D,2,0)</f>
        <v>Porta de Vidro Automatizada -  Vão de 2.80 x 2.40</v>
      </c>
      <c r="F629" s="52" t="s">
        <v>2599</v>
      </c>
      <c r="G629" s="52" t="str">
        <f>VLOOKUP(D629,'03. Insumos'!A:F,3,0)</f>
        <v>unid</v>
      </c>
      <c r="H629" s="53">
        <v>1</v>
      </c>
      <c r="I629" s="141">
        <v>1</v>
      </c>
      <c r="J629" s="54">
        <f t="shared" si="91"/>
        <v>11000</v>
      </c>
      <c r="K629" s="54">
        <f>IF(A629=0,VLOOKUP(D629,'03. Insumos'!A:F,4,0),"")</f>
        <v>11000</v>
      </c>
      <c r="L629" s="274">
        <f t="shared" si="92"/>
        <v>11000</v>
      </c>
      <c r="M629" s="153">
        <f t="shared" si="90"/>
        <v>3.0094432414352282E-3</v>
      </c>
      <c r="O629" s="148"/>
      <c r="R629" s="12"/>
    </row>
    <row r="630" spans="1:18" s="51" customFormat="1" ht="13.5" customHeight="1" outlineLevel="1" x14ac:dyDescent="0.3">
      <c r="A630" s="290">
        <f t="shared" si="89"/>
        <v>0</v>
      </c>
      <c r="B630" s="49"/>
      <c r="C630" s="49"/>
      <c r="D630" s="140" t="s">
        <v>2502</v>
      </c>
      <c r="E630" s="49" t="str">
        <f>VLOOKUP(D630,'03. Insumos'!A:D,2,0)</f>
        <v>Porta veneziana de alumínio casa de máquinas e visita</v>
      </c>
      <c r="F630" s="52" t="s">
        <v>2599</v>
      </c>
      <c r="G630" s="52" t="str">
        <f>VLOOKUP(D630,'03. Insumos'!A:F,3,0)</f>
        <v>vb</v>
      </c>
      <c r="H630" s="53">
        <v>1</v>
      </c>
      <c r="I630" s="141">
        <v>2</v>
      </c>
      <c r="J630" s="54">
        <f t="shared" si="91"/>
        <v>844.2</v>
      </c>
      <c r="K630" s="54">
        <f>IF(A630=0,VLOOKUP(D630,'03. Insumos'!A:F,4,0),"")</f>
        <v>844.2</v>
      </c>
      <c r="L630" s="274">
        <f t="shared" si="92"/>
        <v>1688.4</v>
      </c>
      <c r="M630" s="153">
        <f t="shared" si="90"/>
        <v>4.6192217898538546E-4</v>
      </c>
      <c r="O630" s="148"/>
      <c r="R630" s="12"/>
    </row>
    <row r="631" spans="1:18" s="51" customFormat="1" ht="13.5" customHeight="1" outlineLevel="1" x14ac:dyDescent="0.3">
      <c r="A631" s="290">
        <f t="shared" si="89"/>
        <v>0</v>
      </c>
      <c r="B631" s="49"/>
      <c r="C631" s="49"/>
      <c r="D631" s="140" t="s">
        <v>2503</v>
      </c>
      <c r="E631" s="49" t="str">
        <f>VLOOKUP(D631,'03. Insumos'!A:D,2,0)</f>
        <v>Fechamento em Vidro temperado Phone boot</v>
      </c>
      <c r="F631" s="52" t="s">
        <v>2599</v>
      </c>
      <c r="G631" s="52" t="str">
        <f>VLOOKUP(D631,'03. Insumos'!A:F,3,0)</f>
        <v>m²</v>
      </c>
      <c r="H631" s="53">
        <v>1</v>
      </c>
      <c r="I631" s="141">
        <v>1</v>
      </c>
      <c r="J631" s="54">
        <f t="shared" si="91"/>
        <v>440</v>
      </c>
      <c r="K631" s="54">
        <f>IF(A631=0,VLOOKUP(D631,'03. Insumos'!A:F,4,0),"")</f>
        <v>440</v>
      </c>
      <c r="L631" s="274">
        <f t="shared" si="92"/>
        <v>440</v>
      </c>
      <c r="M631" s="153">
        <f t="shared" si="90"/>
        <v>1.2037772965740914E-4</v>
      </c>
      <c r="O631" s="148"/>
      <c r="R631" s="12"/>
    </row>
    <row r="632" spans="1:18" s="51" customFormat="1" ht="13.5" customHeight="1" outlineLevel="1" x14ac:dyDescent="0.3">
      <c r="A632" s="290">
        <f t="shared" si="89"/>
        <v>0</v>
      </c>
      <c r="B632" s="49"/>
      <c r="C632" s="49"/>
      <c r="D632" s="140" t="s">
        <v>2504</v>
      </c>
      <c r="E632" s="49" t="str">
        <f>VLOOKUP(D632,'03. Insumos'!A:D,2,0)</f>
        <v>Guarda corpo escada, inclinado com botão</v>
      </c>
      <c r="F632" s="52" t="s">
        <v>2599</v>
      </c>
      <c r="G632" s="52" t="str">
        <f>VLOOKUP(D632,'03. Insumos'!A:F,3,0)</f>
        <v>m²</v>
      </c>
      <c r="H632" s="53">
        <v>1</v>
      </c>
      <c r="I632" s="141">
        <v>1</v>
      </c>
      <c r="J632" s="54">
        <f t="shared" si="91"/>
        <v>1578</v>
      </c>
      <c r="K632" s="54">
        <f>IF(A632=0,VLOOKUP(D632,'03. Insumos'!A:F,4,0),"")</f>
        <v>1578</v>
      </c>
      <c r="L632" s="274">
        <f t="shared" si="92"/>
        <v>1578</v>
      </c>
      <c r="M632" s="153">
        <f t="shared" si="90"/>
        <v>4.3171831227134457E-4</v>
      </c>
      <c r="O632" s="148"/>
      <c r="R632" s="12"/>
    </row>
    <row r="633" spans="1:18" s="51" customFormat="1" ht="13.5" customHeight="1" outlineLevel="1" x14ac:dyDescent="0.3">
      <c r="A633" s="290">
        <f t="shared" si="89"/>
        <v>0</v>
      </c>
      <c r="B633" s="49"/>
      <c r="C633" s="49"/>
      <c r="D633" s="140" t="s">
        <v>2505</v>
      </c>
      <c r="E633" s="49" t="str">
        <f>VLOOKUP(D633,'03. Insumos'!A:D,2,0)</f>
        <v>Guarda corpo varandas</v>
      </c>
      <c r="F633" s="52" t="s">
        <v>2599</v>
      </c>
      <c r="G633" s="52" t="str">
        <f>VLOOKUP(D633,'03. Insumos'!A:F,3,0)</f>
        <v>m²</v>
      </c>
      <c r="H633" s="53">
        <v>1</v>
      </c>
      <c r="I633" s="141">
        <v>1</v>
      </c>
      <c r="J633" s="54">
        <f t="shared" si="91"/>
        <v>1086.3242009132423</v>
      </c>
      <c r="K633" s="54">
        <f>IF(A633=0,VLOOKUP(D633,'03. Insumos'!A:F,4,0),"")</f>
        <v>1086.3242009132423</v>
      </c>
      <c r="L633" s="274">
        <f t="shared" si="92"/>
        <v>1086.3242009132423</v>
      </c>
      <c r="M633" s="153">
        <f t="shared" si="90"/>
        <v>2.9720282040417113E-4</v>
      </c>
      <c r="O633" s="148"/>
      <c r="R633" s="12"/>
    </row>
    <row r="634" spans="1:18" s="51" customFormat="1" ht="13.5" customHeight="1" outlineLevel="1" x14ac:dyDescent="0.3">
      <c r="A634" s="290">
        <f t="shared" si="89"/>
        <v>0</v>
      </c>
      <c r="B634" s="49"/>
      <c r="C634" s="49"/>
      <c r="D634" s="140" t="s">
        <v>2506</v>
      </c>
      <c r="E634" s="49" t="str">
        <f>VLOOKUP(D634,'03. Insumos'!A:D,2,0)</f>
        <v>Caixa para ar condicionado</v>
      </c>
      <c r="F634" s="52" t="s">
        <v>2599</v>
      </c>
      <c r="G634" s="52" t="str">
        <f>VLOOKUP(D634,'03. Insumos'!A:F,3,0)</f>
        <v>vb</v>
      </c>
      <c r="H634" s="53">
        <v>1</v>
      </c>
      <c r="I634" s="141">
        <v>1</v>
      </c>
      <c r="J634" s="54">
        <f t="shared" si="91"/>
        <v>6696</v>
      </c>
      <c r="K634" s="54">
        <f>IF(A634=0,VLOOKUP(D634,'03. Insumos'!A:F,4,0),"")</f>
        <v>6696</v>
      </c>
      <c r="L634" s="274">
        <f t="shared" si="92"/>
        <v>6696</v>
      </c>
      <c r="M634" s="153">
        <f t="shared" si="90"/>
        <v>1.8319301767863898E-3</v>
      </c>
      <c r="O634" s="148"/>
      <c r="R634" s="12"/>
    </row>
    <row r="635" spans="1:18" s="51" customFormat="1" ht="13.5" hidden="1" customHeight="1" outlineLevel="1" x14ac:dyDescent="0.3">
      <c r="A635" s="290">
        <f t="shared" si="89"/>
        <v>6</v>
      </c>
      <c r="B635" s="49"/>
      <c r="C635" s="55" t="s">
        <v>366</v>
      </c>
      <c r="D635" s="55" t="s">
        <v>1951</v>
      </c>
      <c r="E635" s="49"/>
      <c r="F635" s="52"/>
      <c r="G635" s="52"/>
      <c r="H635" s="53"/>
      <c r="I635" s="141"/>
      <c r="J635" s="54"/>
      <c r="K635" s="54"/>
      <c r="L635" s="58">
        <f>SUM(L636:L637)</f>
        <v>0</v>
      </c>
      <c r="M635" s="153">
        <f t="shared" si="90"/>
        <v>0</v>
      </c>
      <c r="O635" s="148"/>
      <c r="R635" s="12"/>
    </row>
    <row r="636" spans="1:18" s="51" customFormat="1" ht="13.5" hidden="1" customHeight="1" outlineLevel="1" x14ac:dyDescent="0.3">
      <c r="A636" s="290">
        <f t="shared" si="89"/>
        <v>0</v>
      </c>
      <c r="B636" s="49"/>
      <c r="C636" s="49"/>
      <c r="D636" s="140" t="s">
        <v>1953</v>
      </c>
      <c r="E636" s="49" t="str">
        <f>VLOOKUP(D636,'03. Insumos'!A:D,2,0)</f>
        <v xml:space="preserve">Material - Jardineira - caixa metálica </v>
      </c>
      <c r="F636" s="52"/>
      <c r="G636" s="52" t="str">
        <f>VLOOKUP(D636,'03. Insumos'!A:F,3,0)</f>
        <v>unid</v>
      </c>
      <c r="H636" s="53">
        <v>1</v>
      </c>
      <c r="I636" s="141"/>
      <c r="J636" s="54">
        <f>IFERROR(IF(K636&lt;&gt;0,K636*$K$5,0),0)</f>
        <v>1490</v>
      </c>
      <c r="K636" s="54">
        <f>IF(A636=0,VLOOKUP(D636,'03. Insumos'!A:F,4,0),"")</f>
        <v>1490</v>
      </c>
      <c r="L636" s="274">
        <f>H636*J636*I636</f>
        <v>0</v>
      </c>
      <c r="M636" s="153">
        <f t="shared" si="90"/>
        <v>0</v>
      </c>
      <c r="O636" s="148"/>
      <c r="R636" s="12"/>
    </row>
    <row r="637" spans="1:18" s="51" customFormat="1" ht="13.5" hidden="1" customHeight="1" outlineLevel="1" x14ac:dyDescent="0.3">
      <c r="A637" s="290">
        <f t="shared" si="89"/>
        <v>0</v>
      </c>
      <c r="B637" s="49"/>
      <c r="C637" s="49"/>
      <c r="D637" s="140" t="s">
        <v>1956</v>
      </c>
      <c r="E637" s="49" t="str">
        <f>VLOOKUP(D637,'03. Insumos'!A:D,2,0)</f>
        <v xml:space="preserve">Mão de obra - Jardineira - caixa metálica </v>
      </c>
      <c r="F637" s="52"/>
      <c r="G637" s="52" t="str">
        <f>VLOOKUP(D637,'03. Insumos'!A:F,3,0)</f>
        <v>unid</v>
      </c>
      <c r="H637" s="53">
        <v>1</v>
      </c>
      <c r="I637" s="141"/>
      <c r="J637" s="54">
        <f>IFERROR(IF(K637&lt;&gt;0,K637*$K$5,0),0)</f>
        <v>300</v>
      </c>
      <c r="K637" s="54">
        <f>IF(A637=0,VLOOKUP(D637,'03. Insumos'!A:F,4,0),"")</f>
        <v>300</v>
      </c>
      <c r="L637" s="274">
        <f>H637*J637*I637</f>
        <v>0</v>
      </c>
      <c r="M637" s="153">
        <f t="shared" si="90"/>
        <v>0</v>
      </c>
      <c r="O637" s="148"/>
      <c r="R637" s="12"/>
    </row>
    <row r="638" spans="1:18" s="59" customFormat="1" ht="13.5" hidden="1" customHeight="1" outlineLevel="1" x14ac:dyDescent="0.3">
      <c r="A638" s="290">
        <f t="shared" si="89"/>
        <v>6</v>
      </c>
      <c r="B638" s="55"/>
      <c r="C638" s="55" t="s">
        <v>366</v>
      </c>
      <c r="D638" s="55" t="s">
        <v>1612</v>
      </c>
      <c r="E638" s="55"/>
      <c r="F638" s="56"/>
      <c r="G638" s="56"/>
      <c r="H638" s="57"/>
      <c r="I638" s="57"/>
      <c r="J638" s="58"/>
      <c r="K638" s="58" t="str">
        <f>IF(A638=0,VLOOKUP(D638,'03. Insumos'!A:F,4,0),"")</f>
        <v/>
      </c>
      <c r="L638" s="58">
        <f>SUM(L639:L642)</f>
        <v>0</v>
      </c>
      <c r="M638" s="153">
        <f t="shared" si="90"/>
        <v>0</v>
      </c>
      <c r="O638" s="148">
        <f>IF(I638&lt;&gt;0,I638*H638*K638,)</f>
        <v>0</v>
      </c>
      <c r="R638" s="12">
        <f>IF(J638&lt;&gt;0,J638/1.03-K638,0)</f>
        <v>0</v>
      </c>
    </row>
    <row r="639" spans="1:18" s="51" customFormat="1" ht="13.5" hidden="1" customHeight="1" outlineLevel="1" x14ac:dyDescent="0.3">
      <c r="A639" s="290">
        <f t="shared" si="89"/>
        <v>0</v>
      </c>
      <c r="B639" s="49"/>
      <c r="C639" s="49"/>
      <c r="D639" s="140" t="s">
        <v>2158</v>
      </c>
      <c r="E639" s="49" t="str">
        <f>VLOOKUP(D639,'03. Insumos'!A:D,2,0)</f>
        <v>Execução de pergolado</v>
      </c>
      <c r="F639" s="52"/>
      <c r="G639" s="52" t="str">
        <f>VLOOKUP(D639,'03. Insumos'!A:F,3,0)</f>
        <v>vb</v>
      </c>
      <c r="H639" s="53">
        <v>1</v>
      </c>
      <c r="I639" s="141"/>
      <c r="J639" s="54">
        <f>IFERROR(IF(K639&lt;&gt;0,K639*$K$5,0),0)</f>
        <v>7670</v>
      </c>
      <c r="K639" s="54">
        <f>IF(A639=0,VLOOKUP(D639,'03. Insumos'!A:F,4,0),"")</f>
        <v>7670</v>
      </c>
      <c r="L639" s="274">
        <f>H639*J639*I639</f>
        <v>0</v>
      </c>
      <c r="M639" s="153">
        <f t="shared" si="90"/>
        <v>0</v>
      </c>
      <c r="O639" s="148">
        <f>IF(I639&lt;&gt;0,I639*H639*K639,)</f>
        <v>0</v>
      </c>
      <c r="R639" s="12">
        <f>IF(J639&lt;&gt;0,J639/1.03-K639,0)</f>
        <v>-223.39805825242729</v>
      </c>
    </row>
    <row r="640" spans="1:18" s="51" customFormat="1" ht="13.5" hidden="1" customHeight="1" outlineLevel="1" x14ac:dyDescent="0.3">
      <c r="A640" s="290">
        <f t="shared" si="89"/>
        <v>0</v>
      </c>
      <c r="B640" s="49"/>
      <c r="C640" s="49"/>
      <c r="D640" s="140" t="s">
        <v>1608</v>
      </c>
      <c r="E640" s="49" t="str">
        <f>VLOOKUP(D640,'03. Insumos'!A:D,2,0)</f>
        <v>Mão de obra - Execução pergolado varanda living</v>
      </c>
      <c r="F640" s="52"/>
      <c r="G640" s="52" t="str">
        <f>VLOOKUP(D640,'03. Insumos'!A:F,3,0)</f>
        <v>vb</v>
      </c>
      <c r="H640" s="53">
        <v>1</v>
      </c>
      <c r="I640" s="141"/>
      <c r="J640" s="54">
        <f>IFERROR(IF(K640&lt;&gt;0,K640*$K$5,0),0)</f>
        <v>2300</v>
      </c>
      <c r="K640" s="54">
        <f>IF(A640=0,VLOOKUP(D640,'03. Insumos'!A:F,4,0),"")</f>
        <v>2300</v>
      </c>
      <c r="L640" s="274">
        <f>H640*J640*I640</f>
        <v>0</v>
      </c>
      <c r="M640" s="153">
        <f t="shared" si="90"/>
        <v>0</v>
      </c>
      <c r="O640" s="148">
        <f>IF(I640&lt;&gt;0,I640*H640*K640,)</f>
        <v>0</v>
      </c>
      <c r="R640" s="12"/>
    </row>
    <row r="641" spans="1:18" s="51" customFormat="1" ht="13.5" hidden="1" customHeight="1" outlineLevel="1" x14ac:dyDescent="0.3">
      <c r="A641" s="290">
        <f t="shared" si="89"/>
        <v>0</v>
      </c>
      <c r="B641" s="49"/>
      <c r="C641" s="49"/>
      <c r="D641" s="140" t="s">
        <v>1609</v>
      </c>
      <c r="E641" s="49" t="str">
        <f>VLOOKUP(D641,'03. Insumos'!A:D,2,0)</f>
        <v>Material - Execução pergolado varanda suíte 03</v>
      </c>
      <c r="F641" s="52"/>
      <c r="G641" s="52" t="str">
        <f>VLOOKUP(D641,'03. Insumos'!A:F,3,0)</f>
        <v>vb</v>
      </c>
      <c r="H641" s="53">
        <v>1</v>
      </c>
      <c r="I641" s="141"/>
      <c r="J641" s="54">
        <f>IFERROR(IF(K641&lt;&gt;0,K641*$K$5,0),0)</f>
        <v>5370</v>
      </c>
      <c r="K641" s="54">
        <f>IF(A641=0,VLOOKUP(D641,'03. Insumos'!A:F,4,0),"")</f>
        <v>5370</v>
      </c>
      <c r="L641" s="274">
        <f>H641*J641*I641</f>
        <v>0</v>
      </c>
      <c r="M641" s="153">
        <f t="shared" si="90"/>
        <v>0</v>
      </c>
      <c r="O641" s="148">
        <f>IF(I641&lt;&gt;0,I641*H641*K641,)</f>
        <v>0</v>
      </c>
      <c r="R641" s="12"/>
    </row>
    <row r="642" spans="1:18" s="51" customFormat="1" ht="13.5" hidden="1" customHeight="1" outlineLevel="1" x14ac:dyDescent="0.3">
      <c r="A642" s="290">
        <f t="shared" si="89"/>
        <v>0</v>
      </c>
      <c r="B642" s="49"/>
      <c r="C642" s="49"/>
      <c r="D642" s="140" t="s">
        <v>1610</v>
      </c>
      <c r="E642" s="49" t="str">
        <f>VLOOKUP(D642,'03. Insumos'!A:D,2,0)</f>
        <v>Mão de obra - Execução pergolado varanda suíte 03</v>
      </c>
      <c r="F642" s="52"/>
      <c r="G642" s="52" t="str">
        <f>VLOOKUP(D642,'03. Insumos'!A:F,3,0)</f>
        <v>vb</v>
      </c>
      <c r="H642" s="53">
        <v>1</v>
      </c>
      <c r="I642" s="141"/>
      <c r="J642" s="54">
        <f>IFERROR(IF(K642&lt;&gt;0,K642*$K$5,0),0)</f>
        <v>1300</v>
      </c>
      <c r="K642" s="54">
        <f>IF(A642=0,VLOOKUP(D642,'03. Insumos'!A:F,4,0),"")</f>
        <v>1300</v>
      </c>
      <c r="L642" s="274">
        <f>H642*J642*I642</f>
        <v>0</v>
      </c>
      <c r="M642" s="153">
        <f t="shared" si="90"/>
        <v>0</v>
      </c>
      <c r="O642" s="148">
        <f>IF(I642&lt;&gt;0,I642*H642*K642,)</f>
        <v>0</v>
      </c>
      <c r="R642" s="12"/>
    </row>
    <row r="643" spans="1:18" s="51" customFormat="1" ht="13.5" hidden="1" customHeight="1" outlineLevel="1" x14ac:dyDescent="0.3">
      <c r="A643" s="290">
        <f t="shared" si="89"/>
        <v>6</v>
      </c>
      <c r="B643" s="49"/>
      <c r="C643" s="55" t="s">
        <v>365</v>
      </c>
      <c r="D643" s="55" t="s">
        <v>1868</v>
      </c>
      <c r="E643" s="49"/>
      <c r="F643" s="52"/>
      <c r="G643" s="52"/>
      <c r="H643" s="53"/>
      <c r="I643" s="141"/>
      <c r="J643" s="54"/>
      <c r="K643" s="54"/>
      <c r="L643" s="58">
        <f>SUM(L644:L644)</f>
        <v>0</v>
      </c>
      <c r="M643" s="153">
        <f t="shared" si="90"/>
        <v>0</v>
      </c>
      <c r="O643" s="148"/>
      <c r="R643" s="12"/>
    </row>
    <row r="644" spans="1:18" s="51" customFormat="1" ht="13.5" hidden="1" customHeight="1" outlineLevel="1" x14ac:dyDescent="0.3">
      <c r="A644" s="290">
        <f t="shared" si="89"/>
        <v>0</v>
      </c>
      <c r="B644" s="49"/>
      <c r="C644" s="49"/>
      <c r="D644" s="140" t="s">
        <v>1870</v>
      </c>
      <c r="E644" s="49" t="str">
        <f>VLOOKUP(D644,'03. Insumos'!A:D,2,0)</f>
        <v>Blindex portas dos hidrantes</v>
      </c>
      <c r="F644" s="52"/>
      <c r="G644" s="52" t="str">
        <f>VLOOKUP(D644,'03. Insumos'!A:F,3,0)</f>
        <v>unid</v>
      </c>
      <c r="H644" s="53">
        <v>1</v>
      </c>
      <c r="I644" s="141"/>
      <c r="J644" s="54">
        <f>IFERROR(IF(K644&lt;&gt;0,K644*$K$5,0),0)</f>
        <v>0</v>
      </c>
      <c r="K644" s="54">
        <f>IF(A644=0,VLOOKUP(D644,'03. Insumos'!A:F,4,0),"")</f>
        <v>0</v>
      </c>
      <c r="L644" s="274">
        <f>H644*J644*I644</f>
        <v>0</v>
      </c>
      <c r="M644" s="153">
        <f t="shared" si="90"/>
        <v>0</v>
      </c>
      <c r="O644" s="148"/>
      <c r="R644" s="12"/>
    </row>
    <row r="645" spans="1:18" s="59" customFormat="1" ht="13.5" hidden="1" customHeight="1" outlineLevel="1" x14ac:dyDescent="0.3">
      <c r="A645" s="290">
        <f t="shared" si="89"/>
        <v>6</v>
      </c>
      <c r="B645" s="55"/>
      <c r="C645" s="55" t="s">
        <v>366</v>
      </c>
      <c r="D645" s="55" t="s">
        <v>1871</v>
      </c>
      <c r="E645" s="55"/>
      <c r="F645" s="56"/>
      <c r="G645" s="56"/>
      <c r="H645" s="57"/>
      <c r="I645" s="57"/>
      <c r="J645" s="58"/>
      <c r="K645" s="58" t="str">
        <f>IF(A645=0,VLOOKUP(D645,'03. Insumos'!A:F,4,0),"")</f>
        <v/>
      </c>
      <c r="L645" s="58">
        <f>SUM(L646:L647)</f>
        <v>0</v>
      </c>
      <c r="M645" s="153">
        <f t="shared" si="90"/>
        <v>0</v>
      </c>
      <c r="O645" s="148">
        <f>IF(I645&lt;&gt;0,I645*H645*K645,)</f>
        <v>0</v>
      </c>
      <c r="R645" s="12">
        <f>IF(J645&lt;&gt;0,J645/1.03-K645,0)</f>
        <v>0</v>
      </c>
    </row>
    <row r="646" spans="1:18" s="59" customFormat="1" ht="13.5" hidden="1" customHeight="1" outlineLevel="1" x14ac:dyDescent="0.3">
      <c r="A646" s="290">
        <f t="shared" si="89"/>
        <v>0</v>
      </c>
      <c r="B646" s="55"/>
      <c r="C646" s="55"/>
      <c r="D646" s="140" t="s">
        <v>1904</v>
      </c>
      <c r="E646" s="49" t="str">
        <f>VLOOKUP(D646,'03. Insumos'!A:D,2,0)</f>
        <v>Porta Corta Fogo 0,80 x 2,10</v>
      </c>
      <c r="F646" s="52"/>
      <c r="G646" s="52" t="str">
        <f>VLOOKUP(D646,'03. Insumos'!A:F,3,0)</f>
        <v>unid</v>
      </c>
      <c r="H646" s="53">
        <v>1</v>
      </c>
      <c r="I646" s="141"/>
      <c r="J646" s="54">
        <f>IFERROR(IF(K646&lt;&gt;0,K646*$K$5,0),0)</f>
        <v>650</v>
      </c>
      <c r="K646" s="54">
        <f>IF(A646=0,VLOOKUP(D646,'03. Insumos'!A:F,4,0),"")</f>
        <v>650</v>
      </c>
      <c r="L646" s="274">
        <f>H646*J646*I646</f>
        <v>0</v>
      </c>
      <c r="M646" s="153">
        <f t="shared" si="90"/>
        <v>0</v>
      </c>
      <c r="O646" s="148"/>
      <c r="R646" s="12"/>
    </row>
    <row r="647" spans="1:18" s="51" customFormat="1" ht="13.5" hidden="1" customHeight="1" outlineLevel="1" x14ac:dyDescent="0.3">
      <c r="A647" s="290">
        <f t="shared" si="89"/>
        <v>0</v>
      </c>
      <c r="B647" s="49"/>
      <c r="C647" s="49"/>
      <c r="D647" s="140" t="s">
        <v>1905</v>
      </c>
      <c r="E647" s="49" t="str">
        <f>VLOOKUP(D647,'03. Insumos'!A:D,2,0)</f>
        <v>Porta Corta Fogo 1,60 x 2,10</v>
      </c>
      <c r="F647" s="52"/>
      <c r="G647" s="52" t="str">
        <f>VLOOKUP(D647,'03. Insumos'!A:F,3,0)</f>
        <v>unid</v>
      </c>
      <c r="H647" s="53">
        <v>1</v>
      </c>
      <c r="I647" s="141"/>
      <c r="J647" s="54">
        <f>IFERROR(IF(K647&lt;&gt;0,K647*$K$5,0),0)</f>
        <v>1960</v>
      </c>
      <c r="K647" s="54">
        <f>IF(A647=0,VLOOKUP(D647,'03. Insumos'!A:F,4,0),"")</f>
        <v>1960</v>
      </c>
      <c r="L647" s="274">
        <f>H647*J647*I647</f>
        <v>0</v>
      </c>
      <c r="M647" s="153">
        <f t="shared" si="90"/>
        <v>0</v>
      </c>
      <c r="O647" s="148">
        <f>IF(I647&lt;&gt;0,I647*H647*K647,)</f>
        <v>0</v>
      </c>
      <c r="R647" s="12">
        <f>IF(J647&lt;&gt;0,J647/1.03-K647,0)</f>
        <v>-57.087378640776706</v>
      </c>
    </row>
    <row r="648" spans="1:18" s="59" customFormat="1" ht="13.5" hidden="1" customHeight="1" outlineLevel="1" x14ac:dyDescent="0.3">
      <c r="A648" s="290">
        <f t="shared" si="89"/>
        <v>6</v>
      </c>
      <c r="B648" s="55"/>
      <c r="C648" s="55" t="s">
        <v>952</v>
      </c>
      <c r="D648" s="55" t="s">
        <v>1366</v>
      </c>
      <c r="E648" s="55"/>
      <c r="F648" s="56"/>
      <c r="G648" s="56" t="s">
        <v>73</v>
      </c>
      <c r="H648" s="57"/>
      <c r="I648" s="57"/>
      <c r="J648" s="58"/>
      <c r="K648" s="58" t="str">
        <f>IF(A648=0,VLOOKUP(D648,'03. Insumos'!A:F,4,0),"")</f>
        <v/>
      </c>
      <c r="L648" s="58">
        <f>SUM(L649:L649)</f>
        <v>0</v>
      </c>
      <c r="M648" s="153">
        <f t="shared" si="90"/>
        <v>0</v>
      </c>
      <c r="O648" s="148">
        <f>IF(I648&lt;&gt;0,I648*H648*K648,)</f>
        <v>0</v>
      </c>
      <c r="R648" s="12">
        <f>IF(J648&lt;&gt;0,J648/1.03-K648,0)</f>
        <v>0</v>
      </c>
    </row>
    <row r="649" spans="1:18" s="51" customFormat="1" ht="13.5" hidden="1" customHeight="1" outlineLevel="1" x14ac:dyDescent="0.3">
      <c r="A649" s="290">
        <f t="shared" si="89"/>
        <v>0</v>
      </c>
      <c r="B649" s="49"/>
      <c r="C649" s="49"/>
      <c r="D649" s="140" t="s">
        <v>696</v>
      </c>
      <c r="E649" s="49" t="str">
        <f>VLOOKUP(D649,'03. Insumos'!A:D,2,0)</f>
        <v>Divisórias Tipo Escritório - Policarbonato Alveolar Translúcido</v>
      </c>
      <c r="F649" s="52"/>
      <c r="G649" s="52" t="str">
        <f>VLOOKUP(D649,'03. Insumos'!A:F,3,0)</f>
        <v>m²</v>
      </c>
      <c r="H649" s="53">
        <v>1</v>
      </c>
      <c r="I649" s="141"/>
      <c r="J649" s="54">
        <f>IFERROR(IF(K649&lt;&gt;0,K649*$K$5,0),0)</f>
        <v>324</v>
      </c>
      <c r="K649" s="54">
        <f>IF(A649=0,VLOOKUP(D649,'03. Insumos'!A:F,4,0),"")</f>
        <v>324</v>
      </c>
      <c r="L649" s="274">
        <f>H649*J649*I649</f>
        <v>0</v>
      </c>
      <c r="M649" s="153">
        <f t="shared" si="90"/>
        <v>0</v>
      </c>
      <c r="O649" s="148">
        <f>IF(I649&lt;&gt;0,I649*H649*K649,)</f>
        <v>0</v>
      </c>
      <c r="R649" s="12">
        <f>IF(J649&lt;&gt;0,J649/1.03-K649,0)</f>
        <v>-9.4368932038835283</v>
      </c>
    </row>
    <row r="650" spans="1:18" s="51" customFormat="1" ht="13.5" hidden="1" customHeight="1" outlineLevel="1" x14ac:dyDescent="0.3">
      <c r="A650" s="290">
        <f t="shared" si="89"/>
        <v>6</v>
      </c>
      <c r="B650" s="49"/>
      <c r="C650" s="55" t="s">
        <v>1333</v>
      </c>
      <c r="D650" s="55" t="s">
        <v>2159</v>
      </c>
      <c r="E650" s="49"/>
      <c r="F650" s="52"/>
      <c r="G650" s="52"/>
      <c r="H650" s="53"/>
      <c r="I650" s="141"/>
      <c r="J650" s="54"/>
      <c r="K650" s="54"/>
      <c r="L650" s="58">
        <f>SUM(L651:L654)</f>
        <v>0</v>
      </c>
      <c r="M650" s="153">
        <f t="shared" si="90"/>
        <v>0</v>
      </c>
      <c r="O650" s="148"/>
      <c r="R650" s="12"/>
    </row>
    <row r="651" spans="1:18" s="51" customFormat="1" ht="13.5" hidden="1" customHeight="1" outlineLevel="1" x14ac:dyDescent="0.3">
      <c r="A651" s="290">
        <f t="shared" si="89"/>
        <v>0</v>
      </c>
      <c r="B651" s="49"/>
      <c r="C651" s="49"/>
      <c r="D651" s="140" t="s">
        <v>2250</v>
      </c>
      <c r="E651" s="49" t="str">
        <f>VLOOKUP(D651,'03. Insumos'!A:D,2,0)</f>
        <v>Fornecimento e instalação Kit porta pronta</v>
      </c>
      <c r="F651" s="52"/>
      <c r="G651" s="52" t="str">
        <f>VLOOKUP(D651,'03. Insumos'!A:F,3,0)</f>
        <v>unid</v>
      </c>
      <c r="H651" s="53">
        <v>1</v>
      </c>
      <c r="I651" s="141"/>
      <c r="J651" s="54">
        <f>IFERROR(IF(K651&lt;&gt;0,K651*$K$5,0),0)</f>
        <v>470</v>
      </c>
      <c r="K651" s="54">
        <f>IF(A651=0,VLOOKUP(D651,'03. Insumos'!A:F,4,0),"")</f>
        <v>470</v>
      </c>
      <c r="L651" s="274">
        <f>H651*J651*I651</f>
        <v>0</v>
      </c>
      <c r="M651" s="153">
        <f t="shared" si="90"/>
        <v>0</v>
      </c>
      <c r="O651" s="148"/>
      <c r="R651" s="12"/>
    </row>
    <row r="652" spans="1:18" s="51" customFormat="1" ht="13.5" hidden="1" customHeight="1" outlineLevel="1" x14ac:dyDescent="0.3">
      <c r="A652" s="290">
        <f t="shared" si="89"/>
        <v>0</v>
      </c>
      <c r="B652" s="49"/>
      <c r="C652" s="49"/>
      <c r="D652" s="140" t="s">
        <v>2166</v>
      </c>
      <c r="E652" s="49" t="str">
        <f>VLOOKUP(D652,'03. Insumos'!A:D,2,0)</f>
        <v>Fornecimento e instalação da porta de correr com 3 folhas da cozinha</v>
      </c>
      <c r="F652" s="52"/>
      <c r="G652" s="52" t="str">
        <f>VLOOKUP(D652,'03. Insumos'!A:F,3,0)</f>
        <v>unid</v>
      </c>
      <c r="H652" s="53">
        <v>1</v>
      </c>
      <c r="I652" s="141"/>
      <c r="J652" s="54">
        <f>IFERROR(IF(K652&lt;&gt;0,K652*$K$5,0),0)</f>
        <v>2480</v>
      </c>
      <c r="K652" s="54">
        <f>IF(A652=0,VLOOKUP(D652,'03. Insumos'!A:F,4,0),"")</f>
        <v>2480</v>
      </c>
      <c r="L652" s="274">
        <f>H652*J652*I652</f>
        <v>0</v>
      </c>
      <c r="M652" s="153">
        <f t="shared" si="90"/>
        <v>0</v>
      </c>
      <c r="O652" s="148"/>
      <c r="R652" s="12"/>
    </row>
    <row r="653" spans="1:18" s="51" customFormat="1" ht="13.5" hidden="1" customHeight="1" outlineLevel="1" x14ac:dyDescent="0.3">
      <c r="A653" s="290">
        <f t="shared" si="89"/>
        <v>0</v>
      </c>
      <c r="B653" s="49"/>
      <c r="C653" s="49"/>
      <c r="D653" s="140" t="s">
        <v>2167</v>
      </c>
      <c r="E653" s="49" t="str">
        <f>VLOOKUP(D653,'03. Insumos'!A:D,2,0)</f>
        <v>Fornecimento e instalação da porta de correr da área de serviço</v>
      </c>
      <c r="F653" s="52"/>
      <c r="G653" s="52" t="str">
        <f>VLOOKUP(D653,'03. Insumos'!A:F,3,0)</f>
        <v>unid</v>
      </c>
      <c r="H653" s="53">
        <v>1</v>
      </c>
      <c r="I653" s="141"/>
      <c r="J653" s="54">
        <f>IFERROR(IF(K653&lt;&gt;0,K653*$K$5,0),0)</f>
        <v>1240</v>
      </c>
      <c r="K653" s="54">
        <f>IF(A653=0,VLOOKUP(D653,'03. Insumos'!A:F,4,0),"")</f>
        <v>1240</v>
      </c>
      <c r="L653" s="274">
        <f>H653*J653*I653</f>
        <v>0</v>
      </c>
      <c r="M653" s="153">
        <f t="shared" si="90"/>
        <v>0</v>
      </c>
      <c r="O653" s="148"/>
      <c r="R653" s="12"/>
    </row>
    <row r="654" spans="1:18" s="51" customFormat="1" ht="13.5" hidden="1" customHeight="1" outlineLevel="1" x14ac:dyDescent="0.3">
      <c r="A654" s="290">
        <f t="shared" si="89"/>
        <v>0</v>
      </c>
      <c r="B654" s="49"/>
      <c r="C654" s="49"/>
      <c r="D654" s="140" t="s">
        <v>2168</v>
      </c>
      <c r="E654" s="49" t="str">
        <f>VLOOKUP(D654,'03. Insumos'!A:D,2,0)</f>
        <v>Remanejamento de portas</v>
      </c>
      <c r="F654" s="52"/>
      <c r="G654" s="52" t="str">
        <f>VLOOKUP(D654,'03. Insumos'!A:F,3,0)</f>
        <v>unid</v>
      </c>
      <c r="H654" s="53">
        <v>1</v>
      </c>
      <c r="I654" s="141"/>
      <c r="J654" s="54">
        <f>IFERROR(IF(K654&lt;&gt;0,K654*$K$5,0),0)</f>
        <v>248</v>
      </c>
      <c r="K654" s="54">
        <f>IF(A654=0,VLOOKUP(D654,'03. Insumos'!A:F,4,0),"")</f>
        <v>248</v>
      </c>
      <c r="L654" s="274">
        <f>H654*J654*I654</f>
        <v>0</v>
      </c>
      <c r="M654" s="153">
        <f t="shared" si="90"/>
        <v>0</v>
      </c>
      <c r="O654" s="148"/>
      <c r="R654" s="12"/>
    </row>
    <row r="655" spans="1:18" s="59" customFormat="1" ht="13.5" hidden="1" customHeight="1" outlineLevel="1" x14ac:dyDescent="0.3">
      <c r="A655" s="290">
        <f t="shared" si="89"/>
        <v>6</v>
      </c>
      <c r="B655" s="55"/>
      <c r="C655" s="55" t="s">
        <v>1339</v>
      </c>
      <c r="D655" s="55" t="s">
        <v>2136</v>
      </c>
      <c r="E655" s="55"/>
      <c r="F655" s="56"/>
      <c r="G655" s="56"/>
      <c r="H655" s="57"/>
      <c r="I655" s="57"/>
      <c r="J655" s="58"/>
      <c r="K655" s="58" t="str">
        <f>IF(A655=0,VLOOKUP(D655,'03. Insumos'!A:F,4,0),"")</f>
        <v/>
      </c>
      <c r="L655" s="58">
        <f>SUM(L656:L659)</f>
        <v>0</v>
      </c>
      <c r="M655" s="153">
        <f t="shared" si="90"/>
        <v>0</v>
      </c>
      <c r="O655" s="148">
        <f>IF(I655&lt;&gt;0,I655*H655*K655,)</f>
        <v>0</v>
      </c>
      <c r="R655" s="12">
        <f>IF(J655&lt;&gt;0,J655/1.03-K655,0)</f>
        <v>0</v>
      </c>
    </row>
    <row r="656" spans="1:18" s="51" customFormat="1" ht="13.5" hidden="1" customHeight="1" outlineLevel="1" x14ac:dyDescent="0.3">
      <c r="A656" s="290">
        <f t="shared" si="89"/>
        <v>0</v>
      </c>
      <c r="B656" s="49"/>
      <c r="C656" s="49"/>
      <c r="D656" s="140" t="s">
        <v>2142</v>
      </c>
      <c r="E656" s="49" t="str">
        <f>VLOOKUP(D656,'03. Insumos'!A:D,2,0)</f>
        <v>Porta de alumínio da varanda</v>
      </c>
      <c r="F656" s="52"/>
      <c r="G656" s="52" t="str">
        <f>VLOOKUP(D656,'03. Insumos'!A:F,3,0)</f>
        <v>vb</v>
      </c>
      <c r="H656" s="53">
        <v>1</v>
      </c>
      <c r="I656" s="141"/>
      <c r="J656" s="54">
        <f>IFERROR(IF(K656&lt;&gt;0,K656*$K$5,0),0)</f>
        <v>4038.2500000000005</v>
      </c>
      <c r="K656" s="54">
        <f>IF(A656=0,VLOOKUP(D656,'03. Insumos'!A:F,4,0),"")</f>
        <v>4038.2500000000005</v>
      </c>
      <c r="L656" s="274">
        <f>H656*J656*I656</f>
        <v>0</v>
      </c>
      <c r="M656" s="153">
        <f t="shared" si="90"/>
        <v>0</v>
      </c>
      <c r="O656" s="148">
        <f>IF(I656&lt;&gt;0,I656*H656*K656,)</f>
        <v>0</v>
      </c>
      <c r="R656" s="12">
        <f>IF(J656&lt;&gt;0,J656/1.03-K656,0)</f>
        <v>-117.61893203883528</v>
      </c>
    </row>
    <row r="657" spans="1:18" s="51" customFormat="1" ht="13.5" hidden="1" customHeight="1" outlineLevel="1" x14ac:dyDescent="0.3">
      <c r="A657" s="290">
        <f t="shared" si="89"/>
        <v>0</v>
      </c>
      <c r="B657" s="49"/>
      <c r="C657" s="49"/>
      <c r="D657" s="140" t="s">
        <v>2143</v>
      </c>
      <c r="E657" s="49" t="str">
        <f>VLOOKUP(D657,'03. Insumos'!A:D,2,0)</f>
        <v>Janela de alumínio da cozinha</v>
      </c>
      <c r="F657" s="52"/>
      <c r="G657" s="52" t="str">
        <f>VLOOKUP(D657,'03. Insumos'!A:F,3,0)</f>
        <v>vb</v>
      </c>
      <c r="H657" s="53">
        <v>1</v>
      </c>
      <c r="I657" s="141"/>
      <c r="J657" s="54">
        <f>IFERROR(IF(K657&lt;&gt;0,K657*$K$5,0),0)</f>
        <v>2366.48</v>
      </c>
      <c r="K657" s="54">
        <f>IF(A657=0,VLOOKUP(D657,'03. Insumos'!A:F,4,0),"")</f>
        <v>2366.48</v>
      </c>
      <c r="L657" s="274">
        <f>H657*J657*I657</f>
        <v>0</v>
      </c>
      <c r="M657" s="153">
        <f t="shared" si="90"/>
        <v>0</v>
      </c>
      <c r="O657" s="148"/>
      <c r="R657" s="12"/>
    </row>
    <row r="658" spans="1:18" s="51" customFormat="1" ht="13.5" hidden="1" customHeight="1" outlineLevel="1" x14ac:dyDescent="0.3">
      <c r="A658" s="290">
        <f t="shared" si="89"/>
        <v>0</v>
      </c>
      <c r="B658" s="49"/>
      <c r="C658" s="49"/>
      <c r="D658" s="140" t="s">
        <v>2144</v>
      </c>
      <c r="E658" s="49" t="str">
        <f>VLOOKUP(D658,'03. Insumos'!A:D,2,0)</f>
        <v>Janela de alumínio do quarto extra</v>
      </c>
      <c r="F658" s="52"/>
      <c r="G658" s="52" t="str">
        <f>VLOOKUP(D658,'03. Insumos'!A:F,3,0)</f>
        <v>vb</v>
      </c>
      <c r="H658" s="53">
        <v>1</v>
      </c>
      <c r="I658" s="141"/>
      <c r="J658" s="54">
        <f>IFERROR(IF(K658&lt;&gt;0,K658*$K$5,0),0)</f>
        <v>1379.45</v>
      </c>
      <c r="K658" s="54">
        <f>IF(A658=0,VLOOKUP(D658,'03. Insumos'!A:F,4,0),"")</f>
        <v>1379.45</v>
      </c>
      <c r="L658" s="274">
        <f>H658*J658*I658</f>
        <v>0</v>
      </c>
      <c r="M658" s="153">
        <f t="shared" si="90"/>
        <v>0</v>
      </c>
      <c r="O658" s="148"/>
      <c r="R658" s="12"/>
    </row>
    <row r="659" spans="1:18" s="51" customFormat="1" ht="13.5" hidden="1" customHeight="1" outlineLevel="1" x14ac:dyDescent="0.3">
      <c r="A659" s="290">
        <f t="shared" si="89"/>
        <v>0</v>
      </c>
      <c r="B659" s="49"/>
      <c r="C659" s="49"/>
      <c r="D659" s="140" t="s">
        <v>2145</v>
      </c>
      <c r="E659" s="49" t="str">
        <f>VLOOKUP(D659,'03. Insumos'!A:D,2,0)</f>
        <v>Retirada e recolocação das esquadrias existentes dos quartos</v>
      </c>
      <c r="F659" s="52"/>
      <c r="G659" s="52" t="str">
        <f>VLOOKUP(D659,'03. Insumos'!A:F,3,0)</f>
        <v>vb</v>
      </c>
      <c r="H659" s="53">
        <v>1</v>
      </c>
      <c r="I659" s="141"/>
      <c r="J659" s="54">
        <f>IFERROR(IF(K659&lt;&gt;0,K659*$K$5,0),0)</f>
        <v>1566</v>
      </c>
      <c r="K659" s="54">
        <f>IF(A659=0,VLOOKUP(D659,'03. Insumos'!A:F,4,0),"")</f>
        <v>1566</v>
      </c>
      <c r="L659" s="274">
        <f>H659*J659*I659</f>
        <v>0</v>
      </c>
      <c r="M659" s="153">
        <f t="shared" si="90"/>
        <v>0</v>
      </c>
      <c r="O659" s="148"/>
      <c r="R659" s="12"/>
    </row>
    <row r="660" spans="1:18" s="59" customFormat="1" ht="13.5" hidden="1" customHeight="1" outlineLevel="1" x14ac:dyDescent="0.3">
      <c r="A660" s="290">
        <f t="shared" si="89"/>
        <v>6</v>
      </c>
      <c r="B660" s="55"/>
      <c r="C660" s="55" t="s">
        <v>2160</v>
      </c>
      <c r="D660" s="55" t="s">
        <v>2146</v>
      </c>
      <c r="E660" s="55"/>
      <c r="F660" s="56"/>
      <c r="G660" s="56"/>
      <c r="H660" s="57"/>
      <c r="I660" s="57"/>
      <c r="J660" s="58"/>
      <c r="K660" s="58" t="str">
        <f>IF(A660=0,VLOOKUP(D660,'03. Insumos'!A:F,4,0),"")</f>
        <v/>
      </c>
      <c r="L660" s="58">
        <f>SUM(L661:L662)</f>
        <v>0</v>
      </c>
      <c r="M660" s="153">
        <f t="shared" si="90"/>
        <v>0</v>
      </c>
      <c r="O660" s="148">
        <f>IF(I660&lt;&gt;0,I660*H660*K660,)</f>
        <v>0</v>
      </c>
      <c r="R660" s="12">
        <f>IF(J660&lt;&gt;0,J660/1.03-K660,0)</f>
        <v>0</v>
      </c>
    </row>
    <row r="661" spans="1:18" s="59" customFormat="1" ht="13.5" hidden="1" customHeight="1" outlineLevel="1" x14ac:dyDescent="0.3">
      <c r="A661" s="290">
        <f t="shared" si="89"/>
        <v>0</v>
      </c>
      <c r="B661" s="55"/>
      <c r="C661" s="55"/>
      <c r="D661" s="140" t="s">
        <v>2149</v>
      </c>
      <c r="E661" s="49" t="str">
        <f>VLOOKUP(D661,'03. Insumos'!A:D,2,0)</f>
        <v>Espelhos 4 mm B. suíte, B. social e lavabo</v>
      </c>
      <c r="F661" s="52"/>
      <c r="G661" s="52" t="str">
        <f>VLOOKUP(D661,'03. Insumos'!A:F,3,0)</f>
        <v>vb</v>
      </c>
      <c r="H661" s="53">
        <v>1</v>
      </c>
      <c r="I661" s="141"/>
      <c r="J661" s="54">
        <f>IFERROR(IF(K661&lt;&gt;0,K661*$K$5,0),0)</f>
        <v>1364</v>
      </c>
      <c r="K661" s="54">
        <f>IF(A661=0,VLOOKUP(D661,'03. Insumos'!A:F,4,0),"")</f>
        <v>1364</v>
      </c>
      <c r="L661" s="274">
        <f>H661*J661*I661</f>
        <v>0</v>
      </c>
      <c r="M661" s="153">
        <f t="shared" si="90"/>
        <v>0</v>
      </c>
      <c r="O661" s="148"/>
      <c r="R661" s="12"/>
    </row>
    <row r="662" spans="1:18" s="51" customFormat="1" ht="13.5" hidden="1" customHeight="1" outlineLevel="1" x14ac:dyDescent="0.3">
      <c r="A662" s="290">
        <f t="shared" si="89"/>
        <v>0</v>
      </c>
      <c r="B662" s="49"/>
      <c r="C662" s="49"/>
      <c r="D662" s="140" t="s">
        <v>2150</v>
      </c>
      <c r="E662" s="49" t="str">
        <f>VLOOKUP(D662,'03. Insumos'!A:D,2,0)</f>
        <v>Box para B. suíte e B. social</v>
      </c>
      <c r="F662" s="52"/>
      <c r="G662" s="52" t="str">
        <f>VLOOKUP(D662,'03. Insumos'!A:F,3,0)</f>
        <v>vb</v>
      </c>
      <c r="H662" s="53">
        <v>1</v>
      </c>
      <c r="I662" s="141"/>
      <c r="J662" s="54">
        <f>IFERROR(IF(K662&lt;&gt;0,K662*$K$5,0),0)</f>
        <v>2268</v>
      </c>
      <c r="K662" s="54">
        <f>IF(A662=0,VLOOKUP(D662,'03. Insumos'!A:F,4,0),"")</f>
        <v>2268</v>
      </c>
      <c r="L662" s="274">
        <f>H662*J662*I662</f>
        <v>0</v>
      </c>
      <c r="M662" s="153">
        <f t="shared" si="90"/>
        <v>0</v>
      </c>
      <c r="O662" s="148">
        <f t="shared" ref="O662:O674" si="93">IF(I662&lt;&gt;0,I662*H662*K662,)</f>
        <v>0</v>
      </c>
      <c r="R662" s="12">
        <f t="shared" ref="R662:R674" si="94">IF(J662&lt;&gt;0,J662/1.03-K662,0)</f>
        <v>-66.05825242718447</v>
      </c>
    </row>
    <row r="663" spans="1:18" s="18" customFormat="1" x14ac:dyDescent="0.3">
      <c r="A663" s="290">
        <f t="shared" si="89"/>
        <v>3</v>
      </c>
      <c r="B663" s="35"/>
      <c r="C663" s="35" t="s">
        <v>328</v>
      </c>
      <c r="D663" s="35" t="s">
        <v>888</v>
      </c>
      <c r="E663" s="35"/>
      <c r="F663" s="36"/>
      <c r="G663" s="36"/>
      <c r="H663" s="37"/>
      <c r="I663" s="37"/>
      <c r="J663" s="38"/>
      <c r="K663" s="38"/>
      <c r="L663" s="38">
        <f>SUMIF(A664:A666,4,L664:L666)</f>
        <v>0</v>
      </c>
      <c r="M663" s="153">
        <f t="shared" si="90"/>
        <v>0</v>
      </c>
      <c r="O663" s="148">
        <f t="shared" si="93"/>
        <v>0</v>
      </c>
      <c r="R663" s="12">
        <f t="shared" si="94"/>
        <v>0</v>
      </c>
    </row>
    <row r="664" spans="1:18" s="18" customFormat="1" hidden="1" outlineLevel="1" x14ac:dyDescent="0.3">
      <c r="A664" s="290">
        <f t="shared" si="89"/>
        <v>4</v>
      </c>
      <c r="B664" s="45"/>
      <c r="C664" s="45" t="s">
        <v>329</v>
      </c>
      <c r="D664" s="45" t="s">
        <v>888</v>
      </c>
      <c r="E664" s="45"/>
      <c r="F664" s="60"/>
      <c r="G664" s="60"/>
      <c r="H664" s="61"/>
      <c r="I664" s="61"/>
      <c r="J664" s="62"/>
      <c r="K664" s="62" t="str">
        <f>IF(A664=0,VLOOKUP(D664,'03. Insumos'!A:F,4,0),"")</f>
        <v/>
      </c>
      <c r="L664" s="62">
        <f>SUMIF(A665:A666,6,L665:L666)</f>
        <v>0</v>
      </c>
      <c r="M664" s="153">
        <f t="shared" si="90"/>
        <v>0</v>
      </c>
      <c r="O664" s="148">
        <f t="shared" si="93"/>
        <v>0</v>
      </c>
      <c r="R664" s="12">
        <f t="shared" si="94"/>
        <v>0</v>
      </c>
    </row>
    <row r="665" spans="1:18" s="59" customFormat="1" hidden="1" outlineLevel="1" x14ac:dyDescent="0.3">
      <c r="A665" s="290">
        <f t="shared" si="89"/>
        <v>6</v>
      </c>
      <c r="B665" s="55"/>
      <c r="C665" s="55" t="s">
        <v>330</v>
      </c>
      <c r="D665" s="55" t="s">
        <v>2248</v>
      </c>
      <c r="E665" s="55"/>
      <c r="F665" s="56"/>
      <c r="G665" s="56"/>
      <c r="H665" s="57"/>
      <c r="I665" s="57"/>
      <c r="J665" s="58"/>
      <c r="K665" s="58" t="str">
        <f>IF(A665=0,VLOOKUP(D665,'03. Insumos'!A:F,4,0),"")</f>
        <v/>
      </c>
      <c r="L665" s="58">
        <f>SUM(L666:L666)</f>
        <v>0</v>
      </c>
      <c r="M665" s="153">
        <f t="shared" si="90"/>
        <v>0</v>
      </c>
      <c r="O665" s="148">
        <f t="shared" si="93"/>
        <v>0</v>
      </c>
      <c r="R665" s="12">
        <f t="shared" si="94"/>
        <v>0</v>
      </c>
    </row>
    <row r="666" spans="1:18" s="51" customFormat="1" hidden="1" outlineLevel="1" x14ac:dyDescent="0.3">
      <c r="A666" s="290">
        <f t="shared" si="89"/>
        <v>0</v>
      </c>
      <c r="B666" s="49"/>
      <c r="C666" s="49"/>
      <c r="D666" s="140" t="s">
        <v>2247</v>
      </c>
      <c r="E666" s="49" t="str">
        <f>VLOOKUP(D666,'03. Insumos'!A:D,2,0)</f>
        <v>Guarda corpo da escada</v>
      </c>
      <c r="F666" s="52"/>
      <c r="G666" s="52" t="str">
        <f>VLOOKUP(D666,'03. Insumos'!A:F,3,0)</f>
        <v>m</v>
      </c>
      <c r="H666" s="53">
        <v>1</v>
      </c>
      <c r="I666" s="141"/>
      <c r="J666" s="54">
        <f>IFERROR(IF(K666&lt;&gt;0,K666*$K$5,0),0)</f>
        <v>585</v>
      </c>
      <c r="K666" s="54">
        <f>IF(A666=0,VLOOKUP(D666,'03. Insumos'!A:F,4,0),"")</f>
        <v>585</v>
      </c>
      <c r="L666" s="274">
        <f>H666*J666*I666</f>
        <v>0</v>
      </c>
      <c r="M666" s="153">
        <f t="shared" si="90"/>
        <v>0</v>
      </c>
      <c r="O666" s="148">
        <f t="shared" si="93"/>
        <v>0</v>
      </c>
      <c r="R666" s="12">
        <f t="shared" si="94"/>
        <v>-17.038834951456352</v>
      </c>
    </row>
    <row r="667" spans="1:18" s="18" customFormat="1" collapsed="1" x14ac:dyDescent="0.3">
      <c r="A667" s="290">
        <f t="shared" si="89"/>
        <v>3</v>
      </c>
      <c r="B667" s="35"/>
      <c r="C667" s="35" t="s">
        <v>346</v>
      </c>
      <c r="D667" s="35" t="s">
        <v>337</v>
      </c>
      <c r="E667" s="35"/>
      <c r="F667" s="36"/>
      <c r="G667" s="36"/>
      <c r="H667" s="37"/>
      <c r="I667" s="37"/>
      <c r="J667" s="38"/>
      <c r="K667" s="38"/>
      <c r="L667" s="38">
        <f>SUMIF(A668:A670,4,L668:L670)</f>
        <v>0</v>
      </c>
      <c r="M667" s="153">
        <f t="shared" si="90"/>
        <v>0</v>
      </c>
      <c r="O667" s="148">
        <f t="shared" si="93"/>
        <v>0</v>
      </c>
      <c r="R667" s="12">
        <f t="shared" si="94"/>
        <v>0</v>
      </c>
    </row>
    <row r="668" spans="1:18" s="18" customFormat="1" hidden="1" outlineLevel="1" x14ac:dyDescent="0.3">
      <c r="A668" s="290">
        <f t="shared" si="89"/>
        <v>4</v>
      </c>
      <c r="B668" s="45"/>
      <c r="C668" s="45" t="s">
        <v>367</v>
      </c>
      <c r="D668" s="45" t="s">
        <v>349</v>
      </c>
      <c r="E668" s="45"/>
      <c r="F668" s="60"/>
      <c r="G668" s="60"/>
      <c r="H668" s="61"/>
      <c r="I668" s="61"/>
      <c r="J668" s="62"/>
      <c r="K668" s="62" t="str">
        <f>IF(A668=0,VLOOKUP(D668,'03. Insumos'!A:F,4,0),"")</f>
        <v/>
      </c>
      <c r="L668" s="62">
        <f>SUMIF(A669:A670,6,L669:L670)</f>
        <v>0</v>
      </c>
      <c r="M668" s="153">
        <f t="shared" si="90"/>
        <v>0</v>
      </c>
      <c r="O668" s="148">
        <f t="shared" si="93"/>
        <v>0</v>
      </c>
      <c r="R668" s="12">
        <f t="shared" si="94"/>
        <v>0</v>
      </c>
    </row>
    <row r="669" spans="1:18" s="59" customFormat="1" ht="13.5" hidden="1" customHeight="1" outlineLevel="1" x14ac:dyDescent="0.3">
      <c r="A669" s="290">
        <f t="shared" si="89"/>
        <v>6</v>
      </c>
      <c r="B669" s="55"/>
      <c r="C669" s="55" t="s">
        <v>368</v>
      </c>
      <c r="D669" s="55" t="s">
        <v>1351</v>
      </c>
      <c r="E669" s="55"/>
      <c r="F669" s="56"/>
      <c r="G669" s="56" t="s">
        <v>241</v>
      </c>
      <c r="H669" s="57">
        <v>1</v>
      </c>
      <c r="I669" s="57"/>
      <c r="J669" s="58"/>
      <c r="K669" s="58"/>
      <c r="L669" s="58">
        <f>SUM(L670:L670)</f>
        <v>0</v>
      </c>
      <c r="M669" s="153">
        <f t="shared" si="90"/>
        <v>0</v>
      </c>
      <c r="O669" s="148">
        <f t="shared" si="93"/>
        <v>0</v>
      </c>
      <c r="R669" s="12">
        <f t="shared" si="94"/>
        <v>0</v>
      </c>
    </row>
    <row r="670" spans="1:18" s="51" customFormat="1" ht="13.5" hidden="1" customHeight="1" outlineLevel="1" x14ac:dyDescent="0.3">
      <c r="A670" s="290">
        <f t="shared" si="89"/>
        <v>0</v>
      </c>
      <c r="B670" s="49"/>
      <c r="C670" s="49"/>
      <c r="D670" s="140" t="s">
        <v>698</v>
      </c>
      <c r="E670" s="49" t="str">
        <f>VLOOKUP(D670,'03. Insumos'!A:D,2,0)</f>
        <v xml:space="preserve">Elevador Plataforma de Acessibilidade </v>
      </c>
      <c r="F670" s="52"/>
      <c r="G670" s="52" t="str">
        <f>VLOOKUP(D670,'03. Insumos'!A:F,3,0)</f>
        <v>Unidade</v>
      </c>
      <c r="H670" s="53">
        <v>1</v>
      </c>
      <c r="I670" s="141"/>
      <c r="J670" s="54">
        <f>IFERROR(IF(K670&lt;&gt;0,K670*$K$5,0),0)</f>
        <v>51970</v>
      </c>
      <c r="K670" s="54">
        <f>IF(A670=0,VLOOKUP(D670,'03. Insumos'!A:F,4,0),"")</f>
        <v>51970</v>
      </c>
      <c r="L670" s="274">
        <f>H670*J670*I670</f>
        <v>0</v>
      </c>
      <c r="M670" s="153">
        <f t="shared" si="90"/>
        <v>0</v>
      </c>
      <c r="O670" s="148">
        <f t="shared" si="93"/>
        <v>0</v>
      </c>
      <c r="R670" s="12">
        <f t="shared" si="94"/>
        <v>-1513.6893203883519</v>
      </c>
    </row>
    <row r="671" spans="1:18" s="18" customFormat="1" ht="13.5" customHeight="1" collapsed="1" x14ac:dyDescent="0.3">
      <c r="A671" s="290">
        <f t="shared" si="89"/>
        <v>3</v>
      </c>
      <c r="B671" s="35"/>
      <c r="C671" s="35" t="s">
        <v>347</v>
      </c>
      <c r="D671" s="35" t="s">
        <v>85</v>
      </c>
      <c r="E671" s="35"/>
      <c r="F671" s="36"/>
      <c r="G671" s="36"/>
      <c r="H671" s="37"/>
      <c r="I671" s="37"/>
      <c r="J671" s="38"/>
      <c r="K671" s="38"/>
      <c r="L671" s="38">
        <f>SUMIF(A672:A683,4,L672:L683)</f>
        <v>47732.367499999993</v>
      </c>
      <c r="M671" s="153">
        <f t="shared" si="90"/>
        <v>1.3058895524597956E-2</v>
      </c>
      <c r="O671" s="148">
        <f t="shared" si="93"/>
        <v>0</v>
      </c>
      <c r="R671" s="12">
        <f t="shared" si="94"/>
        <v>0</v>
      </c>
    </row>
    <row r="672" spans="1:18" s="18" customFormat="1" ht="5.25" customHeight="1" x14ac:dyDescent="0.3">
      <c r="A672" s="290">
        <f t="shared" si="89"/>
        <v>0</v>
      </c>
      <c r="B672" s="63"/>
      <c r="C672" s="63"/>
      <c r="D672" s="63"/>
      <c r="E672" s="63"/>
      <c r="F672" s="64"/>
      <c r="G672" s="64"/>
      <c r="H672" s="65"/>
      <c r="I672" s="65"/>
      <c r="J672" s="66">
        <f>IFERROR(IF(K672&lt;&gt;0,K672*$K$5,0),0)</f>
        <v>0</v>
      </c>
      <c r="K672" s="66" t="e">
        <f>IF(A672=0,VLOOKUP(D672,'03. Insumos'!A:F,4,0),"")</f>
        <v>#N/A</v>
      </c>
      <c r="L672" s="66"/>
      <c r="M672" s="153">
        <f t="shared" si="90"/>
        <v>0</v>
      </c>
      <c r="O672" s="148">
        <f t="shared" si="93"/>
        <v>0</v>
      </c>
      <c r="R672" s="12">
        <f t="shared" si="94"/>
        <v>0</v>
      </c>
    </row>
    <row r="673" spans="1:18" s="18" customFormat="1" ht="13.5" customHeight="1" x14ac:dyDescent="0.3">
      <c r="A673" s="290">
        <f t="shared" si="89"/>
        <v>4</v>
      </c>
      <c r="B673" s="45"/>
      <c r="C673" s="45" t="s">
        <v>369</v>
      </c>
      <c r="D673" s="45" t="s">
        <v>276</v>
      </c>
      <c r="E673" s="45"/>
      <c r="F673" s="60"/>
      <c r="G673" s="60"/>
      <c r="H673" s="61"/>
      <c r="I673" s="61"/>
      <c r="J673" s="62"/>
      <c r="K673" s="62" t="str">
        <f>IF(A673=0,VLOOKUP(D673,'03. Insumos'!A:F,4,0),"")</f>
        <v/>
      </c>
      <c r="L673" s="62">
        <f>SUMIF(A674:A700,6,L674:L700)</f>
        <v>47732.367499999993</v>
      </c>
      <c r="M673" s="153">
        <f t="shared" si="90"/>
        <v>1.3058895524597956E-2</v>
      </c>
      <c r="O673" s="148">
        <f t="shared" si="93"/>
        <v>0</v>
      </c>
      <c r="R673" s="12">
        <f t="shared" si="94"/>
        <v>0</v>
      </c>
    </row>
    <row r="674" spans="1:18" s="59" customFormat="1" ht="13.5" customHeight="1" x14ac:dyDescent="0.3">
      <c r="A674" s="290">
        <f t="shared" si="89"/>
        <v>6</v>
      </c>
      <c r="B674" s="55"/>
      <c r="C674" s="55" t="s">
        <v>370</v>
      </c>
      <c r="D674" s="55" t="s">
        <v>2523</v>
      </c>
      <c r="E674" s="55"/>
      <c r="F674" s="56"/>
      <c r="G674" s="56" t="s">
        <v>73</v>
      </c>
      <c r="H674" s="57">
        <f>481.93+25</f>
        <v>506.93</v>
      </c>
      <c r="I674" s="57"/>
      <c r="J674" s="58"/>
      <c r="K674" s="58" t="str">
        <f>IF(A674=0,VLOOKUP(D674,'03. Insumos'!A:F,4,0),"")</f>
        <v/>
      </c>
      <c r="L674" s="58">
        <f>SUM(L675:L677)</f>
        <v>16475.224999999999</v>
      </c>
      <c r="M674" s="153">
        <f t="shared" si="90"/>
        <v>4.5073867752158823E-3</v>
      </c>
      <c r="O674" s="148">
        <f t="shared" si="93"/>
        <v>0</v>
      </c>
      <c r="R674" s="12">
        <f t="shared" si="94"/>
        <v>0</v>
      </c>
    </row>
    <row r="675" spans="1:18" s="51" customFormat="1" ht="13.5" customHeight="1" x14ac:dyDescent="0.3">
      <c r="A675" s="290">
        <f t="shared" si="89"/>
        <v>0</v>
      </c>
      <c r="B675" s="49"/>
      <c r="C675" s="49"/>
      <c r="D675" s="140" t="s">
        <v>1961</v>
      </c>
      <c r="E675" s="49" t="str">
        <f>VLOOKUP(D675,'03. Insumos'!A:D,2,0)</f>
        <v>Mat - Pintura Acrílica Fosca Branco c/ Emassamento</v>
      </c>
      <c r="F675" s="52" t="s">
        <v>2607</v>
      </c>
      <c r="G675" s="52" t="str">
        <f>VLOOKUP(D675,'03. Insumos'!A:F,3,0)</f>
        <v>m²</v>
      </c>
      <c r="H675" s="53">
        <v>1</v>
      </c>
      <c r="I675" s="141">
        <f>H674</f>
        <v>506.93</v>
      </c>
      <c r="J675" s="54">
        <f>IFERROR(IF(K675&lt;&gt;0,K675*$K$5,0),0)</f>
        <v>19.5</v>
      </c>
      <c r="K675" s="54">
        <f>IF(A675=0,VLOOKUP(D675,'03. Insumos'!A:F,4,0),"")</f>
        <v>19.5</v>
      </c>
      <c r="L675" s="274">
        <f>H675*J675*I675</f>
        <v>9885.1350000000002</v>
      </c>
      <c r="M675" s="153">
        <f t="shared" si="90"/>
        <v>2.7044320651295299E-3</v>
      </c>
      <c r="O675" s="148"/>
      <c r="R675" s="12"/>
    </row>
    <row r="676" spans="1:18" s="51" customFormat="1" ht="13.5" customHeight="1" x14ac:dyDescent="0.3">
      <c r="A676" s="290">
        <f t="shared" si="89"/>
        <v>0</v>
      </c>
      <c r="B676" s="49"/>
      <c r="C676" s="49"/>
      <c r="D676" s="140" t="s">
        <v>2605</v>
      </c>
      <c r="E676" s="49" t="str">
        <f>VLOOKUP(D676,'03. Insumos'!A:D,2,0)</f>
        <v>Material - Pintura PVA com emassamento sobre paredes emboçadas</v>
      </c>
      <c r="F676" s="52" t="s">
        <v>2613</v>
      </c>
      <c r="G676" s="52" t="str">
        <f>VLOOKUP(D676,'03. Insumos'!A:F,3,0)</f>
        <v>m²</v>
      </c>
      <c r="H676" s="53">
        <v>1</v>
      </c>
      <c r="I676" s="141">
        <f>H674</f>
        <v>506.93</v>
      </c>
      <c r="J676" s="54">
        <f>IFERROR(IF(K676&lt;&gt;0,K676*$K$5,0),0)</f>
        <v>13</v>
      </c>
      <c r="K676" s="54">
        <f>IF(A676=0,VLOOKUP(D676,'03. Insumos'!A:F,4,0),"")</f>
        <v>13</v>
      </c>
      <c r="L676" s="274">
        <f>H676*J676*I676</f>
        <v>6590.09</v>
      </c>
      <c r="M676" s="153">
        <f t="shared" si="90"/>
        <v>1.8029547100863531E-3</v>
      </c>
      <c r="O676" s="148"/>
      <c r="R676" s="12"/>
    </row>
    <row r="677" spans="1:18" s="51" customFormat="1" ht="13.5" hidden="1" customHeight="1" x14ac:dyDescent="0.3">
      <c r="A677" s="290">
        <f t="shared" si="89"/>
        <v>0</v>
      </c>
      <c r="B677" s="49"/>
      <c r="C677" s="49"/>
      <c r="D677" s="140" t="s">
        <v>1854</v>
      </c>
      <c r="E677" s="49" t="str">
        <f>VLOOKUP(D677,'03. Insumos'!A:D,2,0)</f>
        <v>Material - Tinta Coral</v>
      </c>
      <c r="F677" s="52"/>
      <c r="G677" s="52" t="str">
        <f>VLOOKUP(D677,'03. Insumos'!A:F,3,0)</f>
        <v>Lata 18L</v>
      </c>
      <c r="H677" s="53">
        <v>1</v>
      </c>
      <c r="I677" s="141"/>
      <c r="J677" s="54">
        <f>IFERROR(IF(K677&lt;&gt;0,K677*$K$5,0),0)</f>
        <v>172.35</v>
      </c>
      <c r="K677" s="54">
        <f>IF(A677=0,VLOOKUP(D677,'03. Insumos'!A:F,4,0),"")</f>
        <v>172.35</v>
      </c>
      <c r="L677" s="274">
        <f>H677*J677*I677</f>
        <v>0</v>
      </c>
      <c r="M677" s="153">
        <f t="shared" si="90"/>
        <v>0</v>
      </c>
      <c r="O677" s="148"/>
      <c r="R677" s="12"/>
    </row>
    <row r="678" spans="1:18" s="51" customFormat="1" ht="13.5" customHeight="1" x14ac:dyDescent="0.3">
      <c r="A678" s="290">
        <f t="shared" si="89"/>
        <v>6</v>
      </c>
      <c r="B678" s="49"/>
      <c r="C678" s="55" t="s">
        <v>371</v>
      </c>
      <c r="D678" s="55" t="s">
        <v>2524</v>
      </c>
      <c r="E678" s="55"/>
      <c r="F678" s="56"/>
      <c r="G678" s="56" t="s">
        <v>73</v>
      </c>
      <c r="H678" s="57">
        <v>343.2</v>
      </c>
      <c r="I678" s="57"/>
      <c r="J678" s="58"/>
      <c r="K678" s="58" t="str">
        <f>IF(A678=0,VLOOKUP(D678,'03. Insumos'!A:F,4,0),"")</f>
        <v/>
      </c>
      <c r="L678" s="58">
        <f>SUM(L679:L682)</f>
        <v>10639.199999999999</v>
      </c>
      <c r="M678" s="153">
        <f t="shared" si="90"/>
        <v>2.9107335031161525E-3</v>
      </c>
      <c r="O678" s="148">
        <f>IF(I678&lt;&gt;0,I678*H678*K678,)</f>
        <v>0</v>
      </c>
      <c r="R678" s="12">
        <f>IF(J678&lt;&gt;0,J678/1.03-K678,0)</f>
        <v>0</v>
      </c>
    </row>
    <row r="679" spans="1:18" s="59" customFormat="1" ht="13.5" customHeight="1" x14ac:dyDescent="0.3">
      <c r="A679" s="290">
        <f t="shared" si="89"/>
        <v>0</v>
      </c>
      <c r="B679" s="55"/>
      <c r="C679" s="49"/>
      <c r="D679" s="140" t="s">
        <v>2525</v>
      </c>
      <c r="E679" s="49" t="str">
        <f>VLOOKUP(D679,'03. Insumos'!A:D,2,0)</f>
        <v>Mat - Pintura PVA Fosca Branca c/ emassamento</v>
      </c>
      <c r="F679" s="52" t="s">
        <v>2607</v>
      </c>
      <c r="G679" s="52" t="str">
        <f>VLOOKUP(D679,'03. Insumos'!A:F,3,0)</f>
        <v>m²</v>
      </c>
      <c r="H679" s="53">
        <v>1</v>
      </c>
      <c r="I679" s="141">
        <f>H678</f>
        <v>343.2</v>
      </c>
      <c r="J679" s="54">
        <f>IFERROR(IF(K679&lt;&gt;0,K679*$K$5,0),0)</f>
        <v>15.5</v>
      </c>
      <c r="K679" s="54">
        <f>IF(A679=0,VLOOKUP(D679,'03. Insumos'!A:F,4,0),"")</f>
        <v>15.5</v>
      </c>
      <c r="L679" s="274">
        <f>H679*J679*I679</f>
        <v>5319.5999999999995</v>
      </c>
      <c r="M679" s="153">
        <f t="shared" si="90"/>
        <v>1.4553667515580762E-3</v>
      </c>
      <c r="O679" s="148">
        <f>IF(I679&lt;&gt;0,I679*H679*K679,)</f>
        <v>5319.5999999999995</v>
      </c>
      <c r="R679" s="12">
        <f>IF(J679&lt;&gt;0,J679/1.03-K679,0)</f>
        <v>-0.45145631067961212</v>
      </c>
    </row>
    <row r="680" spans="1:18" s="59" customFormat="1" ht="13.5" customHeight="1" x14ac:dyDescent="0.3">
      <c r="A680" s="290">
        <f t="shared" si="89"/>
        <v>0</v>
      </c>
      <c r="B680" s="55"/>
      <c r="C680" s="49"/>
      <c r="D680" s="140" t="s">
        <v>2604</v>
      </c>
      <c r="E680" s="49" t="str">
        <f>VLOOKUP(D680,'03. Insumos'!A:D,2,0)</f>
        <v>MO - Pintura PVA Fosca Branca  c/ emassamento</v>
      </c>
      <c r="F680" s="52" t="s">
        <v>2613</v>
      </c>
      <c r="G680" s="52" t="str">
        <f>VLOOKUP(D680,'03. Insumos'!A:F,3,0)</f>
        <v>m²</v>
      </c>
      <c r="H680" s="53">
        <v>1</v>
      </c>
      <c r="I680" s="141">
        <f>H678</f>
        <v>343.2</v>
      </c>
      <c r="J680" s="54">
        <f>IFERROR(IF(K680&lt;&gt;0,K680*$K$5,0),0)</f>
        <v>15.5</v>
      </c>
      <c r="K680" s="54">
        <f>IF(A680=0,VLOOKUP(D680,'03. Insumos'!A:F,4,0),"")</f>
        <v>15.5</v>
      </c>
      <c r="L680" s="274">
        <f>H680*J680*I680</f>
        <v>5319.5999999999995</v>
      </c>
      <c r="M680" s="153">
        <f t="shared" si="90"/>
        <v>1.4553667515580762E-3</v>
      </c>
      <c r="O680" s="148"/>
      <c r="R680" s="12"/>
    </row>
    <row r="681" spans="1:18" s="59" customFormat="1" ht="13.5" hidden="1" customHeight="1" x14ac:dyDescent="0.3">
      <c r="A681" s="290">
        <f t="shared" si="89"/>
        <v>0</v>
      </c>
      <c r="B681" s="55"/>
      <c r="C681" s="49"/>
      <c r="D681" s="140" t="s">
        <v>841</v>
      </c>
      <c r="E681" s="49" t="str">
        <f>VLOOKUP(D681,'03. Insumos'!A:D,2,0)</f>
        <v>Massa corrida Nova massa</v>
      </c>
      <c r="F681" s="52"/>
      <c r="G681" s="52" t="str">
        <f>VLOOKUP(D681,'03. Insumos'!A:F,3,0)</f>
        <v>Barrica 21 Kg</v>
      </c>
      <c r="H681" s="53">
        <v>1</v>
      </c>
      <c r="I681" s="141"/>
      <c r="J681" s="54">
        <f>IFERROR(IF(K681&lt;&gt;0,K681*$K$5,0),0)</f>
        <v>88.96</v>
      </c>
      <c r="K681" s="54">
        <f>IF(A681=0,VLOOKUP(D681,'03. Insumos'!A:F,4,0),"")</f>
        <v>88.96</v>
      </c>
      <c r="L681" s="274">
        <f>H681*J681*I681</f>
        <v>0</v>
      </c>
      <c r="M681" s="153">
        <f t="shared" ref="M681:M744" si="95">L681/$L$7</f>
        <v>0</v>
      </c>
      <c r="O681" s="148"/>
      <c r="R681" s="12"/>
    </row>
    <row r="682" spans="1:18" s="59" customFormat="1" ht="13.5" hidden="1" customHeight="1" x14ac:dyDescent="0.3">
      <c r="A682" s="290">
        <f t="shared" si="89"/>
        <v>0</v>
      </c>
      <c r="B682" s="55"/>
      <c r="C682" s="49"/>
      <c r="D682" s="140" t="s">
        <v>1767</v>
      </c>
      <c r="E682" s="49" t="str">
        <f>VLOOKUP(D682,'03. Insumos'!A:D,2,0)</f>
        <v>Material  - Textura cor de elefante efeito mármore</v>
      </c>
      <c r="F682" s="52"/>
      <c r="G682" s="52" t="str">
        <f>VLOOKUP(D682,'03. Insumos'!A:F,3,0)</f>
        <v>Galão 2,8 L</v>
      </c>
      <c r="H682" s="53">
        <v>1</v>
      </c>
      <c r="I682" s="141"/>
      <c r="J682" s="54">
        <f>IFERROR(IF(K682&lt;&gt;0,K682*$K$5,0),0)</f>
        <v>113.87</v>
      </c>
      <c r="K682" s="54">
        <f>IF(A682=0,VLOOKUP(D682,'03. Insumos'!A:F,4,0),"")</f>
        <v>113.87</v>
      </c>
      <c r="L682" s="274">
        <f>H682*J682*I682</f>
        <v>0</v>
      </c>
      <c r="M682" s="153">
        <f t="shared" si="95"/>
        <v>0</v>
      </c>
      <c r="O682" s="148"/>
      <c r="R682" s="12"/>
    </row>
    <row r="683" spans="1:18" s="59" customFormat="1" ht="13.5" customHeight="1" x14ac:dyDescent="0.3">
      <c r="A683" s="290">
        <f t="shared" si="89"/>
        <v>6</v>
      </c>
      <c r="B683" s="55"/>
      <c r="C683" s="55" t="s">
        <v>1525</v>
      </c>
      <c r="D683" s="55" t="s">
        <v>2526</v>
      </c>
      <c r="E683" s="55"/>
      <c r="F683" s="56"/>
      <c r="G683" s="56" t="s">
        <v>73</v>
      </c>
      <c r="H683" s="57">
        <f>328.63+101.38</f>
        <v>430.01</v>
      </c>
      <c r="I683" s="57"/>
      <c r="J683" s="58"/>
      <c r="K683" s="58" t="str">
        <f>IF(A683=0,VLOOKUP(D683,'03. Insumos'!A:F,4,0),"")</f>
        <v/>
      </c>
      <c r="L683" s="58">
        <f>SUM(L684:L686)</f>
        <v>19027.942500000001</v>
      </c>
      <c r="M683" s="153">
        <f t="shared" si="95"/>
        <v>5.205773905003922E-3</v>
      </c>
      <c r="O683" s="148">
        <f>IF(I683&lt;&gt;0,I683*H683*K683,)</f>
        <v>0</v>
      </c>
      <c r="R683" s="12">
        <f>IF(J683&lt;&gt;0,J683/1.03-K683,0)</f>
        <v>0</v>
      </c>
    </row>
    <row r="684" spans="1:18" s="51" customFormat="1" ht="13.5" customHeight="1" x14ac:dyDescent="0.3">
      <c r="A684" s="290">
        <f t="shared" si="89"/>
        <v>0</v>
      </c>
      <c r="B684" s="49"/>
      <c r="C684" s="49"/>
      <c r="D684" s="140" t="s">
        <v>2527</v>
      </c>
      <c r="E684" s="49" t="str">
        <f>VLOOKUP(D684,'03. Insumos'!A:D,2,0)</f>
        <v xml:space="preserve">Mão de obra - Execução de pintura Grafiatto fachada </v>
      </c>
      <c r="F684" s="52" t="s">
        <v>2607</v>
      </c>
      <c r="G684" s="52" t="str">
        <f>VLOOKUP(D684,'03. Insumos'!A:F,3,0)</f>
        <v>m²</v>
      </c>
      <c r="H684" s="53">
        <v>1</v>
      </c>
      <c r="I684" s="141">
        <f>H683</f>
        <v>430.01</v>
      </c>
      <c r="J684" s="54">
        <f>IFERROR(IF(K684&lt;&gt;0,K684*$K$5,0),0)</f>
        <v>15.750000000000002</v>
      </c>
      <c r="K684" s="54">
        <f>IF(A684=0,VLOOKUP(D684,'03. Insumos'!A:F,4,0),"")</f>
        <v>15.750000000000002</v>
      </c>
      <c r="L684" s="274">
        <f>H684*J684*I684</f>
        <v>6772.6575000000003</v>
      </c>
      <c r="M684" s="153">
        <f t="shared" si="95"/>
        <v>1.8529025763573282E-3</v>
      </c>
      <c r="O684" s="148"/>
      <c r="R684" s="12"/>
    </row>
    <row r="685" spans="1:18" s="51" customFormat="1" ht="13.5" customHeight="1" x14ac:dyDescent="0.3">
      <c r="A685" s="290">
        <f t="shared" si="89"/>
        <v>0</v>
      </c>
      <c r="B685" s="49"/>
      <c r="C685" s="49"/>
      <c r="D685" s="140" t="s">
        <v>2602</v>
      </c>
      <c r="E685" s="49" t="str">
        <f>VLOOKUP(D685,'03. Insumos'!A:D,2,0)</f>
        <v xml:space="preserve">Mat - Execução de textura </v>
      </c>
      <c r="F685" s="52" t="s">
        <v>2613</v>
      </c>
      <c r="G685" s="52" t="str">
        <f>VLOOKUP(D685,'03. Insumos'!A:F,3,0)</f>
        <v>m²</v>
      </c>
      <c r="H685" s="53">
        <v>1</v>
      </c>
      <c r="I685" s="141">
        <f>H683</f>
        <v>430.01</v>
      </c>
      <c r="J685" s="54">
        <f>IFERROR(IF(K685&lt;&gt;0,K685*$K$5,0),0)</f>
        <v>28.5</v>
      </c>
      <c r="K685" s="54">
        <f>IF(A685=0,VLOOKUP(D685,'03. Insumos'!A:F,4,0),"")</f>
        <v>28.5</v>
      </c>
      <c r="L685" s="274">
        <f>H685*J685*I685</f>
        <v>12255.285</v>
      </c>
      <c r="M685" s="153">
        <f t="shared" si="95"/>
        <v>3.3528713286465938E-3</v>
      </c>
      <c r="O685" s="148"/>
      <c r="R685" s="12"/>
    </row>
    <row r="686" spans="1:18" s="51" customFormat="1" ht="13.5" hidden="1" customHeight="1" x14ac:dyDescent="0.3">
      <c r="A686" s="290">
        <f t="shared" si="89"/>
        <v>0</v>
      </c>
      <c r="B686" s="49"/>
      <c r="C686" s="49"/>
      <c r="D686" s="140" t="s">
        <v>1854</v>
      </c>
      <c r="E686" s="49" t="str">
        <f>VLOOKUP(D686,'03. Insumos'!A:D,2,0)</f>
        <v>Material - Tinta Coral</v>
      </c>
      <c r="F686" s="52"/>
      <c r="G686" s="52" t="str">
        <f>VLOOKUP(D686,'03. Insumos'!A:F,3,0)</f>
        <v>Lata 18L</v>
      </c>
      <c r="H686" s="53">
        <v>1</v>
      </c>
      <c r="I686" s="141"/>
      <c r="J686" s="54">
        <f>IFERROR(IF(K686&lt;&gt;0,K686*$K$5,0),0)</f>
        <v>172.35</v>
      </c>
      <c r="K686" s="54">
        <f>IF(A686=0,VLOOKUP(D686,'03. Insumos'!A:F,4,0),"")</f>
        <v>172.35</v>
      </c>
      <c r="L686" s="274">
        <f>H686*J686*I686</f>
        <v>0</v>
      </c>
      <c r="M686" s="153">
        <f t="shared" si="95"/>
        <v>0</v>
      </c>
      <c r="O686" s="148"/>
      <c r="R686" s="12"/>
    </row>
    <row r="687" spans="1:18" s="51" customFormat="1" ht="13.5" hidden="1" customHeight="1" x14ac:dyDescent="0.3">
      <c r="A687" s="290">
        <f t="shared" si="89"/>
        <v>6</v>
      </c>
      <c r="B687" s="49"/>
      <c r="C687" s="55" t="s">
        <v>372</v>
      </c>
      <c r="D687" s="55" t="s">
        <v>1771</v>
      </c>
      <c r="E687" s="49"/>
      <c r="F687" s="52"/>
      <c r="G687" s="56" t="s">
        <v>73</v>
      </c>
      <c r="H687" s="57"/>
      <c r="I687" s="141"/>
      <c r="J687" s="54"/>
      <c r="K687" s="54"/>
      <c r="L687" s="58">
        <f>SUM(L688:L691)</f>
        <v>0</v>
      </c>
      <c r="M687" s="153">
        <f t="shared" si="95"/>
        <v>0</v>
      </c>
      <c r="O687" s="148"/>
      <c r="R687" s="12"/>
    </row>
    <row r="688" spans="1:18" s="51" customFormat="1" ht="13.5" hidden="1" customHeight="1" x14ac:dyDescent="0.3">
      <c r="A688" s="290">
        <f t="shared" si="89"/>
        <v>0</v>
      </c>
      <c r="B688" s="49"/>
      <c r="C688" s="49"/>
      <c r="D688" s="140" t="s">
        <v>1770</v>
      </c>
      <c r="E688" s="49" t="str">
        <f>VLOOKUP(D688,'03. Insumos'!A:D,2,0)</f>
        <v>Mão de obra  - Textura Coverstone bege</v>
      </c>
      <c r="F688" s="52"/>
      <c r="G688" s="52" t="str">
        <f>VLOOKUP(D688,'03. Insumos'!A:F,3,0)</f>
        <v>m²</v>
      </c>
      <c r="H688" s="53">
        <v>1</v>
      </c>
      <c r="I688" s="141"/>
      <c r="J688" s="54">
        <f>IFERROR(IF(K688&lt;&gt;0,K688*$K$5,0),0)</f>
        <v>35</v>
      </c>
      <c r="K688" s="54">
        <f>IF(A688=0,VLOOKUP(D688,'03. Insumos'!A:F,4,0),"")</f>
        <v>35</v>
      </c>
      <c r="L688" s="274">
        <f>H688*J688*I688</f>
        <v>0</v>
      </c>
      <c r="M688" s="153">
        <f t="shared" si="95"/>
        <v>0</v>
      </c>
      <c r="O688" s="148"/>
      <c r="R688" s="12"/>
    </row>
    <row r="689" spans="1:18" s="51" customFormat="1" ht="13.5" hidden="1" customHeight="1" x14ac:dyDescent="0.3">
      <c r="A689" s="290">
        <f t="shared" si="89"/>
        <v>0</v>
      </c>
      <c r="B689" s="49"/>
      <c r="C689" s="49"/>
      <c r="D689" s="140" t="s">
        <v>840</v>
      </c>
      <c r="E689" s="49" t="str">
        <f>VLOOKUP(D689,'03. Insumos'!A:D,2,0)</f>
        <v>Seladora Suvinil</v>
      </c>
      <c r="F689" s="52"/>
      <c r="G689" s="52" t="str">
        <f>VLOOKUP(D689,'03. Insumos'!A:F,3,0)</f>
        <v>Lata 18 L</v>
      </c>
      <c r="H689" s="53">
        <v>1</v>
      </c>
      <c r="I689" s="141">
        <f>ROUND(H687/85,0)</f>
        <v>0</v>
      </c>
      <c r="J689" s="54">
        <f>IFERROR(IF(K689&lt;&gt;0,K689*$K$5,0),0)</f>
        <v>153.5</v>
      </c>
      <c r="K689" s="54">
        <f>IF(A689=0,VLOOKUP(D689,'03. Insumos'!A:F,4,0),"")</f>
        <v>153.5</v>
      </c>
      <c r="L689" s="274">
        <f>H689*J689*I689</f>
        <v>0</v>
      </c>
      <c r="M689" s="153">
        <f t="shared" si="95"/>
        <v>0</v>
      </c>
      <c r="O689" s="148"/>
      <c r="R689" s="12"/>
    </row>
    <row r="690" spans="1:18" s="51" customFormat="1" ht="13.5" hidden="1" customHeight="1" x14ac:dyDescent="0.3">
      <c r="A690" s="290">
        <f t="shared" si="89"/>
        <v>0</v>
      </c>
      <c r="B690" s="49"/>
      <c r="C690" s="49"/>
      <c r="D690" s="140" t="s">
        <v>841</v>
      </c>
      <c r="E690" s="49" t="str">
        <f>VLOOKUP(D690,'03. Insumos'!A:D,2,0)</f>
        <v>Massa corrida Nova massa</v>
      </c>
      <c r="F690" s="52"/>
      <c r="G690" s="52" t="str">
        <f>VLOOKUP(D690,'03. Insumos'!A:F,3,0)</f>
        <v>Barrica 21 Kg</v>
      </c>
      <c r="H690" s="53">
        <v>1</v>
      </c>
      <c r="I690" s="141">
        <f>ROUND(H687/25,0)</f>
        <v>0</v>
      </c>
      <c r="J690" s="54">
        <f>IFERROR(IF(K690&lt;&gt;0,K690*$K$5,0),0)</f>
        <v>88.96</v>
      </c>
      <c r="K690" s="54">
        <f>IF(A690=0,VLOOKUP(D690,'03. Insumos'!A:F,4,0),"")</f>
        <v>88.96</v>
      </c>
      <c r="L690" s="274">
        <f>H690*J690*I690</f>
        <v>0</v>
      </c>
      <c r="M690" s="153">
        <f t="shared" si="95"/>
        <v>0</v>
      </c>
      <c r="O690" s="148"/>
      <c r="R690" s="12"/>
    </row>
    <row r="691" spans="1:18" s="51" customFormat="1" ht="13.5" hidden="1" customHeight="1" x14ac:dyDescent="0.3">
      <c r="A691" s="290">
        <f t="shared" si="89"/>
        <v>0</v>
      </c>
      <c r="B691" s="49"/>
      <c r="C691" s="49"/>
      <c r="D691" s="140" t="s">
        <v>1769</v>
      </c>
      <c r="E691" s="49" t="str">
        <f>VLOOKUP(D691,'03. Insumos'!A:D,2,0)</f>
        <v>Material  - Textura Coverstone bege</v>
      </c>
      <c r="F691" s="52"/>
      <c r="G691" s="52" t="str">
        <f>VLOOKUP(D691,'03. Insumos'!A:F,3,0)</f>
        <v>m²</v>
      </c>
      <c r="H691" s="53">
        <v>1</v>
      </c>
      <c r="I691" s="141"/>
      <c r="J691" s="54">
        <f>IFERROR(IF(K691&lt;&gt;0,K691*$K$5,0),0)</f>
        <v>204</v>
      </c>
      <c r="K691" s="54">
        <f>IF(A691=0,VLOOKUP(D691,'03. Insumos'!A:F,4,0),"")</f>
        <v>204</v>
      </c>
      <c r="L691" s="274">
        <f>H691*J691*I691</f>
        <v>0</v>
      </c>
      <c r="M691" s="153">
        <f t="shared" si="95"/>
        <v>0</v>
      </c>
      <c r="O691" s="148"/>
      <c r="R691" s="12"/>
    </row>
    <row r="692" spans="1:18" s="51" customFormat="1" ht="13.5" hidden="1" customHeight="1" x14ac:dyDescent="0.3">
      <c r="A692" s="290">
        <f t="shared" si="89"/>
        <v>6</v>
      </c>
      <c r="B692" s="49"/>
      <c r="C692" s="55" t="s">
        <v>1527</v>
      </c>
      <c r="D692" s="55" t="s">
        <v>1526</v>
      </c>
      <c r="E692" s="49"/>
      <c r="F692" s="52"/>
      <c r="G692" s="56" t="s">
        <v>73</v>
      </c>
      <c r="H692" s="57"/>
      <c r="I692" s="141"/>
      <c r="J692" s="54"/>
      <c r="K692" s="54"/>
      <c r="L692" s="58">
        <f>SUM(L693:L695)</f>
        <v>0</v>
      </c>
      <c r="M692" s="153">
        <f t="shared" si="95"/>
        <v>0</v>
      </c>
      <c r="O692" s="148"/>
      <c r="R692" s="12"/>
    </row>
    <row r="693" spans="1:18" s="51" customFormat="1" ht="13.5" hidden="1" customHeight="1" x14ac:dyDescent="0.3">
      <c r="A693" s="290">
        <f t="shared" ref="A693:A763" si="96">LEN(C693)</f>
        <v>0</v>
      </c>
      <c r="B693" s="49"/>
      <c r="C693" s="49"/>
      <c r="D693" s="140" t="s">
        <v>836</v>
      </c>
      <c r="E693" s="49" t="str">
        <f>VLOOKUP(D693,'03. Insumos'!A:D,2,0)</f>
        <v xml:space="preserve">Mão de obra - Execução de textura </v>
      </c>
      <c r="F693" s="52"/>
      <c r="G693" s="52" t="str">
        <f>VLOOKUP(D693,'03. Insumos'!A:F,3,0)</f>
        <v>m²</v>
      </c>
      <c r="H693" s="53">
        <v>1</v>
      </c>
      <c r="I693" s="141">
        <f>H692</f>
        <v>0</v>
      </c>
      <c r="J693" s="54">
        <f>IFERROR(IF(K693&lt;&gt;0,K693*$K$5,0),0)</f>
        <v>35</v>
      </c>
      <c r="K693" s="54">
        <f>IF(A693=0,VLOOKUP(D693,'03. Insumos'!A:F,4,0),"")</f>
        <v>35</v>
      </c>
      <c r="L693" s="274">
        <f>H693*J693*I693</f>
        <v>0</v>
      </c>
      <c r="M693" s="153">
        <f t="shared" si="95"/>
        <v>0</v>
      </c>
      <c r="O693" s="148"/>
      <c r="R693" s="12"/>
    </row>
    <row r="694" spans="1:18" s="51" customFormat="1" ht="13.5" hidden="1" customHeight="1" x14ac:dyDescent="0.3">
      <c r="A694" s="290">
        <f t="shared" si="96"/>
        <v>0</v>
      </c>
      <c r="B694" s="49"/>
      <c r="C694" s="49"/>
      <c r="D694" s="140" t="s">
        <v>843</v>
      </c>
      <c r="E694" s="49" t="str">
        <f>VLOOKUP(D694,'03. Insumos'!A:D,2,0)</f>
        <v>Seladora para textura Ibratin</v>
      </c>
      <c r="F694" s="52"/>
      <c r="G694" s="52" t="str">
        <f>VLOOKUP(D694,'03. Insumos'!A:F,3,0)</f>
        <v>Pote 5,6 Kg</v>
      </c>
      <c r="H694" s="53">
        <v>1</v>
      </c>
      <c r="I694" s="141">
        <f>ROUND(H692/27,0)</f>
        <v>0</v>
      </c>
      <c r="J694" s="54">
        <f>IFERROR(IF(K694&lt;&gt;0,K694*$K$5,0),0)</f>
        <v>46.9</v>
      </c>
      <c r="K694" s="54">
        <f>IF(A694=0,VLOOKUP(D694,'03. Insumos'!A:F,4,0),"")</f>
        <v>46.9</v>
      </c>
      <c r="L694" s="274">
        <f>H694*J694*I694</f>
        <v>0</v>
      </c>
      <c r="M694" s="153">
        <f t="shared" si="95"/>
        <v>0</v>
      </c>
      <c r="O694" s="148"/>
      <c r="R694" s="12"/>
    </row>
    <row r="695" spans="1:18" s="51" customFormat="1" ht="13.5" hidden="1" customHeight="1" x14ac:dyDescent="0.3">
      <c r="A695" s="290">
        <f t="shared" si="96"/>
        <v>0</v>
      </c>
      <c r="B695" s="49"/>
      <c r="C695" s="49"/>
      <c r="D695" s="140" t="s">
        <v>844</v>
      </c>
      <c r="E695" s="49" t="str">
        <f>VLOOKUP(D695,'03. Insumos'!A:D,2,0)</f>
        <v>Textura Ibratin</v>
      </c>
      <c r="F695" s="52"/>
      <c r="G695" s="52" t="str">
        <f>VLOOKUP(D695,'03. Insumos'!A:F,3,0)</f>
        <v>Pote 5,6 Kg</v>
      </c>
      <c r="H695" s="53">
        <v>1</v>
      </c>
      <c r="I695" s="141">
        <f>ROUND(H692/8,0)</f>
        <v>0</v>
      </c>
      <c r="J695" s="54">
        <f>IFERROR(IF(K695&lt;&gt;0,K695*$K$5,0),0)</f>
        <v>199</v>
      </c>
      <c r="K695" s="54">
        <f>IF(A695=0,VLOOKUP(D695,'03. Insumos'!A:F,4,0),"")</f>
        <v>199</v>
      </c>
      <c r="L695" s="274">
        <f>H695*J695*I695</f>
        <v>0</v>
      </c>
      <c r="M695" s="153">
        <f t="shared" si="95"/>
        <v>0</v>
      </c>
      <c r="O695" s="148"/>
      <c r="R695" s="12"/>
    </row>
    <row r="696" spans="1:18" s="51" customFormat="1" ht="13.5" customHeight="1" x14ac:dyDescent="0.3">
      <c r="A696" s="290">
        <f t="shared" si="96"/>
        <v>6</v>
      </c>
      <c r="B696" s="49"/>
      <c r="C696" s="55" t="s">
        <v>1529</v>
      </c>
      <c r="D696" s="55" t="s">
        <v>1528</v>
      </c>
      <c r="E696" s="49"/>
      <c r="F696" s="52"/>
      <c r="G696" s="56" t="s">
        <v>1376</v>
      </c>
      <c r="H696" s="57">
        <v>15</v>
      </c>
      <c r="I696" s="141"/>
      <c r="J696" s="54"/>
      <c r="K696" s="54"/>
      <c r="L696" s="58">
        <f>SUM(L697:L700)</f>
        <v>1590</v>
      </c>
      <c r="M696" s="153">
        <f t="shared" si="95"/>
        <v>4.3500134126200121E-4</v>
      </c>
      <c r="O696" s="148"/>
      <c r="R696" s="12"/>
    </row>
    <row r="697" spans="1:18" s="51" customFormat="1" ht="13.5" customHeight="1" x14ac:dyDescent="0.3">
      <c r="A697" s="290">
        <f t="shared" si="96"/>
        <v>0</v>
      </c>
      <c r="B697" s="49"/>
      <c r="C697" s="55"/>
      <c r="D697" s="140" t="s">
        <v>2601</v>
      </c>
      <c r="E697" s="49" t="str">
        <f>VLOOKUP(D697,'03. Insumos'!A:D,2,0)</f>
        <v>Material - Execução de pintura esmalte sobre esquadrias de madeira</v>
      </c>
      <c r="F697" s="52" t="s">
        <v>2613</v>
      </c>
      <c r="G697" s="52" t="str">
        <f>VLOOKUP(D697,'03. Insumos'!A:F,3,0)</f>
        <v>Unid</v>
      </c>
      <c r="H697" s="53">
        <v>1</v>
      </c>
      <c r="I697" s="141">
        <f>H696</f>
        <v>15</v>
      </c>
      <c r="J697" s="54">
        <f>IFERROR(IF(K697&lt;&gt;0,K697*$K$5,0),0)</f>
        <v>53</v>
      </c>
      <c r="K697" s="54">
        <f>IF(A697=0,VLOOKUP(D697,'03. Insumos'!A:F,4,0),"")</f>
        <v>53</v>
      </c>
      <c r="L697" s="274">
        <f>H697*J697*I697</f>
        <v>795</v>
      </c>
      <c r="M697" s="153">
        <f t="shared" si="95"/>
        <v>2.175006706310006E-4</v>
      </c>
      <c r="O697" s="148"/>
      <c r="R697" s="12"/>
    </row>
    <row r="698" spans="1:18" s="51" customFormat="1" ht="13.5" customHeight="1" x14ac:dyDescent="0.3">
      <c r="A698" s="290">
        <f t="shared" si="96"/>
        <v>0</v>
      </c>
      <c r="B698" s="49"/>
      <c r="C698" s="49"/>
      <c r="D698" s="140" t="s">
        <v>837</v>
      </c>
      <c r="E698" s="49" t="str">
        <f>VLOOKUP(D698,'03. Insumos'!A:D,2,0)</f>
        <v>Mão de obra - Execução de pintura esmalte sobre esquadrias de madeira</v>
      </c>
      <c r="F698" s="52" t="s">
        <v>2607</v>
      </c>
      <c r="G698" s="52" t="str">
        <f>VLOOKUP(D698,'03. Insumos'!A:F,3,0)</f>
        <v>Unid</v>
      </c>
      <c r="H698" s="53">
        <v>1</v>
      </c>
      <c r="I698" s="141">
        <f>H696</f>
        <v>15</v>
      </c>
      <c r="J698" s="54">
        <f>IFERROR(IF(K698&lt;&gt;0,K698*$K$5,0),0)</f>
        <v>53</v>
      </c>
      <c r="K698" s="54">
        <f>IF(A698=0,VLOOKUP(D698,'03. Insumos'!A:F,4,0),"")</f>
        <v>53</v>
      </c>
      <c r="L698" s="274">
        <f>H698*J698*I698</f>
        <v>795</v>
      </c>
      <c r="M698" s="153">
        <f t="shared" si="95"/>
        <v>2.175006706310006E-4</v>
      </c>
      <c r="O698" s="148"/>
      <c r="R698" s="12"/>
    </row>
    <row r="699" spans="1:18" s="51" customFormat="1" ht="13.5" hidden="1" customHeight="1" x14ac:dyDescent="0.3">
      <c r="A699" s="290">
        <f t="shared" si="96"/>
        <v>0</v>
      </c>
      <c r="B699" s="49"/>
      <c r="C699" s="49"/>
      <c r="D699" s="140" t="s">
        <v>845</v>
      </c>
      <c r="E699" s="49" t="str">
        <f>VLOOKUP(D699,'03. Insumos'!A:D,2,0)</f>
        <v>Esmalte sintético Suvinil</v>
      </c>
      <c r="F699" s="52"/>
      <c r="G699" s="52" t="str">
        <f>VLOOKUP(D699,'03. Insumos'!A:F,3,0)</f>
        <v>Galão 3,6 L</v>
      </c>
      <c r="H699" s="53">
        <v>1</v>
      </c>
      <c r="I699" s="141"/>
      <c r="J699" s="54">
        <f>IFERROR(IF(K699&lt;&gt;0,K699*$K$5,0),0)</f>
        <v>160.9</v>
      </c>
      <c r="K699" s="54">
        <f>IF(A699=0,VLOOKUP(D699,'03. Insumos'!A:F,4,0),"")</f>
        <v>160.9</v>
      </c>
      <c r="L699" s="274">
        <f>H699*J699*I699</f>
        <v>0</v>
      </c>
      <c r="M699" s="153">
        <f t="shared" si="95"/>
        <v>0</v>
      </c>
      <c r="O699" s="148"/>
      <c r="R699" s="12"/>
    </row>
    <row r="700" spans="1:18" s="51" customFormat="1" ht="13.5" hidden="1" customHeight="1" x14ac:dyDescent="0.3">
      <c r="A700" s="290">
        <f t="shared" si="96"/>
        <v>0</v>
      </c>
      <c r="B700" s="49"/>
      <c r="C700" s="49"/>
      <c r="D700" s="140" t="s">
        <v>846</v>
      </c>
      <c r="E700" s="49" t="str">
        <f>VLOOKUP(D700,'03. Insumos'!A:D,2,0)</f>
        <v>Massa corrida para madeira Coral</v>
      </c>
      <c r="F700" s="52"/>
      <c r="G700" s="52" t="str">
        <f>VLOOKUP(D700,'03. Insumos'!A:F,3,0)</f>
        <v>Galão 1,5 Kg</v>
      </c>
      <c r="H700" s="53">
        <v>1</v>
      </c>
      <c r="I700" s="141"/>
      <c r="J700" s="54">
        <f>IFERROR(IF(K700&lt;&gt;0,K700*$K$5,0),0)</f>
        <v>24.99</v>
      </c>
      <c r="K700" s="54">
        <f>IF(A700=0,VLOOKUP(D700,'03. Insumos'!A:F,4,0),"")</f>
        <v>24.99</v>
      </c>
      <c r="L700" s="274">
        <f>H700*J700*I700</f>
        <v>0</v>
      </c>
      <c r="M700" s="153">
        <f t="shared" si="95"/>
        <v>0</v>
      </c>
      <c r="O700" s="148"/>
      <c r="R700" s="12"/>
    </row>
    <row r="701" spans="1:18" s="18" customFormat="1" ht="13.5" customHeight="1" x14ac:dyDescent="0.3">
      <c r="A701" s="290">
        <f t="shared" si="96"/>
        <v>3</v>
      </c>
      <c r="B701" s="35"/>
      <c r="C701" s="35" t="s">
        <v>350</v>
      </c>
      <c r="D701" s="35" t="s">
        <v>83</v>
      </c>
      <c r="E701" s="35"/>
      <c r="F701" s="36"/>
      <c r="G701" s="36"/>
      <c r="H701" s="37"/>
      <c r="I701" s="37"/>
      <c r="J701" s="38"/>
      <c r="K701" s="38"/>
      <c r="L701" s="38">
        <f>SUMIF(A702:A718,4,L702:L718)</f>
        <v>44523.97</v>
      </c>
      <c r="M701" s="153">
        <f t="shared" si="95"/>
        <v>1.2181123690760442E-2</v>
      </c>
      <c r="O701" s="148">
        <f t="shared" ref="O701:O712" si="97">IF(I701&lt;&gt;0,I701*H701*K701,)</f>
        <v>0</v>
      </c>
      <c r="R701" s="12">
        <f t="shared" ref="R701:R707" si="98">IF(J701&lt;&gt;0,J701/1.03-K701,0)</f>
        <v>0</v>
      </c>
    </row>
    <row r="702" spans="1:18" s="18" customFormat="1" ht="13.5" customHeight="1" outlineLevel="1" x14ac:dyDescent="0.3">
      <c r="A702" s="290">
        <f t="shared" si="96"/>
        <v>4</v>
      </c>
      <c r="B702" s="45"/>
      <c r="C702" s="45" t="s">
        <v>373</v>
      </c>
      <c r="D702" s="45" t="s">
        <v>83</v>
      </c>
      <c r="E702" s="45"/>
      <c r="F702" s="60"/>
      <c r="G702" s="60"/>
      <c r="H702" s="61"/>
      <c r="I702" s="61"/>
      <c r="J702" s="62"/>
      <c r="K702" s="62" t="str">
        <f>IF(A702=0,VLOOKUP(D702,'03. Insumos'!A:F,4,0),"")</f>
        <v/>
      </c>
      <c r="L702" s="62">
        <f>SUMIF(A703:A786,6,L703:L786)</f>
        <v>44523.97</v>
      </c>
      <c r="M702" s="153">
        <f t="shared" si="95"/>
        <v>1.2181123690760442E-2</v>
      </c>
      <c r="O702" s="148">
        <f t="shared" si="97"/>
        <v>0</v>
      </c>
      <c r="R702" s="12">
        <f t="shared" si="98"/>
        <v>0</v>
      </c>
    </row>
    <row r="703" spans="1:18" s="59" customFormat="1" ht="13.5" customHeight="1" outlineLevel="1" x14ac:dyDescent="0.3">
      <c r="A703" s="290">
        <f t="shared" si="96"/>
        <v>6</v>
      </c>
      <c r="B703" s="55"/>
      <c r="C703" s="55" t="s">
        <v>374</v>
      </c>
      <c r="D703" s="55" t="s">
        <v>83</v>
      </c>
      <c r="E703" s="55"/>
      <c r="F703" s="56"/>
      <c r="G703" s="56"/>
      <c r="H703" s="57"/>
      <c r="I703" s="57"/>
      <c r="J703" s="58"/>
      <c r="K703" s="58" t="str">
        <f>IF(A703=0,VLOOKUP(D703,'03. Insumos'!A:F,4,0),"")</f>
        <v/>
      </c>
      <c r="L703" s="58">
        <f>SUM(L704:L720)</f>
        <v>44523.97</v>
      </c>
      <c r="M703" s="153">
        <f t="shared" si="95"/>
        <v>1.2181123690760442E-2</v>
      </c>
      <c r="O703" s="148">
        <f t="shared" si="97"/>
        <v>0</v>
      </c>
      <c r="R703" s="12">
        <f t="shared" si="98"/>
        <v>0</v>
      </c>
    </row>
    <row r="704" spans="1:18" s="51" customFormat="1" ht="13.5" customHeight="1" outlineLevel="1" x14ac:dyDescent="0.3">
      <c r="A704" s="290">
        <f t="shared" si="96"/>
        <v>0</v>
      </c>
      <c r="B704" s="49"/>
      <c r="C704" s="49"/>
      <c r="D704" s="140" t="s">
        <v>664</v>
      </c>
      <c r="E704" s="49" t="str">
        <f>VLOOKUP(D704,'03. Insumos'!A:D,2,0)</f>
        <v>Bacia com caixa acoplada Vogue Plus cód. CP505 - Deca</v>
      </c>
      <c r="F704" s="52" t="s">
        <v>2613</v>
      </c>
      <c r="G704" s="52" t="str">
        <f>VLOOKUP(D704,'03. Insumos'!A:F,3,0)</f>
        <v>uni</v>
      </c>
      <c r="H704" s="53">
        <v>1</v>
      </c>
      <c r="I704" s="141">
        <v>6</v>
      </c>
      <c r="J704" s="54">
        <f t="shared" ref="J704:J720" si="99">IFERROR(IF(K704&lt;&gt;0,K704*$K$5,0),0)</f>
        <v>708</v>
      </c>
      <c r="K704" s="54">
        <f>IF(A704=0,VLOOKUP(D704,'03. Insumos'!A:F,4,0),"")</f>
        <v>708</v>
      </c>
      <c r="L704" s="274">
        <f t="shared" ref="L704:L719" si="100">H704*J704*I704</f>
        <v>4248</v>
      </c>
      <c r="M704" s="153">
        <f t="shared" si="95"/>
        <v>1.162192262692441E-3</v>
      </c>
      <c r="O704" s="148">
        <f t="shared" si="97"/>
        <v>4248</v>
      </c>
      <c r="R704" s="12">
        <f t="shared" si="98"/>
        <v>-20.621359223300942</v>
      </c>
    </row>
    <row r="705" spans="1:18" s="51" customFormat="1" ht="13.5" customHeight="1" outlineLevel="1" x14ac:dyDescent="0.3">
      <c r="A705" s="290">
        <f t="shared" si="96"/>
        <v>0</v>
      </c>
      <c r="B705" s="49"/>
      <c r="C705" s="49"/>
      <c r="D705" s="140" t="s">
        <v>2509</v>
      </c>
      <c r="E705" s="49" t="str">
        <f>VLOOKUP(D705,'03. Insumos'!A:D,2,0)</f>
        <v>Misturador de mesa bica alta linha Polo - Deca</v>
      </c>
      <c r="F705" s="52" t="s">
        <v>2613</v>
      </c>
      <c r="G705" s="52" t="str">
        <f>VLOOKUP(D705,'03. Insumos'!A:F,3,0)</f>
        <v>Unid</v>
      </c>
      <c r="H705" s="53">
        <v>1</v>
      </c>
      <c r="I705" s="141">
        <v>11</v>
      </c>
      <c r="J705" s="54">
        <f t="shared" si="99"/>
        <v>743.16</v>
      </c>
      <c r="K705" s="54">
        <f>IF(A705=0,VLOOKUP(D705,'03. Insumos'!A:F,4,0),"")</f>
        <v>743.16</v>
      </c>
      <c r="L705" s="274">
        <f t="shared" si="100"/>
        <v>8174.7599999999993</v>
      </c>
      <c r="M705" s="153">
        <f t="shared" si="95"/>
        <v>2.236497839305004E-3</v>
      </c>
      <c r="O705" s="148">
        <f t="shared" si="97"/>
        <v>8174.7599999999993</v>
      </c>
      <c r="R705" s="12">
        <f t="shared" si="98"/>
        <v>-21.645436893203851</v>
      </c>
    </row>
    <row r="706" spans="1:18" s="51" customFormat="1" ht="13.5" customHeight="1" outlineLevel="1" x14ac:dyDescent="0.3">
      <c r="A706" s="290">
        <f t="shared" si="96"/>
        <v>0</v>
      </c>
      <c r="B706" s="49"/>
      <c r="C706" s="49"/>
      <c r="D706" s="140" t="s">
        <v>2510</v>
      </c>
      <c r="E706" s="49" t="str">
        <f>VLOOKUP(D706,'03. Insumos'!A:D,2,0)</f>
        <v>Chuveiro Geribá</v>
      </c>
      <c r="F706" s="52" t="s">
        <v>2613</v>
      </c>
      <c r="G706" s="52" t="str">
        <f>VLOOKUP(D706,'03. Insumos'!A:F,3,0)</f>
        <v>Unid</v>
      </c>
      <c r="H706" s="53">
        <v>1</v>
      </c>
      <c r="I706" s="141">
        <v>5</v>
      </c>
      <c r="J706" s="54">
        <f t="shared" si="99"/>
        <v>348.62</v>
      </c>
      <c r="K706" s="54">
        <f>IF(A706=0,VLOOKUP(D706,'03. Insumos'!A:F,4,0),"")</f>
        <v>348.62</v>
      </c>
      <c r="L706" s="274">
        <f t="shared" si="100"/>
        <v>1743.1</v>
      </c>
      <c r="M706" s="153">
        <f t="shared" si="95"/>
        <v>4.768873194677951E-4</v>
      </c>
      <c r="O706" s="148">
        <f t="shared" si="97"/>
        <v>1743.1</v>
      </c>
      <c r="R706" s="12">
        <f t="shared" si="98"/>
        <v>-10.153980582524298</v>
      </c>
    </row>
    <row r="707" spans="1:18" s="51" customFormat="1" ht="13.5" customHeight="1" outlineLevel="1" x14ac:dyDescent="0.3">
      <c r="A707" s="290">
        <f t="shared" si="96"/>
        <v>0</v>
      </c>
      <c r="B707" s="49"/>
      <c r="C707" s="49"/>
      <c r="D707" s="140" t="s">
        <v>2511</v>
      </c>
      <c r="E707" s="49" t="str">
        <f>VLOOKUP(D707,'03. Insumos'!A:D,2,0)</f>
        <v>Misturador de piso para banheira e B. área gourmet</v>
      </c>
      <c r="F707" s="52" t="s">
        <v>2613</v>
      </c>
      <c r="G707" s="52" t="str">
        <f>VLOOKUP(D707,'03. Insumos'!A:F,3,0)</f>
        <v>Unid</v>
      </c>
      <c r="H707" s="53">
        <v>1</v>
      </c>
      <c r="I707" s="141">
        <v>2</v>
      </c>
      <c r="J707" s="54">
        <f t="shared" si="99"/>
        <v>3690</v>
      </c>
      <c r="K707" s="54">
        <f>IF(A707=0,VLOOKUP(D707,'03. Insumos'!A:F,4,0),"")</f>
        <v>3690</v>
      </c>
      <c r="L707" s="274">
        <f t="shared" si="100"/>
        <v>7380</v>
      </c>
      <c r="M707" s="153">
        <f t="shared" si="95"/>
        <v>2.0190628292538169E-3</v>
      </c>
      <c r="O707" s="148">
        <f t="shared" si="97"/>
        <v>7380</v>
      </c>
      <c r="R707" s="12">
        <f t="shared" si="98"/>
        <v>-107.47572815533977</v>
      </c>
    </row>
    <row r="708" spans="1:18" s="51" customFormat="1" ht="13.5" customHeight="1" outlineLevel="1" x14ac:dyDescent="0.3">
      <c r="A708" s="290">
        <f t="shared" si="96"/>
        <v>0</v>
      </c>
      <c r="B708" s="49"/>
      <c r="C708" s="49"/>
      <c r="D708" s="140" t="s">
        <v>851</v>
      </c>
      <c r="E708" s="49" t="str">
        <f>VLOOKUP(D708,'03. Insumos'!A:D,2,0)</f>
        <v>Acabamento de registro linha Polo Classica 1/2 a 3/4</v>
      </c>
      <c r="F708" s="52" t="s">
        <v>2613</v>
      </c>
      <c r="G708" s="52" t="str">
        <f>VLOOKUP(D708,'03. Insumos'!A:F,3,0)</f>
        <v>unid</v>
      </c>
      <c r="H708" s="53">
        <v>1</v>
      </c>
      <c r="I708" s="141">
        <v>26</v>
      </c>
      <c r="J708" s="54">
        <f t="shared" si="99"/>
        <v>120.82</v>
      </c>
      <c r="K708" s="54">
        <f>IF(A708=0,VLOOKUP(D708,'03. Insumos'!A:F,4,0),"")</f>
        <v>120.82</v>
      </c>
      <c r="L708" s="274">
        <f>H708*J708*I708</f>
        <v>3141.3199999999997</v>
      </c>
      <c r="M708" s="153">
        <f t="shared" si="95"/>
        <v>8.5942038574411911E-4</v>
      </c>
      <c r="O708" s="148">
        <f t="shared" si="97"/>
        <v>3141.3199999999997</v>
      </c>
      <c r="R708" s="12"/>
    </row>
    <row r="709" spans="1:18" s="51" customFormat="1" ht="13.5" customHeight="1" outlineLevel="1" x14ac:dyDescent="0.3">
      <c r="A709" s="290">
        <f t="shared" si="96"/>
        <v>0</v>
      </c>
      <c r="B709" s="49"/>
      <c r="C709" s="49"/>
      <c r="D709" s="140" t="s">
        <v>2514</v>
      </c>
      <c r="E709" s="49" t="str">
        <f>VLOOKUP(D709,'03. Insumos'!A:D,2,0)</f>
        <v>Cuba de sobrepor retangular L1070</v>
      </c>
      <c r="F709" s="52" t="s">
        <v>2613</v>
      </c>
      <c r="G709" s="52" t="str">
        <f>VLOOKUP(D709,'03. Insumos'!A:F,3,0)</f>
        <v>Unid</v>
      </c>
      <c r="H709" s="53">
        <v>1</v>
      </c>
      <c r="I709" s="141">
        <v>9</v>
      </c>
      <c r="J709" s="54">
        <f t="shared" si="99"/>
        <v>513.89</v>
      </c>
      <c r="K709" s="54">
        <f>IF(A709=0,VLOOKUP(D709,'03. Insumos'!A:F,4,0),"")</f>
        <v>513.89</v>
      </c>
      <c r="L709" s="274">
        <f>H709*J709*I709</f>
        <v>4625.01</v>
      </c>
      <c r="M709" s="153">
        <f t="shared" si="95"/>
        <v>1.2653368260063952E-3</v>
      </c>
      <c r="O709" s="148">
        <f t="shared" si="97"/>
        <v>4625.01</v>
      </c>
      <c r="R709" s="12"/>
    </row>
    <row r="710" spans="1:18" s="51" customFormat="1" ht="13.5" customHeight="1" outlineLevel="1" x14ac:dyDescent="0.3">
      <c r="A710" s="290">
        <f t="shared" si="96"/>
        <v>0</v>
      </c>
      <c r="B710" s="49"/>
      <c r="C710" s="49"/>
      <c r="D710" s="140" t="s">
        <v>2516</v>
      </c>
      <c r="E710" s="49" t="str">
        <f>VLOOKUP(D710,'03. Insumos'!A:D,2,0)</f>
        <v>Cuba Inox 40 x 34</v>
      </c>
      <c r="F710" s="52" t="s">
        <v>2613</v>
      </c>
      <c r="G710" s="52" t="str">
        <f>VLOOKUP(D710,'03. Insumos'!A:F,3,0)</f>
        <v>Unid</v>
      </c>
      <c r="H710" s="53">
        <v>1</v>
      </c>
      <c r="I710" s="141">
        <v>3</v>
      </c>
      <c r="J710" s="54">
        <f t="shared" si="99"/>
        <v>147.21</v>
      </c>
      <c r="K710" s="54">
        <f>IF(A710=0,VLOOKUP(D710,'03. Insumos'!A:F,4,0),"")</f>
        <v>147.21</v>
      </c>
      <c r="L710" s="274">
        <f>H710*J710*I710</f>
        <v>441.63</v>
      </c>
      <c r="M710" s="153">
        <f t="shared" si="95"/>
        <v>1.2082367442863999E-4</v>
      </c>
      <c r="O710" s="148">
        <f t="shared" si="97"/>
        <v>441.63</v>
      </c>
      <c r="R710" s="12"/>
    </row>
    <row r="711" spans="1:18" s="51" customFormat="1" ht="13.5" customHeight="1" outlineLevel="1" x14ac:dyDescent="0.3">
      <c r="A711" s="290">
        <f t="shared" si="96"/>
        <v>0</v>
      </c>
      <c r="B711" s="49"/>
      <c r="C711" s="49"/>
      <c r="D711" s="140" t="s">
        <v>2517</v>
      </c>
      <c r="E711" s="49" t="str">
        <f>VLOOKUP(D711,'03. Insumos'!A:D,2,0)</f>
        <v>Banheira de imersão</v>
      </c>
      <c r="F711" s="52" t="s">
        <v>2613</v>
      </c>
      <c r="G711" s="52" t="str">
        <f>VLOOKUP(D711,'03. Insumos'!A:F,3,0)</f>
        <v>Unid</v>
      </c>
      <c r="H711" s="53">
        <v>1</v>
      </c>
      <c r="I711" s="141">
        <v>1</v>
      </c>
      <c r="J711" s="54">
        <f t="shared" si="99"/>
        <v>9700</v>
      </c>
      <c r="K711" s="54">
        <f>IF(A711=0,VLOOKUP(D711,'03. Insumos'!A:F,4,0),"")</f>
        <v>9700</v>
      </c>
      <c r="L711" s="274">
        <f>H711*J711*I711</f>
        <v>9700</v>
      </c>
      <c r="M711" s="153">
        <f t="shared" si="95"/>
        <v>2.6537817674474285E-3</v>
      </c>
      <c r="O711" s="148">
        <f t="shared" si="97"/>
        <v>9700</v>
      </c>
      <c r="R711" s="12"/>
    </row>
    <row r="712" spans="1:18" s="51" customFormat="1" ht="13.5" customHeight="1" outlineLevel="1" x14ac:dyDescent="0.3">
      <c r="A712" s="290">
        <f t="shared" si="96"/>
        <v>0</v>
      </c>
      <c r="B712" s="49"/>
      <c r="C712" s="49"/>
      <c r="D712" s="140" t="s">
        <v>852</v>
      </c>
      <c r="E712" s="49" t="str">
        <f>VLOOKUP(D712,'03. Insumos'!A:D,2,0)</f>
        <v>Sifão para lavatório 1 x 11/2</v>
      </c>
      <c r="F712" s="52" t="s">
        <v>2613</v>
      </c>
      <c r="G712" s="52" t="str">
        <f>VLOOKUP(D712,'03. Insumos'!A:F,3,0)</f>
        <v>unid</v>
      </c>
      <c r="H712" s="53">
        <v>1</v>
      </c>
      <c r="I712" s="141">
        <v>9</v>
      </c>
      <c r="J712" s="54">
        <f t="shared" si="99"/>
        <v>72.400000000000006</v>
      </c>
      <c r="K712" s="54">
        <f>IF(A712=0,VLOOKUP(D712,'03. Insumos'!A:F,4,0),"")</f>
        <v>72.400000000000006</v>
      </c>
      <c r="L712" s="274">
        <f t="shared" si="100"/>
        <v>651.6</v>
      </c>
      <c r="M712" s="153">
        <f t="shared" si="95"/>
        <v>1.7826847419265409E-4</v>
      </c>
      <c r="O712" s="148">
        <f t="shared" si="97"/>
        <v>651.6</v>
      </c>
      <c r="R712" s="12">
        <f>IF(J712&lt;&gt;0,J712/1.03-K712,0)</f>
        <v>-2.1087378640776677</v>
      </c>
    </row>
    <row r="713" spans="1:18" s="51" customFormat="1" ht="13.5" customHeight="1" outlineLevel="1" x14ac:dyDescent="0.3">
      <c r="A713" s="290">
        <f t="shared" si="96"/>
        <v>0</v>
      </c>
      <c r="B713" s="49"/>
      <c r="C713" s="49"/>
      <c r="D713" s="140" t="s">
        <v>872</v>
      </c>
      <c r="E713" s="49" t="str">
        <f>VLOOKUP(D713,'03. Insumos'!A:D,2,0)</f>
        <v>Válvula americana para pia de cozinha</v>
      </c>
      <c r="F713" s="52" t="s">
        <v>2613</v>
      </c>
      <c r="G713" s="52" t="str">
        <f>VLOOKUP(D713,'03. Insumos'!A:F,3,0)</f>
        <v>unid</v>
      </c>
      <c r="H713" s="53">
        <v>1</v>
      </c>
      <c r="I713" s="141">
        <v>3</v>
      </c>
      <c r="J713" s="54">
        <f t="shared" si="99"/>
        <v>36.18</v>
      </c>
      <c r="K713" s="54">
        <f>IF(A713=0,VLOOKUP(D713,'03. Insumos'!A:F,4,0),"")</f>
        <v>36.18</v>
      </c>
      <c r="L713" s="274">
        <f>H713*J713*I713</f>
        <v>108.53999999999999</v>
      </c>
      <c r="M713" s="153">
        <f t="shared" si="95"/>
        <v>2.9694997220489061E-5</v>
      </c>
      <c r="O713" s="148"/>
      <c r="R713" s="12"/>
    </row>
    <row r="714" spans="1:18" s="51" customFormat="1" ht="13.5" customHeight="1" outlineLevel="1" x14ac:dyDescent="0.3">
      <c r="A714" s="290">
        <f t="shared" si="96"/>
        <v>0</v>
      </c>
      <c r="B714" s="49"/>
      <c r="C714" s="49"/>
      <c r="D714" s="140" t="s">
        <v>860</v>
      </c>
      <c r="E714" s="49" t="str">
        <f>VLOOKUP(D714,'03. Insumos'!A:D,2,0)</f>
        <v xml:space="preserve">Sifão para Cozinha 11/2"X11/2" Cromado </v>
      </c>
      <c r="F714" s="52" t="s">
        <v>2613</v>
      </c>
      <c r="G714" s="52" t="str">
        <f>VLOOKUP(D714,'03. Insumos'!A:F,3,0)</f>
        <v>unid</v>
      </c>
      <c r="H714" s="53">
        <v>1</v>
      </c>
      <c r="I714" s="141">
        <v>3</v>
      </c>
      <c r="J714" s="54">
        <f t="shared" si="99"/>
        <v>77.63</v>
      </c>
      <c r="K714" s="54">
        <f>IF(A714=0,VLOOKUP(D714,'03. Insumos'!A:F,4,0),"")</f>
        <v>77.63</v>
      </c>
      <c r="L714" s="274">
        <f>H714*J714*I714</f>
        <v>232.89</v>
      </c>
      <c r="M714" s="153">
        <f t="shared" si="95"/>
        <v>6.3715385136168206E-5</v>
      </c>
      <c r="O714" s="148"/>
      <c r="R714" s="12"/>
    </row>
    <row r="715" spans="1:18" s="51" customFormat="1" ht="13.5" customHeight="1" outlineLevel="1" x14ac:dyDescent="0.3">
      <c r="A715" s="290">
        <f t="shared" si="96"/>
        <v>0</v>
      </c>
      <c r="B715" s="49"/>
      <c r="C715" s="49"/>
      <c r="D715" s="140" t="s">
        <v>853</v>
      </c>
      <c r="E715" s="49" t="str">
        <f>VLOOKUP(D715,'03. Insumos'!A:D,2,0)</f>
        <v>Válvula para lavatório</v>
      </c>
      <c r="F715" s="52" t="s">
        <v>2613</v>
      </c>
      <c r="G715" s="52" t="str">
        <f>VLOOKUP(D715,'03. Insumos'!A:F,3,0)</f>
        <v>unid</v>
      </c>
      <c r="H715" s="53">
        <v>1</v>
      </c>
      <c r="I715" s="141">
        <v>9</v>
      </c>
      <c r="J715" s="54">
        <f t="shared" si="99"/>
        <v>16.57</v>
      </c>
      <c r="K715" s="54">
        <f>IF(A715=0,VLOOKUP(D715,'03. Insumos'!A:F,4,0),"")</f>
        <v>16.57</v>
      </c>
      <c r="L715" s="274">
        <f t="shared" si="100"/>
        <v>149.13</v>
      </c>
      <c r="M715" s="153">
        <f t="shared" si="95"/>
        <v>4.0799842781385051E-5</v>
      </c>
      <c r="O715" s="148">
        <f t="shared" ref="O715:O720" si="101">IF(I715&lt;&gt;0,I715*H715*K715,)</f>
        <v>149.13</v>
      </c>
      <c r="R715" s="12">
        <f>IF(J715&lt;&gt;0,J715/1.03-K715,0)</f>
        <v>-0.48262135922330174</v>
      </c>
    </row>
    <row r="716" spans="1:18" s="51" customFormat="1" ht="13.5" customHeight="1" outlineLevel="1" x14ac:dyDescent="0.3">
      <c r="A716" s="290">
        <f t="shared" si="96"/>
        <v>0</v>
      </c>
      <c r="B716" s="49"/>
      <c r="C716" s="49"/>
      <c r="D716" s="140" t="s">
        <v>854</v>
      </c>
      <c r="E716" s="49" t="str">
        <f>VLOOKUP(D716,'03. Insumos'!A:D,2,0)</f>
        <v>Ralo 15 x 15</v>
      </c>
      <c r="F716" s="52" t="s">
        <v>2613</v>
      </c>
      <c r="G716" s="52" t="str">
        <f>VLOOKUP(D716,'03. Insumos'!A:F,3,0)</f>
        <v>unid</v>
      </c>
      <c r="H716" s="53">
        <v>1</v>
      </c>
      <c r="I716" s="141">
        <v>15</v>
      </c>
      <c r="J716" s="54">
        <f t="shared" si="99"/>
        <v>75.59</v>
      </c>
      <c r="K716" s="54">
        <f>IF(A716=0,VLOOKUP(D716,'03. Insumos'!A:F,4,0),"")</f>
        <v>75.59</v>
      </c>
      <c r="L716" s="274">
        <f t="shared" si="100"/>
        <v>1133.8500000000001</v>
      </c>
      <c r="M716" s="153">
        <f t="shared" si="95"/>
        <v>3.1020520175466671E-4</v>
      </c>
      <c r="O716" s="148">
        <f t="shared" si="101"/>
        <v>1133.8500000000001</v>
      </c>
      <c r="R716" s="12">
        <f>IF(J716&lt;&gt;0,J716/1.03-K716,0)</f>
        <v>-2.2016504854369003</v>
      </c>
    </row>
    <row r="717" spans="1:18" s="51" customFormat="1" ht="13.5" customHeight="1" outlineLevel="1" x14ac:dyDescent="0.3">
      <c r="A717" s="290">
        <f t="shared" si="96"/>
        <v>0</v>
      </c>
      <c r="B717" s="49"/>
      <c r="C717" s="49"/>
      <c r="D717" s="140" t="s">
        <v>1722</v>
      </c>
      <c r="E717" s="49" t="str">
        <f>VLOOKUP(D717,'03. Insumos'!A:D,2,0)</f>
        <v>Kit de instalação para bacia convencional com fixação lateral - Deca</v>
      </c>
      <c r="F717" s="52" t="s">
        <v>2613</v>
      </c>
      <c r="G717" s="52" t="str">
        <f>VLOOKUP(D717,'03. Insumos'!A:F,3,0)</f>
        <v>unid</v>
      </c>
      <c r="H717" s="53">
        <v>1</v>
      </c>
      <c r="I717" s="141">
        <v>6</v>
      </c>
      <c r="J717" s="54">
        <f t="shared" si="99"/>
        <v>66.06</v>
      </c>
      <c r="K717" s="54">
        <f>IF(A717=0,VLOOKUP(D717,'03. Insumos'!A:F,4,0),"")</f>
        <v>66.06</v>
      </c>
      <c r="L717" s="274">
        <f t="shared" si="100"/>
        <v>396.36</v>
      </c>
      <c r="M717" s="153">
        <f t="shared" si="95"/>
        <v>1.0843844756138793E-4</v>
      </c>
      <c r="O717" s="148">
        <f t="shared" si="101"/>
        <v>396.36</v>
      </c>
      <c r="R717" s="12">
        <f>IF(J717&lt;&gt;0,J717/1.03-K717,0)</f>
        <v>-1.9240776699029141</v>
      </c>
    </row>
    <row r="718" spans="1:18" s="51" customFormat="1" ht="13.5" customHeight="1" outlineLevel="1" x14ac:dyDescent="0.3">
      <c r="A718" s="290">
        <f t="shared" si="96"/>
        <v>0</v>
      </c>
      <c r="B718" s="49"/>
      <c r="C718" s="49"/>
      <c r="D718" s="140" t="s">
        <v>856</v>
      </c>
      <c r="E718" s="49" t="str">
        <f>VLOOKUP(D718,'03. Insumos'!A:D,2,0)</f>
        <v>Flexível 40 cm</v>
      </c>
      <c r="F718" s="52" t="s">
        <v>2613</v>
      </c>
      <c r="G718" s="52" t="str">
        <f>VLOOKUP(D718,'03. Insumos'!A:F,3,0)</f>
        <v>unid</v>
      </c>
      <c r="H718" s="53">
        <v>1</v>
      </c>
      <c r="I718" s="141">
        <v>30</v>
      </c>
      <c r="J718" s="54">
        <f t="shared" si="99"/>
        <v>16.2</v>
      </c>
      <c r="K718" s="54">
        <f>IF(A718=0,VLOOKUP(D718,'03. Insumos'!A:F,4,0),"")</f>
        <v>16.2</v>
      </c>
      <c r="L718" s="274">
        <f t="shared" si="100"/>
        <v>486</v>
      </c>
      <c r="M718" s="153">
        <f t="shared" si="95"/>
        <v>1.3296267412159281E-4</v>
      </c>
      <c r="O718" s="148">
        <f t="shared" si="101"/>
        <v>486</v>
      </c>
      <c r="R718" s="12">
        <f>IF(J718&lt;&gt;0,J718/1.03-K718,0)</f>
        <v>-0.4718446601941757</v>
      </c>
    </row>
    <row r="719" spans="1:18" s="51" customFormat="1" ht="13.5" customHeight="1" outlineLevel="1" x14ac:dyDescent="0.3">
      <c r="A719" s="290">
        <f t="shared" si="96"/>
        <v>0</v>
      </c>
      <c r="B719" s="49"/>
      <c r="C719" s="49"/>
      <c r="D719" s="140" t="s">
        <v>866</v>
      </c>
      <c r="E719" s="49" t="str">
        <f>VLOOKUP(D719,'03. Insumos'!A:D,2,0)</f>
        <v>Ducha Higiênica linha polo clássica 1984.C32.ACT.CR</v>
      </c>
      <c r="F719" s="52" t="s">
        <v>2613</v>
      </c>
      <c r="G719" s="52" t="str">
        <f>VLOOKUP(D719,'03. Insumos'!A:F,3,0)</f>
        <v>unid</v>
      </c>
      <c r="H719" s="53">
        <v>1</v>
      </c>
      <c r="I719" s="141">
        <v>6</v>
      </c>
      <c r="J719" s="54">
        <f t="shared" si="99"/>
        <v>219.73</v>
      </c>
      <c r="K719" s="54">
        <f>IF(A719=0,VLOOKUP(D719,'03. Insumos'!A:F,4,0),"")</f>
        <v>219.73</v>
      </c>
      <c r="L719" s="274">
        <f t="shared" si="100"/>
        <v>1318.3799999999999</v>
      </c>
      <c r="M719" s="153">
        <f t="shared" si="95"/>
        <v>3.6068998005848871E-4</v>
      </c>
      <c r="O719" s="148">
        <f t="shared" si="101"/>
        <v>1318.3799999999999</v>
      </c>
      <c r="R719" s="12"/>
    </row>
    <row r="720" spans="1:18" s="51" customFormat="1" ht="13.5" customHeight="1" outlineLevel="1" x14ac:dyDescent="0.3">
      <c r="A720" s="290">
        <f t="shared" si="96"/>
        <v>0</v>
      </c>
      <c r="B720" s="49"/>
      <c r="C720" s="49"/>
      <c r="D720" s="140" t="s">
        <v>1717</v>
      </c>
      <c r="E720" s="49" t="str">
        <f>VLOOKUP(D720,'03. Insumos'!A:D,2,0)</f>
        <v>Assento sanitário em polipropileno Vogue plus branco gelo - Deca</v>
      </c>
      <c r="F720" s="52" t="s">
        <v>2613</v>
      </c>
      <c r="G720" s="52" t="str">
        <f>VLOOKUP(D720,'03. Insumos'!A:F,3,0)</f>
        <v>unid</v>
      </c>
      <c r="H720" s="53">
        <v>1</v>
      </c>
      <c r="I720" s="141">
        <v>6</v>
      </c>
      <c r="J720" s="54">
        <f t="shared" si="99"/>
        <v>98.9</v>
      </c>
      <c r="K720" s="54">
        <f>IF(A720=0,VLOOKUP(D720,'03. Insumos'!A:F,4,0),"")</f>
        <v>98.9</v>
      </c>
      <c r="L720" s="274">
        <f>H720*J720*I720</f>
        <v>593.40000000000009</v>
      </c>
      <c r="M720" s="153">
        <f t="shared" si="95"/>
        <v>1.6234578358796951E-4</v>
      </c>
      <c r="O720" s="148">
        <f t="shared" si="101"/>
        <v>593.40000000000009</v>
      </c>
      <c r="R720" s="12"/>
    </row>
    <row r="721" spans="1:18" s="51" customFormat="1" ht="13.5" hidden="1" customHeight="1" outlineLevel="1" x14ac:dyDescent="0.3">
      <c r="A721" s="290">
        <f t="shared" si="96"/>
        <v>6</v>
      </c>
      <c r="B721" s="49"/>
      <c r="C721" s="55" t="s">
        <v>1545</v>
      </c>
      <c r="D721" s="55" t="s">
        <v>1546</v>
      </c>
      <c r="E721" s="49"/>
      <c r="F721" s="52"/>
      <c r="G721" s="52"/>
      <c r="H721" s="53"/>
      <c r="I721" s="141"/>
      <c r="J721" s="54"/>
      <c r="K721" s="54"/>
      <c r="L721" s="58">
        <f>SUM(L722:L727)</f>
        <v>0</v>
      </c>
      <c r="M721" s="153">
        <f t="shared" si="95"/>
        <v>0</v>
      </c>
      <c r="O721" s="148"/>
      <c r="R721" s="12"/>
    </row>
    <row r="722" spans="1:18" s="51" customFormat="1" ht="13.5" hidden="1" customHeight="1" outlineLevel="1" x14ac:dyDescent="0.3">
      <c r="A722" s="290">
        <f t="shared" si="96"/>
        <v>0</v>
      </c>
      <c r="B722" s="49"/>
      <c r="C722" s="49"/>
      <c r="D722" s="140" t="s">
        <v>857</v>
      </c>
      <c r="E722" s="49" t="str">
        <f>VLOOKUP(D722,'03. Insumos'!A:D,2,0)</f>
        <v>Cuba Acquario AEX 610</v>
      </c>
      <c r="F722" s="52"/>
      <c r="G722" s="52" t="str">
        <f>VLOOKUP(D722,'03. Insumos'!A:F,3,0)</f>
        <v>unid</v>
      </c>
      <c r="H722" s="53">
        <v>1</v>
      </c>
      <c r="I722" s="141"/>
      <c r="J722" s="54">
        <f t="shared" ref="J722:J727" si="102">IFERROR(IF(K722&lt;&gt;0,K722*$K$5,0),0)</f>
        <v>2343.92</v>
      </c>
      <c r="K722" s="54">
        <f>IF(A722=0,VLOOKUP(D722,'03. Insumos'!A:F,4,0),"")</f>
        <v>2343.92</v>
      </c>
      <c r="L722" s="274">
        <f t="shared" ref="L722:L727" si="103">H722*J722*I722</f>
        <v>0</v>
      </c>
      <c r="M722" s="153">
        <f t="shared" si="95"/>
        <v>0</v>
      </c>
      <c r="O722" s="148"/>
      <c r="R722" s="12"/>
    </row>
    <row r="723" spans="1:18" s="51" customFormat="1" ht="13.5" hidden="1" customHeight="1" outlineLevel="1" x14ac:dyDescent="0.3">
      <c r="A723" s="290">
        <f t="shared" si="96"/>
        <v>0</v>
      </c>
      <c r="B723" s="49"/>
      <c r="C723" s="49"/>
      <c r="D723" s="140" t="s">
        <v>858</v>
      </c>
      <c r="E723" s="49" t="str">
        <f>VLOOKUP(D723,'03. Insumos'!A:D,2,0)</f>
        <v>Monocomando Nokite com bica sacável</v>
      </c>
      <c r="F723" s="52"/>
      <c r="G723" s="52" t="str">
        <f>VLOOKUP(D723,'03. Insumos'!A:F,3,0)</f>
        <v>unid</v>
      </c>
      <c r="H723" s="53">
        <v>1</v>
      </c>
      <c r="I723" s="141"/>
      <c r="J723" s="54">
        <f t="shared" si="102"/>
        <v>1270.3699999999999</v>
      </c>
      <c r="K723" s="54">
        <f>IF(A723=0,VLOOKUP(D723,'03. Insumos'!A:F,4,0),"")</f>
        <v>1270.3699999999999</v>
      </c>
      <c r="L723" s="274">
        <f t="shared" si="103"/>
        <v>0</v>
      </c>
      <c r="M723" s="153">
        <f t="shared" si="95"/>
        <v>0</v>
      </c>
      <c r="O723" s="148"/>
      <c r="R723" s="12"/>
    </row>
    <row r="724" spans="1:18" s="51" customFormat="1" ht="13.5" hidden="1" customHeight="1" outlineLevel="1" x14ac:dyDescent="0.3">
      <c r="A724" s="290">
        <f t="shared" si="96"/>
        <v>0</v>
      </c>
      <c r="B724" s="49"/>
      <c r="C724" s="49"/>
      <c r="D724" s="140" t="s">
        <v>859</v>
      </c>
      <c r="E724" s="49" t="str">
        <f>VLOOKUP(D724,'03. Insumos'!A:D,2,0)</f>
        <v>Acabamento de registro linha Spin 1/2 a 3/4</v>
      </c>
      <c r="F724" s="52"/>
      <c r="G724" s="52" t="str">
        <f>VLOOKUP(D724,'03. Insumos'!A:F,3,0)</f>
        <v>unid</v>
      </c>
      <c r="H724" s="53">
        <v>1</v>
      </c>
      <c r="I724" s="141"/>
      <c r="J724" s="54">
        <f t="shared" si="102"/>
        <v>170.05</v>
      </c>
      <c r="K724" s="54">
        <f>IF(A724=0,VLOOKUP(D724,'03. Insumos'!A:F,4,0),"")</f>
        <v>170.05</v>
      </c>
      <c r="L724" s="274">
        <f t="shared" si="103"/>
        <v>0</v>
      </c>
      <c r="M724" s="153">
        <f t="shared" si="95"/>
        <v>0</v>
      </c>
      <c r="O724" s="148"/>
      <c r="R724" s="12"/>
    </row>
    <row r="725" spans="1:18" s="51" customFormat="1" ht="13.5" hidden="1" customHeight="1" outlineLevel="1" x14ac:dyDescent="0.3">
      <c r="A725" s="290">
        <f t="shared" si="96"/>
        <v>0</v>
      </c>
      <c r="B725" s="49"/>
      <c r="C725" s="49"/>
      <c r="D725" s="140" t="s">
        <v>860</v>
      </c>
      <c r="E725" s="49" t="str">
        <f>VLOOKUP(D725,'03. Insumos'!A:D,2,0)</f>
        <v xml:space="preserve">Sifão para Cozinha 11/2"X11/2" Cromado </v>
      </c>
      <c r="F725" s="52"/>
      <c r="G725" s="52" t="str">
        <f>VLOOKUP(D725,'03. Insumos'!A:F,3,0)</f>
        <v>unid</v>
      </c>
      <c r="H725" s="53">
        <v>1</v>
      </c>
      <c r="I725" s="141"/>
      <c r="J725" s="54">
        <f t="shared" si="102"/>
        <v>77.63</v>
      </c>
      <c r="K725" s="54">
        <f>IF(A725=0,VLOOKUP(D725,'03. Insumos'!A:F,4,0),"")</f>
        <v>77.63</v>
      </c>
      <c r="L725" s="274">
        <f t="shared" si="103"/>
        <v>0</v>
      </c>
      <c r="M725" s="153">
        <f t="shared" si="95"/>
        <v>0</v>
      </c>
      <c r="O725" s="148"/>
      <c r="R725" s="12"/>
    </row>
    <row r="726" spans="1:18" s="51" customFormat="1" ht="13.5" hidden="1" customHeight="1" outlineLevel="1" x14ac:dyDescent="0.3">
      <c r="A726" s="290">
        <f t="shared" si="96"/>
        <v>0</v>
      </c>
      <c r="B726" s="49"/>
      <c r="C726" s="49"/>
      <c r="D726" s="140" t="s">
        <v>872</v>
      </c>
      <c r="E726" s="49" t="str">
        <f>VLOOKUP(D726,'03. Insumos'!A:D,2,0)</f>
        <v>Válvula americana para pia de cozinha</v>
      </c>
      <c r="F726" s="52"/>
      <c r="G726" s="52" t="str">
        <f>VLOOKUP(D726,'03. Insumos'!A:F,3,0)</f>
        <v>unid</v>
      </c>
      <c r="H726" s="53">
        <v>1</v>
      </c>
      <c r="I726" s="141"/>
      <c r="J726" s="54">
        <f t="shared" si="102"/>
        <v>36.18</v>
      </c>
      <c r="K726" s="54">
        <f>IF(A726=0,VLOOKUP(D726,'03. Insumos'!A:F,4,0),"")</f>
        <v>36.18</v>
      </c>
      <c r="L726" s="274">
        <f t="shared" si="103"/>
        <v>0</v>
      </c>
      <c r="M726" s="153">
        <f t="shared" si="95"/>
        <v>0</v>
      </c>
      <c r="O726" s="148"/>
      <c r="R726" s="12"/>
    </row>
    <row r="727" spans="1:18" s="51" customFormat="1" ht="13.5" hidden="1" customHeight="1" outlineLevel="1" x14ac:dyDescent="0.3">
      <c r="A727" s="290">
        <f t="shared" si="96"/>
        <v>0</v>
      </c>
      <c r="B727" s="49"/>
      <c r="C727" s="49"/>
      <c r="D727" s="140" t="s">
        <v>856</v>
      </c>
      <c r="E727" s="49" t="str">
        <f>VLOOKUP(D727,'03. Insumos'!A:D,2,0)</f>
        <v>Flexível 40 cm</v>
      </c>
      <c r="F727" s="52"/>
      <c r="G727" s="52" t="str">
        <f>VLOOKUP(D727,'03. Insumos'!A:F,3,0)</f>
        <v>unid</v>
      </c>
      <c r="H727" s="53">
        <v>1</v>
      </c>
      <c r="I727" s="141"/>
      <c r="J727" s="54">
        <f t="shared" si="102"/>
        <v>16.2</v>
      </c>
      <c r="K727" s="54">
        <f>IF(A727=0,VLOOKUP(D727,'03. Insumos'!A:F,4,0),"")</f>
        <v>16.2</v>
      </c>
      <c r="L727" s="274">
        <f t="shared" si="103"/>
        <v>0</v>
      </c>
      <c r="M727" s="153">
        <f t="shared" si="95"/>
        <v>0</v>
      </c>
      <c r="O727" s="148"/>
      <c r="R727" s="12"/>
    </row>
    <row r="728" spans="1:18" s="51" customFormat="1" ht="13.5" hidden="1" customHeight="1" outlineLevel="1" x14ac:dyDescent="0.3">
      <c r="A728" s="290">
        <f t="shared" si="96"/>
        <v>6</v>
      </c>
      <c r="B728" s="49"/>
      <c r="C728" s="55" t="s">
        <v>1204</v>
      </c>
      <c r="D728" s="55" t="s">
        <v>1547</v>
      </c>
      <c r="E728" s="49"/>
      <c r="F728" s="52"/>
      <c r="G728" s="52"/>
      <c r="H728" s="53"/>
      <c r="I728" s="141"/>
      <c r="J728" s="54"/>
      <c r="K728" s="54"/>
      <c r="L728" s="58">
        <f>SUM(L729:L734)</f>
        <v>0</v>
      </c>
      <c r="M728" s="153">
        <f t="shared" si="95"/>
        <v>0</v>
      </c>
      <c r="O728" s="148"/>
      <c r="R728" s="12"/>
    </row>
    <row r="729" spans="1:18" s="51" customFormat="1" ht="13.5" hidden="1" customHeight="1" outlineLevel="1" x14ac:dyDescent="0.3">
      <c r="A729" s="290">
        <f t="shared" si="96"/>
        <v>0</v>
      </c>
      <c r="B729" s="49"/>
      <c r="C729" s="49"/>
      <c r="D729" s="140" t="s">
        <v>861</v>
      </c>
      <c r="E729" s="49" t="str">
        <f>VLOOKUP(D729,'03. Insumos'!A:D,2,0)</f>
        <v>Tanque inox 50 x 40 alto brilho 32 L</v>
      </c>
      <c r="F729" s="52"/>
      <c r="G729" s="52" t="str">
        <f>VLOOKUP(D729,'03. Insumos'!A:F,3,0)</f>
        <v>unid</v>
      </c>
      <c r="H729" s="53">
        <v>1</v>
      </c>
      <c r="I729" s="141"/>
      <c r="J729" s="54">
        <f t="shared" ref="J729:J734" si="104">IFERROR(IF(K729&lt;&gt;0,K729*$K$5,0),0)</f>
        <v>396.08</v>
      </c>
      <c r="K729" s="54">
        <f>IF(A729=0,VLOOKUP(D729,'03. Insumos'!A:F,4,0),"")</f>
        <v>396.08</v>
      </c>
      <c r="L729" s="274">
        <f t="shared" ref="L729:L734" si="105">H729*J729*I729</f>
        <v>0</v>
      </c>
      <c r="M729" s="153">
        <f t="shared" si="95"/>
        <v>0</v>
      </c>
      <c r="O729" s="148"/>
      <c r="R729" s="12"/>
    </row>
    <row r="730" spans="1:18" s="51" customFormat="1" ht="13.5" hidden="1" customHeight="1" outlineLevel="1" x14ac:dyDescent="0.3">
      <c r="A730" s="290">
        <f t="shared" si="96"/>
        <v>0</v>
      </c>
      <c r="B730" s="49"/>
      <c r="C730" s="49"/>
      <c r="D730" s="140" t="s">
        <v>862</v>
      </c>
      <c r="E730" s="49" t="str">
        <f>VLOOKUP(D730,'03. Insumos'!A:D,2,0)</f>
        <v>Torneira de mesa bica móvel Link para tanque 1166 C.LNK</v>
      </c>
      <c r="F730" s="52"/>
      <c r="G730" s="52" t="str">
        <f>VLOOKUP(D730,'03. Insumos'!A:F,3,0)</f>
        <v>unid</v>
      </c>
      <c r="H730" s="53">
        <v>1</v>
      </c>
      <c r="I730" s="141"/>
      <c r="J730" s="54">
        <f t="shared" si="104"/>
        <v>236.38</v>
      </c>
      <c r="K730" s="54">
        <f>IF(A730=0,VLOOKUP(D730,'03. Insumos'!A:F,4,0),"")</f>
        <v>236.38</v>
      </c>
      <c r="L730" s="274">
        <f t="shared" si="105"/>
        <v>0</v>
      </c>
      <c r="M730" s="153">
        <f t="shared" si="95"/>
        <v>0</v>
      </c>
      <c r="O730" s="148"/>
      <c r="R730" s="12"/>
    </row>
    <row r="731" spans="1:18" s="51" customFormat="1" ht="13.5" hidden="1" customHeight="1" outlineLevel="1" x14ac:dyDescent="0.3">
      <c r="A731" s="290">
        <f t="shared" si="96"/>
        <v>0</v>
      </c>
      <c r="B731" s="49"/>
      <c r="C731" s="49"/>
      <c r="D731" s="140" t="s">
        <v>859</v>
      </c>
      <c r="E731" s="49" t="str">
        <f>VLOOKUP(D731,'03. Insumos'!A:D,2,0)</f>
        <v>Acabamento de registro linha Spin 1/2 a 3/4</v>
      </c>
      <c r="F731" s="52"/>
      <c r="G731" s="52" t="str">
        <f>VLOOKUP(D731,'03. Insumos'!A:F,3,0)</f>
        <v>unid</v>
      </c>
      <c r="H731" s="53">
        <v>1</v>
      </c>
      <c r="I731" s="141"/>
      <c r="J731" s="54">
        <f t="shared" si="104"/>
        <v>170.05</v>
      </c>
      <c r="K731" s="54">
        <f>IF(A731=0,VLOOKUP(D731,'03. Insumos'!A:F,4,0),"")</f>
        <v>170.05</v>
      </c>
      <c r="L731" s="274">
        <f t="shared" si="105"/>
        <v>0</v>
      </c>
      <c r="M731" s="153">
        <f t="shared" si="95"/>
        <v>0</v>
      </c>
      <c r="O731" s="148"/>
      <c r="R731" s="12"/>
    </row>
    <row r="732" spans="1:18" s="51" customFormat="1" ht="13.5" hidden="1" customHeight="1" outlineLevel="1" x14ac:dyDescent="0.3">
      <c r="A732" s="290">
        <f t="shared" si="96"/>
        <v>0</v>
      </c>
      <c r="B732" s="49"/>
      <c r="C732" s="49"/>
      <c r="D732" s="140" t="s">
        <v>860</v>
      </c>
      <c r="E732" s="49" t="str">
        <f>VLOOKUP(D732,'03. Insumos'!A:D,2,0)</f>
        <v xml:space="preserve">Sifão para Cozinha 11/2"X11/2" Cromado </v>
      </c>
      <c r="F732" s="52"/>
      <c r="G732" s="52" t="str">
        <f>VLOOKUP(D732,'03. Insumos'!A:F,3,0)</f>
        <v>unid</v>
      </c>
      <c r="H732" s="53">
        <v>1</v>
      </c>
      <c r="I732" s="141"/>
      <c r="J732" s="54">
        <f t="shared" si="104"/>
        <v>77.63</v>
      </c>
      <c r="K732" s="54">
        <f>IF(A732=0,VLOOKUP(D732,'03. Insumos'!A:F,4,0),"")</f>
        <v>77.63</v>
      </c>
      <c r="L732" s="274">
        <f t="shared" si="105"/>
        <v>0</v>
      </c>
      <c r="M732" s="153">
        <f t="shared" si="95"/>
        <v>0</v>
      </c>
      <c r="O732" s="148"/>
      <c r="R732" s="12"/>
    </row>
    <row r="733" spans="1:18" s="51" customFormat="1" ht="13.5" hidden="1" customHeight="1" outlineLevel="1" x14ac:dyDescent="0.3">
      <c r="A733" s="290">
        <f t="shared" si="96"/>
        <v>0</v>
      </c>
      <c r="B733" s="49"/>
      <c r="C733" s="49"/>
      <c r="D733" s="140" t="s">
        <v>872</v>
      </c>
      <c r="E733" s="49" t="str">
        <f>VLOOKUP(D733,'03. Insumos'!A:D,2,0)</f>
        <v>Válvula americana para pia de cozinha</v>
      </c>
      <c r="F733" s="52"/>
      <c r="G733" s="52" t="str">
        <f>VLOOKUP(D733,'03. Insumos'!A:F,3,0)</f>
        <v>unid</v>
      </c>
      <c r="H733" s="53">
        <v>1</v>
      </c>
      <c r="I733" s="141"/>
      <c r="J733" s="54">
        <f t="shared" si="104"/>
        <v>36.18</v>
      </c>
      <c r="K733" s="54">
        <f>IF(A733=0,VLOOKUP(D733,'03. Insumos'!A:F,4,0),"")</f>
        <v>36.18</v>
      </c>
      <c r="L733" s="274">
        <f t="shared" si="105"/>
        <v>0</v>
      </c>
      <c r="M733" s="153">
        <f t="shared" si="95"/>
        <v>0</v>
      </c>
      <c r="O733" s="148"/>
      <c r="R733" s="12"/>
    </row>
    <row r="734" spans="1:18" s="51" customFormat="1" ht="13.5" hidden="1" customHeight="1" outlineLevel="1" x14ac:dyDescent="0.3">
      <c r="A734" s="290">
        <f t="shared" si="96"/>
        <v>0</v>
      </c>
      <c r="B734" s="49"/>
      <c r="C734" s="49"/>
      <c r="D734" s="140" t="s">
        <v>856</v>
      </c>
      <c r="E734" s="49" t="str">
        <f>VLOOKUP(D734,'03. Insumos'!A:D,2,0)</f>
        <v>Flexível 40 cm</v>
      </c>
      <c r="F734" s="52"/>
      <c r="G734" s="52" t="str">
        <f>VLOOKUP(D734,'03. Insumos'!A:F,3,0)</f>
        <v>unid</v>
      </c>
      <c r="H734" s="53">
        <v>1</v>
      </c>
      <c r="I734" s="141"/>
      <c r="J734" s="54">
        <f t="shared" si="104"/>
        <v>16.2</v>
      </c>
      <c r="K734" s="54">
        <f>IF(A734=0,VLOOKUP(D734,'03. Insumos'!A:F,4,0),"")</f>
        <v>16.2</v>
      </c>
      <c r="L734" s="274">
        <f t="shared" si="105"/>
        <v>0</v>
      </c>
      <c r="M734" s="153">
        <f t="shared" si="95"/>
        <v>0</v>
      </c>
      <c r="O734" s="148"/>
      <c r="R734" s="12"/>
    </row>
    <row r="735" spans="1:18" s="51" customFormat="1" ht="13.5" hidden="1" customHeight="1" outlineLevel="1" x14ac:dyDescent="0.3">
      <c r="A735" s="290">
        <f t="shared" si="96"/>
        <v>6</v>
      </c>
      <c r="B735" s="49"/>
      <c r="C735" s="55" t="s">
        <v>1548</v>
      </c>
      <c r="D735" s="55" t="s">
        <v>1549</v>
      </c>
      <c r="E735" s="49"/>
      <c r="F735" s="52"/>
      <c r="G735" s="52"/>
      <c r="H735" s="53"/>
      <c r="I735" s="141"/>
      <c r="J735" s="54"/>
      <c r="K735" s="54"/>
      <c r="L735" s="58">
        <f>SUM(L736:L748)</f>
        <v>0</v>
      </c>
      <c r="M735" s="153">
        <f t="shared" si="95"/>
        <v>0</v>
      </c>
      <c r="O735" s="148"/>
      <c r="R735" s="12"/>
    </row>
    <row r="736" spans="1:18" s="51" customFormat="1" ht="13.5" hidden="1" customHeight="1" outlineLevel="1" x14ac:dyDescent="0.3">
      <c r="A736" s="290">
        <f t="shared" si="96"/>
        <v>0</v>
      </c>
      <c r="B736" s="49"/>
      <c r="C736" s="55"/>
      <c r="D736" s="140" t="s">
        <v>848</v>
      </c>
      <c r="E736" s="49" t="str">
        <f>VLOOKUP(D736,'03. Insumos'!A:D,2,0)</f>
        <v>Bacia convencional linha Duna P7.17</v>
      </c>
      <c r="F736" s="52"/>
      <c r="G736" s="52" t="str">
        <f>VLOOKUP(D736,'03. Insumos'!A:F,3,0)</f>
        <v>unid</v>
      </c>
      <c r="H736" s="53">
        <v>1</v>
      </c>
      <c r="I736" s="141"/>
      <c r="J736" s="54">
        <f t="shared" ref="J736:J748" si="106">IFERROR(IF(K736&lt;&gt;0,K736*$K$5,0),0)</f>
        <v>266.5</v>
      </c>
      <c r="K736" s="54">
        <f>IF(A736=0,VLOOKUP(D736,'03. Insumos'!A:F,4,0),"")</f>
        <v>266.5</v>
      </c>
      <c r="L736" s="274">
        <f t="shared" ref="L736:L748" si="107">H736*J736*I736</f>
        <v>0</v>
      </c>
      <c r="M736" s="153">
        <f t="shared" si="95"/>
        <v>0</v>
      </c>
      <c r="O736" s="148"/>
      <c r="R736" s="12"/>
    </row>
    <row r="737" spans="1:18" s="51" customFormat="1" ht="13.5" hidden="1" customHeight="1" outlineLevel="1" x14ac:dyDescent="0.3">
      <c r="A737" s="290">
        <f t="shared" si="96"/>
        <v>0</v>
      </c>
      <c r="B737" s="49"/>
      <c r="C737" s="55"/>
      <c r="D737" s="140" t="s">
        <v>863</v>
      </c>
      <c r="E737" s="49" t="str">
        <f>VLOOKUP(D737,'03. Insumos'!A:D,2,0)</f>
        <v>Cuba quadrada de embutir L701</v>
      </c>
      <c r="F737" s="52"/>
      <c r="G737" s="52" t="str">
        <f>VLOOKUP(D737,'03. Insumos'!A:F,3,0)</f>
        <v>unid</v>
      </c>
      <c r="H737" s="53">
        <v>1</v>
      </c>
      <c r="I737" s="141"/>
      <c r="J737" s="54">
        <f t="shared" si="106"/>
        <v>300.31</v>
      </c>
      <c r="K737" s="54">
        <f>IF(A737=0,VLOOKUP(D737,'03. Insumos'!A:F,4,0),"")</f>
        <v>300.31</v>
      </c>
      <c r="L737" s="274">
        <f t="shared" si="107"/>
        <v>0</v>
      </c>
      <c r="M737" s="153">
        <f t="shared" si="95"/>
        <v>0</v>
      </c>
      <c r="O737" s="148"/>
      <c r="R737" s="12"/>
    </row>
    <row r="738" spans="1:18" s="51" customFormat="1" ht="13.5" hidden="1" customHeight="1" outlineLevel="1" x14ac:dyDescent="0.3">
      <c r="A738" s="290">
        <f t="shared" si="96"/>
        <v>0</v>
      </c>
      <c r="B738" s="49"/>
      <c r="C738" s="55"/>
      <c r="D738" s="140" t="s">
        <v>864</v>
      </c>
      <c r="E738" s="49" t="str">
        <f>VLOOKUP(D738,'03. Insumos'!A:D,2,0)</f>
        <v>Misturador lavatório mesa bica alta linha Polo clássica 1877 C32</v>
      </c>
      <c r="F738" s="52"/>
      <c r="G738" s="52" t="str">
        <f>VLOOKUP(D738,'03. Insumos'!A:F,3,0)</f>
        <v>unid</v>
      </c>
      <c r="H738" s="53">
        <v>1</v>
      </c>
      <c r="I738" s="141"/>
      <c r="J738" s="54">
        <f t="shared" si="106"/>
        <v>476.08</v>
      </c>
      <c r="K738" s="54">
        <f>IF(A738=0,VLOOKUP(D738,'03. Insumos'!A:F,4,0),"")</f>
        <v>476.08</v>
      </c>
      <c r="L738" s="274">
        <f t="shared" si="107"/>
        <v>0</v>
      </c>
      <c r="M738" s="153">
        <f t="shared" si="95"/>
        <v>0</v>
      </c>
      <c r="O738" s="148"/>
      <c r="R738" s="12"/>
    </row>
    <row r="739" spans="1:18" s="51" customFormat="1" ht="13.5" hidden="1" customHeight="1" outlineLevel="1" x14ac:dyDescent="0.3">
      <c r="A739" s="290">
        <f t="shared" si="96"/>
        <v>0</v>
      </c>
      <c r="B739" s="49"/>
      <c r="C739" s="55"/>
      <c r="D739" s="140" t="s">
        <v>850</v>
      </c>
      <c r="E739" s="49" t="str">
        <f>VLOOKUP(D739,'03. Insumos'!A:D,2,0)</f>
        <v>Válvula de descarga Hydra Plus Deca 2555 C114</v>
      </c>
      <c r="F739" s="52"/>
      <c r="G739" s="52" t="str">
        <f>VLOOKUP(D739,'03. Insumos'!A:F,3,0)</f>
        <v>unid</v>
      </c>
      <c r="H739" s="53">
        <v>1</v>
      </c>
      <c r="I739" s="141"/>
      <c r="J739" s="54">
        <f t="shared" si="106"/>
        <v>226.05</v>
      </c>
      <c r="K739" s="54">
        <f>IF(A739=0,VLOOKUP(D739,'03. Insumos'!A:F,4,0),"")</f>
        <v>226.05</v>
      </c>
      <c r="L739" s="274">
        <f t="shared" si="107"/>
        <v>0</v>
      </c>
      <c r="M739" s="153">
        <f t="shared" si="95"/>
        <v>0</v>
      </c>
      <c r="O739" s="148"/>
      <c r="R739" s="12"/>
    </row>
    <row r="740" spans="1:18" s="51" customFormat="1" ht="13.5" hidden="1" customHeight="1" outlineLevel="1" x14ac:dyDescent="0.3">
      <c r="A740" s="290">
        <f t="shared" si="96"/>
        <v>0</v>
      </c>
      <c r="B740" s="49"/>
      <c r="C740" s="55"/>
      <c r="D740" s="140" t="s">
        <v>865</v>
      </c>
      <c r="E740" s="49" t="str">
        <f>VLOOKUP(D740,'03. Insumos'!A:D,2,0)</f>
        <v>Chuveiro Acqua plus sem tubo 1990CST</v>
      </c>
      <c r="F740" s="52"/>
      <c r="G740" s="52" t="str">
        <f>VLOOKUP(D740,'03. Insumos'!A:F,3,0)</f>
        <v>unid</v>
      </c>
      <c r="H740" s="53">
        <v>1</v>
      </c>
      <c r="I740" s="141"/>
      <c r="J740" s="54">
        <f t="shared" si="106"/>
        <v>309.69</v>
      </c>
      <c r="K740" s="54">
        <f>IF(A740=0,VLOOKUP(D740,'03. Insumos'!A:F,4,0),"")</f>
        <v>309.69</v>
      </c>
      <c r="L740" s="274">
        <f t="shared" si="107"/>
        <v>0</v>
      </c>
      <c r="M740" s="153">
        <f t="shared" si="95"/>
        <v>0</v>
      </c>
      <c r="O740" s="148"/>
      <c r="R740" s="12"/>
    </row>
    <row r="741" spans="1:18" s="51" customFormat="1" ht="13.5" hidden="1" customHeight="1" outlineLevel="1" x14ac:dyDescent="0.3">
      <c r="A741" s="290">
        <f t="shared" si="96"/>
        <v>0</v>
      </c>
      <c r="B741" s="49"/>
      <c r="C741" s="55"/>
      <c r="D741" s="140" t="s">
        <v>866</v>
      </c>
      <c r="E741" s="49" t="str">
        <f>VLOOKUP(D741,'03. Insumos'!A:D,2,0)</f>
        <v>Ducha Higiênica linha polo clássica 1984.C32.ACT.CR</v>
      </c>
      <c r="F741" s="52"/>
      <c r="G741" s="52" t="str">
        <f>VLOOKUP(D741,'03. Insumos'!A:F,3,0)</f>
        <v>unid</v>
      </c>
      <c r="H741" s="53">
        <v>1</v>
      </c>
      <c r="I741" s="141"/>
      <c r="J741" s="54">
        <f t="shared" si="106"/>
        <v>219.73</v>
      </c>
      <c r="K741" s="54">
        <f>IF(A741=0,VLOOKUP(D741,'03. Insumos'!A:F,4,0),"")</f>
        <v>219.73</v>
      </c>
      <c r="L741" s="274">
        <f t="shared" si="107"/>
        <v>0</v>
      </c>
      <c r="M741" s="153">
        <f t="shared" si="95"/>
        <v>0</v>
      </c>
      <c r="O741" s="148"/>
      <c r="R741" s="12"/>
    </row>
    <row r="742" spans="1:18" s="51" customFormat="1" ht="13.5" hidden="1" customHeight="1" outlineLevel="1" x14ac:dyDescent="0.3">
      <c r="A742" s="290">
        <f t="shared" si="96"/>
        <v>0</v>
      </c>
      <c r="B742" s="49"/>
      <c r="C742" s="55"/>
      <c r="D742" s="140" t="s">
        <v>851</v>
      </c>
      <c r="E742" s="49" t="str">
        <f>VLOOKUP(D742,'03. Insumos'!A:D,2,0)</f>
        <v>Acabamento de registro linha Polo Classica 1/2 a 3/4</v>
      </c>
      <c r="F742" s="52"/>
      <c r="G742" s="52" t="str">
        <f>VLOOKUP(D742,'03. Insumos'!A:F,3,0)</f>
        <v>unid</v>
      </c>
      <c r="H742" s="53">
        <v>1</v>
      </c>
      <c r="I742" s="141"/>
      <c r="J742" s="54">
        <f t="shared" si="106"/>
        <v>120.82</v>
      </c>
      <c r="K742" s="54">
        <f>IF(A742=0,VLOOKUP(D742,'03. Insumos'!A:F,4,0),"")</f>
        <v>120.82</v>
      </c>
      <c r="L742" s="274">
        <f t="shared" si="107"/>
        <v>0</v>
      </c>
      <c r="M742" s="153">
        <f t="shared" si="95"/>
        <v>0</v>
      </c>
      <c r="O742" s="148"/>
      <c r="R742" s="12"/>
    </row>
    <row r="743" spans="1:18" s="51" customFormat="1" ht="13.5" hidden="1" customHeight="1" outlineLevel="1" x14ac:dyDescent="0.3">
      <c r="A743" s="290">
        <f t="shared" si="96"/>
        <v>0</v>
      </c>
      <c r="B743" s="49"/>
      <c r="C743" s="55"/>
      <c r="D743" s="140" t="s">
        <v>852</v>
      </c>
      <c r="E743" s="49" t="str">
        <f>VLOOKUP(D743,'03. Insumos'!A:D,2,0)</f>
        <v>Sifão para lavatório 1 x 11/2</v>
      </c>
      <c r="F743" s="52"/>
      <c r="G743" s="52" t="str">
        <f>VLOOKUP(D743,'03. Insumos'!A:F,3,0)</f>
        <v>unid</v>
      </c>
      <c r="H743" s="53">
        <v>1</v>
      </c>
      <c r="I743" s="141"/>
      <c r="J743" s="54">
        <f t="shared" si="106"/>
        <v>72.400000000000006</v>
      </c>
      <c r="K743" s="54">
        <f>IF(A743=0,VLOOKUP(D743,'03. Insumos'!A:F,4,0),"")</f>
        <v>72.400000000000006</v>
      </c>
      <c r="L743" s="274">
        <f t="shared" si="107"/>
        <v>0</v>
      </c>
      <c r="M743" s="153">
        <f t="shared" si="95"/>
        <v>0</v>
      </c>
      <c r="O743" s="148"/>
      <c r="R743" s="12"/>
    </row>
    <row r="744" spans="1:18" s="51" customFormat="1" ht="13.5" hidden="1" customHeight="1" outlineLevel="1" x14ac:dyDescent="0.3">
      <c r="A744" s="290">
        <f t="shared" si="96"/>
        <v>0</v>
      </c>
      <c r="B744" s="49"/>
      <c r="C744" s="55"/>
      <c r="D744" s="140" t="s">
        <v>853</v>
      </c>
      <c r="E744" s="49" t="str">
        <f>VLOOKUP(D744,'03. Insumos'!A:D,2,0)</f>
        <v>Válvula para lavatório</v>
      </c>
      <c r="F744" s="52"/>
      <c r="G744" s="52" t="str">
        <f>VLOOKUP(D744,'03. Insumos'!A:F,3,0)</f>
        <v>unid</v>
      </c>
      <c r="H744" s="53">
        <v>1</v>
      </c>
      <c r="I744" s="141"/>
      <c r="J744" s="54">
        <f t="shared" si="106"/>
        <v>16.57</v>
      </c>
      <c r="K744" s="54">
        <f>IF(A744=0,VLOOKUP(D744,'03. Insumos'!A:F,4,0),"")</f>
        <v>16.57</v>
      </c>
      <c r="L744" s="274">
        <f t="shared" si="107"/>
        <v>0</v>
      </c>
      <c r="M744" s="153">
        <f t="shared" si="95"/>
        <v>0</v>
      </c>
      <c r="O744" s="148"/>
      <c r="R744" s="12"/>
    </row>
    <row r="745" spans="1:18" s="51" customFormat="1" ht="13.5" hidden="1" customHeight="1" outlineLevel="1" x14ac:dyDescent="0.3">
      <c r="A745" s="290">
        <f t="shared" si="96"/>
        <v>0</v>
      </c>
      <c r="B745" s="49"/>
      <c r="C745" s="55"/>
      <c r="D745" s="140" t="s">
        <v>854</v>
      </c>
      <c r="E745" s="49" t="str">
        <f>VLOOKUP(D745,'03. Insumos'!A:D,2,0)</f>
        <v>Ralo 15 x 15</v>
      </c>
      <c r="F745" s="52"/>
      <c r="G745" s="52" t="str">
        <f>VLOOKUP(D745,'03. Insumos'!A:F,3,0)</f>
        <v>unid</v>
      </c>
      <c r="H745" s="53">
        <v>1</v>
      </c>
      <c r="I745" s="141"/>
      <c r="J745" s="54">
        <f t="shared" si="106"/>
        <v>75.59</v>
      </c>
      <c r="K745" s="54">
        <f>IF(A745=0,VLOOKUP(D745,'03. Insumos'!A:F,4,0),"")</f>
        <v>75.59</v>
      </c>
      <c r="L745" s="274">
        <f t="shared" si="107"/>
        <v>0</v>
      </c>
      <c r="M745" s="153">
        <f t="shared" ref="M745:M807" si="108">L745/$L$7</f>
        <v>0</v>
      </c>
      <c r="O745" s="148"/>
      <c r="R745" s="12"/>
    </row>
    <row r="746" spans="1:18" s="51" customFormat="1" ht="13.5" hidden="1" customHeight="1" outlineLevel="1" x14ac:dyDescent="0.3">
      <c r="A746" s="290">
        <f t="shared" si="96"/>
        <v>0</v>
      </c>
      <c r="B746" s="49"/>
      <c r="C746" s="55"/>
      <c r="D746" s="140" t="s">
        <v>855</v>
      </c>
      <c r="E746" s="49" t="str">
        <f>VLOOKUP(D746,'03. Insumos'!A:D,2,0)</f>
        <v>Anel de vedação para bacia sanitária</v>
      </c>
      <c r="F746" s="52"/>
      <c r="G746" s="52" t="str">
        <f>VLOOKUP(D746,'03. Insumos'!A:F,3,0)</f>
        <v>unid</v>
      </c>
      <c r="H746" s="53">
        <v>1</v>
      </c>
      <c r="I746" s="141"/>
      <c r="J746" s="54">
        <f t="shared" si="106"/>
        <v>19.79</v>
      </c>
      <c r="K746" s="54">
        <f>IF(A746=0,VLOOKUP(D746,'03. Insumos'!A:F,4,0),"")</f>
        <v>19.79</v>
      </c>
      <c r="L746" s="274">
        <f t="shared" si="107"/>
        <v>0</v>
      </c>
      <c r="M746" s="153">
        <f t="shared" si="108"/>
        <v>0</v>
      </c>
      <c r="O746" s="148"/>
      <c r="R746" s="12"/>
    </row>
    <row r="747" spans="1:18" s="51" customFormat="1" ht="13.5" hidden="1" customHeight="1" outlineLevel="1" x14ac:dyDescent="0.3">
      <c r="A747" s="290">
        <f t="shared" si="96"/>
        <v>0</v>
      </c>
      <c r="B747" s="49"/>
      <c r="C747" s="55"/>
      <c r="D747" s="140" t="s">
        <v>856</v>
      </c>
      <c r="E747" s="49" t="str">
        <f>VLOOKUP(D747,'03. Insumos'!A:D,2,0)</f>
        <v>Flexível 40 cm</v>
      </c>
      <c r="F747" s="52"/>
      <c r="G747" s="52" t="str">
        <f>VLOOKUP(D747,'03. Insumos'!A:F,3,0)</f>
        <v>unid</v>
      </c>
      <c r="H747" s="53">
        <v>1</v>
      </c>
      <c r="I747" s="141"/>
      <c r="J747" s="54">
        <f t="shared" si="106"/>
        <v>16.2</v>
      </c>
      <c r="K747" s="54">
        <f>IF(A747=0,VLOOKUP(D747,'03. Insumos'!A:F,4,0),"")</f>
        <v>16.2</v>
      </c>
      <c r="L747" s="274">
        <f t="shared" si="107"/>
        <v>0</v>
      </c>
      <c r="M747" s="153">
        <f t="shared" si="108"/>
        <v>0</v>
      </c>
      <c r="O747" s="148"/>
      <c r="R747" s="12"/>
    </row>
    <row r="748" spans="1:18" s="51" customFormat="1" ht="13.5" hidden="1" customHeight="1" outlineLevel="1" x14ac:dyDescent="0.3">
      <c r="A748" s="290">
        <f t="shared" si="96"/>
        <v>0</v>
      </c>
      <c r="B748" s="49"/>
      <c r="C748" s="55"/>
      <c r="D748" s="140" t="s">
        <v>867</v>
      </c>
      <c r="E748" s="49" t="str">
        <f>VLOOKUP(D748,'03. Insumos'!A:D,2,0)</f>
        <v>Ralo 10 x 10</v>
      </c>
      <c r="F748" s="52"/>
      <c r="G748" s="52" t="str">
        <f>VLOOKUP(D748,'03. Insumos'!A:F,3,0)</f>
        <v>unid</v>
      </c>
      <c r="H748" s="53">
        <v>1</v>
      </c>
      <c r="I748" s="141"/>
      <c r="J748" s="54">
        <f t="shared" si="106"/>
        <v>95.7</v>
      </c>
      <c r="K748" s="54">
        <f>IF(A748=0,VLOOKUP(D748,'03. Insumos'!A:F,4,0),"")</f>
        <v>95.7</v>
      </c>
      <c r="L748" s="274">
        <f t="shared" si="107"/>
        <v>0</v>
      </c>
      <c r="M748" s="153">
        <f t="shared" si="108"/>
        <v>0</v>
      </c>
      <c r="O748" s="148"/>
      <c r="R748" s="12"/>
    </row>
    <row r="749" spans="1:18" s="51" customFormat="1" ht="13.5" hidden="1" customHeight="1" outlineLevel="1" x14ac:dyDescent="0.3">
      <c r="A749" s="290">
        <f t="shared" si="96"/>
        <v>6</v>
      </c>
      <c r="B749" s="49"/>
      <c r="C749" s="55" t="s">
        <v>1550</v>
      </c>
      <c r="D749" s="55" t="s">
        <v>1551</v>
      </c>
      <c r="E749" s="49"/>
      <c r="F749" s="52"/>
      <c r="G749" s="52"/>
      <c r="H749" s="53"/>
      <c r="I749" s="141"/>
      <c r="J749" s="54"/>
      <c r="K749" s="54"/>
      <c r="L749" s="58">
        <f>SUM(L750:L754)</f>
        <v>0</v>
      </c>
      <c r="M749" s="153">
        <f t="shared" si="108"/>
        <v>0</v>
      </c>
      <c r="O749" s="148"/>
      <c r="R749" s="12"/>
    </row>
    <row r="750" spans="1:18" s="51" customFormat="1" ht="13.5" hidden="1" customHeight="1" outlineLevel="1" x14ac:dyDescent="0.3">
      <c r="A750" s="290">
        <f t="shared" si="96"/>
        <v>0</v>
      </c>
      <c r="B750" s="49"/>
      <c r="C750" s="55"/>
      <c r="D750" s="140" t="s">
        <v>857</v>
      </c>
      <c r="E750" s="49" t="str">
        <f>VLOOKUP(D750,'03. Insumos'!A:D,2,0)</f>
        <v>Cuba Acquario AEX 610</v>
      </c>
      <c r="F750" s="52"/>
      <c r="G750" s="52" t="str">
        <f>VLOOKUP(D750,'03. Insumos'!A:F,3,0)</f>
        <v>unid</v>
      </c>
      <c r="H750" s="53">
        <v>1</v>
      </c>
      <c r="I750" s="141"/>
      <c r="J750" s="54">
        <f>IFERROR(IF(K750&lt;&gt;0,K750*$K$5,0),0)</f>
        <v>2343.92</v>
      </c>
      <c r="K750" s="54">
        <f>IF(A750=0,VLOOKUP(D750,'03. Insumos'!A:F,4,0),"")</f>
        <v>2343.92</v>
      </c>
      <c r="L750" s="274">
        <f>H750*J750*I750</f>
        <v>0</v>
      </c>
      <c r="M750" s="153">
        <f t="shared" si="108"/>
        <v>0</v>
      </c>
      <c r="O750" s="148"/>
      <c r="R750" s="12"/>
    </row>
    <row r="751" spans="1:18" s="51" customFormat="1" ht="13.5" hidden="1" customHeight="1" outlineLevel="1" x14ac:dyDescent="0.3">
      <c r="A751" s="290">
        <f t="shared" si="96"/>
        <v>0</v>
      </c>
      <c r="B751" s="49"/>
      <c r="C751" s="55"/>
      <c r="D751" s="140" t="s">
        <v>868</v>
      </c>
      <c r="E751" s="49" t="str">
        <f>VLOOKUP(D751,'03. Insumos'!A:D,2,0)</f>
        <v>Monocomando de mesa bica móvel linha Spin 2271.C72.CR</v>
      </c>
      <c r="F751" s="52"/>
      <c r="G751" s="52" t="str">
        <f>VLOOKUP(D751,'03. Insumos'!A:F,3,0)</f>
        <v>unid</v>
      </c>
      <c r="H751" s="53">
        <v>1</v>
      </c>
      <c r="I751" s="141"/>
      <c r="J751" s="54">
        <f>IFERROR(IF(K751&lt;&gt;0,K751*$K$5,0),0)</f>
        <v>449.67</v>
      </c>
      <c r="K751" s="54">
        <f>IF(A751=0,VLOOKUP(D751,'03. Insumos'!A:F,4,0),"")</f>
        <v>449.67</v>
      </c>
      <c r="L751" s="274">
        <f>H751*J751*I751</f>
        <v>0</v>
      </c>
      <c r="M751" s="153">
        <f t="shared" si="108"/>
        <v>0</v>
      </c>
      <c r="O751" s="148"/>
      <c r="R751" s="12"/>
    </row>
    <row r="752" spans="1:18" s="51" customFormat="1" ht="13.5" hidden="1" customHeight="1" outlineLevel="1" x14ac:dyDescent="0.3">
      <c r="A752" s="290">
        <f t="shared" si="96"/>
        <v>0</v>
      </c>
      <c r="B752" s="49"/>
      <c r="C752" s="55"/>
      <c r="D752" s="140" t="s">
        <v>859</v>
      </c>
      <c r="E752" s="49" t="str">
        <f>VLOOKUP(D752,'03. Insumos'!A:D,2,0)</f>
        <v>Acabamento de registro linha Spin 1/2 a 3/4</v>
      </c>
      <c r="F752" s="52"/>
      <c r="G752" s="52" t="str">
        <f>VLOOKUP(D752,'03. Insumos'!A:F,3,0)</f>
        <v>unid</v>
      </c>
      <c r="H752" s="53">
        <v>1</v>
      </c>
      <c r="I752" s="141"/>
      <c r="J752" s="54">
        <f>IFERROR(IF(K752&lt;&gt;0,K752*$K$5,0),0)</f>
        <v>170.05</v>
      </c>
      <c r="K752" s="54">
        <f>IF(A752=0,VLOOKUP(D752,'03. Insumos'!A:F,4,0),"")</f>
        <v>170.05</v>
      </c>
      <c r="L752" s="274">
        <f>H752*J752*I752</f>
        <v>0</v>
      </c>
      <c r="M752" s="153">
        <f t="shared" si="108"/>
        <v>0</v>
      </c>
      <c r="O752" s="148"/>
      <c r="R752" s="12"/>
    </row>
    <row r="753" spans="1:18" s="51" customFormat="1" ht="13.5" hidden="1" customHeight="1" outlineLevel="1" x14ac:dyDescent="0.3">
      <c r="A753" s="290">
        <f t="shared" si="96"/>
        <v>0</v>
      </c>
      <c r="B753" s="49"/>
      <c r="C753" s="55"/>
      <c r="D753" s="140" t="s">
        <v>872</v>
      </c>
      <c r="E753" s="49" t="str">
        <f>VLOOKUP(D753,'03. Insumos'!A:D,2,0)</f>
        <v>Válvula americana para pia de cozinha</v>
      </c>
      <c r="F753" s="52"/>
      <c r="G753" s="52" t="str">
        <f>VLOOKUP(D753,'03. Insumos'!A:F,3,0)</f>
        <v>unid</v>
      </c>
      <c r="H753" s="53">
        <v>1</v>
      </c>
      <c r="I753" s="141"/>
      <c r="J753" s="54">
        <f>IFERROR(IF(K753&lt;&gt;0,K753*$K$5,0),0)</f>
        <v>36.18</v>
      </c>
      <c r="K753" s="54">
        <f>IF(A753=0,VLOOKUP(D753,'03. Insumos'!A:F,4,0),"")</f>
        <v>36.18</v>
      </c>
      <c r="L753" s="274">
        <f>H753*J753*I753</f>
        <v>0</v>
      </c>
      <c r="M753" s="153">
        <f t="shared" si="108"/>
        <v>0</v>
      </c>
      <c r="O753" s="148"/>
      <c r="R753" s="12"/>
    </row>
    <row r="754" spans="1:18" s="51" customFormat="1" ht="13.5" hidden="1" customHeight="1" outlineLevel="1" x14ac:dyDescent="0.3">
      <c r="A754" s="290">
        <f t="shared" si="96"/>
        <v>0</v>
      </c>
      <c r="B754" s="49"/>
      <c r="C754" s="55"/>
      <c r="D754" s="140" t="s">
        <v>860</v>
      </c>
      <c r="E754" s="49" t="str">
        <f>VLOOKUP(D754,'03. Insumos'!A:D,2,0)</f>
        <v xml:space="preserve">Sifão para Cozinha 11/2"X11/2" Cromado </v>
      </c>
      <c r="F754" s="52"/>
      <c r="G754" s="52" t="str">
        <f>VLOOKUP(D754,'03. Insumos'!A:F,3,0)</f>
        <v>unid</v>
      </c>
      <c r="H754" s="53">
        <v>1</v>
      </c>
      <c r="I754" s="141"/>
      <c r="J754" s="54">
        <f>IFERROR(IF(K754&lt;&gt;0,K754*$K$5,0),0)</f>
        <v>77.63</v>
      </c>
      <c r="K754" s="54">
        <f>IF(A754=0,VLOOKUP(D754,'03. Insumos'!A:F,4,0),"")</f>
        <v>77.63</v>
      </c>
      <c r="L754" s="274">
        <f>H754*J754*I754</f>
        <v>0</v>
      </c>
      <c r="M754" s="153">
        <f t="shared" si="108"/>
        <v>0</v>
      </c>
      <c r="O754" s="148"/>
      <c r="R754" s="12"/>
    </row>
    <row r="755" spans="1:18" s="51" customFormat="1" ht="13.5" hidden="1" customHeight="1" outlineLevel="1" x14ac:dyDescent="0.3">
      <c r="A755" s="290">
        <f t="shared" si="96"/>
        <v>6</v>
      </c>
      <c r="B755" s="49"/>
      <c r="C755" s="55" t="s">
        <v>1552</v>
      </c>
      <c r="D755" s="55" t="s">
        <v>1553</v>
      </c>
      <c r="E755" s="49"/>
      <c r="F755" s="52"/>
      <c r="G755" s="52"/>
      <c r="H755" s="53"/>
      <c r="I755" s="141"/>
      <c r="J755" s="54"/>
      <c r="K755" s="54"/>
      <c r="L755" s="58">
        <f>SUM(L756:L768)</f>
        <v>0</v>
      </c>
      <c r="M755" s="153">
        <f t="shared" si="108"/>
        <v>0</v>
      </c>
      <c r="O755" s="148"/>
      <c r="R755" s="12"/>
    </row>
    <row r="756" spans="1:18" s="51" customFormat="1" ht="13.5" hidden="1" customHeight="1" outlineLevel="1" x14ac:dyDescent="0.3">
      <c r="A756" s="290">
        <f t="shared" si="96"/>
        <v>0</v>
      </c>
      <c r="B756" s="49"/>
      <c r="C756" s="55"/>
      <c r="D756" s="140" t="s">
        <v>848</v>
      </c>
      <c r="E756" s="49" t="str">
        <f>VLOOKUP(D756,'03. Insumos'!A:D,2,0)</f>
        <v>Bacia convencional linha Duna P7.17</v>
      </c>
      <c r="F756" s="52"/>
      <c r="G756" s="52" t="str">
        <f>VLOOKUP(D756,'03. Insumos'!A:F,3,0)</f>
        <v>unid</v>
      </c>
      <c r="H756" s="53">
        <v>1</v>
      </c>
      <c r="I756" s="141"/>
      <c r="J756" s="54">
        <f t="shared" ref="J756:J768" si="109">IFERROR(IF(K756&lt;&gt;0,K756*$K$5,0),0)</f>
        <v>266.5</v>
      </c>
      <c r="K756" s="54">
        <f>IF(A756=0,VLOOKUP(D756,'03. Insumos'!A:F,4,0),"")</f>
        <v>266.5</v>
      </c>
      <c r="L756" s="274">
        <f t="shared" ref="L756:L768" si="110">H756*J756*I756</f>
        <v>0</v>
      </c>
      <c r="M756" s="153">
        <f t="shared" si="108"/>
        <v>0</v>
      </c>
      <c r="O756" s="148"/>
      <c r="R756" s="12"/>
    </row>
    <row r="757" spans="1:18" s="51" customFormat="1" ht="13.5" hidden="1" customHeight="1" outlineLevel="1" x14ac:dyDescent="0.3">
      <c r="A757" s="290">
        <f t="shared" si="96"/>
        <v>0</v>
      </c>
      <c r="B757" s="49"/>
      <c r="C757" s="55"/>
      <c r="D757" s="140" t="s">
        <v>869</v>
      </c>
      <c r="E757" s="49" t="str">
        <f>VLOOKUP(D757,'03. Insumos'!A:D,2,0)</f>
        <v>Cuba de sobrepor retangular com mesa e válvula oculta L870</v>
      </c>
      <c r="F757" s="52"/>
      <c r="G757" s="52" t="str">
        <f>VLOOKUP(D757,'03. Insumos'!A:F,3,0)</f>
        <v>unid</v>
      </c>
      <c r="H757" s="53">
        <v>1</v>
      </c>
      <c r="I757" s="141"/>
      <c r="J757" s="54">
        <f t="shared" si="109"/>
        <v>843.05</v>
      </c>
      <c r="K757" s="54">
        <f>IF(A757=0,VLOOKUP(D757,'03. Insumos'!A:F,4,0),"")</f>
        <v>843.05</v>
      </c>
      <c r="L757" s="274">
        <f t="shared" si="110"/>
        <v>0</v>
      </c>
      <c r="M757" s="153">
        <f t="shared" si="108"/>
        <v>0</v>
      </c>
      <c r="O757" s="148"/>
      <c r="R757" s="12"/>
    </row>
    <row r="758" spans="1:18" s="51" customFormat="1" ht="13.5" hidden="1" customHeight="1" outlineLevel="1" x14ac:dyDescent="0.3">
      <c r="A758" s="290">
        <f t="shared" si="96"/>
        <v>0</v>
      </c>
      <c r="B758" s="49"/>
      <c r="C758" s="55"/>
      <c r="D758" s="140" t="s">
        <v>864</v>
      </c>
      <c r="E758" s="49" t="str">
        <f>VLOOKUP(D758,'03. Insumos'!A:D,2,0)</f>
        <v>Misturador lavatório mesa bica alta linha Polo clássica 1877 C32</v>
      </c>
      <c r="F758" s="52"/>
      <c r="G758" s="52" t="str">
        <f>VLOOKUP(D758,'03. Insumos'!A:F,3,0)</f>
        <v>unid</v>
      </c>
      <c r="H758" s="53">
        <v>1</v>
      </c>
      <c r="I758" s="141"/>
      <c r="J758" s="54">
        <f t="shared" si="109"/>
        <v>476.08</v>
      </c>
      <c r="K758" s="54">
        <f>IF(A758=0,VLOOKUP(D758,'03. Insumos'!A:F,4,0),"")</f>
        <v>476.08</v>
      </c>
      <c r="L758" s="274">
        <f t="shared" si="110"/>
        <v>0</v>
      </c>
      <c r="M758" s="153">
        <f t="shared" si="108"/>
        <v>0</v>
      </c>
      <c r="O758" s="148"/>
      <c r="R758" s="12"/>
    </row>
    <row r="759" spans="1:18" s="51" customFormat="1" ht="13.5" hidden="1" customHeight="1" outlineLevel="1" x14ac:dyDescent="0.3">
      <c r="A759" s="290">
        <f t="shared" si="96"/>
        <v>0</v>
      </c>
      <c r="B759" s="49"/>
      <c r="C759" s="55"/>
      <c r="D759" s="140" t="s">
        <v>850</v>
      </c>
      <c r="E759" s="49" t="str">
        <f>VLOOKUP(D759,'03. Insumos'!A:D,2,0)</f>
        <v>Válvula de descarga Hydra Plus Deca 2555 C114</v>
      </c>
      <c r="F759" s="52"/>
      <c r="G759" s="52" t="str">
        <f>VLOOKUP(D759,'03. Insumos'!A:F,3,0)</f>
        <v>unid</v>
      </c>
      <c r="H759" s="53">
        <v>1</v>
      </c>
      <c r="I759" s="141"/>
      <c r="J759" s="54">
        <f t="shared" si="109"/>
        <v>226.05</v>
      </c>
      <c r="K759" s="54">
        <f>IF(A759=0,VLOOKUP(D759,'03. Insumos'!A:F,4,0),"")</f>
        <v>226.05</v>
      </c>
      <c r="L759" s="274">
        <f t="shared" si="110"/>
        <v>0</v>
      </c>
      <c r="M759" s="153">
        <f t="shared" si="108"/>
        <v>0</v>
      </c>
      <c r="O759" s="148"/>
      <c r="R759" s="12"/>
    </row>
    <row r="760" spans="1:18" s="51" customFormat="1" ht="13.5" hidden="1" customHeight="1" outlineLevel="1" x14ac:dyDescent="0.3">
      <c r="A760" s="290">
        <f t="shared" si="96"/>
        <v>0</v>
      </c>
      <c r="B760" s="49"/>
      <c r="C760" s="55"/>
      <c r="D760" s="140" t="s">
        <v>865</v>
      </c>
      <c r="E760" s="49" t="str">
        <f>VLOOKUP(D760,'03. Insumos'!A:D,2,0)</f>
        <v>Chuveiro Acqua plus sem tubo 1990CST</v>
      </c>
      <c r="F760" s="52"/>
      <c r="G760" s="52" t="str">
        <f>VLOOKUP(D760,'03. Insumos'!A:F,3,0)</f>
        <v>unid</v>
      </c>
      <c r="H760" s="53">
        <v>1</v>
      </c>
      <c r="I760" s="141"/>
      <c r="J760" s="54">
        <f t="shared" si="109"/>
        <v>309.69</v>
      </c>
      <c r="K760" s="54">
        <f>IF(A760=0,VLOOKUP(D760,'03. Insumos'!A:F,4,0),"")</f>
        <v>309.69</v>
      </c>
      <c r="L760" s="274">
        <f t="shared" si="110"/>
        <v>0</v>
      </c>
      <c r="M760" s="153">
        <f t="shared" si="108"/>
        <v>0</v>
      </c>
      <c r="O760" s="148"/>
      <c r="R760" s="12"/>
    </row>
    <row r="761" spans="1:18" s="51" customFormat="1" ht="13.5" hidden="1" customHeight="1" outlineLevel="1" x14ac:dyDescent="0.3">
      <c r="A761" s="290">
        <f t="shared" si="96"/>
        <v>0</v>
      </c>
      <c r="B761" s="49"/>
      <c r="C761" s="55"/>
      <c r="D761" s="140" t="s">
        <v>866</v>
      </c>
      <c r="E761" s="49" t="str">
        <f>VLOOKUP(D761,'03. Insumos'!A:D,2,0)</f>
        <v>Ducha Higiênica linha polo clássica 1984.C32.ACT.CR</v>
      </c>
      <c r="F761" s="52"/>
      <c r="G761" s="52" t="str">
        <f>VLOOKUP(D761,'03. Insumos'!A:F,3,0)</f>
        <v>unid</v>
      </c>
      <c r="H761" s="53">
        <v>1</v>
      </c>
      <c r="I761" s="141"/>
      <c r="J761" s="54">
        <f t="shared" si="109"/>
        <v>219.73</v>
      </c>
      <c r="K761" s="54">
        <f>IF(A761=0,VLOOKUP(D761,'03. Insumos'!A:F,4,0),"")</f>
        <v>219.73</v>
      </c>
      <c r="L761" s="274">
        <f t="shared" si="110"/>
        <v>0</v>
      </c>
      <c r="M761" s="153">
        <f t="shared" si="108"/>
        <v>0</v>
      </c>
      <c r="O761" s="148"/>
      <c r="R761" s="12"/>
    </row>
    <row r="762" spans="1:18" s="51" customFormat="1" ht="13.5" hidden="1" customHeight="1" outlineLevel="1" x14ac:dyDescent="0.3">
      <c r="A762" s="290">
        <f t="shared" si="96"/>
        <v>0</v>
      </c>
      <c r="B762" s="49"/>
      <c r="C762" s="55"/>
      <c r="D762" s="140" t="s">
        <v>851</v>
      </c>
      <c r="E762" s="49" t="str">
        <f>VLOOKUP(D762,'03. Insumos'!A:D,2,0)</f>
        <v>Acabamento de registro linha Polo Classica 1/2 a 3/4</v>
      </c>
      <c r="F762" s="52"/>
      <c r="G762" s="52" t="str">
        <f>VLOOKUP(D762,'03. Insumos'!A:F,3,0)</f>
        <v>unid</v>
      </c>
      <c r="H762" s="53">
        <v>1</v>
      </c>
      <c r="I762" s="141"/>
      <c r="J762" s="54">
        <f t="shared" si="109"/>
        <v>120.82</v>
      </c>
      <c r="K762" s="54">
        <f>IF(A762=0,VLOOKUP(D762,'03. Insumos'!A:F,4,0),"")</f>
        <v>120.82</v>
      </c>
      <c r="L762" s="274">
        <f t="shared" si="110"/>
        <v>0</v>
      </c>
      <c r="M762" s="153">
        <f t="shared" si="108"/>
        <v>0</v>
      </c>
      <c r="O762" s="148"/>
      <c r="R762" s="12"/>
    </row>
    <row r="763" spans="1:18" s="51" customFormat="1" ht="13.5" hidden="1" customHeight="1" outlineLevel="1" x14ac:dyDescent="0.3">
      <c r="A763" s="290">
        <f t="shared" si="96"/>
        <v>0</v>
      </c>
      <c r="B763" s="49"/>
      <c r="C763" s="55"/>
      <c r="D763" s="140" t="s">
        <v>852</v>
      </c>
      <c r="E763" s="49" t="str">
        <f>VLOOKUP(D763,'03. Insumos'!A:D,2,0)</f>
        <v>Sifão para lavatório 1 x 11/2</v>
      </c>
      <c r="F763" s="52"/>
      <c r="G763" s="52" t="str">
        <f>VLOOKUP(D763,'03. Insumos'!A:F,3,0)</f>
        <v>unid</v>
      </c>
      <c r="H763" s="53">
        <v>1</v>
      </c>
      <c r="I763" s="141"/>
      <c r="J763" s="54">
        <f t="shared" si="109"/>
        <v>72.400000000000006</v>
      </c>
      <c r="K763" s="54">
        <f>IF(A763=0,VLOOKUP(D763,'03. Insumos'!A:F,4,0),"")</f>
        <v>72.400000000000006</v>
      </c>
      <c r="L763" s="274">
        <f t="shared" si="110"/>
        <v>0</v>
      </c>
      <c r="M763" s="153">
        <f t="shared" si="108"/>
        <v>0</v>
      </c>
      <c r="O763" s="148"/>
      <c r="R763" s="12"/>
    </row>
    <row r="764" spans="1:18" s="51" customFormat="1" ht="13.5" hidden="1" customHeight="1" outlineLevel="1" x14ac:dyDescent="0.3">
      <c r="A764" s="290">
        <f t="shared" ref="A764:A819" si="111">LEN(C764)</f>
        <v>0</v>
      </c>
      <c r="B764" s="49"/>
      <c r="C764" s="55"/>
      <c r="D764" s="140" t="s">
        <v>853</v>
      </c>
      <c r="E764" s="49" t="str">
        <f>VLOOKUP(D764,'03. Insumos'!A:D,2,0)</f>
        <v>Válvula para lavatório</v>
      </c>
      <c r="F764" s="52"/>
      <c r="G764" s="52" t="str">
        <f>VLOOKUP(D764,'03. Insumos'!A:F,3,0)</f>
        <v>unid</v>
      </c>
      <c r="H764" s="53">
        <v>1</v>
      </c>
      <c r="I764" s="141"/>
      <c r="J764" s="54">
        <f t="shared" si="109"/>
        <v>16.57</v>
      </c>
      <c r="K764" s="54">
        <f>IF(A764=0,VLOOKUP(D764,'03. Insumos'!A:F,4,0),"")</f>
        <v>16.57</v>
      </c>
      <c r="L764" s="274">
        <f t="shared" si="110"/>
        <v>0</v>
      </c>
      <c r="M764" s="153">
        <f t="shared" si="108"/>
        <v>0</v>
      </c>
      <c r="O764" s="148"/>
      <c r="R764" s="12"/>
    </row>
    <row r="765" spans="1:18" s="51" customFormat="1" ht="13.5" hidden="1" customHeight="1" outlineLevel="1" x14ac:dyDescent="0.3">
      <c r="A765" s="290">
        <f t="shared" si="111"/>
        <v>0</v>
      </c>
      <c r="B765" s="49"/>
      <c r="C765" s="55"/>
      <c r="D765" s="140" t="s">
        <v>854</v>
      </c>
      <c r="E765" s="49" t="str">
        <f>VLOOKUP(D765,'03. Insumos'!A:D,2,0)</f>
        <v>Ralo 15 x 15</v>
      </c>
      <c r="F765" s="52"/>
      <c r="G765" s="52" t="str">
        <f>VLOOKUP(D765,'03. Insumos'!A:F,3,0)</f>
        <v>unid</v>
      </c>
      <c r="H765" s="53">
        <v>1</v>
      </c>
      <c r="I765" s="141"/>
      <c r="J765" s="54">
        <f t="shared" si="109"/>
        <v>75.59</v>
      </c>
      <c r="K765" s="54">
        <f>IF(A765=0,VLOOKUP(D765,'03. Insumos'!A:F,4,0),"")</f>
        <v>75.59</v>
      </c>
      <c r="L765" s="274">
        <f t="shared" si="110"/>
        <v>0</v>
      </c>
      <c r="M765" s="153">
        <f t="shared" si="108"/>
        <v>0</v>
      </c>
      <c r="O765" s="148"/>
      <c r="R765" s="12"/>
    </row>
    <row r="766" spans="1:18" s="51" customFormat="1" ht="13.5" hidden="1" customHeight="1" outlineLevel="1" x14ac:dyDescent="0.3">
      <c r="A766" s="290">
        <f t="shared" si="111"/>
        <v>0</v>
      </c>
      <c r="B766" s="49"/>
      <c r="C766" s="55"/>
      <c r="D766" s="140" t="s">
        <v>855</v>
      </c>
      <c r="E766" s="49" t="str">
        <f>VLOOKUP(D766,'03. Insumos'!A:D,2,0)</f>
        <v>Anel de vedação para bacia sanitária</v>
      </c>
      <c r="F766" s="52"/>
      <c r="G766" s="52" t="str">
        <f>VLOOKUP(D766,'03. Insumos'!A:F,3,0)</f>
        <v>unid</v>
      </c>
      <c r="H766" s="53">
        <v>1</v>
      </c>
      <c r="I766" s="141"/>
      <c r="J766" s="54">
        <f t="shared" si="109"/>
        <v>19.79</v>
      </c>
      <c r="K766" s="54">
        <f>IF(A766=0,VLOOKUP(D766,'03. Insumos'!A:F,4,0),"")</f>
        <v>19.79</v>
      </c>
      <c r="L766" s="274">
        <f t="shared" si="110"/>
        <v>0</v>
      </c>
      <c r="M766" s="153">
        <f t="shared" si="108"/>
        <v>0</v>
      </c>
      <c r="O766" s="148"/>
      <c r="R766" s="12"/>
    </row>
    <row r="767" spans="1:18" s="51" customFormat="1" ht="13.5" hidden="1" customHeight="1" outlineLevel="1" x14ac:dyDescent="0.3">
      <c r="A767" s="290">
        <f t="shared" si="111"/>
        <v>0</v>
      </c>
      <c r="B767" s="49"/>
      <c r="C767" s="55"/>
      <c r="D767" s="140" t="s">
        <v>856</v>
      </c>
      <c r="E767" s="49" t="str">
        <f>VLOOKUP(D767,'03. Insumos'!A:D,2,0)</f>
        <v>Flexível 40 cm</v>
      </c>
      <c r="F767" s="52"/>
      <c r="G767" s="52" t="str">
        <f>VLOOKUP(D767,'03. Insumos'!A:F,3,0)</f>
        <v>unid</v>
      </c>
      <c r="H767" s="53">
        <v>1</v>
      </c>
      <c r="I767" s="141"/>
      <c r="J767" s="54">
        <f t="shared" si="109"/>
        <v>16.2</v>
      </c>
      <c r="K767" s="54">
        <f>IF(A767=0,VLOOKUP(D767,'03. Insumos'!A:F,4,0),"")</f>
        <v>16.2</v>
      </c>
      <c r="L767" s="274">
        <f t="shared" si="110"/>
        <v>0</v>
      </c>
      <c r="M767" s="153">
        <f t="shared" si="108"/>
        <v>0</v>
      </c>
      <c r="O767" s="148"/>
      <c r="R767" s="12"/>
    </row>
    <row r="768" spans="1:18" s="51" customFormat="1" ht="13.5" hidden="1" customHeight="1" outlineLevel="1" x14ac:dyDescent="0.3">
      <c r="A768" s="290">
        <f t="shared" si="111"/>
        <v>0</v>
      </c>
      <c r="B768" s="49"/>
      <c r="C768" s="55"/>
      <c r="D768" s="140" t="s">
        <v>867</v>
      </c>
      <c r="E768" s="49" t="str">
        <f>VLOOKUP(D768,'03. Insumos'!A:D,2,0)</f>
        <v>Ralo 10 x 10</v>
      </c>
      <c r="F768" s="52"/>
      <c r="G768" s="52" t="str">
        <f>VLOOKUP(D768,'03. Insumos'!A:F,3,0)</f>
        <v>unid</v>
      </c>
      <c r="H768" s="53">
        <v>1</v>
      </c>
      <c r="I768" s="141"/>
      <c r="J768" s="54">
        <f t="shared" si="109"/>
        <v>95.7</v>
      </c>
      <c r="K768" s="54">
        <f>IF(A768=0,VLOOKUP(D768,'03. Insumos'!A:F,4,0),"")</f>
        <v>95.7</v>
      </c>
      <c r="L768" s="274">
        <f t="shared" si="110"/>
        <v>0</v>
      </c>
      <c r="M768" s="153">
        <f t="shared" si="108"/>
        <v>0</v>
      </c>
      <c r="O768" s="148"/>
      <c r="R768" s="12"/>
    </row>
    <row r="769" spans="1:18" s="51" customFormat="1" ht="13.5" hidden="1" customHeight="1" outlineLevel="1" x14ac:dyDescent="0.3">
      <c r="A769" s="290">
        <f t="shared" si="111"/>
        <v>6</v>
      </c>
      <c r="B769" s="49"/>
      <c r="C769" s="55" t="s">
        <v>1554</v>
      </c>
      <c r="D769" s="55" t="s">
        <v>1555</v>
      </c>
      <c r="E769" s="49"/>
      <c r="F769" s="52"/>
      <c r="G769" s="52"/>
      <c r="H769" s="53"/>
      <c r="I769" s="141"/>
      <c r="J769" s="54"/>
      <c r="K769" s="54"/>
      <c r="L769" s="58">
        <f>SUM(L770:L782)</f>
        <v>0</v>
      </c>
      <c r="M769" s="153">
        <f t="shared" si="108"/>
        <v>0</v>
      </c>
      <c r="O769" s="148"/>
      <c r="R769" s="12"/>
    </row>
    <row r="770" spans="1:18" s="51" customFormat="1" ht="13.5" hidden="1" customHeight="1" outlineLevel="1" x14ac:dyDescent="0.3">
      <c r="A770" s="290">
        <f t="shared" si="111"/>
        <v>0</v>
      </c>
      <c r="B770" s="49"/>
      <c r="C770" s="55"/>
      <c r="D770" s="140" t="s">
        <v>848</v>
      </c>
      <c r="E770" s="49" t="str">
        <f>VLOOKUP(D770,'03. Insumos'!A:D,2,0)</f>
        <v>Bacia convencional linha Duna P7.17</v>
      </c>
      <c r="F770" s="52"/>
      <c r="G770" s="52" t="str">
        <f>VLOOKUP(D770,'03. Insumos'!A:F,3,0)</f>
        <v>unid</v>
      </c>
      <c r="H770" s="53">
        <v>1</v>
      </c>
      <c r="I770" s="141"/>
      <c r="J770" s="54">
        <f t="shared" ref="J770:J782" si="112">IFERROR(IF(K770&lt;&gt;0,K770*$K$5,0),0)</f>
        <v>266.5</v>
      </c>
      <c r="K770" s="54">
        <f>IF(A770=0,VLOOKUP(D770,'03. Insumos'!A:F,4,0),"")</f>
        <v>266.5</v>
      </c>
      <c r="L770" s="274">
        <f t="shared" ref="L770:L782" si="113">H770*J770*I770</f>
        <v>0</v>
      </c>
      <c r="M770" s="153">
        <f t="shared" si="108"/>
        <v>0</v>
      </c>
      <c r="O770" s="148"/>
      <c r="R770" s="12"/>
    </row>
    <row r="771" spans="1:18" s="51" customFormat="1" ht="13.5" hidden="1" customHeight="1" outlineLevel="1" x14ac:dyDescent="0.3">
      <c r="A771" s="290">
        <f t="shared" si="111"/>
        <v>0</v>
      </c>
      <c r="B771" s="49"/>
      <c r="C771" s="55"/>
      <c r="D771" s="140" t="s">
        <v>870</v>
      </c>
      <c r="E771" s="49" t="str">
        <f>VLOOKUP(D771,'03. Insumos'!A:D,2,0)</f>
        <v>Cuba de sobrepor retangular com mesa e válvula oculta L147</v>
      </c>
      <c r="F771" s="52"/>
      <c r="G771" s="52" t="str">
        <f>VLOOKUP(D771,'03. Insumos'!A:F,3,0)</f>
        <v>unid</v>
      </c>
      <c r="H771" s="53">
        <v>1</v>
      </c>
      <c r="I771" s="141"/>
      <c r="J771" s="54">
        <f t="shared" si="112"/>
        <v>924.44</v>
      </c>
      <c r="K771" s="54">
        <f>IF(A771=0,VLOOKUP(D771,'03. Insumos'!A:F,4,0),"")</f>
        <v>924.44</v>
      </c>
      <c r="L771" s="274">
        <f t="shared" si="113"/>
        <v>0</v>
      </c>
      <c r="M771" s="153">
        <f t="shared" si="108"/>
        <v>0</v>
      </c>
      <c r="O771" s="148"/>
      <c r="R771" s="12"/>
    </row>
    <row r="772" spans="1:18" s="51" customFormat="1" ht="13.5" hidden="1" customHeight="1" outlineLevel="1" x14ac:dyDescent="0.3">
      <c r="A772" s="290">
        <f t="shared" si="111"/>
        <v>0</v>
      </c>
      <c r="B772" s="49"/>
      <c r="C772" s="55"/>
      <c r="D772" s="140" t="s">
        <v>864</v>
      </c>
      <c r="E772" s="49" t="str">
        <f>VLOOKUP(D772,'03. Insumos'!A:D,2,0)</f>
        <v>Misturador lavatório mesa bica alta linha Polo clássica 1877 C32</v>
      </c>
      <c r="F772" s="52"/>
      <c r="G772" s="52" t="str">
        <f>VLOOKUP(D772,'03. Insumos'!A:F,3,0)</f>
        <v>unid</v>
      </c>
      <c r="H772" s="53">
        <v>1</v>
      </c>
      <c r="I772" s="141"/>
      <c r="J772" s="54">
        <f t="shared" si="112"/>
        <v>476.08</v>
      </c>
      <c r="K772" s="54">
        <f>IF(A772=0,VLOOKUP(D772,'03. Insumos'!A:F,4,0),"")</f>
        <v>476.08</v>
      </c>
      <c r="L772" s="274">
        <f t="shared" si="113"/>
        <v>0</v>
      </c>
      <c r="M772" s="153">
        <f t="shared" si="108"/>
        <v>0</v>
      </c>
      <c r="O772" s="148"/>
      <c r="R772" s="12"/>
    </row>
    <row r="773" spans="1:18" s="51" customFormat="1" ht="13.5" hidden="1" customHeight="1" outlineLevel="1" x14ac:dyDescent="0.3">
      <c r="A773" s="290">
        <f t="shared" si="111"/>
        <v>0</v>
      </c>
      <c r="B773" s="49"/>
      <c r="C773" s="55"/>
      <c r="D773" s="140" t="s">
        <v>850</v>
      </c>
      <c r="E773" s="49" t="str">
        <f>VLOOKUP(D773,'03. Insumos'!A:D,2,0)</f>
        <v>Válvula de descarga Hydra Plus Deca 2555 C114</v>
      </c>
      <c r="F773" s="52"/>
      <c r="G773" s="52" t="str">
        <f>VLOOKUP(D773,'03. Insumos'!A:F,3,0)</f>
        <v>unid</v>
      </c>
      <c r="H773" s="53">
        <v>1</v>
      </c>
      <c r="I773" s="141"/>
      <c r="J773" s="54">
        <f t="shared" si="112"/>
        <v>226.05</v>
      </c>
      <c r="K773" s="54">
        <f>IF(A773=0,VLOOKUP(D773,'03. Insumos'!A:F,4,0),"")</f>
        <v>226.05</v>
      </c>
      <c r="L773" s="274">
        <f t="shared" si="113"/>
        <v>0</v>
      </c>
      <c r="M773" s="153">
        <f t="shared" si="108"/>
        <v>0</v>
      </c>
      <c r="O773" s="148"/>
      <c r="R773" s="12"/>
    </row>
    <row r="774" spans="1:18" s="51" customFormat="1" ht="13.5" hidden="1" customHeight="1" outlineLevel="1" x14ac:dyDescent="0.3">
      <c r="A774" s="290">
        <f t="shared" si="111"/>
        <v>0</v>
      </c>
      <c r="B774" s="49"/>
      <c r="C774" s="55"/>
      <c r="D774" s="140" t="s">
        <v>865</v>
      </c>
      <c r="E774" s="49" t="str">
        <f>VLOOKUP(D774,'03. Insumos'!A:D,2,0)</f>
        <v>Chuveiro Acqua plus sem tubo 1990CST</v>
      </c>
      <c r="F774" s="52"/>
      <c r="G774" s="52" t="str">
        <f>VLOOKUP(D774,'03. Insumos'!A:F,3,0)</f>
        <v>unid</v>
      </c>
      <c r="H774" s="53">
        <v>1</v>
      </c>
      <c r="I774" s="141"/>
      <c r="J774" s="54">
        <f t="shared" si="112"/>
        <v>309.69</v>
      </c>
      <c r="K774" s="54">
        <f>IF(A774=0,VLOOKUP(D774,'03. Insumos'!A:F,4,0),"")</f>
        <v>309.69</v>
      </c>
      <c r="L774" s="274">
        <f t="shared" si="113"/>
        <v>0</v>
      </c>
      <c r="M774" s="153">
        <f t="shared" si="108"/>
        <v>0</v>
      </c>
      <c r="O774" s="148"/>
      <c r="R774" s="12"/>
    </row>
    <row r="775" spans="1:18" s="51" customFormat="1" ht="13.5" hidden="1" customHeight="1" outlineLevel="1" x14ac:dyDescent="0.3">
      <c r="A775" s="290">
        <f t="shared" si="111"/>
        <v>0</v>
      </c>
      <c r="B775" s="49"/>
      <c r="C775" s="55"/>
      <c r="D775" s="140" t="s">
        <v>866</v>
      </c>
      <c r="E775" s="49" t="str">
        <f>VLOOKUP(D775,'03. Insumos'!A:D,2,0)</f>
        <v>Ducha Higiênica linha polo clássica 1984.C32.ACT.CR</v>
      </c>
      <c r="F775" s="52"/>
      <c r="G775" s="52" t="str">
        <f>VLOOKUP(D775,'03. Insumos'!A:F,3,0)</f>
        <v>unid</v>
      </c>
      <c r="H775" s="53">
        <v>1</v>
      </c>
      <c r="I775" s="141"/>
      <c r="J775" s="54">
        <f t="shared" si="112"/>
        <v>219.73</v>
      </c>
      <c r="K775" s="54">
        <f>IF(A775=0,VLOOKUP(D775,'03. Insumos'!A:F,4,0),"")</f>
        <v>219.73</v>
      </c>
      <c r="L775" s="274">
        <f t="shared" si="113"/>
        <v>0</v>
      </c>
      <c r="M775" s="153">
        <f t="shared" si="108"/>
        <v>0</v>
      </c>
      <c r="O775" s="148"/>
      <c r="R775" s="12"/>
    </row>
    <row r="776" spans="1:18" s="51" customFormat="1" ht="13.5" hidden="1" customHeight="1" outlineLevel="1" x14ac:dyDescent="0.3">
      <c r="A776" s="290">
        <f t="shared" si="111"/>
        <v>0</v>
      </c>
      <c r="B776" s="49"/>
      <c r="C776" s="55"/>
      <c r="D776" s="140" t="s">
        <v>851</v>
      </c>
      <c r="E776" s="49" t="str">
        <f>VLOOKUP(D776,'03. Insumos'!A:D,2,0)</f>
        <v>Acabamento de registro linha Polo Classica 1/2 a 3/4</v>
      </c>
      <c r="F776" s="52"/>
      <c r="G776" s="52" t="str">
        <f>VLOOKUP(D776,'03. Insumos'!A:F,3,0)</f>
        <v>unid</v>
      </c>
      <c r="H776" s="53">
        <v>1</v>
      </c>
      <c r="I776" s="141"/>
      <c r="J776" s="54">
        <f t="shared" si="112"/>
        <v>120.82</v>
      </c>
      <c r="K776" s="54">
        <f>IF(A776=0,VLOOKUP(D776,'03. Insumos'!A:F,4,0),"")</f>
        <v>120.82</v>
      </c>
      <c r="L776" s="274">
        <f t="shared" si="113"/>
        <v>0</v>
      </c>
      <c r="M776" s="153">
        <f t="shared" si="108"/>
        <v>0</v>
      </c>
      <c r="O776" s="148"/>
      <c r="R776" s="12"/>
    </row>
    <row r="777" spans="1:18" s="51" customFormat="1" ht="13.5" hidden="1" customHeight="1" outlineLevel="1" x14ac:dyDescent="0.3">
      <c r="A777" s="290">
        <f t="shared" si="111"/>
        <v>0</v>
      </c>
      <c r="B777" s="49"/>
      <c r="C777" s="55"/>
      <c r="D777" s="140" t="s">
        <v>852</v>
      </c>
      <c r="E777" s="49" t="str">
        <f>VLOOKUP(D777,'03. Insumos'!A:D,2,0)</f>
        <v>Sifão para lavatório 1 x 11/2</v>
      </c>
      <c r="F777" s="52"/>
      <c r="G777" s="52" t="str">
        <f>VLOOKUP(D777,'03. Insumos'!A:F,3,0)</f>
        <v>unid</v>
      </c>
      <c r="H777" s="53">
        <v>1</v>
      </c>
      <c r="I777" s="141"/>
      <c r="J777" s="54">
        <f t="shared" si="112"/>
        <v>72.400000000000006</v>
      </c>
      <c r="K777" s="54">
        <f>IF(A777=0,VLOOKUP(D777,'03. Insumos'!A:F,4,0),"")</f>
        <v>72.400000000000006</v>
      </c>
      <c r="L777" s="274">
        <f t="shared" si="113"/>
        <v>0</v>
      </c>
      <c r="M777" s="153">
        <f t="shared" si="108"/>
        <v>0</v>
      </c>
      <c r="O777" s="148"/>
      <c r="R777" s="12"/>
    </row>
    <row r="778" spans="1:18" s="51" customFormat="1" ht="13.5" hidden="1" customHeight="1" outlineLevel="1" x14ac:dyDescent="0.3">
      <c r="A778" s="290">
        <f t="shared" si="111"/>
        <v>0</v>
      </c>
      <c r="B778" s="49"/>
      <c r="C778" s="55"/>
      <c r="D778" s="140" t="s">
        <v>853</v>
      </c>
      <c r="E778" s="49" t="str">
        <f>VLOOKUP(D778,'03. Insumos'!A:D,2,0)</f>
        <v>Válvula para lavatório</v>
      </c>
      <c r="F778" s="52"/>
      <c r="G778" s="52" t="str">
        <f>VLOOKUP(D778,'03. Insumos'!A:F,3,0)</f>
        <v>unid</v>
      </c>
      <c r="H778" s="53">
        <v>1</v>
      </c>
      <c r="I778" s="141"/>
      <c r="J778" s="54">
        <f t="shared" si="112"/>
        <v>16.57</v>
      </c>
      <c r="K778" s="54">
        <f>IF(A778=0,VLOOKUP(D778,'03. Insumos'!A:F,4,0),"")</f>
        <v>16.57</v>
      </c>
      <c r="L778" s="274">
        <f t="shared" si="113"/>
        <v>0</v>
      </c>
      <c r="M778" s="153">
        <f t="shared" si="108"/>
        <v>0</v>
      </c>
      <c r="O778" s="148"/>
      <c r="R778" s="12"/>
    </row>
    <row r="779" spans="1:18" s="51" customFormat="1" ht="13.5" hidden="1" customHeight="1" outlineLevel="1" x14ac:dyDescent="0.3">
      <c r="A779" s="290">
        <f t="shared" si="111"/>
        <v>0</v>
      </c>
      <c r="B779" s="49"/>
      <c r="C779" s="55"/>
      <c r="D779" s="140" t="s">
        <v>854</v>
      </c>
      <c r="E779" s="49" t="str">
        <f>VLOOKUP(D779,'03. Insumos'!A:D,2,0)</f>
        <v>Ralo 15 x 15</v>
      </c>
      <c r="F779" s="52"/>
      <c r="G779" s="52" t="str">
        <f>VLOOKUP(D779,'03. Insumos'!A:F,3,0)</f>
        <v>unid</v>
      </c>
      <c r="H779" s="53">
        <v>1</v>
      </c>
      <c r="I779" s="141"/>
      <c r="J779" s="54">
        <f t="shared" si="112"/>
        <v>75.59</v>
      </c>
      <c r="K779" s="54">
        <f>IF(A779=0,VLOOKUP(D779,'03. Insumos'!A:F,4,0),"")</f>
        <v>75.59</v>
      </c>
      <c r="L779" s="274">
        <f t="shared" si="113"/>
        <v>0</v>
      </c>
      <c r="M779" s="153">
        <f t="shared" si="108"/>
        <v>0</v>
      </c>
      <c r="O779" s="148"/>
      <c r="R779" s="12"/>
    </row>
    <row r="780" spans="1:18" s="51" customFormat="1" ht="13.5" hidden="1" customHeight="1" outlineLevel="1" x14ac:dyDescent="0.3">
      <c r="A780" s="290">
        <f t="shared" si="111"/>
        <v>0</v>
      </c>
      <c r="B780" s="49"/>
      <c r="C780" s="55"/>
      <c r="D780" s="140" t="s">
        <v>855</v>
      </c>
      <c r="E780" s="49" t="str">
        <f>VLOOKUP(D780,'03. Insumos'!A:D,2,0)</f>
        <v>Anel de vedação para bacia sanitária</v>
      </c>
      <c r="F780" s="52"/>
      <c r="G780" s="52" t="str">
        <f>VLOOKUP(D780,'03. Insumos'!A:F,3,0)</f>
        <v>unid</v>
      </c>
      <c r="H780" s="53">
        <v>1</v>
      </c>
      <c r="I780" s="141"/>
      <c r="J780" s="54">
        <f t="shared" si="112"/>
        <v>19.79</v>
      </c>
      <c r="K780" s="54">
        <f>IF(A780=0,VLOOKUP(D780,'03. Insumos'!A:F,4,0),"")</f>
        <v>19.79</v>
      </c>
      <c r="L780" s="274">
        <f t="shared" si="113"/>
        <v>0</v>
      </c>
      <c r="M780" s="153">
        <f t="shared" si="108"/>
        <v>0</v>
      </c>
      <c r="O780" s="148"/>
      <c r="R780" s="12"/>
    </row>
    <row r="781" spans="1:18" s="51" customFormat="1" ht="13.5" hidden="1" customHeight="1" outlineLevel="1" x14ac:dyDescent="0.3">
      <c r="A781" s="290">
        <f t="shared" si="111"/>
        <v>0</v>
      </c>
      <c r="B781" s="49"/>
      <c r="C781" s="55"/>
      <c r="D781" s="140" t="s">
        <v>856</v>
      </c>
      <c r="E781" s="49" t="str">
        <f>VLOOKUP(D781,'03. Insumos'!A:D,2,0)</f>
        <v>Flexível 40 cm</v>
      </c>
      <c r="F781" s="52"/>
      <c r="G781" s="52" t="str">
        <f>VLOOKUP(D781,'03. Insumos'!A:F,3,0)</f>
        <v>unid</v>
      </c>
      <c r="H781" s="53">
        <v>1</v>
      </c>
      <c r="I781" s="141"/>
      <c r="J781" s="54">
        <f t="shared" si="112"/>
        <v>16.2</v>
      </c>
      <c r="K781" s="54">
        <f>IF(A781=0,VLOOKUP(D781,'03. Insumos'!A:F,4,0),"")</f>
        <v>16.2</v>
      </c>
      <c r="L781" s="274">
        <f t="shared" si="113"/>
        <v>0</v>
      </c>
      <c r="M781" s="153">
        <f t="shared" si="108"/>
        <v>0</v>
      </c>
      <c r="O781" s="148"/>
      <c r="R781" s="12"/>
    </row>
    <row r="782" spans="1:18" s="51" customFormat="1" ht="13.5" hidden="1" customHeight="1" outlineLevel="1" x14ac:dyDescent="0.3">
      <c r="A782" s="290">
        <f t="shared" si="111"/>
        <v>0</v>
      </c>
      <c r="B782" s="49"/>
      <c r="C782" s="55"/>
      <c r="D782" s="140" t="s">
        <v>867</v>
      </c>
      <c r="E782" s="49" t="str">
        <f>VLOOKUP(D782,'03. Insumos'!A:D,2,0)</f>
        <v>Ralo 10 x 10</v>
      </c>
      <c r="F782" s="52"/>
      <c r="G782" s="52" t="str">
        <f>VLOOKUP(D782,'03. Insumos'!A:F,3,0)</f>
        <v>unid</v>
      </c>
      <c r="H782" s="53">
        <v>1</v>
      </c>
      <c r="I782" s="141"/>
      <c r="J782" s="54">
        <f t="shared" si="112"/>
        <v>95.7</v>
      </c>
      <c r="K782" s="54">
        <f>IF(A782=0,VLOOKUP(D782,'03. Insumos'!A:F,4,0),"")</f>
        <v>95.7</v>
      </c>
      <c r="L782" s="274">
        <f t="shared" si="113"/>
        <v>0</v>
      </c>
      <c r="M782" s="153">
        <f t="shared" si="108"/>
        <v>0</v>
      </c>
      <c r="O782" s="148"/>
      <c r="R782" s="12"/>
    </row>
    <row r="783" spans="1:18" s="51" customFormat="1" ht="13.5" hidden="1" customHeight="1" outlineLevel="1" x14ac:dyDescent="0.3">
      <c r="A783" s="290">
        <f t="shared" si="111"/>
        <v>6</v>
      </c>
      <c r="B783" s="49"/>
      <c r="C783" s="55" t="s">
        <v>1556</v>
      </c>
      <c r="D783" s="55" t="s">
        <v>1557</v>
      </c>
      <c r="E783" s="49"/>
      <c r="F783" s="52"/>
      <c r="G783" s="52"/>
      <c r="H783" s="53"/>
      <c r="I783" s="141"/>
      <c r="J783" s="54"/>
      <c r="K783" s="54"/>
      <c r="L783" s="58">
        <f>SUM(L784)</f>
        <v>0</v>
      </c>
      <c r="M783" s="153">
        <f t="shared" si="108"/>
        <v>0</v>
      </c>
      <c r="O783" s="148"/>
      <c r="R783" s="12"/>
    </row>
    <row r="784" spans="1:18" s="51" customFormat="1" ht="13.5" hidden="1" customHeight="1" outlineLevel="1" x14ac:dyDescent="0.3">
      <c r="A784" s="290">
        <f t="shared" si="111"/>
        <v>0</v>
      </c>
      <c r="B784" s="49"/>
      <c r="C784" s="55"/>
      <c r="D784" s="140" t="s">
        <v>871</v>
      </c>
      <c r="E784" s="49" t="str">
        <f>VLOOKUP(D784,'03. Insumos'!A:D,2,0)</f>
        <v>Torneira de jardim DN 15/20 MAX CR</v>
      </c>
      <c r="F784" s="52"/>
      <c r="G784" s="52" t="str">
        <f>VLOOKUP(D784,'03. Insumos'!A:F,3,0)</f>
        <v>unid</v>
      </c>
      <c r="H784" s="53">
        <v>1</v>
      </c>
      <c r="I784" s="141"/>
      <c r="J784" s="54">
        <f>IFERROR(IF(K784&lt;&gt;0,K784*$K$5,0),0)</f>
        <v>50.86</v>
      </c>
      <c r="K784" s="54">
        <f>IF(A784=0,VLOOKUP(D784,'03. Insumos'!A:F,4,0),"")</f>
        <v>50.86</v>
      </c>
      <c r="L784" s="274">
        <f>H784*J784*I784</f>
        <v>0</v>
      </c>
      <c r="M784" s="153">
        <f t="shared" si="108"/>
        <v>0</v>
      </c>
      <c r="O784" s="148"/>
      <c r="R784" s="12"/>
    </row>
    <row r="785" spans="1:18" s="59" customFormat="1" ht="13.5" hidden="1" customHeight="1" outlineLevel="1" x14ac:dyDescent="0.3">
      <c r="A785" s="290">
        <f t="shared" si="111"/>
        <v>6</v>
      </c>
      <c r="B785" s="55"/>
      <c r="C785" s="55" t="s">
        <v>1558</v>
      </c>
      <c r="D785" s="55" t="s">
        <v>1205</v>
      </c>
      <c r="E785" s="55"/>
      <c r="F785" s="56"/>
      <c r="G785" s="56"/>
      <c r="H785" s="57"/>
      <c r="I785" s="57"/>
      <c r="J785" s="58">
        <f>IFERROR(IF(K785&lt;&gt;0,K785*$K$5,0),0)</f>
        <v>0</v>
      </c>
      <c r="K785" s="58" t="str">
        <f>IF(A785=0,VLOOKUP(D785,'03. Insumos'!A:F,4,0),"")</f>
        <v/>
      </c>
      <c r="L785" s="58">
        <f>SUM(L786:L787)</f>
        <v>0</v>
      </c>
      <c r="M785" s="153">
        <f t="shared" si="108"/>
        <v>0</v>
      </c>
      <c r="O785" s="148">
        <f>IF(I785&lt;&gt;0,I785*H785*K785,)</f>
        <v>0</v>
      </c>
      <c r="R785" s="12">
        <f>IF(J785&lt;&gt;0,J785/1.03-K785,0)</f>
        <v>0</v>
      </c>
    </row>
    <row r="786" spans="1:18" s="51" customFormat="1" ht="13.5" hidden="1" customHeight="1" outlineLevel="1" x14ac:dyDescent="0.3">
      <c r="A786" s="290">
        <f t="shared" si="111"/>
        <v>0</v>
      </c>
      <c r="B786" s="49"/>
      <c r="C786" s="49"/>
      <c r="D786" s="140" t="s">
        <v>873</v>
      </c>
      <c r="E786" s="49" t="str">
        <f>VLOOKUP(D786,'03. Insumos'!A:D,2,0)</f>
        <v>Maçanetas modelo logus cromado Imab - Ref.: MA0910</v>
      </c>
      <c r="F786" s="52"/>
      <c r="G786" s="52" t="str">
        <f>VLOOKUP(D786,'03. Insumos'!A:F,3,0)</f>
        <v>unid</v>
      </c>
      <c r="H786" s="53">
        <v>1</v>
      </c>
      <c r="I786" s="141"/>
      <c r="J786" s="54">
        <f>IFERROR(IF(K786&lt;&gt;0,K786*$K$5,0),0)</f>
        <v>173.9</v>
      </c>
      <c r="K786" s="54">
        <f>IF(A786=0,VLOOKUP(D786,'03. Insumos'!A:F,4,0),"")</f>
        <v>173.9</v>
      </c>
      <c r="L786" s="274">
        <f>H786*J786*I786</f>
        <v>0</v>
      </c>
      <c r="M786" s="153">
        <f t="shared" si="108"/>
        <v>0</v>
      </c>
      <c r="O786" s="148">
        <f>IF(I786&lt;&gt;0,I786*H786*K786,)</f>
        <v>0</v>
      </c>
      <c r="R786" s="12">
        <f>IF(J786&lt;&gt;0,J786/1.03-K786,0)</f>
        <v>-5.0650485436893291</v>
      </c>
    </row>
    <row r="787" spans="1:18" s="51" customFormat="1" ht="13.5" hidden="1" customHeight="1" outlineLevel="1" x14ac:dyDescent="0.3">
      <c r="A787" s="290">
        <f t="shared" si="111"/>
        <v>0</v>
      </c>
      <c r="B787" s="49"/>
      <c r="C787" s="49"/>
      <c r="D787" s="140" t="s">
        <v>874</v>
      </c>
      <c r="E787" s="49" t="str">
        <f>VLOOKUP(D787,'03. Insumos'!A:D,2,0)</f>
        <v>Dobradiças para portas internas</v>
      </c>
      <c r="F787" s="52"/>
      <c r="G787" s="52" t="str">
        <f>VLOOKUP(D787,'03. Insumos'!A:F,3,0)</f>
        <v>unid</v>
      </c>
      <c r="H787" s="53">
        <v>1</v>
      </c>
      <c r="I787" s="141"/>
      <c r="J787" s="54">
        <f>IFERROR(IF(K787&lt;&gt;0,K787*$K$5,0),0)</f>
        <v>5.98</v>
      </c>
      <c r="K787" s="54">
        <f>IF(A787=0,VLOOKUP(D787,'03. Insumos'!A:F,4,0),"")</f>
        <v>5.98</v>
      </c>
      <c r="L787" s="274">
        <f>H787*J787*I787</f>
        <v>0</v>
      </c>
      <c r="M787" s="153">
        <f t="shared" si="108"/>
        <v>0</v>
      </c>
      <c r="O787" s="148"/>
      <c r="R787" s="12"/>
    </row>
    <row r="788" spans="1:18" s="18" customFormat="1" x14ac:dyDescent="0.3">
      <c r="A788" s="290">
        <f t="shared" si="111"/>
        <v>3</v>
      </c>
      <c r="B788" s="35"/>
      <c r="C788" s="35" t="s">
        <v>351</v>
      </c>
      <c r="D788" s="35" t="s">
        <v>1597</v>
      </c>
      <c r="E788" s="35"/>
      <c r="F788" s="36"/>
      <c r="G788" s="36"/>
      <c r="H788" s="37"/>
      <c r="I788" s="37"/>
      <c r="J788" s="38"/>
      <c r="K788" s="38"/>
      <c r="L788" s="38">
        <f>SUMIF(A789:A791,4,L789:L791)</f>
        <v>18472.75</v>
      </c>
      <c r="M788" s="153">
        <f>L788/$L$7</f>
        <v>5.0538811489293286E-3</v>
      </c>
      <c r="O788" s="148">
        <f t="shared" ref="O788:O807" si="114">IF(I788&lt;&gt;0,I788*H788*K788,)</f>
        <v>0</v>
      </c>
      <c r="R788" s="12">
        <f t="shared" ref="R788:R807" si="115">IF(J788&lt;&gt;0,J788/1.03-K788,0)</f>
        <v>0</v>
      </c>
    </row>
    <row r="789" spans="1:18" s="18" customFormat="1" outlineLevel="1" x14ac:dyDescent="0.3">
      <c r="A789" s="290">
        <f>LEN(C789)</f>
        <v>4</v>
      </c>
      <c r="B789" s="45"/>
      <c r="C789" s="45" t="s">
        <v>375</v>
      </c>
      <c r="D789" s="45" t="s">
        <v>1809</v>
      </c>
      <c r="E789" s="45"/>
      <c r="F789" s="60"/>
      <c r="G789" s="60"/>
      <c r="H789" s="61"/>
      <c r="I789" s="61"/>
      <c r="J789" s="62"/>
      <c r="K789" s="62" t="str">
        <f>IF(A789=0,VLOOKUP(D789,'03. Insumos'!A:F,4,0),"")</f>
        <v/>
      </c>
      <c r="L789" s="62">
        <f>SUMIF(A790:A791,6,L790:L791)</f>
        <v>18472.75</v>
      </c>
      <c r="M789" s="153">
        <f>L789/$L$7</f>
        <v>5.0538811489293286E-3</v>
      </c>
      <c r="O789" s="148">
        <f t="shared" si="114"/>
        <v>0</v>
      </c>
      <c r="R789" s="12">
        <f t="shared" si="115"/>
        <v>0</v>
      </c>
    </row>
    <row r="790" spans="1:18" s="59" customFormat="1" outlineLevel="1" x14ac:dyDescent="0.3">
      <c r="A790" s="290">
        <f>LEN(C790)</f>
        <v>6</v>
      </c>
      <c r="B790" s="55"/>
      <c r="C790" s="55" t="s">
        <v>376</v>
      </c>
      <c r="D790" s="55" t="s">
        <v>1809</v>
      </c>
      <c r="E790" s="55"/>
      <c r="F790" s="56"/>
      <c r="G790" s="56"/>
      <c r="H790" s="57"/>
      <c r="I790" s="57"/>
      <c r="J790" s="58"/>
      <c r="K790" s="58" t="str">
        <f>IF(A790=0,VLOOKUP(D790,'03. Insumos'!A:F,4,0),"")</f>
        <v/>
      </c>
      <c r="L790" s="58">
        <f>SUM(L791:L791)</f>
        <v>18472.75</v>
      </c>
      <c r="M790" s="153">
        <f>L790/$L$7</f>
        <v>5.0538811489293286E-3</v>
      </c>
      <c r="O790" s="148">
        <f t="shared" si="114"/>
        <v>0</v>
      </c>
      <c r="R790" s="12">
        <f t="shared" si="115"/>
        <v>0</v>
      </c>
    </row>
    <row r="791" spans="1:18" s="51" customFormat="1" outlineLevel="1" x14ac:dyDescent="0.3">
      <c r="A791" s="290">
        <f>LEN(C791)</f>
        <v>0</v>
      </c>
      <c r="B791" s="49"/>
      <c r="C791" s="49"/>
      <c r="D791" s="140" t="s">
        <v>2519</v>
      </c>
      <c r="E791" s="49" t="str">
        <f>VLOOKUP(D791,'03. Insumos'!A:D,2,0)</f>
        <v>Porta de entrada pivotante em madeira de demolição, com brise superior</v>
      </c>
      <c r="F791" s="52" t="s">
        <v>2599</v>
      </c>
      <c r="G791" s="52" t="str">
        <f>VLOOKUP(D791,'03. Insumos'!A:F,3,0)</f>
        <v>Unid</v>
      </c>
      <c r="H791" s="53">
        <v>1</v>
      </c>
      <c r="I791" s="141">
        <v>1</v>
      </c>
      <c r="J791" s="54">
        <f>IFERROR(IF(K791&lt;&gt;0,K791*$K$5,0),0)</f>
        <v>18472.75</v>
      </c>
      <c r="K791" s="54">
        <f>IF(A791=0,VLOOKUP(D791,'03. Insumos'!A:F,4,0),"")</f>
        <v>18472.75</v>
      </c>
      <c r="L791" s="274">
        <f>H791*J791*I791</f>
        <v>18472.75</v>
      </c>
      <c r="M791" s="153">
        <f>L791/$L$7</f>
        <v>5.0538811489293286E-3</v>
      </c>
      <c r="O791" s="148">
        <f t="shared" si="114"/>
        <v>18472.75</v>
      </c>
      <c r="R791" s="12">
        <f t="shared" si="115"/>
        <v>-538.04126213592099</v>
      </c>
    </row>
    <row r="792" spans="1:18" s="18" customFormat="1" x14ac:dyDescent="0.3">
      <c r="A792" s="290">
        <f t="shared" si="111"/>
        <v>3</v>
      </c>
      <c r="B792" s="35"/>
      <c r="C792" s="35" t="s">
        <v>360</v>
      </c>
      <c r="D792" s="35" t="s">
        <v>87</v>
      </c>
      <c r="E792" s="35"/>
      <c r="F792" s="36"/>
      <c r="G792" s="36"/>
      <c r="H792" s="37"/>
      <c r="I792" s="37"/>
      <c r="J792" s="38"/>
      <c r="K792" s="38"/>
      <c r="L792" s="38">
        <f>SUMIF(A793:A795,4,L793:L795)</f>
        <v>9000</v>
      </c>
      <c r="M792" s="153">
        <f t="shared" si="108"/>
        <v>2.4622717429924595E-3</v>
      </c>
      <c r="O792" s="148">
        <f t="shared" si="114"/>
        <v>0</v>
      </c>
      <c r="R792" s="12">
        <f t="shared" si="115"/>
        <v>0</v>
      </c>
    </row>
    <row r="793" spans="1:18" s="18" customFormat="1" outlineLevel="1" x14ac:dyDescent="0.3">
      <c r="A793" s="290">
        <f t="shared" si="111"/>
        <v>4</v>
      </c>
      <c r="B793" s="45"/>
      <c r="C793" s="45" t="s">
        <v>1815</v>
      </c>
      <c r="D793" s="45" t="s">
        <v>93</v>
      </c>
      <c r="E793" s="45"/>
      <c r="F793" s="60"/>
      <c r="G793" s="60"/>
      <c r="H793" s="61"/>
      <c r="I793" s="61"/>
      <c r="J793" s="62"/>
      <c r="K793" s="62" t="str">
        <f>IF(A793=0,VLOOKUP(D793,'03. Insumos'!A:F,4,0),"")</f>
        <v/>
      </c>
      <c r="L793" s="62">
        <f>SUMIF(A794:A795,6,L794:L795)</f>
        <v>9000</v>
      </c>
      <c r="M793" s="153">
        <f t="shared" si="108"/>
        <v>2.4622717429924595E-3</v>
      </c>
      <c r="O793" s="148">
        <f t="shared" si="114"/>
        <v>0</v>
      </c>
      <c r="R793" s="12">
        <f t="shared" si="115"/>
        <v>0</v>
      </c>
    </row>
    <row r="794" spans="1:18" s="59" customFormat="1" outlineLevel="1" x14ac:dyDescent="0.3">
      <c r="A794" s="290">
        <f t="shared" si="111"/>
        <v>6</v>
      </c>
      <c r="B794" s="55"/>
      <c r="C794" s="55" t="s">
        <v>1816</v>
      </c>
      <c r="D794" s="55" t="s">
        <v>93</v>
      </c>
      <c r="E794" s="55"/>
      <c r="F794" s="56"/>
      <c r="G794" s="56"/>
      <c r="H794" s="57"/>
      <c r="I794" s="57"/>
      <c r="J794" s="58"/>
      <c r="K794" s="58" t="str">
        <f>IF(A794=0,VLOOKUP(D794,'03. Insumos'!A:F,4,0),"")</f>
        <v/>
      </c>
      <c r="L794" s="58">
        <f>SUM(L795)</f>
        <v>9000</v>
      </c>
      <c r="M794" s="153">
        <f t="shared" si="108"/>
        <v>2.4622717429924595E-3</v>
      </c>
      <c r="O794" s="148">
        <f t="shared" si="114"/>
        <v>0</v>
      </c>
      <c r="R794" s="12">
        <f t="shared" si="115"/>
        <v>0</v>
      </c>
    </row>
    <row r="795" spans="1:18" s="51" customFormat="1" outlineLevel="1" x14ac:dyDescent="0.3">
      <c r="A795" s="290">
        <f t="shared" si="111"/>
        <v>0</v>
      </c>
      <c r="B795" s="49"/>
      <c r="C795" s="49"/>
      <c r="D795" s="140" t="s">
        <v>557</v>
      </c>
      <c r="E795" s="49" t="str">
        <f>VLOOKUP(D795,'03. Insumos'!A:D,2,0)</f>
        <v>Limpeza de obra</v>
      </c>
      <c r="F795" s="52" t="s">
        <v>2607</v>
      </c>
      <c r="G795" s="52" t="str">
        <f>VLOOKUP(D795,'03. Insumos'!A:F,3,0)</f>
        <v>Diária</v>
      </c>
      <c r="H795" s="53">
        <v>1</v>
      </c>
      <c r="I795" s="141">
        <f>3*10</f>
        <v>30</v>
      </c>
      <c r="J795" s="54">
        <f>IFERROR(IF(K795&lt;&gt;0,K795*$K$5,0),0)</f>
        <v>300</v>
      </c>
      <c r="K795" s="54">
        <f>IF(A795=0,VLOOKUP(D795,'03. Insumos'!A:F,4,0),"")</f>
        <v>300</v>
      </c>
      <c r="L795" s="274">
        <f>H795*J795*I795</f>
        <v>9000</v>
      </c>
      <c r="M795" s="153">
        <f t="shared" si="108"/>
        <v>2.4622717429924595E-3</v>
      </c>
      <c r="O795" s="148">
        <f t="shared" si="114"/>
        <v>9000</v>
      </c>
      <c r="R795" s="12">
        <f t="shared" si="115"/>
        <v>-8.737864077669883</v>
      </c>
    </row>
    <row r="796" spans="1:18" s="18" customFormat="1" x14ac:dyDescent="0.3">
      <c r="A796" s="290">
        <f t="shared" si="111"/>
        <v>3</v>
      </c>
      <c r="B796" s="35"/>
      <c r="C796" s="35" t="s">
        <v>980</v>
      </c>
      <c r="D796" s="35" t="s">
        <v>974</v>
      </c>
      <c r="E796" s="35"/>
      <c r="F796" s="36"/>
      <c r="G796" s="36"/>
      <c r="H796" s="37"/>
      <c r="I796" s="37"/>
      <c r="J796" s="38"/>
      <c r="K796" s="38"/>
      <c r="L796" s="38">
        <f>SUMIF(A797:A804,4,L797:L804)</f>
        <v>0</v>
      </c>
      <c r="M796" s="153">
        <f t="shared" si="108"/>
        <v>0</v>
      </c>
      <c r="O796" s="148">
        <f t="shared" si="114"/>
        <v>0</v>
      </c>
      <c r="R796" s="12">
        <f t="shared" si="115"/>
        <v>0</v>
      </c>
    </row>
    <row r="797" spans="1:18" s="18" customFormat="1" hidden="1" outlineLevel="1" x14ac:dyDescent="0.3">
      <c r="A797" s="290">
        <f t="shared" si="111"/>
        <v>4</v>
      </c>
      <c r="B797" s="45"/>
      <c r="C797" s="45" t="s">
        <v>981</v>
      </c>
      <c r="D797" s="45" t="s">
        <v>2183</v>
      </c>
      <c r="E797" s="45"/>
      <c r="F797" s="60"/>
      <c r="G797" s="60"/>
      <c r="H797" s="61"/>
      <c r="I797" s="61"/>
      <c r="J797" s="62"/>
      <c r="K797" s="62" t="str">
        <f>IF(A797=0,VLOOKUP(D797,'03. Insumos'!A:F,4,0),"")</f>
        <v/>
      </c>
      <c r="L797" s="62">
        <f>SUMIF(A798:A804,6,L798:L804)</f>
        <v>0</v>
      </c>
      <c r="M797" s="153">
        <f t="shared" si="108"/>
        <v>0</v>
      </c>
      <c r="O797" s="148">
        <f t="shared" si="114"/>
        <v>0</v>
      </c>
      <c r="R797" s="12">
        <f t="shared" si="115"/>
        <v>0</v>
      </c>
    </row>
    <row r="798" spans="1:18" s="59" customFormat="1" ht="13.5" hidden="1" customHeight="1" outlineLevel="1" x14ac:dyDescent="0.3">
      <c r="A798" s="290">
        <f t="shared" si="111"/>
        <v>6</v>
      </c>
      <c r="B798" s="55"/>
      <c r="C798" s="55" t="s">
        <v>982</v>
      </c>
      <c r="D798" s="55" t="s">
        <v>975</v>
      </c>
      <c r="E798" s="55"/>
      <c r="F798" s="56"/>
      <c r="G798" s="56"/>
      <c r="H798" s="57"/>
      <c r="I798" s="57"/>
      <c r="J798" s="58"/>
      <c r="K798" s="58" t="str">
        <f>IF(A798=0,VLOOKUP(D798,'03. Insumos'!A:F,4,0),"")</f>
        <v/>
      </c>
      <c r="L798" s="58">
        <f>SUM(L799:L801)</f>
        <v>0</v>
      </c>
      <c r="M798" s="153">
        <f t="shared" si="108"/>
        <v>0</v>
      </c>
      <c r="O798" s="148">
        <f t="shared" si="114"/>
        <v>0</v>
      </c>
      <c r="R798" s="12">
        <f t="shared" si="115"/>
        <v>0</v>
      </c>
    </row>
    <row r="799" spans="1:18" s="51" customFormat="1" ht="13.5" hidden="1" customHeight="1" outlineLevel="1" x14ac:dyDescent="0.3">
      <c r="A799" s="290">
        <f t="shared" si="111"/>
        <v>0</v>
      </c>
      <c r="B799" s="49"/>
      <c r="C799" s="49"/>
      <c r="D799" s="49"/>
      <c r="E799" s="49" t="s">
        <v>977</v>
      </c>
      <c r="F799" s="52"/>
      <c r="G799" s="52" t="s">
        <v>29</v>
      </c>
      <c r="H799" s="53">
        <v>1</v>
      </c>
      <c r="I799" s="141"/>
      <c r="J799" s="54">
        <f>IFERROR(IF(K799&lt;&gt;0,K799*$K$5,0),0)</f>
        <v>38000</v>
      </c>
      <c r="K799" s="54">
        <v>38000</v>
      </c>
      <c r="L799" s="54">
        <f>H799*J799*I799</f>
        <v>0</v>
      </c>
      <c r="M799" s="153">
        <f t="shared" si="108"/>
        <v>0</v>
      </c>
      <c r="O799" s="148">
        <f t="shared" si="114"/>
        <v>0</v>
      </c>
      <c r="R799" s="12">
        <f t="shared" si="115"/>
        <v>-1106.7961165048546</v>
      </c>
    </row>
    <row r="800" spans="1:18" s="51" customFormat="1" ht="13.5" hidden="1" customHeight="1" outlineLevel="1" x14ac:dyDescent="0.3">
      <c r="A800" s="290">
        <f t="shared" si="111"/>
        <v>0</v>
      </c>
      <c r="B800" s="49"/>
      <c r="C800" s="49"/>
      <c r="D800" s="49"/>
      <c r="E800" s="49" t="s">
        <v>978</v>
      </c>
      <c r="F800" s="52"/>
      <c r="G800" s="52" t="s">
        <v>29</v>
      </c>
      <c r="H800" s="53">
        <v>1</v>
      </c>
      <c r="I800" s="141"/>
      <c r="J800" s="54">
        <f>IFERROR(IF(K800&lt;&gt;0,K800*$K$5,0),0)</f>
        <v>18000</v>
      </c>
      <c r="K800" s="54">
        <v>18000</v>
      </c>
      <c r="L800" s="54">
        <f>H800*J800*I800</f>
        <v>0</v>
      </c>
      <c r="M800" s="153">
        <f t="shared" si="108"/>
        <v>0</v>
      </c>
      <c r="O800" s="148">
        <f t="shared" si="114"/>
        <v>0</v>
      </c>
      <c r="R800" s="12">
        <f t="shared" si="115"/>
        <v>-524.27184466019389</v>
      </c>
    </row>
    <row r="801" spans="1:18" s="51" customFormat="1" ht="13.5" hidden="1" customHeight="1" outlineLevel="1" x14ac:dyDescent="0.3">
      <c r="A801" s="290">
        <f t="shared" si="111"/>
        <v>0</v>
      </c>
      <c r="B801" s="49"/>
      <c r="C801" s="49"/>
      <c r="D801" s="49"/>
      <c r="E801" s="49" t="s">
        <v>976</v>
      </c>
      <c r="F801" s="52"/>
      <c r="G801" s="52" t="s">
        <v>29</v>
      </c>
      <c r="H801" s="53">
        <v>1</v>
      </c>
      <c r="I801" s="141"/>
      <c r="J801" s="54">
        <f>IFERROR(IF(K801&lt;&gt;0,K801*$K$5,0),0)</f>
        <v>3750</v>
      </c>
      <c r="K801" s="54">
        <v>3750</v>
      </c>
      <c r="L801" s="274">
        <f>H801*J801*I801</f>
        <v>0</v>
      </c>
      <c r="M801" s="153">
        <f t="shared" si="108"/>
        <v>0</v>
      </c>
      <c r="O801" s="148">
        <f t="shared" si="114"/>
        <v>0</v>
      </c>
      <c r="R801" s="12">
        <f t="shared" si="115"/>
        <v>-109.22330097087388</v>
      </c>
    </row>
    <row r="802" spans="1:18" s="59" customFormat="1" ht="13.5" hidden="1" customHeight="1" outlineLevel="1" x14ac:dyDescent="0.3">
      <c r="A802" s="290">
        <f t="shared" si="111"/>
        <v>6</v>
      </c>
      <c r="B802" s="55"/>
      <c r="C802" s="55" t="s">
        <v>985</v>
      </c>
      <c r="D802" s="55" t="s">
        <v>94</v>
      </c>
      <c r="E802" s="55"/>
      <c r="F802" s="56"/>
      <c r="G802" s="56"/>
      <c r="H802" s="57"/>
      <c r="I802" s="57"/>
      <c r="J802" s="58"/>
      <c r="K802" s="58" t="str">
        <f>IF(A802=0,VLOOKUP(D802,'03. Insumos'!A:F,4,0),"")</f>
        <v/>
      </c>
      <c r="L802" s="58">
        <f>SUM(L803:L804)</f>
        <v>0</v>
      </c>
      <c r="M802" s="153">
        <f t="shared" si="108"/>
        <v>0</v>
      </c>
      <c r="O802" s="148">
        <f t="shared" si="114"/>
        <v>0</v>
      </c>
      <c r="R802" s="12">
        <f t="shared" si="115"/>
        <v>0</v>
      </c>
    </row>
    <row r="803" spans="1:18" s="51" customFormat="1" ht="13.5" hidden="1" customHeight="1" outlineLevel="1" x14ac:dyDescent="0.3">
      <c r="A803" s="290">
        <f t="shared" si="111"/>
        <v>0</v>
      </c>
      <c r="B803" s="49"/>
      <c r="C803" s="49"/>
      <c r="D803" s="49"/>
      <c r="E803" s="49" t="s">
        <v>2182</v>
      </c>
      <c r="F803" s="52"/>
      <c r="G803" s="52" t="s">
        <v>29</v>
      </c>
      <c r="H803" s="53">
        <v>1</v>
      </c>
      <c r="I803" s="141"/>
      <c r="J803" s="54">
        <f>IFERROR(IF(K803&lt;&gt;0,K803*$K$5,0),0)</f>
        <v>8000</v>
      </c>
      <c r="K803" s="54">
        <v>8000</v>
      </c>
      <c r="L803" s="54">
        <f>H803*J803*I803</f>
        <v>0</v>
      </c>
      <c r="M803" s="153">
        <f t="shared" si="108"/>
        <v>0</v>
      </c>
      <c r="O803" s="148">
        <f t="shared" si="114"/>
        <v>0</v>
      </c>
      <c r="R803" s="12">
        <f t="shared" si="115"/>
        <v>-233.00970873786446</v>
      </c>
    </row>
    <row r="804" spans="1:18" s="51" customFormat="1" ht="13.5" hidden="1" customHeight="1" outlineLevel="1" x14ac:dyDescent="0.3">
      <c r="A804" s="290">
        <f t="shared" si="111"/>
        <v>0</v>
      </c>
      <c r="B804" s="49"/>
      <c r="C804" s="49"/>
      <c r="D804" s="49"/>
      <c r="E804" s="49" t="s">
        <v>979</v>
      </c>
      <c r="F804" s="52"/>
      <c r="G804" s="52" t="s">
        <v>241</v>
      </c>
      <c r="H804" s="53">
        <v>1</v>
      </c>
      <c r="I804" s="141"/>
      <c r="J804" s="54"/>
      <c r="K804" s="54">
        <v>2000</v>
      </c>
      <c r="L804" s="274">
        <f>H804*J804*I804</f>
        <v>0</v>
      </c>
      <c r="M804" s="153">
        <f t="shared" si="108"/>
        <v>0</v>
      </c>
      <c r="O804" s="148">
        <f t="shared" si="114"/>
        <v>0</v>
      </c>
      <c r="R804" s="12">
        <f t="shared" si="115"/>
        <v>0</v>
      </c>
    </row>
    <row r="805" spans="1:18" s="18" customFormat="1" ht="13.5" customHeight="1" collapsed="1" x14ac:dyDescent="0.3">
      <c r="A805" s="290">
        <f t="shared" si="111"/>
        <v>3</v>
      </c>
      <c r="B805" s="35"/>
      <c r="C805" s="35" t="s">
        <v>1826</v>
      </c>
      <c r="D805" s="35" t="s">
        <v>1726</v>
      </c>
      <c r="E805" s="35"/>
      <c r="F805" s="36"/>
      <c r="G805" s="36"/>
      <c r="H805" s="37"/>
      <c r="I805" s="37"/>
      <c r="J805" s="38"/>
      <c r="K805" s="38"/>
      <c r="L805" s="38">
        <f>SUMIF(A806:A811,4,L806:L811)</f>
        <v>0</v>
      </c>
      <c r="M805" s="153">
        <f t="shared" si="108"/>
        <v>0</v>
      </c>
      <c r="O805" s="148">
        <f t="shared" si="114"/>
        <v>0</v>
      </c>
      <c r="R805" s="12">
        <f t="shared" si="115"/>
        <v>0</v>
      </c>
    </row>
    <row r="806" spans="1:18" s="18" customFormat="1" ht="13.5" hidden="1" customHeight="1" outlineLevel="1" x14ac:dyDescent="0.3">
      <c r="A806" s="290">
        <f t="shared" si="111"/>
        <v>4</v>
      </c>
      <c r="B806" s="45"/>
      <c r="C806" s="45" t="s">
        <v>1827</v>
      </c>
      <c r="D806" s="45" t="s">
        <v>1726</v>
      </c>
      <c r="E806" s="45"/>
      <c r="F806" s="60"/>
      <c r="G806" s="60"/>
      <c r="H806" s="61"/>
      <c r="I806" s="61"/>
      <c r="J806" s="62"/>
      <c r="K806" s="62" t="str">
        <f>IF(A806=0,VLOOKUP(D806,'03. Insumos'!A:F,4,0),"")</f>
        <v/>
      </c>
      <c r="L806" s="62">
        <f>SUMIF(A807:A811,6,L807:L811)</f>
        <v>0</v>
      </c>
      <c r="M806" s="153">
        <f t="shared" si="108"/>
        <v>0</v>
      </c>
      <c r="O806" s="148">
        <f t="shared" si="114"/>
        <v>0</v>
      </c>
      <c r="R806" s="12">
        <f t="shared" si="115"/>
        <v>0</v>
      </c>
    </row>
    <row r="807" spans="1:18" s="59" customFormat="1" ht="13.5" hidden="1" customHeight="1" outlineLevel="1" x14ac:dyDescent="0.3">
      <c r="A807" s="290">
        <f t="shared" si="111"/>
        <v>6</v>
      </c>
      <c r="B807" s="55"/>
      <c r="C807" s="55" t="s">
        <v>1828</v>
      </c>
      <c r="D807" s="55" t="s">
        <v>1726</v>
      </c>
      <c r="E807" s="55"/>
      <c r="F807" s="56"/>
      <c r="G807" s="56"/>
      <c r="H807" s="57"/>
      <c r="I807" s="57"/>
      <c r="J807" s="58"/>
      <c r="K807" s="58" t="str">
        <f>IF(A807=0,VLOOKUP(D807,'03. Insumos'!A:F,4,0),"")</f>
        <v/>
      </c>
      <c r="L807" s="58">
        <f>SUM(L808:L811)</f>
        <v>0</v>
      </c>
      <c r="M807" s="153">
        <f t="shared" si="108"/>
        <v>0</v>
      </c>
      <c r="O807" s="148">
        <f t="shared" si="114"/>
        <v>0</v>
      </c>
      <c r="R807" s="12">
        <f t="shared" si="115"/>
        <v>0</v>
      </c>
    </row>
    <row r="808" spans="1:18" s="59" customFormat="1" ht="13.5" hidden="1" customHeight="1" outlineLevel="1" x14ac:dyDescent="0.3">
      <c r="A808" s="290"/>
      <c r="B808" s="55"/>
      <c r="C808" s="55"/>
      <c r="D808" s="140" t="s">
        <v>1829</v>
      </c>
      <c r="E808" s="49" t="str">
        <f>VLOOKUP(D808,'03. Insumos'!A:D,2,0)</f>
        <v xml:space="preserve">BROOKLYN BANCO BAIXO 37X37 - COR CINZA ESCURO </v>
      </c>
      <c r="F808" s="52"/>
      <c r="G808" s="52" t="str">
        <f>VLOOKUP(D808,'03. Insumos'!A:F,3,0)</f>
        <v>unid</v>
      </c>
      <c r="H808" s="53">
        <v>1</v>
      </c>
      <c r="I808" s="141"/>
      <c r="J808" s="54">
        <f>IFERROR(IF(K808&lt;&gt;0,K808*$K$5,0),0)</f>
        <v>230</v>
      </c>
      <c r="K808" s="54">
        <f>IF(A808=0,VLOOKUP(D808,'03. Insumos'!A:F,4,0),"")</f>
        <v>230</v>
      </c>
      <c r="L808" s="274">
        <f>H808*J808*I808</f>
        <v>0</v>
      </c>
      <c r="M808" s="153"/>
      <c r="O808" s="148"/>
      <c r="R808" s="12"/>
    </row>
    <row r="809" spans="1:18" s="59" customFormat="1" ht="13.5" hidden="1" customHeight="1" outlineLevel="1" x14ac:dyDescent="0.3">
      <c r="A809" s="290"/>
      <c r="B809" s="55"/>
      <c r="C809" s="55"/>
      <c r="D809" s="140" t="s">
        <v>1830</v>
      </c>
      <c r="E809" s="49" t="str">
        <f>VLOOKUP(D809,'03. Insumos'!A:D,2,0)</f>
        <v>CADEIRA PRETA C/ RODÍZIO - NET-ON</v>
      </c>
      <c r="F809" s="52"/>
      <c r="G809" s="52" t="str">
        <f>VLOOKUP(D809,'03. Insumos'!A:F,3,0)</f>
        <v>unid</v>
      </c>
      <c r="H809" s="53">
        <v>1</v>
      </c>
      <c r="I809" s="141"/>
      <c r="J809" s="54">
        <f>IFERROR(IF(K809&lt;&gt;0,K809*$K$5,0),0)</f>
        <v>1268</v>
      </c>
      <c r="K809" s="54">
        <f>IF(A809=0,VLOOKUP(D809,'03. Insumos'!A:F,4,0),"")</f>
        <v>1268</v>
      </c>
      <c r="L809" s="274">
        <f>H809*J809*I809</f>
        <v>0</v>
      </c>
      <c r="M809" s="153"/>
      <c r="O809" s="148"/>
      <c r="R809" s="12"/>
    </row>
    <row r="810" spans="1:18" s="59" customFormat="1" ht="13.5" hidden="1" customHeight="1" outlineLevel="1" x14ac:dyDescent="0.3">
      <c r="A810" s="290"/>
      <c r="B810" s="55"/>
      <c r="C810" s="55"/>
      <c r="D810" s="140" t="s">
        <v>1831</v>
      </c>
      <c r="E810" s="49" t="str">
        <f>VLOOKUP(D810,'03. Insumos'!A:D,2,0)</f>
        <v xml:space="preserve">BANCO FABRIC MÉDIO </v>
      </c>
      <c r="F810" s="52"/>
      <c r="G810" s="52" t="str">
        <f>VLOOKUP(D810,'03. Insumos'!A:F,3,0)</f>
        <v>unid</v>
      </c>
      <c r="H810" s="53">
        <v>1</v>
      </c>
      <c r="I810" s="141"/>
      <c r="J810" s="54">
        <f>IFERROR(IF(K810&lt;&gt;0,K810*$K$5,0),0)</f>
        <v>245</v>
      </c>
      <c r="K810" s="54">
        <f>IF(A810=0,VLOOKUP(D810,'03. Insumos'!A:F,4,0),"")</f>
        <v>245</v>
      </c>
      <c r="L810" s="274">
        <f>H810*J810*I810</f>
        <v>0</v>
      </c>
      <c r="M810" s="153"/>
      <c r="O810" s="148"/>
      <c r="R810" s="12"/>
    </row>
    <row r="811" spans="1:18" s="51" customFormat="1" ht="13.5" hidden="1" customHeight="1" outlineLevel="1" x14ac:dyDescent="0.3">
      <c r="A811" s="290">
        <f t="shared" si="111"/>
        <v>0</v>
      </c>
      <c r="B811" s="49"/>
      <c r="C811" s="49"/>
      <c r="D811" s="140" t="s">
        <v>1832</v>
      </c>
      <c r="E811" s="49" t="str">
        <f>VLOOKUP(D811,'03. Insumos'!A:D,2,0)</f>
        <v xml:space="preserve">PATSIE CADEIRA PRETA </v>
      </c>
      <c r="F811" s="52"/>
      <c r="G811" s="52" t="str">
        <f>VLOOKUP(D811,'03. Insumos'!A:F,3,0)</f>
        <v>unid</v>
      </c>
      <c r="H811" s="53">
        <v>1</v>
      </c>
      <c r="I811" s="141"/>
      <c r="J811" s="54">
        <f>IFERROR(IF(K811&lt;&gt;0,K811*$K$5,0),0)</f>
        <v>335</v>
      </c>
      <c r="K811" s="54">
        <f>IF(A811=0,VLOOKUP(D811,'03. Insumos'!A:F,4,0),"")</f>
        <v>335</v>
      </c>
      <c r="L811" s="274">
        <f>H811*J811*I811</f>
        <v>0</v>
      </c>
      <c r="M811" s="153">
        <f t="shared" ref="M811:M819" si="116">L811/$L$7</f>
        <v>0</v>
      </c>
      <c r="N811" s="224">
        <f>L3*0.03</f>
        <v>0</v>
      </c>
      <c r="O811" s="148">
        <f t="shared" ref="O811:O819" si="117">IF(I811&lt;&gt;0,I811*H811*K811,)</f>
        <v>0</v>
      </c>
      <c r="R811" s="12">
        <f t="shared" ref="R811:R820" si="118">IF(J811&lt;&gt;0,J811/1.03-K811,0)</f>
        <v>-9.7572815533980588</v>
      </c>
    </row>
    <row r="812" spans="1:18" s="18" customFormat="1" ht="13.5" customHeight="1" collapsed="1" x14ac:dyDescent="0.3">
      <c r="A812" s="290">
        <f t="shared" si="111"/>
        <v>3</v>
      </c>
      <c r="B812" s="35"/>
      <c r="C812" s="35" t="s">
        <v>1812</v>
      </c>
      <c r="D812" s="35" t="s">
        <v>1260</v>
      </c>
      <c r="E812" s="35"/>
      <c r="F812" s="36"/>
      <c r="G812" s="36"/>
      <c r="H812" s="37"/>
      <c r="I812" s="37"/>
      <c r="J812" s="38"/>
      <c r="K812" s="38"/>
      <c r="L812" s="38">
        <f>SUMIF(A813:A815,4,L813:L815)</f>
        <v>0</v>
      </c>
      <c r="M812" s="153">
        <f t="shared" si="116"/>
        <v>0</v>
      </c>
      <c r="O812" s="148">
        <f t="shared" si="117"/>
        <v>0</v>
      </c>
      <c r="R812" s="12">
        <f t="shared" si="118"/>
        <v>0</v>
      </c>
    </row>
    <row r="813" spans="1:18" s="18" customFormat="1" ht="13.5" hidden="1" customHeight="1" outlineLevel="1" x14ac:dyDescent="0.3">
      <c r="A813" s="290">
        <f t="shared" si="111"/>
        <v>4</v>
      </c>
      <c r="B813" s="45"/>
      <c r="C813" s="45" t="s">
        <v>1813</v>
      </c>
      <c r="D813" s="45" t="s">
        <v>1260</v>
      </c>
      <c r="E813" s="45"/>
      <c r="F813" s="60"/>
      <c r="G813" s="60"/>
      <c r="H813" s="61"/>
      <c r="I813" s="61"/>
      <c r="J813" s="62"/>
      <c r="K813" s="62" t="str">
        <f>IF(A813=0,VLOOKUP(D813,'03. Insumos'!A:F,4,0),"")</f>
        <v/>
      </c>
      <c r="L813" s="62">
        <f>SUMIF(A814:A815,6,L814:L815)</f>
        <v>0</v>
      </c>
      <c r="M813" s="153">
        <f t="shared" si="116"/>
        <v>0</v>
      </c>
      <c r="O813" s="148">
        <f t="shared" si="117"/>
        <v>0</v>
      </c>
      <c r="R813" s="12">
        <f t="shared" si="118"/>
        <v>0</v>
      </c>
    </row>
    <row r="814" spans="1:18" s="59" customFormat="1" ht="13.5" hidden="1" customHeight="1" outlineLevel="1" x14ac:dyDescent="0.3">
      <c r="A814" s="290">
        <f t="shared" si="111"/>
        <v>6</v>
      </c>
      <c r="B814" s="55"/>
      <c r="C814" s="55" t="s">
        <v>1814</v>
      </c>
      <c r="D814" s="55" t="s">
        <v>1260</v>
      </c>
      <c r="E814" s="55"/>
      <c r="F814" s="56"/>
      <c r="G814" s="56"/>
      <c r="H814" s="57"/>
      <c r="I814" s="57"/>
      <c r="J814" s="58"/>
      <c r="K814" s="58" t="str">
        <f>IF(A814=0,VLOOKUP(D814,'03. Insumos'!A:F,4,0),"")</f>
        <v/>
      </c>
      <c r="L814" s="58">
        <f>SUM(L815:L815)</f>
        <v>0</v>
      </c>
      <c r="M814" s="153">
        <f t="shared" si="116"/>
        <v>0</v>
      </c>
      <c r="O814" s="148">
        <f t="shared" si="117"/>
        <v>0</v>
      </c>
      <c r="R814" s="12">
        <f t="shared" si="118"/>
        <v>0</v>
      </c>
    </row>
    <row r="815" spans="1:18" s="51" customFormat="1" ht="13.5" hidden="1" customHeight="1" outlineLevel="1" x14ac:dyDescent="0.3">
      <c r="A815" s="290">
        <f t="shared" si="111"/>
        <v>0</v>
      </c>
      <c r="B815" s="49"/>
      <c r="C815" s="49"/>
      <c r="D815" s="49"/>
      <c r="E815" s="49" t="s">
        <v>1260</v>
      </c>
      <c r="F815" s="52"/>
      <c r="G815" s="52" t="s">
        <v>29</v>
      </c>
      <c r="H815" s="53">
        <v>1</v>
      </c>
      <c r="I815" s="141"/>
      <c r="J815" s="54">
        <f>IFERROR(IF(K815&lt;&gt;0,K815*$K$5,0),0)</f>
        <v>0</v>
      </c>
      <c r="K815" s="54"/>
      <c r="L815" s="274">
        <f>H815*J815*I815</f>
        <v>0</v>
      </c>
      <c r="M815" s="153">
        <f t="shared" si="116"/>
        <v>0</v>
      </c>
      <c r="N815" s="224">
        <f>L7*0.03</f>
        <v>109654.83430836206</v>
      </c>
      <c r="O815" s="148">
        <f t="shared" si="117"/>
        <v>0</v>
      </c>
      <c r="R815" s="12">
        <f t="shared" si="118"/>
        <v>0</v>
      </c>
    </row>
    <row r="816" spans="1:18" s="18" customFormat="1" collapsed="1" x14ac:dyDescent="0.3">
      <c r="A816" s="290">
        <f t="shared" si="111"/>
        <v>3</v>
      </c>
      <c r="B816" s="35"/>
      <c r="C816" s="35" t="s">
        <v>1838</v>
      </c>
      <c r="D816" s="35" t="s">
        <v>997</v>
      </c>
      <c r="E816" s="35"/>
      <c r="F816" s="36"/>
      <c r="G816" s="36"/>
      <c r="H816" s="37"/>
      <c r="I816" s="37"/>
      <c r="J816" s="38"/>
      <c r="K816" s="38"/>
      <c r="L816" s="38">
        <f>SUMIF(A817:A819,4,L817:L819)</f>
        <v>0</v>
      </c>
      <c r="M816" s="153">
        <f t="shared" si="116"/>
        <v>0</v>
      </c>
      <c r="O816" s="148">
        <f t="shared" si="117"/>
        <v>0</v>
      </c>
      <c r="R816" s="12">
        <f t="shared" si="118"/>
        <v>0</v>
      </c>
    </row>
    <row r="817" spans="1:18" s="18" customFormat="1" hidden="1" outlineLevel="1" x14ac:dyDescent="0.3">
      <c r="A817" s="290">
        <f t="shared" si="111"/>
        <v>4</v>
      </c>
      <c r="B817" s="45"/>
      <c r="C817" s="45" t="s">
        <v>1839</v>
      </c>
      <c r="D817" s="45" t="s">
        <v>997</v>
      </c>
      <c r="E817" s="45"/>
      <c r="F817" s="60"/>
      <c r="G817" s="60"/>
      <c r="H817" s="61"/>
      <c r="I817" s="61"/>
      <c r="J817" s="62"/>
      <c r="K817" s="62" t="str">
        <f>IF(A817=0,VLOOKUP(D817,'03. Insumos'!A:F,4,0),"")</f>
        <v/>
      </c>
      <c r="L817" s="62">
        <f>SUMIF(A818:A819,6,L818:L819)</f>
        <v>0</v>
      </c>
      <c r="M817" s="153">
        <f t="shared" si="116"/>
        <v>0</v>
      </c>
      <c r="O817" s="148">
        <f t="shared" si="117"/>
        <v>0</v>
      </c>
      <c r="R817" s="12">
        <f t="shared" si="118"/>
        <v>0</v>
      </c>
    </row>
    <row r="818" spans="1:18" s="59" customFormat="1" hidden="1" outlineLevel="1" x14ac:dyDescent="0.3">
      <c r="A818" s="290">
        <f t="shared" si="111"/>
        <v>6</v>
      </c>
      <c r="B818" s="55"/>
      <c r="C818" s="55" t="s">
        <v>1840</v>
      </c>
      <c r="D818" s="55" t="s">
        <v>997</v>
      </c>
      <c r="E818" s="55"/>
      <c r="F818" s="56"/>
      <c r="G818" s="56"/>
      <c r="H818" s="57"/>
      <c r="I818" s="57"/>
      <c r="J818" s="58"/>
      <c r="K818" s="58" t="str">
        <f>IF(A818=0,VLOOKUP(D818,'03. Insumos'!A:F,4,0),"")</f>
        <v/>
      </c>
      <c r="L818" s="58">
        <f>SUM(L819:L819)</f>
        <v>0</v>
      </c>
      <c r="M818" s="153">
        <f t="shared" si="116"/>
        <v>0</v>
      </c>
      <c r="O818" s="148">
        <f t="shared" si="117"/>
        <v>0</v>
      </c>
      <c r="R818" s="12">
        <f t="shared" si="118"/>
        <v>0</v>
      </c>
    </row>
    <row r="819" spans="1:18" s="51" customFormat="1" hidden="1" outlineLevel="1" x14ac:dyDescent="0.3">
      <c r="A819" s="290">
        <f t="shared" si="111"/>
        <v>0</v>
      </c>
      <c r="B819" s="49"/>
      <c r="C819" s="49"/>
      <c r="D819" s="49"/>
      <c r="E819" s="49" t="s">
        <v>997</v>
      </c>
      <c r="F819" s="52"/>
      <c r="G819" s="52" t="s">
        <v>29</v>
      </c>
      <c r="H819" s="53">
        <v>1</v>
      </c>
      <c r="I819" s="141"/>
      <c r="J819" s="54">
        <f>IFERROR(IF(K819&lt;&gt;0,K819*$K$5,0),0)</f>
        <v>0</v>
      </c>
      <c r="K819" s="54"/>
      <c r="L819" s="274">
        <f>H819*J819*I819</f>
        <v>0</v>
      </c>
      <c r="M819" s="153">
        <f t="shared" si="116"/>
        <v>0</v>
      </c>
      <c r="N819" s="171">
        <f>L7*0.02</f>
        <v>73103.222872241371</v>
      </c>
      <c r="O819" s="148">
        <f t="shared" si="117"/>
        <v>0</v>
      </c>
      <c r="R819" s="12">
        <f t="shared" si="118"/>
        <v>0</v>
      </c>
    </row>
    <row r="820" spans="1:18" hidden="1" outlineLevel="1" x14ac:dyDescent="0.3">
      <c r="B820" s="179"/>
      <c r="C820" s="179"/>
      <c r="D820" s="179"/>
      <c r="E820" s="179"/>
      <c r="F820" s="180"/>
      <c r="G820" s="180"/>
      <c r="H820" s="181"/>
      <c r="I820" s="182"/>
      <c r="J820" s="183"/>
      <c r="K820" s="183"/>
      <c r="L820" s="183"/>
      <c r="M820" s="153"/>
      <c r="N820" s="51"/>
      <c r="R820" s="12">
        <f t="shared" si="118"/>
        <v>0</v>
      </c>
    </row>
    <row r="821" spans="1:18" ht="16.2" collapsed="1" x14ac:dyDescent="0.4">
      <c r="B821" s="175" t="s">
        <v>1372</v>
      </c>
      <c r="C821" s="175"/>
      <c r="D821" s="175"/>
      <c r="E821" s="175"/>
      <c r="F821" s="176"/>
      <c r="G821" s="176"/>
      <c r="H821" s="177"/>
      <c r="I821" s="177"/>
      <c r="J821" s="178"/>
      <c r="K821" s="178"/>
      <c r="L821" s="178">
        <f>L822+L835+L836</f>
        <v>4594951.4295150852</v>
      </c>
      <c r="M821" s="153" t="b">
        <f>L821=SUM(L7,L835)</f>
        <v>0</v>
      </c>
    </row>
    <row r="822" spans="1:18" ht="14.4" x14ac:dyDescent="0.3">
      <c r="B822" s="184"/>
      <c r="C822" s="184"/>
      <c r="D822" s="184" t="s">
        <v>30</v>
      </c>
      <c r="E822" s="184"/>
      <c r="F822" s="185"/>
      <c r="G822" s="185"/>
      <c r="H822" s="186">
        <v>1</v>
      </c>
      <c r="I822" s="186">
        <v>1</v>
      </c>
      <c r="J822" s="187"/>
      <c r="K822" s="187">
        <f>L7</f>
        <v>3655161.1436120686</v>
      </c>
      <c r="L822" s="187">
        <f>H822*K822*I822</f>
        <v>3655161.1436120686</v>
      </c>
      <c r="M822" s="153">
        <f>L822/$L$7</f>
        <v>1</v>
      </c>
      <c r="N822" s="59"/>
    </row>
    <row r="823" spans="1:18" ht="15.75" hidden="1" customHeight="1" x14ac:dyDescent="0.3">
      <c r="B823" s="184"/>
      <c r="C823" s="184"/>
      <c r="D823" s="184" t="s">
        <v>1594</v>
      </c>
      <c r="E823" s="184"/>
      <c r="F823" s="185"/>
      <c r="G823" s="281" t="e">
        <f>J823/J822</f>
        <v>#DIV/0!</v>
      </c>
      <c r="H823" s="186">
        <v>1</v>
      </c>
      <c r="I823" s="186">
        <v>1</v>
      </c>
      <c r="J823" s="187">
        <f>SUMIF(F9:F819,"MAT",L9:L819)</f>
        <v>0</v>
      </c>
      <c r="K823" s="187">
        <f>J823</f>
        <v>0</v>
      </c>
      <c r="L823" s="187">
        <f>H823*J823*I823</f>
        <v>0</v>
      </c>
      <c r="M823" s="153"/>
      <c r="N823" s="59"/>
    </row>
    <row r="824" spans="1:18" ht="14.4" hidden="1" x14ac:dyDescent="0.3">
      <c r="B824" s="184"/>
      <c r="C824" s="184"/>
      <c r="D824" s="184" t="s">
        <v>1595</v>
      </c>
      <c r="E824" s="184"/>
      <c r="F824" s="185"/>
      <c r="G824" s="281" t="e">
        <f>J824/J822</f>
        <v>#DIV/0!</v>
      </c>
      <c r="H824" s="186">
        <v>1</v>
      </c>
      <c r="I824" s="186">
        <v>1</v>
      </c>
      <c r="J824" s="187">
        <f>SUMIF(F9:F819,"MO",L9:L819)</f>
        <v>223075.21460000004</v>
      </c>
      <c r="K824" s="187">
        <f>J824</f>
        <v>223075.21460000004</v>
      </c>
      <c r="L824" s="187">
        <f>H824*J824*I824</f>
        <v>223075.21460000004</v>
      </c>
      <c r="M824" s="153"/>
      <c r="N824" s="59"/>
    </row>
    <row r="825" spans="1:18" ht="14.4" x14ac:dyDescent="0.3">
      <c r="B825" s="184"/>
      <c r="C825" s="184"/>
      <c r="D825" s="184"/>
      <c r="E825" s="184"/>
      <c r="F825" s="185"/>
      <c r="G825" s="281"/>
      <c r="H825" s="186"/>
      <c r="I825" s="186"/>
      <c r="J825" s="187"/>
      <c r="K825" s="187"/>
      <c r="L825" s="187"/>
      <c r="M825" s="153"/>
      <c r="N825" s="59"/>
    </row>
    <row r="826" spans="1:18" ht="14.4" x14ac:dyDescent="0.3">
      <c r="B826" s="184"/>
      <c r="C826" s="184"/>
      <c r="D826" s="184"/>
      <c r="E826" s="184" t="s">
        <v>2606</v>
      </c>
      <c r="F826" s="185"/>
      <c r="G826" s="281"/>
      <c r="H826" s="186">
        <v>1</v>
      </c>
      <c r="I826" s="186">
        <v>1</v>
      </c>
      <c r="J826" s="187">
        <f>SUMIF(F8:F820,"MO",L8:L820)</f>
        <v>223075.21460000004</v>
      </c>
      <c r="K826" s="187"/>
      <c r="L826" s="187"/>
      <c r="M826" s="153"/>
      <c r="N826" s="59"/>
    </row>
    <row r="827" spans="1:18" ht="14.4" x14ac:dyDescent="0.3">
      <c r="B827" s="184"/>
      <c r="C827" s="184"/>
      <c r="D827" s="184"/>
      <c r="E827" s="184" t="s">
        <v>2611</v>
      </c>
      <c r="F827" s="185"/>
      <c r="G827" s="281"/>
      <c r="H827" s="186">
        <v>1</v>
      </c>
      <c r="I827" s="186">
        <v>1</v>
      </c>
      <c r="J827" s="187">
        <f>SUMIF(F8:F816,"MAT CONSUMO",L8:L820)</f>
        <v>2948282.6203150013</v>
      </c>
      <c r="K827" s="187"/>
      <c r="L827" s="187"/>
      <c r="M827" s="153"/>
      <c r="N827" s="59"/>
    </row>
    <row r="828" spans="1:18" ht="14.4" x14ac:dyDescent="0.3">
      <c r="B828" s="184"/>
      <c r="C828" s="184"/>
      <c r="D828" s="184"/>
      <c r="E828" s="184" t="s">
        <v>2610</v>
      </c>
      <c r="F828" s="185"/>
      <c r="G828" s="281"/>
      <c r="H828" s="186">
        <v>1</v>
      </c>
      <c r="I828" s="186">
        <v>1</v>
      </c>
      <c r="J828" s="187">
        <f ca="1">SUMIF(F9:F817,"MAT ACABAMENTO",L9:L816)</f>
        <v>331407.65449615533</v>
      </c>
      <c r="K828" s="187"/>
      <c r="L828" s="187"/>
      <c r="M828" s="153"/>
      <c r="N828" s="59"/>
    </row>
    <row r="829" spans="1:18" ht="14.4" x14ac:dyDescent="0.3">
      <c r="B829" s="184"/>
      <c r="C829" s="184"/>
      <c r="D829" s="184"/>
      <c r="E829" s="184" t="s">
        <v>2615</v>
      </c>
      <c r="F829" s="185"/>
      <c r="G829" s="281"/>
      <c r="H829" s="186">
        <v>1</v>
      </c>
      <c r="I829" s="186">
        <v>1</v>
      </c>
      <c r="J829" s="187">
        <f>SUMIF(F9:F817,"SERV. ESP.",L9:L821)</f>
        <v>152075.55420091323</v>
      </c>
      <c r="K829" s="187"/>
      <c r="L829" s="187"/>
      <c r="M829" s="153"/>
      <c r="N829" s="59"/>
    </row>
    <row r="830" spans="1:18" ht="14.4" x14ac:dyDescent="0.3">
      <c r="B830" s="184"/>
      <c r="C830" s="184"/>
      <c r="D830" s="184"/>
      <c r="E830" s="184" t="s">
        <v>2614</v>
      </c>
      <c r="F830" s="185"/>
      <c r="G830" s="281"/>
      <c r="H830" s="186">
        <v>1</v>
      </c>
      <c r="I830" s="186">
        <v>1</v>
      </c>
      <c r="J830" s="187">
        <f>K835</f>
        <v>731032.22872241377</v>
      </c>
      <c r="K830" s="187"/>
      <c r="L830" s="187"/>
      <c r="M830" s="153"/>
      <c r="N830" s="59"/>
    </row>
    <row r="831" spans="1:18" ht="14.4" x14ac:dyDescent="0.3">
      <c r="B831" s="184"/>
      <c r="C831" s="184"/>
      <c r="D831" s="184"/>
      <c r="E831" s="184"/>
      <c r="F831" s="185"/>
      <c r="G831" s="281"/>
      <c r="H831" s="186"/>
      <c r="I831" s="186"/>
      <c r="J831" s="187"/>
      <c r="K831" s="187"/>
      <c r="L831" s="187"/>
      <c r="M831" s="153"/>
      <c r="N831" s="59"/>
    </row>
    <row r="832" spans="1:18" ht="14.4" x14ac:dyDescent="0.3">
      <c r="B832" s="184"/>
      <c r="C832" s="184"/>
      <c r="D832" s="184"/>
      <c r="E832" s="184"/>
      <c r="F832" s="185"/>
      <c r="G832" s="281"/>
      <c r="H832" s="186"/>
      <c r="I832" s="186"/>
      <c r="J832" s="187"/>
      <c r="K832" s="187"/>
      <c r="L832" s="187"/>
      <c r="M832" s="153"/>
      <c r="N832" s="59"/>
    </row>
    <row r="833" spans="2:14" ht="14.4" x14ac:dyDescent="0.3">
      <c r="B833" s="184"/>
      <c r="C833" s="184"/>
      <c r="D833" s="184"/>
      <c r="E833" s="184" t="s">
        <v>2253</v>
      </c>
      <c r="F833" s="185"/>
      <c r="G833" s="281">
        <f>J833/K822</f>
        <v>0.97154708208097607</v>
      </c>
      <c r="H833" s="186">
        <v>1</v>
      </c>
      <c r="I833" s="186">
        <v>1</v>
      </c>
      <c r="J833" s="187">
        <f>K822-J834</f>
        <v>3551161.1436120686</v>
      </c>
      <c r="K833" s="187"/>
      <c r="L833" s="187"/>
      <c r="M833" s="153"/>
      <c r="N833" s="59"/>
    </row>
    <row r="834" spans="2:14" ht="14.4" x14ac:dyDescent="0.3">
      <c r="B834" s="184"/>
      <c r="C834" s="184"/>
      <c r="D834" s="184"/>
      <c r="E834" s="184" t="s">
        <v>2254</v>
      </c>
      <c r="F834" s="185"/>
      <c r="G834" s="281">
        <f>J834/K822</f>
        <v>2.8452917919023976E-2</v>
      </c>
      <c r="H834" s="186">
        <v>1</v>
      </c>
      <c r="I834" s="186">
        <v>1</v>
      </c>
      <c r="J834" s="187">
        <f>(8000+5000)*L2</f>
        <v>104000</v>
      </c>
      <c r="K834" s="187"/>
      <c r="L834" s="187"/>
      <c r="M834" s="153"/>
      <c r="N834" s="59"/>
    </row>
    <row r="835" spans="2:14" ht="14.4" x14ac:dyDescent="0.3">
      <c r="B835" s="184"/>
      <c r="C835" s="184"/>
      <c r="D835" s="184" t="s">
        <v>2252</v>
      </c>
      <c r="E835" s="184"/>
      <c r="F835" s="185"/>
      <c r="G835" s="283">
        <v>0.2</v>
      </c>
      <c r="H835" s="186">
        <v>1</v>
      </c>
      <c r="I835" s="186">
        <v>1</v>
      </c>
      <c r="J835" s="187"/>
      <c r="K835" s="187">
        <f>K822*G835</f>
        <v>731032.22872241377</v>
      </c>
      <c r="L835" s="187">
        <f>H835*K835*I835</f>
        <v>731032.22872241377</v>
      </c>
      <c r="M835" s="153">
        <f>L835/$L$7</f>
        <v>0.2</v>
      </c>
      <c r="N835" s="59"/>
    </row>
    <row r="836" spans="2:14" ht="14.4" x14ac:dyDescent="0.3">
      <c r="B836" s="291"/>
      <c r="C836" s="291"/>
      <c r="D836" s="291" t="s">
        <v>2251</v>
      </c>
      <c r="E836" s="291"/>
      <c r="F836" s="292"/>
      <c r="G836" s="293">
        <v>0.18</v>
      </c>
      <c r="H836" s="294">
        <v>1</v>
      </c>
      <c r="I836" s="294">
        <v>1</v>
      </c>
      <c r="J836" s="295"/>
      <c r="K836" s="295">
        <f>((K835+J834)/0.8)-(K835+J834)</f>
        <v>208758.05718060338</v>
      </c>
      <c r="L836" s="187">
        <f>H836*K836*I836</f>
        <v>208758.05718060338</v>
      </c>
      <c r="M836" s="153">
        <f>L836/$L$7</f>
        <v>5.7113229479755979E-2</v>
      </c>
      <c r="N836" s="59"/>
    </row>
    <row r="838" spans="2:14" x14ac:dyDescent="0.3">
      <c r="J838" s="284">
        <f>L821/K822</f>
        <v>1.2571132294797558</v>
      </c>
    </row>
  </sheetData>
  <mergeCells count="1">
    <mergeCell ref="E1:H2"/>
  </mergeCells>
  <conditionalFormatting sqref="A1:A1048576">
    <cfRule type="cellIs" dxfId="18" priority="1" operator="equal">
      <formula>2</formula>
    </cfRule>
  </conditionalFormatting>
  <pageMargins left="0.51181102362204722" right="0.51181102362204722" top="0.78740157480314965" bottom="0.78740157480314965" header="0.31496062992125984" footer="0.31496062992125984"/>
  <pageSetup paperSize="9" scale="64" fitToHeight="6" orientation="landscape" horizontalDpi="200" verticalDpi="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CB21F-968C-4265-8983-E8332BDEC74B}">
  <sheetPr>
    <tabColor theme="0" tint="-0.14999847407452621"/>
    <pageSetUpPr fitToPage="1"/>
  </sheetPr>
  <dimension ref="A1:XFD654"/>
  <sheetViews>
    <sheetView showGridLines="0" zoomScale="115" zoomScaleNormal="115" zoomScaleSheetLayoutView="85" workbookViewId="0">
      <pane ySplit="7" topLeftCell="A585" activePane="bottomLeft" state="frozen"/>
      <selection pane="bottomLeft" activeCell="L638" sqref="A586:L638"/>
    </sheetView>
  </sheetViews>
  <sheetFormatPr defaultColWidth="9.109375" defaultRowHeight="13.8" outlineLevelRow="1" outlineLevelCol="1" x14ac:dyDescent="0.3"/>
  <cols>
    <col min="1" max="1" width="3" style="290" hidden="1" customWidth="1" outlineLevel="1"/>
    <col min="2" max="2" width="1.33203125" style="39" customWidth="1" collapsed="1"/>
    <col min="3" max="3" width="6.5546875" style="39" customWidth="1"/>
    <col min="4" max="4" width="10" style="39" customWidth="1"/>
    <col min="5" max="5" width="54.109375" style="385" customWidth="1"/>
    <col min="6" max="6" width="7.109375" style="9" hidden="1" customWidth="1" outlineLevel="1"/>
    <col min="7" max="7" width="12.6640625" style="640" customWidth="1" collapsed="1"/>
    <col min="8" max="8" width="12.44140625" style="646" bestFit="1" customWidth="1"/>
    <col min="9" max="9" width="10.6640625" style="551" customWidth="1"/>
    <col min="10" max="10" width="14.109375" style="43" customWidth="1"/>
    <col min="11" max="11" width="15.5546875" style="43" hidden="1" customWidth="1" outlineLevel="1"/>
    <col min="12" max="12" width="19.33203125" style="43" bestFit="1" customWidth="1" collapsed="1"/>
    <col min="13" max="13" width="13.6640625" style="150" bestFit="1" customWidth="1"/>
    <col min="14" max="14" width="17" style="13" hidden="1" customWidth="1" outlineLevel="1"/>
    <col min="15" max="15" width="17.88671875" style="13" hidden="1" customWidth="1" outlineLevel="1"/>
    <col min="16" max="16" width="16" style="13" hidden="1" customWidth="1" outlineLevel="1"/>
    <col min="17" max="17" width="1.44140625" style="13" hidden="1" customWidth="1" collapsed="1"/>
    <col min="18" max="18" width="15.6640625" style="13" customWidth="1"/>
    <col min="19" max="20" width="13.5546875" style="13" customWidth="1"/>
    <col min="21" max="21" width="10.44140625" style="13" bestFit="1" customWidth="1"/>
    <col min="22" max="16384" width="9.109375" style="13"/>
  </cols>
  <sheetData>
    <row r="1" spans="1:18" ht="15" customHeight="1" x14ac:dyDescent="0.3">
      <c r="B1" s="373"/>
      <c r="C1" s="373"/>
      <c r="D1" s="374"/>
      <c r="E1" s="1111" t="s">
        <v>1263</v>
      </c>
      <c r="F1" s="1111"/>
      <c r="G1" s="1111"/>
      <c r="H1" s="1111"/>
      <c r="I1" s="1111"/>
      <c r="J1" s="1111"/>
      <c r="K1" s="192" t="s">
        <v>1155</v>
      </c>
      <c r="L1" s="382" t="s">
        <v>1000</v>
      </c>
      <c r="M1" s="149"/>
    </row>
    <row r="2" spans="1:18" ht="17.25" customHeight="1" x14ac:dyDescent="0.3">
      <c r="B2" s="373"/>
      <c r="C2" s="373"/>
      <c r="D2" s="374"/>
      <c r="E2" s="1111"/>
      <c r="F2" s="1111"/>
      <c r="G2" s="1111"/>
      <c r="H2" s="1111"/>
      <c r="I2" s="1111"/>
      <c r="J2" s="1111"/>
      <c r="K2" s="452"/>
      <c r="L2" s="672">
        <v>4</v>
      </c>
      <c r="M2" s="149"/>
      <c r="N2" s="226"/>
    </row>
    <row r="3" spans="1:18" ht="14.4" thickBot="1" x14ac:dyDescent="0.35">
      <c r="B3" s="377"/>
      <c r="C3" s="377"/>
      <c r="D3" s="378"/>
      <c r="E3" s="453"/>
      <c r="F3" s="379"/>
      <c r="G3" s="639"/>
      <c r="H3" s="639"/>
      <c r="I3" s="542"/>
      <c r="J3" s="380"/>
      <c r="K3" s="376"/>
      <c r="L3" s="454"/>
      <c r="M3" s="149"/>
    </row>
    <row r="4" spans="1:18" ht="15" thickTop="1" thickBot="1" x14ac:dyDescent="0.35">
      <c r="H4" s="640"/>
      <c r="I4" s="543"/>
      <c r="K4" s="228" t="s">
        <v>1261</v>
      </c>
    </row>
    <row r="5" spans="1:18" ht="13.5" customHeight="1" thickBot="1" x14ac:dyDescent="0.35">
      <c r="B5" s="24"/>
      <c r="C5" s="24"/>
      <c r="D5" s="24"/>
      <c r="E5" s="386"/>
      <c r="F5" s="3" t="s">
        <v>1593</v>
      </c>
      <c r="G5" s="3" t="s">
        <v>28</v>
      </c>
      <c r="H5" s="3" t="s">
        <v>1596</v>
      </c>
      <c r="I5" s="3" t="s">
        <v>88</v>
      </c>
      <c r="J5" s="25" t="s">
        <v>26</v>
      </c>
      <c r="K5" s="647">
        <v>1</v>
      </c>
      <c r="L5" s="25" t="s">
        <v>27</v>
      </c>
      <c r="M5" s="521"/>
      <c r="O5" s="148" t="s">
        <v>1262</v>
      </c>
    </row>
    <row r="6" spans="1:18" ht="5.25" customHeight="1" x14ac:dyDescent="0.3">
      <c r="B6" s="88"/>
      <c r="C6" s="88"/>
      <c r="D6" s="88"/>
      <c r="E6" s="387"/>
      <c r="F6" s="10"/>
      <c r="G6" s="641"/>
      <c r="H6" s="641"/>
      <c r="I6" s="544"/>
      <c r="J6" s="89"/>
      <c r="K6" s="89"/>
      <c r="L6" s="89"/>
      <c r="M6" s="152"/>
      <c r="O6" s="148"/>
    </row>
    <row r="7" spans="1:18" ht="13.5" hidden="1" customHeight="1" x14ac:dyDescent="0.3">
      <c r="B7" s="76" t="s">
        <v>22</v>
      </c>
      <c r="C7" s="90"/>
      <c r="D7" s="90"/>
      <c r="E7" s="388"/>
      <c r="F7" s="91"/>
      <c r="G7" s="642"/>
      <c r="H7" s="643"/>
      <c r="I7" s="545"/>
      <c r="J7" s="93"/>
      <c r="K7" s="93"/>
      <c r="L7" s="93">
        <f ca="1">SUM(L9+L191)</f>
        <v>563357.81488227705</v>
      </c>
      <c r="M7" s="153">
        <f t="shared" ref="M7:M125" ca="1" si="0">L7/$L$7</f>
        <v>1</v>
      </c>
      <c r="N7" s="13" t="e">
        <f ca="1">P7=L7</f>
        <v>#VALUE!</v>
      </c>
      <c r="O7" s="227" t="e">
        <f>SUM(O10:O628)</f>
        <v>#VALUE!</v>
      </c>
      <c r="P7" s="225" t="e">
        <f>O7*K5</f>
        <v>#VALUE!</v>
      </c>
      <c r="Q7" s="226"/>
    </row>
    <row r="8" spans="1:18" ht="5.25" customHeight="1" x14ac:dyDescent="0.3">
      <c r="B8" s="63">
        <v>0</v>
      </c>
      <c r="C8" s="72">
        <v>0</v>
      </c>
      <c r="D8" s="72">
        <v>0</v>
      </c>
      <c r="E8" s="55">
        <v>0</v>
      </c>
      <c r="F8" s="73"/>
      <c r="G8" s="56">
        <v>0</v>
      </c>
      <c r="H8" s="57">
        <v>0</v>
      </c>
      <c r="I8" s="142"/>
      <c r="J8" s="75">
        <f>IFERROR(IF(K8&lt;&gt;0,K8*$K$5,0),0)</f>
        <v>0</v>
      </c>
      <c r="K8" s="75"/>
      <c r="L8" s="75"/>
      <c r="M8" s="153">
        <f t="shared" ca="1" si="0"/>
        <v>0</v>
      </c>
      <c r="O8" s="148"/>
    </row>
    <row r="9" spans="1:18" ht="13.5" customHeight="1" x14ac:dyDescent="0.3">
      <c r="A9" s="290">
        <f t="shared" ref="A9:A158" si="1">LEN(C9)</f>
        <v>1</v>
      </c>
      <c r="B9" s="20"/>
      <c r="C9" s="20" t="s">
        <v>352</v>
      </c>
      <c r="D9" s="20" t="s">
        <v>90</v>
      </c>
      <c r="E9" s="389"/>
      <c r="F9" s="22"/>
      <c r="G9" s="331"/>
      <c r="H9" s="332"/>
      <c r="I9" s="546"/>
      <c r="J9" s="26"/>
      <c r="K9" s="26"/>
      <c r="L9" s="26">
        <f>SUMIF(A10:A190,3,L10:L190)</f>
        <v>81268.395333333334</v>
      </c>
      <c r="M9" s="153">
        <f t="shared" ca="1" si="0"/>
        <v>0.14425715448771348</v>
      </c>
      <c r="O9" s="148">
        <f t="shared" ref="O9:O21" si="2">IF(I9&lt;&gt;0,I9*H9*K9,)</f>
        <v>0</v>
      </c>
      <c r="R9" s="12">
        <f t="shared" ref="R9:R25" si="3">IF(J9&lt;&gt;0,J9/1.03-K9,0)</f>
        <v>0</v>
      </c>
    </row>
    <row r="10" spans="1:18" s="592" customFormat="1" ht="13.5" customHeight="1" x14ac:dyDescent="0.3">
      <c r="A10" s="478">
        <f t="shared" si="1"/>
        <v>3</v>
      </c>
      <c r="B10" s="390"/>
      <c r="C10" s="390" t="s">
        <v>354</v>
      </c>
      <c r="D10" s="390" t="s">
        <v>76</v>
      </c>
      <c r="E10" s="390"/>
      <c r="F10" s="323"/>
      <c r="G10" s="323"/>
      <c r="H10" s="324"/>
      <c r="I10" s="324"/>
      <c r="J10" s="333"/>
      <c r="K10" s="333"/>
      <c r="L10" s="333">
        <f>SUMIF(A11:A27,4,L11:L27)</f>
        <v>10002</v>
      </c>
      <c r="M10" s="479">
        <f t="shared" ca="1" si="0"/>
        <v>1.7754258014668855E-2</v>
      </c>
      <c r="O10" s="499">
        <f t="shared" si="2"/>
        <v>0</v>
      </c>
      <c r="R10" s="348">
        <f t="shared" si="3"/>
        <v>0</v>
      </c>
    </row>
    <row r="11" spans="1:18" s="18" customFormat="1" ht="13.5" customHeight="1" outlineLevel="1" x14ac:dyDescent="0.3">
      <c r="A11" s="290">
        <f t="shared" si="1"/>
        <v>4</v>
      </c>
      <c r="B11" s="45"/>
      <c r="C11" s="45" t="s">
        <v>388</v>
      </c>
      <c r="D11" s="45" t="s">
        <v>1361</v>
      </c>
      <c r="E11" s="347"/>
      <c r="F11" s="327"/>
      <c r="G11" s="327"/>
      <c r="H11" s="328"/>
      <c r="I11" s="548"/>
      <c r="J11" s="335"/>
      <c r="K11" s="335" t="str">
        <f>IF(A11=0,VLOOKUP(D11,'03. Insumos'!A:F,4,0),"")</f>
        <v/>
      </c>
      <c r="L11" s="335">
        <f>SUMIF(A12:A15,6,L12:L15)</f>
        <v>10002</v>
      </c>
      <c r="M11" s="153">
        <f t="shared" ca="1" si="0"/>
        <v>1.7754258014668855E-2</v>
      </c>
      <c r="O11" s="148">
        <f t="shared" si="2"/>
        <v>0</v>
      </c>
      <c r="R11" s="12">
        <f t="shared" si="3"/>
        <v>0</v>
      </c>
    </row>
    <row r="12" spans="1:18" s="599" customFormat="1" ht="13.5" customHeight="1" outlineLevel="1" x14ac:dyDescent="0.3">
      <c r="A12" s="18">
        <f t="shared" si="1"/>
        <v>6</v>
      </c>
      <c r="B12" s="593"/>
      <c r="C12" s="593" t="s">
        <v>910</v>
      </c>
      <c r="D12" s="391" t="s">
        <v>1361</v>
      </c>
      <c r="E12" s="593"/>
      <c r="F12" s="594"/>
      <c r="G12" s="594"/>
      <c r="H12" s="595"/>
      <c r="I12" s="595"/>
      <c r="J12" s="597"/>
      <c r="K12" s="597" t="str">
        <f>IF(A12=0,VLOOKUP(D12,'03. Insumos'!A:F,4,0),"")</f>
        <v/>
      </c>
      <c r="L12" s="597">
        <f>SUM(L13:L15)</f>
        <v>10002</v>
      </c>
      <c r="M12" s="598">
        <f t="shared" ca="1" si="0"/>
        <v>1.7754258014668855E-2</v>
      </c>
      <c r="O12" s="600">
        <f t="shared" si="2"/>
        <v>0</v>
      </c>
      <c r="R12" s="601">
        <f t="shared" si="3"/>
        <v>0</v>
      </c>
    </row>
    <row r="13" spans="1:18" s="71" customFormat="1" ht="13.5" customHeight="1" outlineLevel="1" x14ac:dyDescent="0.3">
      <c r="A13" s="13">
        <v>0</v>
      </c>
      <c r="B13" s="67"/>
      <c r="C13" s="67"/>
      <c r="D13" s="370" t="s">
        <v>1875</v>
      </c>
      <c r="E13" s="67" t="str">
        <f>VLOOKUP(D13,'03. Insumos'!A:D,2,0)</f>
        <v>Seguro responsabilidade civil e cruzada</v>
      </c>
      <c r="F13" s="68" t="s">
        <v>5218</v>
      </c>
      <c r="G13" s="68" t="str">
        <f>VLOOKUP(D13,'03. Insumos'!A:F,3,0)</f>
        <v>vb</v>
      </c>
      <c r="H13" s="69">
        <v>1</v>
      </c>
      <c r="I13" s="69">
        <v>1</v>
      </c>
      <c r="J13" s="70">
        <f>IFERROR(IF(K13&lt;&gt;0,K13*$K$5,0),0)</f>
        <v>1</v>
      </c>
      <c r="K13" s="54">
        <f>IF(A13=0,VLOOKUP(D13,'03. Insumos'!A:F,4,0),"")</f>
        <v>1</v>
      </c>
      <c r="L13" s="70">
        <f>H13*J13*I13</f>
        <v>1</v>
      </c>
      <c r="M13" s="355">
        <f t="shared" ca="1" si="0"/>
        <v>1.7750707873094236E-6</v>
      </c>
      <c r="O13" s="148"/>
      <c r="R13" s="356"/>
    </row>
    <row r="14" spans="1:18" s="71" customFormat="1" ht="13.5" customHeight="1" outlineLevel="1" x14ac:dyDescent="0.3">
      <c r="A14" s="13">
        <v>0</v>
      </c>
      <c r="B14" s="67"/>
      <c r="C14" s="67"/>
      <c r="D14" s="370" t="s">
        <v>117</v>
      </c>
      <c r="E14" s="67" t="str">
        <f>VLOOKUP(D14,'03. Insumos'!A:D,2,0)</f>
        <v>Placa de Obra</v>
      </c>
      <c r="F14" s="68" t="s">
        <v>3809</v>
      </c>
      <c r="G14" s="68" t="str">
        <f>VLOOKUP(D14,'03. Insumos'!A:F,3,0)</f>
        <v>vb</v>
      </c>
      <c r="H14" s="69">
        <v>1</v>
      </c>
      <c r="I14" s="69">
        <v>1</v>
      </c>
      <c r="J14" s="70">
        <f>IFERROR(IF(K14&lt;&gt;0,K14*$K$5,0),0)</f>
        <v>1</v>
      </c>
      <c r="K14" s="54">
        <f>IF(A14=0,VLOOKUP(D14,'03. Insumos'!A:F,4,0),"")</f>
        <v>1</v>
      </c>
      <c r="L14" s="70">
        <f>H14*J14*I14</f>
        <v>1</v>
      </c>
      <c r="M14" s="355">
        <f t="shared" ca="1" si="0"/>
        <v>1.7750707873094236E-6</v>
      </c>
      <c r="O14" s="148"/>
      <c r="R14" s="356"/>
    </row>
    <row r="15" spans="1:18" s="51" customFormat="1" ht="13.5" customHeight="1" outlineLevel="1" x14ac:dyDescent="0.3">
      <c r="A15" s="13">
        <f t="shared" si="1"/>
        <v>0</v>
      </c>
      <c r="B15" s="49"/>
      <c r="C15" s="49"/>
      <c r="D15" s="370" t="s">
        <v>3395</v>
      </c>
      <c r="E15" s="67" t="str">
        <f>VLOOKUP(D15,'03. Insumos'!A:D,2,0)</f>
        <v>Mestre De Obra</v>
      </c>
      <c r="F15" s="68" t="s">
        <v>3809</v>
      </c>
      <c r="G15" s="68" t="str">
        <f>VLOOKUP(D15,'03. Insumos'!A:F,3,0)</f>
        <v>mês</v>
      </c>
      <c r="H15" s="69">
        <v>1</v>
      </c>
      <c r="I15" s="69">
        <v>1</v>
      </c>
      <c r="J15" s="70">
        <f>IFERROR(IF(K15&lt;&gt;0,K15*$K$5,0),0)</f>
        <v>10000</v>
      </c>
      <c r="K15" s="54">
        <f>IF(A15=0,VLOOKUP(D15,'03. Insumos'!A:F,4,0),"")</f>
        <v>10000</v>
      </c>
      <c r="L15" s="70">
        <f>H15*J15*I15</f>
        <v>10000</v>
      </c>
      <c r="M15" s="355">
        <f t="shared" ca="1" si="0"/>
        <v>1.7750707873094237E-2</v>
      </c>
      <c r="O15" s="148">
        <f t="shared" si="2"/>
        <v>10000</v>
      </c>
      <c r="R15" s="356">
        <f t="shared" si="3"/>
        <v>-291.26213592233034</v>
      </c>
    </row>
    <row r="16" spans="1:18" s="18" customFormat="1" ht="13.5" hidden="1" customHeight="1" outlineLevel="1" x14ac:dyDescent="0.3">
      <c r="A16" s="290">
        <f t="shared" si="1"/>
        <v>4</v>
      </c>
      <c r="B16" s="45"/>
      <c r="C16" s="45" t="s">
        <v>389</v>
      </c>
      <c r="D16" s="45" t="s">
        <v>342</v>
      </c>
      <c r="E16" s="347"/>
      <c r="F16" s="327"/>
      <c r="G16" s="327"/>
      <c r="H16" s="328"/>
      <c r="I16" s="328"/>
      <c r="J16" s="335"/>
      <c r="K16" s="335" t="str">
        <f>IF(A16=0,VLOOKUP(D16,'03. Insumos'!A:F,4,0),"")</f>
        <v/>
      </c>
      <c r="L16" s="335">
        <f>SUMIF(A17:A25,6,L17:L27)</f>
        <v>0</v>
      </c>
      <c r="M16" s="153">
        <f t="shared" ca="1" si="0"/>
        <v>0</v>
      </c>
      <c r="O16" s="148">
        <f t="shared" si="2"/>
        <v>0</v>
      </c>
      <c r="R16" s="12">
        <f t="shared" si="3"/>
        <v>0</v>
      </c>
    </row>
    <row r="17" spans="1:18" s="605" customFormat="1" ht="13.5" hidden="1" customHeight="1" outlineLevel="1" x14ac:dyDescent="0.3">
      <c r="A17" s="18">
        <f t="shared" si="1"/>
        <v>6</v>
      </c>
      <c r="B17" s="602"/>
      <c r="C17" s="602" t="s">
        <v>911</v>
      </c>
      <c r="D17" s="606" t="s">
        <v>32</v>
      </c>
      <c r="E17" s="593"/>
      <c r="F17" s="603"/>
      <c r="G17" s="594" t="s">
        <v>72</v>
      </c>
      <c r="H17" s="595"/>
      <c r="I17" s="595"/>
      <c r="J17" s="597"/>
      <c r="K17" s="604" t="str">
        <f>IF(A17=0,VLOOKUP(D17,'03. Insumos'!A:F,4,0),"")</f>
        <v/>
      </c>
      <c r="L17" s="597">
        <f>SUM(L18:L21)</f>
        <v>0</v>
      </c>
      <c r="M17" s="598">
        <f t="shared" ca="1" si="0"/>
        <v>0</v>
      </c>
      <c r="O17" s="600">
        <f t="shared" si="2"/>
        <v>0</v>
      </c>
      <c r="R17" s="601">
        <f t="shared" si="3"/>
        <v>0</v>
      </c>
    </row>
    <row r="18" spans="1:18" s="51" customFormat="1" ht="13.5" hidden="1" customHeight="1" outlineLevel="1" x14ac:dyDescent="0.3">
      <c r="A18" s="13">
        <f t="shared" si="1"/>
        <v>0</v>
      </c>
      <c r="B18" s="49"/>
      <c r="C18" s="49"/>
      <c r="D18" s="370" t="s">
        <v>226</v>
      </c>
      <c r="E18" s="67" t="str">
        <f>VLOOKUP(D18,'03. Insumos'!A:D,2,0)</f>
        <v xml:space="preserve">Controle Tecnológico - Ensaio compressão simples concreto NBR 7215 </v>
      </c>
      <c r="F18" s="68" t="s">
        <v>5218</v>
      </c>
      <c r="G18" s="68" t="str">
        <f>VLOOKUP(D18,'03. Insumos'!A:F,3,0)</f>
        <v>cp</v>
      </c>
      <c r="H18" s="69"/>
      <c r="I18" s="69">
        <v>5</v>
      </c>
      <c r="J18" s="70">
        <f>IFERROR(IF(K18&lt;&gt;0,K18*$K$5,0),0)</f>
        <v>12</v>
      </c>
      <c r="K18" s="54">
        <f>IF(A18=0,VLOOKUP(D18,'03. Insumos'!A:F,4,0),"")</f>
        <v>12</v>
      </c>
      <c r="L18" s="70">
        <f>H18*J18*I18</f>
        <v>0</v>
      </c>
      <c r="M18" s="355">
        <f t="shared" ca="1" si="0"/>
        <v>0</v>
      </c>
      <c r="O18" s="148">
        <f t="shared" si="2"/>
        <v>0</v>
      </c>
      <c r="R18" s="356">
        <f t="shared" si="3"/>
        <v>-0.34951456310679596</v>
      </c>
    </row>
    <row r="19" spans="1:18" s="51" customFormat="1" ht="13.5" hidden="1" customHeight="1" outlineLevel="1" x14ac:dyDescent="0.3">
      <c r="A19" s="13">
        <f t="shared" si="1"/>
        <v>0</v>
      </c>
      <c r="B19" s="49"/>
      <c r="C19" s="49"/>
      <c r="D19" s="370" t="s">
        <v>224</v>
      </c>
      <c r="E19" s="67" t="str">
        <f>VLOOKUP(D19,'03. Insumos'!A:D,2,0)</f>
        <v>Controle Tecnológico - Diária Moldador</v>
      </c>
      <c r="F19" s="68" t="s">
        <v>5218</v>
      </c>
      <c r="G19" s="68" t="str">
        <f>VLOOKUP(D19,'03. Insumos'!A:F,3,0)</f>
        <v>dia</v>
      </c>
      <c r="H19" s="69"/>
      <c r="I19" s="69">
        <v>5</v>
      </c>
      <c r="J19" s="70">
        <f>IFERROR(IF(K19&lt;&gt;0,K19*$K$5,0),0)</f>
        <v>225</v>
      </c>
      <c r="K19" s="54">
        <f>IF(A19=0,VLOOKUP(D19,'03. Insumos'!A:F,4,0),"")</f>
        <v>225</v>
      </c>
      <c r="L19" s="70">
        <f>H19*J19*I19</f>
        <v>0</v>
      </c>
      <c r="M19" s="355">
        <f t="shared" ca="1" si="0"/>
        <v>0</v>
      </c>
      <c r="O19" s="148">
        <f t="shared" si="2"/>
        <v>0</v>
      </c>
      <c r="R19" s="356">
        <f t="shared" si="3"/>
        <v>-6.5533980582524407</v>
      </c>
    </row>
    <row r="20" spans="1:18" s="51" customFormat="1" ht="13.5" hidden="1" customHeight="1" outlineLevel="1" x14ac:dyDescent="0.3">
      <c r="A20" s="13">
        <f t="shared" si="1"/>
        <v>0</v>
      </c>
      <c r="B20" s="49"/>
      <c r="C20" s="49"/>
      <c r="D20" s="370" t="s">
        <v>225</v>
      </c>
      <c r="E20" s="67" t="str">
        <f>VLOOKUP(D20,'03. Insumos'!A:D,2,0)</f>
        <v>Controle Tecnológico - Mobilização</v>
      </c>
      <c r="F20" s="68" t="s">
        <v>5218</v>
      </c>
      <c r="G20" s="68" t="str">
        <f>VLOOKUP(D20,'03. Insumos'!A:F,3,0)</f>
        <v>uni</v>
      </c>
      <c r="H20" s="69"/>
      <c r="I20" s="69">
        <v>5</v>
      </c>
      <c r="J20" s="70">
        <f>IFERROR(IF(K20&lt;&gt;0,K20*$K$5,0),0)</f>
        <v>155</v>
      </c>
      <c r="K20" s="54">
        <f>IF(A20=0,VLOOKUP(D20,'03. Insumos'!A:F,4,0),"")</f>
        <v>155</v>
      </c>
      <c r="L20" s="70">
        <f>H20*J20*I20</f>
        <v>0</v>
      </c>
      <c r="M20" s="355">
        <f t="shared" ca="1" si="0"/>
        <v>0</v>
      </c>
      <c r="O20" s="148">
        <f t="shared" si="2"/>
        <v>0</v>
      </c>
      <c r="R20" s="356">
        <f t="shared" si="3"/>
        <v>-4.5145631067961176</v>
      </c>
    </row>
    <row r="21" spans="1:18" s="51" customFormat="1" hidden="1" outlineLevel="1" x14ac:dyDescent="0.3">
      <c r="A21" s="13">
        <f t="shared" si="1"/>
        <v>0</v>
      </c>
      <c r="B21" s="49"/>
      <c r="C21" s="49"/>
      <c r="D21" s="370" t="s">
        <v>228</v>
      </c>
      <c r="E21" s="67" t="str">
        <f>VLOOKUP(D21,'03. Insumos'!A:D,2,0)</f>
        <v xml:space="preserve">Controle Tecnológico - Coleta de materiais na obra </v>
      </c>
      <c r="F21" s="68" t="s">
        <v>5218</v>
      </c>
      <c r="G21" s="68" t="str">
        <f>VLOOKUP(D21,'03. Insumos'!A:F,3,0)</f>
        <v>uni</v>
      </c>
      <c r="H21" s="69"/>
      <c r="I21" s="69">
        <v>5</v>
      </c>
      <c r="J21" s="70">
        <f>IFERROR(IF(K21&lt;&gt;0,K21*$K$5,0),0)</f>
        <v>155</v>
      </c>
      <c r="K21" s="54">
        <f>IF(A21=0,VLOOKUP(D21,'03. Insumos'!A:F,4,0),"")</f>
        <v>155</v>
      </c>
      <c r="L21" s="70">
        <f>H21*J21*I21</f>
        <v>0</v>
      </c>
      <c r="M21" s="355">
        <f t="shared" ca="1" si="0"/>
        <v>0</v>
      </c>
      <c r="O21" s="148">
        <f t="shared" si="2"/>
        <v>0</v>
      </c>
      <c r="R21" s="356">
        <f t="shared" si="3"/>
        <v>-4.5145631067961176</v>
      </c>
    </row>
    <row r="22" spans="1:18" s="34" customFormat="1" hidden="1" outlineLevel="1" x14ac:dyDescent="0.3">
      <c r="A22" s="290">
        <f t="shared" si="1"/>
        <v>6</v>
      </c>
      <c r="B22" s="602"/>
      <c r="C22" s="602" t="s">
        <v>912</v>
      </c>
      <c r="D22" s="606" t="s">
        <v>94</v>
      </c>
      <c r="E22" s="593"/>
      <c r="F22" s="603"/>
      <c r="G22" s="594"/>
      <c r="H22" s="595"/>
      <c r="I22" s="595"/>
      <c r="J22" s="597"/>
      <c r="K22" s="604" t="str">
        <f>IF(A22=0,VLOOKUP(D22,'03. Insumos'!A:F,4,0),"")</f>
        <v/>
      </c>
      <c r="L22" s="628">
        <f>SUM(L23:L23)</f>
        <v>0</v>
      </c>
      <c r="M22" s="153">
        <f t="shared" ca="1" si="0"/>
        <v>0</v>
      </c>
      <c r="O22" s="148"/>
      <c r="R22" s="12">
        <f t="shared" si="3"/>
        <v>0</v>
      </c>
    </row>
    <row r="23" spans="1:18" s="51" customFormat="1" hidden="1" outlineLevel="1" x14ac:dyDescent="0.3">
      <c r="A23" s="290">
        <f t="shared" si="1"/>
        <v>0</v>
      </c>
      <c r="B23" s="49"/>
      <c r="C23" s="49"/>
      <c r="D23" s="140" t="s">
        <v>126</v>
      </c>
      <c r="E23" s="67" t="str">
        <f>VLOOKUP(D23,'03. Insumos'!A:D,2,0)</f>
        <v>Consultoria Estrutura</v>
      </c>
      <c r="F23" s="52"/>
      <c r="G23" s="68" t="str">
        <f>VLOOKUP(D23,'03. Insumos'!A:F,3,0)</f>
        <v>mês</v>
      </c>
      <c r="H23" s="69"/>
      <c r="I23" s="483"/>
      <c r="J23" s="70">
        <f>IFERROR(IF(K23&lt;&gt;0,K23*$K$5,0),0)</f>
        <v>3000</v>
      </c>
      <c r="K23" s="54">
        <f>IF(A23=0,VLOOKUP(D23,'03. Insumos'!A:F,4,0),"")</f>
        <v>3000</v>
      </c>
      <c r="L23" s="485">
        <f>H23*J23*I23</f>
        <v>0</v>
      </c>
      <c r="M23" s="153">
        <f t="shared" ca="1" si="0"/>
        <v>0</v>
      </c>
      <c r="O23" s="148">
        <f>IF(I23&lt;&gt;0,I23*H23*K23,)</f>
        <v>0</v>
      </c>
      <c r="R23" s="12">
        <f t="shared" si="3"/>
        <v>-87.378640776699285</v>
      </c>
    </row>
    <row r="24" spans="1:18" s="34" customFormat="1" ht="13.5" hidden="1" customHeight="1" outlineLevel="1" x14ac:dyDescent="0.3">
      <c r="A24" s="13">
        <f t="shared" si="1"/>
        <v>6</v>
      </c>
      <c r="B24" s="602"/>
      <c r="C24" s="602" t="s">
        <v>913</v>
      </c>
      <c r="D24" s="606" t="s">
        <v>1001</v>
      </c>
      <c r="E24" s="593"/>
      <c r="F24" s="603"/>
      <c r="G24" s="594"/>
      <c r="H24" s="595"/>
      <c r="I24" s="595"/>
      <c r="J24" s="597"/>
      <c r="K24" s="604" t="str">
        <f>IF(A24=0,VLOOKUP(D24,'03. Insumos'!A:F,4,0),"")</f>
        <v/>
      </c>
      <c r="L24" s="628">
        <f>SUM(L25:L27)</f>
        <v>0</v>
      </c>
      <c r="M24" s="355">
        <f t="shared" ca="1" si="0"/>
        <v>0</v>
      </c>
      <c r="O24" s="148"/>
      <c r="R24" s="356">
        <f t="shared" si="3"/>
        <v>0</v>
      </c>
    </row>
    <row r="25" spans="1:18" s="486" customFormat="1" ht="13.5" hidden="1" customHeight="1" outlineLevel="1" x14ac:dyDescent="0.3">
      <c r="A25" s="290">
        <f t="shared" si="1"/>
        <v>0</v>
      </c>
      <c r="B25" s="480"/>
      <c r="C25" s="480"/>
      <c r="D25" s="370" t="s">
        <v>1875</v>
      </c>
      <c r="E25" s="481" t="str">
        <f>VLOOKUP(D25,'03. Insumos'!A:D,2,0)</f>
        <v>Seguro responsabilidade civil e cruzada</v>
      </c>
      <c r="F25" s="482" t="s">
        <v>2599</v>
      </c>
      <c r="G25" s="482" t="str">
        <f>VLOOKUP(D25,'03. Insumos'!A:F,3,0)</f>
        <v>vb</v>
      </c>
      <c r="H25" s="483"/>
      <c r="I25" s="483"/>
      <c r="J25" s="485">
        <f>IFERROR(IF(K25&lt;&gt;0,K25*$K$5,0),0)</f>
        <v>1</v>
      </c>
      <c r="K25" s="485">
        <f>IF(A25=0,VLOOKUP(D25,'03. Insumos'!A:F,4,0),"")</f>
        <v>1</v>
      </c>
      <c r="L25" s="485">
        <f>H25*J25*I25</f>
        <v>0</v>
      </c>
      <c r="M25" s="153">
        <f t="shared" ca="1" si="0"/>
        <v>0</v>
      </c>
      <c r="O25" s="512">
        <f>IF(I25&lt;&gt;0,I25*H25*K25,)</f>
        <v>0</v>
      </c>
      <c r="R25" s="487">
        <f t="shared" si="3"/>
        <v>-2.9126213592232997E-2</v>
      </c>
    </row>
    <row r="26" spans="1:18" s="51" customFormat="1" ht="13.5" hidden="1" customHeight="1" outlineLevel="1" x14ac:dyDescent="0.3">
      <c r="A26" s="290">
        <f t="shared" si="1"/>
        <v>0</v>
      </c>
      <c r="B26" s="49"/>
      <c r="C26" s="49"/>
      <c r="D26" s="370" t="s">
        <v>1876</v>
      </c>
      <c r="E26" s="370" t="str">
        <f>VLOOKUP(D26,'03. Insumos'!A:D,2,0)</f>
        <v>Seguro Performance Bond</v>
      </c>
      <c r="F26" s="68"/>
      <c r="G26" s="68" t="str">
        <f>VLOOKUP(D26,'03. Insumos'!A:F,3,0)</f>
        <v>vb</v>
      </c>
      <c r="H26" s="69"/>
      <c r="I26" s="483"/>
      <c r="J26" s="70">
        <f>IFERROR(IF(K26&lt;&gt;0,K26*$K$5,0),0)</f>
        <v>1</v>
      </c>
      <c r="K26" s="54">
        <f>IF(A26=0,VLOOKUP(D26,'03. Insumos'!A:F,4,0),"")</f>
        <v>1</v>
      </c>
      <c r="L26" s="485">
        <f>H26*J26*I26</f>
        <v>0</v>
      </c>
      <c r="M26" s="153">
        <f t="shared" ca="1" si="0"/>
        <v>0</v>
      </c>
      <c r="O26" s="148"/>
      <c r="R26" s="12"/>
    </row>
    <row r="27" spans="1:18" s="51" customFormat="1" ht="13.5" hidden="1" customHeight="1" outlineLevel="1" x14ac:dyDescent="0.3">
      <c r="A27" s="290">
        <f t="shared" si="1"/>
        <v>0</v>
      </c>
      <c r="B27" s="49"/>
      <c r="C27" s="49"/>
      <c r="D27" s="370" t="s">
        <v>2018</v>
      </c>
      <c r="E27" s="370" t="str">
        <f>VLOOKUP(D27,'03. Insumos'!A:D,2,0)</f>
        <v>Carta fiança (10% valor)</v>
      </c>
      <c r="F27" s="68"/>
      <c r="G27" s="68" t="str">
        <f>VLOOKUP(D27,'03. Insumos'!A:F,3,0)</f>
        <v>vb</v>
      </c>
      <c r="H27" s="69"/>
      <c r="I27" s="483"/>
      <c r="J27" s="70">
        <f>IFERROR(IF(K27&lt;&gt;0,K27*$K$5,0),0)</f>
        <v>85135.684800000003</v>
      </c>
      <c r="K27" s="54">
        <f>0.03*2837856.16</f>
        <v>85135.684800000003</v>
      </c>
      <c r="L27" s="485">
        <f>H27*J27*I27</f>
        <v>0</v>
      </c>
      <c r="M27" s="153">
        <f t="shared" ca="1" si="0"/>
        <v>0</v>
      </c>
      <c r="O27" s="148"/>
      <c r="R27" s="12"/>
    </row>
    <row r="28" spans="1:18" s="592" customFormat="1" ht="13.5" customHeight="1" x14ac:dyDescent="0.3">
      <c r="A28" s="478">
        <f t="shared" si="1"/>
        <v>3</v>
      </c>
      <c r="B28" s="390"/>
      <c r="C28" s="390" t="s">
        <v>355</v>
      </c>
      <c r="D28" s="390" t="s">
        <v>77</v>
      </c>
      <c r="E28" s="390"/>
      <c r="F28" s="323"/>
      <c r="G28" s="323"/>
      <c r="H28" s="324"/>
      <c r="I28" s="324"/>
      <c r="J28" s="333"/>
      <c r="K28" s="333"/>
      <c r="L28" s="333">
        <f>SUMIF(A29:A53,4,L29:L53)</f>
        <v>4</v>
      </c>
      <c r="M28" s="479">
        <f t="shared" ca="1" si="0"/>
        <v>7.1002831492376946E-6</v>
      </c>
      <c r="O28" s="499">
        <f>IF(I28&lt;&gt;0,I28*H28*K28,)</f>
        <v>0</v>
      </c>
      <c r="R28" s="348">
        <f>IF(J28&lt;&gt;0,J28/1.03-K28,0)</f>
        <v>0</v>
      </c>
    </row>
    <row r="29" spans="1:18" s="18" customFormat="1" ht="5.25" customHeight="1" outlineLevel="1" x14ac:dyDescent="0.3">
      <c r="A29" s="290">
        <f t="shared" si="1"/>
        <v>0</v>
      </c>
      <c r="B29" s="63"/>
      <c r="C29" s="63"/>
      <c r="D29" s="63"/>
      <c r="E29" s="391"/>
      <c r="F29" s="325"/>
      <c r="G29" s="325"/>
      <c r="H29" s="326"/>
      <c r="I29" s="326"/>
      <c r="J29" s="334"/>
      <c r="K29" s="66" t="e">
        <f>IF(A29=0,VLOOKUP(D29,'03. Insumos'!A:F,4,0),"")</f>
        <v>#N/A</v>
      </c>
      <c r="L29" s="334"/>
      <c r="M29" s="153">
        <f t="shared" ca="1" si="0"/>
        <v>0</v>
      </c>
      <c r="O29" s="148">
        <f>IF(I29&lt;&gt;0,I29*H29*K29,)</f>
        <v>0</v>
      </c>
      <c r="R29" s="12">
        <f>IF(J29&lt;&gt;0,J29/1.03-K29,0)</f>
        <v>0</v>
      </c>
    </row>
    <row r="30" spans="1:18" s="18" customFormat="1" ht="13.5" customHeight="1" outlineLevel="1" x14ac:dyDescent="0.3">
      <c r="A30" s="290">
        <f t="shared" si="1"/>
        <v>4</v>
      </c>
      <c r="B30" s="45"/>
      <c r="C30" s="45" t="s">
        <v>387</v>
      </c>
      <c r="D30" s="45" t="s">
        <v>36</v>
      </c>
      <c r="E30" s="347"/>
      <c r="F30" s="327"/>
      <c r="G30" s="327"/>
      <c r="H30" s="328"/>
      <c r="I30" s="328"/>
      <c r="J30" s="335"/>
      <c r="K30" s="335" t="str">
        <f>IF(A30=0,VLOOKUP(D30,'03. Insumos'!A:F,4,0),"")</f>
        <v/>
      </c>
      <c r="L30" s="335">
        <f>SUMIF(A31:A53,6,L31:L53)</f>
        <v>4</v>
      </c>
      <c r="M30" s="153">
        <f t="shared" ca="1" si="0"/>
        <v>7.1002831492376946E-6</v>
      </c>
      <c r="O30" s="148">
        <f>IF(I30&lt;&gt;0,I30*H30*K30,)</f>
        <v>0</v>
      </c>
      <c r="R30" s="12">
        <f>IF(J30&lt;&gt;0,J30/1.03-K30,0)</f>
        <v>0</v>
      </c>
    </row>
    <row r="31" spans="1:18" s="592" customFormat="1" ht="13.5" hidden="1" customHeight="1" outlineLevel="1" x14ac:dyDescent="0.3">
      <c r="A31" s="18">
        <f t="shared" si="1"/>
        <v>6</v>
      </c>
      <c r="B31" s="391"/>
      <c r="C31" s="391" t="s">
        <v>914</v>
      </c>
      <c r="D31" s="391" t="s">
        <v>877</v>
      </c>
      <c r="E31" s="391"/>
      <c r="F31" s="325"/>
      <c r="G31" s="325"/>
      <c r="H31" s="326"/>
      <c r="I31" s="326"/>
      <c r="J31" s="334"/>
      <c r="K31" s="334" t="str">
        <f>IF(A31=0,VLOOKUP(D31,'03. Insumos'!A:F,4,0),"")</f>
        <v/>
      </c>
      <c r="L31" s="334">
        <f>SUM(L32:L37)</f>
        <v>0</v>
      </c>
      <c r="M31" s="598">
        <f t="shared" ca="1" si="0"/>
        <v>0</v>
      </c>
      <c r="O31" s="600">
        <f>IF(I31&lt;&gt;0,I31*H31*K31,)</f>
        <v>0</v>
      </c>
      <c r="R31" s="601">
        <f>IF(J31&lt;&gt;0,J31/1.03-K31,0)</f>
        <v>0</v>
      </c>
    </row>
    <row r="32" spans="1:18" s="51" customFormat="1" ht="13.5" hidden="1" customHeight="1" outlineLevel="1" x14ac:dyDescent="0.3">
      <c r="A32" s="13">
        <f t="shared" si="1"/>
        <v>0</v>
      </c>
      <c r="B32" s="49"/>
      <c r="C32" s="49"/>
      <c r="D32" s="140" t="s">
        <v>590</v>
      </c>
      <c r="E32" s="67" t="str">
        <f>VLOOKUP(D32,'03. Insumos'!A:D,2,0)</f>
        <v>Mudança do Barraco de Obra</v>
      </c>
      <c r="F32" s="68" t="s">
        <v>5218</v>
      </c>
      <c r="G32" s="68" t="str">
        <f>VLOOKUP(D32,'03. Insumos'!A:F,3,0)</f>
        <v>vb</v>
      </c>
      <c r="H32" s="69"/>
      <c r="I32" s="69">
        <v>1</v>
      </c>
      <c r="J32" s="70">
        <f t="shared" ref="J32:J37" si="4">IFERROR(IF(K32&lt;&gt;0,K32*$K$5,0),0)</f>
        <v>3000</v>
      </c>
      <c r="K32" s="54">
        <f>IF(A32=0,VLOOKUP(D32,'03. Insumos'!A:F,4,0),"")</f>
        <v>3000</v>
      </c>
      <c r="L32" s="70">
        <f t="shared" ref="L32:L37" si="5">H32*J32*I32</f>
        <v>0</v>
      </c>
      <c r="M32" s="355">
        <f t="shared" ca="1" si="0"/>
        <v>0</v>
      </c>
      <c r="O32" s="148">
        <f>IF(I32&lt;&gt;0,I32*H32*K32,)</f>
        <v>0</v>
      </c>
      <c r="R32" s="356">
        <f>IF(J32&lt;&gt;0,J32/1.03-K32,0)</f>
        <v>-87.378640776699285</v>
      </c>
    </row>
    <row r="33" spans="1:18" s="51" customFormat="1" ht="13.5" hidden="1" customHeight="1" outlineLevel="1" x14ac:dyDescent="0.3">
      <c r="A33" s="13">
        <f t="shared" si="1"/>
        <v>0</v>
      </c>
      <c r="B33" s="49"/>
      <c r="C33" s="49"/>
      <c r="D33" s="140" t="s">
        <v>1882</v>
      </c>
      <c r="E33" s="67" t="str">
        <f>VLOOKUP(D33,'03. Insumos'!A:D,2,0)</f>
        <v>Mobiliário para barraco</v>
      </c>
      <c r="F33" s="68" t="s">
        <v>5218</v>
      </c>
      <c r="G33" s="68" t="str">
        <f>VLOOKUP(D33,'03. Insumos'!A:F,3,0)</f>
        <v>vb</v>
      </c>
      <c r="H33" s="69"/>
      <c r="I33" s="69">
        <v>1</v>
      </c>
      <c r="J33" s="70">
        <f t="shared" si="4"/>
        <v>1</v>
      </c>
      <c r="K33" s="54">
        <f>IF(A33=0,VLOOKUP(D33,'03. Insumos'!A:F,4,0),"")</f>
        <v>1</v>
      </c>
      <c r="L33" s="70">
        <f t="shared" si="5"/>
        <v>0</v>
      </c>
      <c r="M33" s="355">
        <f t="shared" ca="1" si="0"/>
        <v>0</v>
      </c>
      <c r="O33" s="148"/>
      <c r="R33" s="356"/>
    </row>
    <row r="34" spans="1:18" s="51" customFormat="1" ht="13.5" hidden="1" customHeight="1" outlineLevel="1" x14ac:dyDescent="0.3">
      <c r="A34" s="13">
        <f t="shared" si="1"/>
        <v>0</v>
      </c>
      <c r="B34" s="49"/>
      <c r="C34" s="49"/>
      <c r="D34" s="140" t="s">
        <v>237</v>
      </c>
      <c r="E34" s="67" t="str">
        <f>VLOOKUP(D34,'03. Insumos'!A:D,2,0)</f>
        <v>Container - Refeitório</v>
      </c>
      <c r="F34" s="68" t="s">
        <v>5218</v>
      </c>
      <c r="G34" s="68" t="str">
        <f>VLOOKUP(D34,'03. Insumos'!A:F,3,0)</f>
        <v>mês</v>
      </c>
      <c r="H34" s="69"/>
      <c r="I34" s="69">
        <v>4</v>
      </c>
      <c r="J34" s="70">
        <f t="shared" si="4"/>
        <v>500</v>
      </c>
      <c r="K34" s="54">
        <f>IF(A34=0,VLOOKUP(D34,'03. Insumos'!A:F,4,0),"")</f>
        <v>500</v>
      </c>
      <c r="L34" s="70">
        <f t="shared" si="5"/>
        <v>0</v>
      </c>
      <c r="M34" s="355">
        <f t="shared" ca="1" si="0"/>
        <v>0</v>
      </c>
      <c r="O34" s="148"/>
      <c r="R34" s="356"/>
    </row>
    <row r="35" spans="1:18" s="51" customFormat="1" ht="13.5" hidden="1" customHeight="1" outlineLevel="1" x14ac:dyDescent="0.3">
      <c r="A35" s="13">
        <f t="shared" si="1"/>
        <v>0</v>
      </c>
      <c r="B35" s="49"/>
      <c r="C35" s="49"/>
      <c r="D35" s="140" t="s">
        <v>231</v>
      </c>
      <c r="E35" s="67" t="str">
        <f>VLOOKUP(D35,'03. Insumos'!A:D,2,0)</f>
        <v>Container Almoxarifado</v>
      </c>
      <c r="F35" s="68" t="s">
        <v>5218</v>
      </c>
      <c r="G35" s="68" t="str">
        <f>VLOOKUP(D35,'03. Insumos'!A:F,3,0)</f>
        <v>mês</v>
      </c>
      <c r="H35" s="69"/>
      <c r="I35" s="69">
        <v>4</v>
      </c>
      <c r="J35" s="70">
        <f t="shared" si="4"/>
        <v>900</v>
      </c>
      <c r="K35" s="54">
        <f>IF(A35=0,VLOOKUP(D35,'03. Insumos'!A:F,4,0),"")</f>
        <v>900</v>
      </c>
      <c r="L35" s="70">
        <f t="shared" si="5"/>
        <v>0</v>
      </c>
      <c r="M35" s="355">
        <f t="shared" ca="1" si="0"/>
        <v>0</v>
      </c>
      <c r="O35" s="148"/>
      <c r="R35" s="356"/>
    </row>
    <row r="36" spans="1:18" s="51" customFormat="1" ht="13.5" hidden="1" customHeight="1" outlineLevel="1" x14ac:dyDescent="0.3">
      <c r="A36" s="13">
        <f t="shared" si="1"/>
        <v>0</v>
      </c>
      <c r="B36" s="49"/>
      <c r="C36" s="49"/>
      <c r="D36" s="140" t="s">
        <v>233</v>
      </c>
      <c r="E36" s="67" t="str">
        <f>VLOOKUP(D36,'03. Insumos'!A:D,2,0)</f>
        <v>Container Banheiro</v>
      </c>
      <c r="F36" s="68" t="s">
        <v>5218</v>
      </c>
      <c r="G36" s="68" t="str">
        <f>VLOOKUP(D36,'03. Insumos'!A:F,3,0)</f>
        <v>mês</v>
      </c>
      <c r="H36" s="69"/>
      <c r="I36" s="69">
        <v>4</v>
      </c>
      <c r="J36" s="70">
        <f t="shared" si="4"/>
        <v>400</v>
      </c>
      <c r="K36" s="54">
        <f>IF(A36=0,VLOOKUP(D36,'03. Insumos'!A:F,4,0),"")</f>
        <v>400</v>
      </c>
      <c r="L36" s="70">
        <f t="shared" si="5"/>
        <v>0</v>
      </c>
      <c r="M36" s="355">
        <f t="shared" ca="1" si="0"/>
        <v>0</v>
      </c>
      <c r="O36" s="148"/>
      <c r="R36" s="356"/>
    </row>
    <row r="37" spans="1:18" s="51" customFormat="1" ht="13.5" hidden="1" customHeight="1" outlineLevel="1" x14ac:dyDescent="0.3">
      <c r="A37" s="13">
        <f t="shared" si="1"/>
        <v>0</v>
      </c>
      <c r="B37" s="49"/>
      <c r="C37" s="49"/>
      <c r="D37" s="140" t="s">
        <v>236</v>
      </c>
      <c r="E37" s="67" t="str">
        <f>VLOOKUP(D37,'03. Insumos'!A:D,2,0)</f>
        <v>Container - Frete ida / volta</v>
      </c>
      <c r="F37" s="68" t="s">
        <v>5218</v>
      </c>
      <c r="G37" s="68" t="str">
        <f>VLOOKUP(D37,'03. Insumos'!A:F,3,0)</f>
        <v>viagem</v>
      </c>
      <c r="H37" s="69"/>
      <c r="I37" s="69">
        <f>3*2</f>
        <v>6</v>
      </c>
      <c r="J37" s="70">
        <f t="shared" si="4"/>
        <v>920</v>
      </c>
      <c r="K37" s="54">
        <f>IF(A37=0,VLOOKUP(D37,'03. Insumos'!A:F,4,0),"")</f>
        <v>920</v>
      </c>
      <c r="L37" s="70">
        <f t="shared" si="5"/>
        <v>0</v>
      </c>
      <c r="M37" s="355">
        <f t="shared" ca="1" si="0"/>
        <v>0</v>
      </c>
      <c r="O37" s="148"/>
      <c r="R37" s="356"/>
    </row>
    <row r="38" spans="1:18" s="592" customFormat="1" ht="13.5" hidden="1" customHeight="1" outlineLevel="1" x14ac:dyDescent="0.3">
      <c r="A38" s="18">
        <f t="shared" si="1"/>
        <v>6</v>
      </c>
      <c r="B38" s="391"/>
      <c r="C38" s="391" t="s">
        <v>915</v>
      </c>
      <c r="D38" s="391" t="s">
        <v>3554</v>
      </c>
      <c r="E38" s="391"/>
      <c r="F38" s="325"/>
      <c r="G38" s="325"/>
      <c r="H38" s="326"/>
      <c r="I38" s="326"/>
      <c r="J38" s="334"/>
      <c r="K38" s="334" t="str">
        <f>IF(A38=0,VLOOKUP(D38,'03. Insumos'!A:F,4,0),"")</f>
        <v/>
      </c>
      <c r="L38" s="334">
        <f>SUM(L39:L39)</f>
        <v>0</v>
      </c>
      <c r="M38" s="598">
        <f t="shared" ca="1" si="0"/>
        <v>0</v>
      </c>
      <c r="O38" s="600">
        <f>IF(I38&lt;&gt;0,I38*H38*K38,)</f>
        <v>0</v>
      </c>
      <c r="R38" s="601">
        <f>IF(J38&lt;&gt;0,J38/1.03-K38,0)</f>
        <v>0</v>
      </c>
    </row>
    <row r="39" spans="1:18" s="51" customFormat="1" ht="13.5" hidden="1" customHeight="1" outlineLevel="1" x14ac:dyDescent="0.3">
      <c r="A39" s="13">
        <f>LEN(C39)</f>
        <v>0</v>
      </c>
      <c r="B39" s="49"/>
      <c r="C39" s="49"/>
      <c r="D39" s="140" t="s">
        <v>409</v>
      </c>
      <c r="E39" s="67" t="str">
        <f>VLOOKUP(D39,'03. Insumos'!A:D,2,0)</f>
        <v>Tapume com telha metálica (h=2,20m) - material e mão de obra</v>
      </c>
      <c r="F39" s="68" t="s">
        <v>2612</v>
      </c>
      <c r="G39" s="68" t="str">
        <f>VLOOKUP(D39,'03. Insumos'!A:F,3,0)</f>
        <v>m</v>
      </c>
      <c r="H39" s="69"/>
      <c r="I39" s="69">
        <v>1</v>
      </c>
      <c r="J39" s="70">
        <f>IFERROR(IF(K39&lt;&gt;0,K39*$K$5,0),0)</f>
        <v>530</v>
      </c>
      <c r="K39" s="54">
        <f>IF(A39=0,VLOOKUP(D39,'03. Insumos'!A:F,4,0),"")</f>
        <v>530</v>
      </c>
      <c r="L39" s="70">
        <f>H39*J39*I39</f>
        <v>0</v>
      </c>
      <c r="M39" s="355">
        <f t="shared" ca="1" si="0"/>
        <v>0</v>
      </c>
      <c r="O39" s="148"/>
      <c r="R39" s="356"/>
    </row>
    <row r="40" spans="1:18" s="592" customFormat="1" ht="13.5" hidden="1" customHeight="1" outlineLevel="1" x14ac:dyDescent="0.3">
      <c r="A40" s="18">
        <f>LEN(C40)</f>
        <v>6</v>
      </c>
      <c r="B40" s="391"/>
      <c r="C40" s="391" t="s">
        <v>916</v>
      </c>
      <c r="D40" s="391" t="s">
        <v>3555</v>
      </c>
      <c r="E40" s="391"/>
      <c r="F40" s="325"/>
      <c r="G40" s="325"/>
      <c r="H40" s="326"/>
      <c r="I40" s="326"/>
      <c r="J40" s="334"/>
      <c r="K40" s="334" t="str">
        <f>IF(A40=0,VLOOKUP(D40,'03. Insumos'!A:F,4,0),"")</f>
        <v/>
      </c>
      <c r="L40" s="334">
        <f>SUM(L41:L41)</f>
        <v>0</v>
      </c>
      <c r="M40" s="598">
        <f t="shared" ca="1" si="0"/>
        <v>0</v>
      </c>
      <c r="O40" s="600">
        <f>IF(I40&lt;&gt;0,I40*H40*K40,)</f>
        <v>0</v>
      </c>
      <c r="R40" s="601">
        <f>IF(J40&lt;&gt;0,J40/1.03-K40,0)</f>
        <v>0</v>
      </c>
    </row>
    <row r="41" spans="1:18" s="51" customFormat="1" ht="13.5" hidden="1" customHeight="1" outlineLevel="1" x14ac:dyDescent="0.3">
      <c r="A41" s="13">
        <f>LEN(C41)</f>
        <v>0</v>
      </c>
      <c r="B41" s="49"/>
      <c r="C41" s="49"/>
      <c r="D41" s="140" t="s">
        <v>414</v>
      </c>
      <c r="E41" s="67" t="str">
        <f>VLOOKUP(D41,'03. Insumos'!A:D,2,0)</f>
        <v>Gabarito - Material + Mão de Obra</v>
      </c>
      <c r="F41" s="68" t="s">
        <v>2612</v>
      </c>
      <c r="G41" s="68" t="str">
        <f>VLOOKUP(D41,'03. Insumos'!A:F,3,0)</f>
        <v>m</v>
      </c>
      <c r="H41" s="69"/>
      <c r="I41" s="69">
        <f>(25*2)+(34*2)</f>
        <v>118</v>
      </c>
      <c r="J41" s="70">
        <f>IFERROR(IF(K41&lt;&gt;0,K41*$K$5,0),0)</f>
        <v>120</v>
      </c>
      <c r="K41" s="54">
        <f>IF(A41=0,VLOOKUP(D41,'03. Insumos'!A:F,4,0),"")</f>
        <v>120</v>
      </c>
      <c r="L41" s="70">
        <f>H41*J41*I41</f>
        <v>0</v>
      </c>
      <c r="M41" s="355">
        <f t="shared" ca="1" si="0"/>
        <v>0</v>
      </c>
      <c r="O41" s="148"/>
      <c r="R41" s="356"/>
    </row>
    <row r="42" spans="1:18" s="592" customFormat="1" ht="13.5" customHeight="1" outlineLevel="1" x14ac:dyDescent="0.3">
      <c r="A42" s="18">
        <f t="shared" si="1"/>
        <v>6</v>
      </c>
      <c r="B42" s="391"/>
      <c r="C42" s="391" t="s">
        <v>914</v>
      </c>
      <c r="D42" s="391" t="s">
        <v>904</v>
      </c>
      <c r="E42" s="391"/>
      <c r="F42" s="325"/>
      <c r="G42" s="325"/>
      <c r="H42" s="326"/>
      <c r="I42" s="326"/>
      <c r="J42" s="334"/>
      <c r="K42" s="334" t="str">
        <f>IF(A42=0,VLOOKUP(D42,'03. Insumos'!A:F,4,0),"")</f>
        <v/>
      </c>
      <c r="L42" s="334">
        <f>SUM(L43:L53)</f>
        <v>4</v>
      </c>
      <c r="M42" s="598">
        <f t="shared" ca="1" si="0"/>
        <v>7.1002831492376946E-6</v>
      </c>
      <c r="O42" s="600">
        <f>IF(I42&lt;&gt;0,I42*H42*K42,)</f>
        <v>0</v>
      </c>
      <c r="R42" s="601">
        <f>IF(J42&lt;&gt;0,J42/1.03-K42,0)</f>
        <v>0</v>
      </c>
    </row>
    <row r="43" spans="1:18" s="51" customFormat="1" ht="13.5" customHeight="1" outlineLevel="1" x14ac:dyDescent="0.3">
      <c r="A43" s="13">
        <f t="shared" si="1"/>
        <v>0</v>
      </c>
      <c r="B43" s="49"/>
      <c r="C43" s="49"/>
      <c r="D43" s="370" t="s">
        <v>1885</v>
      </c>
      <c r="E43" s="67" t="str">
        <f>VLOOKUP(D43,'03. Insumos'!A:D,2,0)</f>
        <v>Itens diversos de instalações provisórias</v>
      </c>
      <c r="F43" s="68" t="s">
        <v>3809</v>
      </c>
      <c r="G43" s="68" t="str">
        <f>VLOOKUP(D43,'03. Insumos'!A:F,3,0)</f>
        <v>vb</v>
      </c>
      <c r="H43" s="69">
        <v>4</v>
      </c>
      <c r="I43" s="69">
        <v>1</v>
      </c>
      <c r="J43" s="70">
        <f t="shared" ref="J43:J53" si="6">IFERROR(IF(K43&lt;&gt;0,K43*$K$5,0),0)</f>
        <v>1</v>
      </c>
      <c r="K43" s="70">
        <f>IF(A43=0,VLOOKUP(D43,'03. Insumos'!A:F,4,0),"")</f>
        <v>1</v>
      </c>
      <c r="L43" s="70">
        <f t="shared" ref="L43:L53" si="7">H43*J43*I43</f>
        <v>4</v>
      </c>
      <c r="M43" s="355">
        <f t="shared" ca="1" si="0"/>
        <v>7.1002831492376946E-6</v>
      </c>
      <c r="O43" s="148">
        <f>IF(I43&lt;&gt;0,I43*H43*K43,)</f>
        <v>4</v>
      </c>
      <c r="R43" s="356">
        <f>IF(J43&lt;&gt;0,J43/1.03-K43,0)</f>
        <v>-2.9126213592232997E-2</v>
      </c>
    </row>
    <row r="44" spans="1:18" s="51" customFormat="1" ht="13.5" hidden="1" customHeight="1" outlineLevel="1" x14ac:dyDescent="0.3">
      <c r="A44" s="13">
        <f t="shared" si="1"/>
        <v>0</v>
      </c>
      <c r="B44" s="49"/>
      <c r="C44" s="49"/>
      <c r="D44" s="370" t="s">
        <v>713</v>
      </c>
      <c r="E44" s="67" t="str">
        <f>VLOOKUP(D44,'03. Insumos'!A:D,2,0)</f>
        <v>Bocal para lâmpada</v>
      </c>
      <c r="F44" s="68" t="s">
        <v>2612</v>
      </c>
      <c r="G44" s="68" t="str">
        <f>VLOOKUP(D44,'03. Insumos'!A:F,3,0)</f>
        <v>unid</v>
      </c>
      <c r="H44" s="69"/>
      <c r="I44" s="69">
        <v>10</v>
      </c>
      <c r="J44" s="70">
        <f t="shared" si="6"/>
        <v>3.5</v>
      </c>
      <c r="K44" s="70">
        <f>IF(A44=0,VLOOKUP(D44,'03. Insumos'!A:F,4,0),"")</f>
        <v>3.5</v>
      </c>
      <c r="L44" s="70">
        <f t="shared" si="7"/>
        <v>0</v>
      </c>
      <c r="M44" s="355">
        <f t="shared" ca="1" si="0"/>
        <v>0</v>
      </c>
      <c r="O44" s="148"/>
      <c r="R44" s="356"/>
    </row>
    <row r="45" spans="1:18" s="51" customFormat="1" ht="13.5" hidden="1" customHeight="1" outlineLevel="1" x14ac:dyDescent="0.3">
      <c r="A45" s="13">
        <f t="shared" si="1"/>
        <v>0</v>
      </c>
      <c r="B45" s="49"/>
      <c r="C45" s="49"/>
      <c r="D45" s="370" t="s">
        <v>714</v>
      </c>
      <c r="E45" s="67" t="str">
        <f>VLOOKUP(D45,'03. Insumos'!A:D,2,0)</f>
        <v>Lâmpada</v>
      </c>
      <c r="F45" s="68" t="s">
        <v>2612</v>
      </c>
      <c r="G45" s="68" t="str">
        <f>VLOOKUP(D45,'03. Insumos'!A:F,3,0)</f>
        <v>unid</v>
      </c>
      <c r="H45" s="69"/>
      <c r="I45" s="69">
        <v>10</v>
      </c>
      <c r="J45" s="70">
        <f t="shared" si="6"/>
        <v>6</v>
      </c>
      <c r="K45" s="70">
        <f>IF(A45=0,VLOOKUP(D45,'03. Insumos'!A:F,4,0),"")</f>
        <v>6</v>
      </c>
      <c r="L45" s="70">
        <f>H45*J45*I45</f>
        <v>0</v>
      </c>
      <c r="M45" s="355">
        <f t="shared" ca="1" si="0"/>
        <v>0</v>
      </c>
      <c r="O45" s="148"/>
      <c r="R45" s="356"/>
    </row>
    <row r="46" spans="1:18" s="51" customFormat="1" ht="13.5" hidden="1" customHeight="1" outlineLevel="1" x14ac:dyDescent="0.3">
      <c r="A46" s="13">
        <f t="shared" si="1"/>
        <v>0</v>
      </c>
      <c r="B46" s="49"/>
      <c r="C46" s="49"/>
      <c r="D46" s="370" t="s">
        <v>2039</v>
      </c>
      <c r="E46" s="67" t="str">
        <f>VLOOKUP(D46,'03. Insumos'!A:D,2,0)</f>
        <v>Refletores 400 W</v>
      </c>
      <c r="F46" s="68" t="s">
        <v>2612</v>
      </c>
      <c r="G46" s="68" t="str">
        <f>VLOOKUP(D46,'03. Insumos'!A:F,3,0)</f>
        <v>unid</v>
      </c>
      <c r="H46" s="69"/>
      <c r="I46" s="69">
        <v>2</v>
      </c>
      <c r="J46" s="70">
        <f t="shared" si="6"/>
        <v>134</v>
      </c>
      <c r="K46" s="70">
        <f>IF(A46=0,VLOOKUP(D46,'03. Insumos'!A:F,4,0),"")</f>
        <v>134</v>
      </c>
      <c r="L46" s="70">
        <f>H46*J46*I46</f>
        <v>0</v>
      </c>
      <c r="M46" s="355">
        <f t="shared" ca="1" si="0"/>
        <v>0</v>
      </c>
      <c r="O46" s="148"/>
      <c r="R46" s="356"/>
    </row>
    <row r="47" spans="1:18" s="51" customFormat="1" ht="13.5" hidden="1" customHeight="1" outlineLevel="1" x14ac:dyDescent="0.3">
      <c r="A47" s="13">
        <f t="shared" si="1"/>
        <v>0</v>
      </c>
      <c r="B47" s="49"/>
      <c r="C47" s="49"/>
      <c r="D47" s="370" t="s">
        <v>715</v>
      </c>
      <c r="E47" s="67" t="str">
        <f>VLOOKUP(D47,'03. Insumos'!A:D,2,0)</f>
        <v>Plug macho</v>
      </c>
      <c r="F47" s="68" t="s">
        <v>2612</v>
      </c>
      <c r="G47" s="68" t="str">
        <f>VLOOKUP(D47,'03. Insumos'!A:F,3,0)</f>
        <v>unid</v>
      </c>
      <c r="H47" s="69"/>
      <c r="I47" s="69">
        <v>10</v>
      </c>
      <c r="J47" s="70">
        <f t="shared" si="6"/>
        <v>2.75</v>
      </c>
      <c r="K47" s="70">
        <f>IF(A47=0,VLOOKUP(D47,'03. Insumos'!A:F,4,0),"")</f>
        <v>2.75</v>
      </c>
      <c r="L47" s="70">
        <f t="shared" si="7"/>
        <v>0</v>
      </c>
      <c r="M47" s="355">
        <f t="shared" ca="1" si="0"/>
        <v>0</v>
      </c>
      <c r="O47" s="148"/>
      <c r="R47" s="356"/>
    </row>
    <row r="48" spans="1:18" s="51" customFormat="1" ht="13.5" hidden="1" customHeight="1" outlineLevel="1" x14ac:dyDescent="0.3">
      <c r="A48" s="13">
        <f t="shared" si="1"/>
        <v>0</v>
      </c>
      <c r="B48" s="49"/>
      <c r="C48" s="49"/>
      <c r="D48" s="370" t="s">
        <v>716</v>
      </c>
      <c r="E48" s="67" t="str">
        <f>VLOOKUP(D48,'03. Insumos'!A:D,2,0)</f>
        <v>Plug fêmea</v>
      </c>
      <c r="F48" s="68" t="s">
        <v>2612</v>
      </c>
      <c r="G48" s="68" t="str">
        <f>VLOOKUP(D48,'03. Insumos'!A:F,3,0)</f>
        <v>unid</v>
      </c>
      <c r="H48" s="69"/>
      <c r="I48" s="69">
        <v>10</v>
      </c>
      <c r="J48" s="70">
        <f t="shared" si="6"/>
        <v>4.45</v>
      </c>
      <c r="K48" s="70">
        <f>IF(A48=0,VLOOKUP(D48,'03. Insumos'!A:F,4,0),"")</f>
        <v>4.45</v>
      </c>
      <c r="L48" s="70">
        <f t="shared" si="7"/>
        <v>0</v>
      </c>
      <c r="M48" s="355">
        <f t="shared" ca="1" si="0"/>
        <v>0</v>
      </c>
      <c r="O48" s="148"/>
      <c r="R48" s="356"/>
    </row>
    <row r="49" spans="1:18" s="51" customFormat="1" ht="13.5" hidden="1" customHeight="1" outlineLevel="1" x14ac:dyDescent="0.3">
      <c r="A49" s="13">
        <f t="shared" si="1"/>
        <v>0</v>
      </c>
      <c r="B49" s="49"/>
      <c r="C49" s="49"/>
      <c r="D49" s="370" t="s">
        <v>1600</v>
      </c>
      <c r="E49" s="67" t="str">
        <f>VLOOKUP(D49,'03. Insumos'!A:D,2,0)</f>
        <v>Robozinho para instalação provisória</v>
      </c>
      <c r="F49" s="68" t="s">
        <v>2612</v>
      </c>
      <c r="G49" s="68" t="str">
        <f>VLOOKUP(D49,'03. Insumos'!A:F,3,0)</f>
        <v>unid</v>
      </c>
      <c r="H49" s="69"/>
      <c r="I49" s="69">
        <v>1</v>
      </c>
      <c r="J49" s="70">
        <f t="shared" si="6"/>
        <v>2700</v>
      </c>
      <c r="K49" s="70">
        <f>IF(A49=0,VLOOKUP(D49,'03. Insumos'!A:F,4,0),"")</f>
        <v>2700</v>
      </c>
      <c r="L49" s="70">
        <f t="shared" si="7"/>
        <v>0</v>
      </c>
      <c r="M49" s="355">
        <f t="shared" ca="1" si="0"/>
        <v>0</v>
      </c>
      <c r="O49" s="148"/>
      <c r="R49" s="356"/>
    </row>
    <row r="50" spans="1:18" s="51" customFormat="1" ht="13.5" hidden="1" customHeight="1" outlineLevel="1" x14ac:dyDescent="0.3">
      <c r="A50" s="13">
        <f t="shared" si="1"/>
        <v>0</v>
      </c>
      <c r="B50" s="49"/>
      <c r="C50" s="49"/>
      <c r="D50" s="140" t="s">
        <v>3407</v>
      </c>
      <c r="E50" s="67" t="str">
        <f>VLOOKUP(D50,'03. Insumos'!A:D,2,0)</f>
        <v>Servente</v>
      </c>
      <c r="F50" s="68" t="s">
        <v>2612</v>
      </c>
      <c r="G50" s="68" t="str">
        <f>VLOOKUP(D50,'03. Insumos'!A:F,3,0)</f>
        <v>mês</v>
      </c>
      <c r="H50" s="69"/>
      <c r="I50" s="69">
        <v>1</v>
      </c>
      <c r="J50" s="70">
        <f t="shared" si="6"/>
        <v>2091.232</v>
      </c>
      <c r="K50" s="70">
        <f>IF(A50=0,VLOOKUP(D50,'03. Insumos'!A:F,4,0),"")</f>
        <v>2091.232</v>
      </c>
      <c r="L50" s="70">
        <f>H50*J50*I50</f>
        <v>0</v>
      </c>
      <c r="M50" s="355">
        <f t="shared" ca="1" si="0"/>
        <v>0</v>
      </c>
      <c r="O50" s="148"/>
      <c r="R50" s="356"/>
    </row>
    <row r="51" spans="1:18" s="51" customFormat="1" ht="13.5" hidden="1" customHeight="1" outlineLevel="1" x14ac:dyDescent="0.3">
      <c r="A51" s="13">
        <f>LEN(C51)</f>
        <v>0</v>
      </c>
      <c r="B51" s="49"/>
      <c r="C51" s="49"/>
      <c r="D51" s="140" t="s">
        <v>3408</v>
      </c>
      <c r="E51" s="67" t="str">
        <f>VLOOKUP(D51,'03. Insumos'!A:D,2,0)</f>
        <v>Refeição (almoço + café)</v>
      </c>
      <c r="F51" s="68" t="s">
        <v>2612</v>
      </c>
      <c r="G51" s="68" t="str">
        <f>VLOOKUP(D51,'03. Insumos'!A:F,3,0)</f>
        <v>VB</v>
      </c>
      <c r="H51" s="69"/>
      <c r="I51" s="69">
        <v>1</v>
      </c>
      <c r="J51" s="70">
        <f>IFERROR(IF(K51&lt;&gt;0,K51*$K$5,0),0)</f>
        <v>1</v>
      </c>
      <c r="K51" s="70">
        <f>IF(A51=0,VLOOKUP(D51,'03. Insumos'!A:F,4,0),"")</f>
        <v>1</v>
      </c>
      <c r="L51" s="70">
        <f>H51*J51*I51</f>
        <v>0</v>
      </c>
      <c r="M51" s="355">
        <f t="shared" ca="1" si="0"/>
        <v>0</v>
      </c>
      <c r="O51" s="148"/>
      <c r="R51" s="356"/>
    </row>
    <row r="52" spans="1:18" s="51" customFormat="1" ht="13.5" hidden="1" customHeight="1" outlineLevel="1" x14ac:dyDescent="0.3">
      <c r="A52" s="13">
        <f t="shared" si="1"/>
        <v>0</v>
      </c>
      <c r="B52" s="49"/>
      <c r="C52" s="49"/>
      <c r="D52" s="140" t="s">
        <v>2062</v>
      </c>
      <c r="E52" s="67" t="str">
        <f>VLOOKUP(D52,'03. Insumos'!A:D,2,0)</f>
        <v>Bomba de recalque água</v>
      </c>
      <c r="F52" s="68" t="s">
        <v>2612</v>
      </c>
      <c r="G52" s="68" t="str">
        <f>VLOOKUP(D52,'03. Insumos'!A:F,3,0)</f>
        <v>unid</v>
      </c>
      <c r="H52" s="69"/>
      <c r="I52" s="69">
        <v>1</v>
      </c>
      <c r="J52" s="70">
        <f t="shared" si="6"/>
        <v>780</v>
      </c>
      <c r="K52" s="70">
        <f>IF(A52=0,VLOOKUP(D52,'03. Insumos'!A:F,4,0),"")</f>
        <v>780</v>
      </c>
      <c r="L52" s="70">
        <f>H52*J52*I52</f>
        <v>0</v>
      </c>
      <c r="M52" s="355">
        <f t="shared" ca="1" si="0"/>
        <v>0</v>
      </c>
      <c r="O52" s="148"/>
      <c r="R52" s="356"/>
    </row>
    <row r="53" spans="1:18" s="51" customFormat="1" ht="13.5" hidden="1" customHeight="1" outlineLevel="1" x14ac:dyDescent="0.3">
      <c r="A53" s="13">
        <f t="shared" si="1"/>
        <v>0</v>
      </c>
      <c r="B53" s="49"/>
      <c r="C53" s="49"/>
      <c r="D53" s="140" t="s">
        <v>1885</v>
      </c>
      <c r="E53" s="67" t="str">
        <f>VLOOKUP(D53,'03. Insumos'!A:D,2,0)</f>
        <v>Itens diversos de instalações provisórias</v>
      </c>
      <c r="F53" s="68" t="s">
        <v>2612</v>
      </c>
      <c r="G53" s="68" t="str">
        <f>VLOOKUP(D53,'03. Insumos'!A:F,3,0)</f>
        <v>vb</v>
      </c>
      <c r="H53" s="69"/>
      <c r="I53" s="69">
        <v>1</v>
      </c>
      <c r="J53" s="70">
        <f t="shared" si="6"/>
        <v>1000</v>
      </c>
      <c r="K53" s="70">
        <v>1000</v>
      </c>
      <c r="L53" s="70">
        <f t="shared" si="7"/>
        <v>0</v>
      </c>
      <c r="M53" s="355">
        <f t="shared" ca="1" si="0"/>
        <v>0</v>
      </c>
      <c r="O53" s="148"/>
      <c r="R53" s="356"/>
    </row>
    <row r="54" spans="1:18" s="592" customFormat="1" ht="13.5" customHeight="1" x14ac:dyDescent="0.3">
      <c r="A54" s="478">
        <f t="shared" si="1"/>
        <v>3</v>
      </c>
      <c r="B54" s="390"/>
      <c r="C54" s="390" t="s">
        <v>359</v>
      </c>
      <c r="D54" s="390" t="s">
        <v>75</v>
      </c>
      <c r="E54" s="390"/>
      <c r="F54" s="323"/>
      <c r="G54" s="323"/>
      <c r="H54" s="324"/>
      <c r="I54" s="324"/>
      <c r="J54" s="333"/>
      <c r="K54" s="333"/>
      <c r="L54" s="333">
        <f>SUMIF(A55:A84,4,L55:L84)</f>
        <v>3099.9833333333331</v>
      </c>
      <c r="M54" s="479">
        <f t="shared" ca="1" si="0"/>
        <v>5.5026898561460905E-3</v>
      </c>
      <c r="O54" s="499">
        <f t="shared" ref="O54:O58" si="8">IF(I54&lt;&gt;0,I54*H54*K54,)</f>
        <v>0</v>
      </c>
      <c r="R54" s="348">
        <f t="shared" ref="R54:R58" si="9">IF(J54&lt;&gt;0,J54/1.03-K54,0)</f>
        <v>0</v>
      </c>
    </row>
    <row r="55" spans="1:18" s="18" customFormat="1" ht="13.5" hidden="1" customHeight="1" outlineLevel="1" x14ac:dyDescent="0.3">
      <c r="A55" s="290">
        <f t="shared" si="1"/>
        <v>4</v>
      </c>
      <c r="B55" s="45"/>
      <c r="C55" s="45" t="s">
        <v>385</v>
      </c>
      <c r="D55" s="45" t="s">
        <v>44</v>
      </c>
      <c r="E55" s="347"/>
      <c r="F55" s="327"/>
      <c r="G55" s="327"/>
      <c r="H55" s="328"/>
      <c r="I55" s="328"/>
      <c r="J55" s="335"/>
      <c r="K55" s="335" t="str">
        <f>IF(A55=0,VLOOKUP(D55,'03. Insumos'!A:F,4,0),"")</f>
        <v/>
      </c>
      <c r="L55" s="335">
        <f>SUMIF(A56:A58,6,L56:L58)</f>
        <v>0</v>
      </c>
      <c r="M55" s="153">
        <f t="shared" ca="1" si="0"/>
        <v>0</v>
      </c>
      <c r="O55" s="148">
        <f t="shared" si="8"/>
        <v>0</v>
      </c>
      <c r="R55" s="12">
        <f t="shared" si="9"/>
        <v>0</v>
      </c>
    </row>
    <row r="56" spans="1:18" s="18" customFormat="1" ht="13.5" hidden="1" customHeight="1" outlineLevel="1" x14ac:dyDescent="0.3">
      <c r="A56" s="18">
        <f t="shared" si="1"/>
        <v>6</v>
      </c>
      <c r="B56" s="606"/>
      <c r="C56" s="606" t="s">
        <v>917</v>
      </c>
      <c r="D56" s="606" t="s">
        <v>45</v>
      </c>
      <c r="E56" s="391"/>
      <c r="F56" s="325"/>
      <c r="G56" s="325"/>
      <c r="H56" s="326"/>
      <c r="I56" s="326"/>
      <c r="J56" s="334"/>
      <c r="K56" s="607" t="str">
        <f>IF(A56=0,VLOOKUP(D56,'03. Insumos'!A:F,4,0),"")</f>
        <v/>
      </c>
      <c r="L56" s="334">
        <f>SUM(L57:L58)</f>
        <v>0</v>
      </c>
      <c r="M56" s="598">
        <f t="shared" ca="1" si="0"/>
        <v>0</v>
      </c>
      <c r="O56" s="600">
        <f t="shared" si="8"/>
        <v>0</v>
      </c>
      <c r="R56" s="601">
        <f t="shared" si="9"/>
        <v>0</v>
      </c>
    </row>
    <row r="57" spans="1:18" s="51" customFormat="1" ht="13.5" hidden="1" customHeight="1" outlineLevel="1" x14ac:dyDescent="0.3">
      <c r="A57" s="13">
        <f t="shared" si="1"/>
        <v>0</v>
      </c>
      <c r="B57" s="49"/>
      <c r="C57" s="49"/>
      <c r="D57" s="140" t="s">
        <v>146</v>
      </c>
      <c r="E57" s="67" t="str">
        <f>VLOOKUP(D57,'03. Insumos'!A:D,2,0)</f>
        <v>Extintor de Pó Químico 4kg</v>
      </c>
      <c r="F57" s="68" t="s">
        <v>2612</v>
      </c>
      <c r="G57" s="68" t="str">
        <f>VLOOKUP(D57,'03. Insumos'!A:F,3,0)</f>
        <v>uni</v>
      </c>
      <c r="H57" s="69"/>
      <c r="I57" s="69"/>
      <c r="J57" s="70">
        <f>IFERROR(IF(K57&lt;&gt;0,K57*$K$5,0),0)</f>
        <v>540</v>
      </c>
      <c r="K57" s="54">
        <f>IF(A57=0,VLOOKUP(D57,'03. Insumos'!A:F,4,0),"")</f>
        <v>540</v>
      </c>
      <c r="L57" s="70">
        <f>H57*J57*I57</f>
        <v>0</v>
      </c>
      <c r="M57" s="355">
        <f t="shared" ca="1" si="0"/>
        <v>0</v>
      </c>
      <c r="O57" s="148">
        <f t="shared" si="8"/>
        <v>0</v>
      </c>
      <c r="R57" s="356">
        <f t="shared" si="9"/>
        <v>-15.72815533980588</v>
      </c>
    </row>
    <row r="58" spans="1:18" s="51" customFormat="1" ht="13.5" hidden="1" customHeight="1" outlineLevel="1" x14ac:dyDescent="0.3">
      <c r="A58" s="13">
        <f t="shared" si="1"/>
        <v>0</v>
      </c>
      <c r="B58" s="49"/>
      <c r="C58" s="49"/>
      <c r="D58" s="140" t="s">
        <v>147</v>
      </c>
      <c r="E58" s="67" t="str">
        <f>VLOOKUP(D58,'03. Insumos'!A:D,2,0)</f>
        <v>Extintor CO2 4Kg</v>
      </c>
      <c r="F58" s="68" t="s">
        <v>2612</v>
      </c>
      <c r="G58" s="68" t="str">
        <f>VLOOKUP(D58,'03. Insumos'!A:F,3,0)</f>
        <v>uni</v>
      </c>
      <c r="H58" s="69"/>
      <c r="I58" s="69"/>
      <c r="J58" s="70">
        <f>IFERROR(IF(K58&lt;&gt;0,K58*$K$5,0),0)</f>
        <v>370</v>
      </c>
      <c r="K58" s="54">
        <f>IF(A58=0,VLOOKUP(D58,'03. Insumos'!A:F,4,0),"")</f>
        <v>370</v>
      </c>
      <c r="L58" s="70">
        <f>H58*J58*I58</f>
        <v>0</v>
      </c>
      <c r="M58" s="355">
        <f t="shared" ca="1" si="0"/>
        <v>0</v>
      </c>
      <c r="O58" s="148">
        <f t="shared" si="8"/>
        <v>0</v>
      </c>
      <c r="R58" s="356">
        <f t="shared" si="9"/>
        <v>-10.776699029126235</v>
      </c>
    </row>
    <row r="59" spans="1:18" s="18" customFormat="1" ht="13.5" hidden="1" customHeight="1" outlineLevel="1" x14ac:dyDescent="0.3">
      <c r="A59" s="290">
        <f t="shared" si="1"/>
        <v>4</v>
      </c>
      <c r="B59" s="45"/>
      <c r="C59" s="45" t="s">
        <v>386</v>
      </c>
      <c r="D59" s="45" t="s">
        <v>2063</v>
      </c>
      <c r="E59" s="347"/>
      <c r="F59" s="327"/>
      <c r="G59" s="327"/>
      <c r="H59" s="328"/>
      <c r="I59" s="328"/>
      <c r="J59" s="335"/>
      <c r="K59" s="335" t="str">
        <f>IF(A59=0,VLOOKUP(D59,'03. Insumos'!A:F,4,0),"")</f>
        <v/>
      </c>
      <c r="L59" s="335">
        <f>SUMIF(A60:A61,6,L60:L69)</f>
        <v>0</v>
      </c>
      <c r="M59" s="153">
        <f t="shared" ca="1" si="0"/>
        <v>0</v>
      </c>
      <c r="O59" s="148"/>
      <c r="R59" s="12"/>
    </row>
    <row r="60" spans="1:18" s="608" customFormat="1" ht="13.5" hidden="1" customHeight="1" outlineLevel="1" x14ac:dyDescent="0.3">
      <c r="A60" s="18">
        <f t="shared" si="1"/>
        <v>6</v>
      </c>
      <c r="B60" s="606"/>
      <c r="C60" s="606" t="s">
        <v>918</v>
      </c>
      <c r="D60" s="606" t="s">
        <v>2063</v>
      </c>
      <c r="E60" s="391"/>
      <c r="F60" s="325"/>
      <c r="G60" s="325"/>
      <c r="H60" s="326"/>
      <c r="I60" s="326"/>
      <c r="J60" s="334"/>
      <c r="K60" s="607" t="str">
        <f>IF(A60=0,VLOOKUP(D60,'03. Insumos'!A:F,4,0),"")</f>
        <v/>
      </c>
      <c r="L60" s="334">
        <f>SUM(L61:L69)</f>
        <v>0</v>
      </c>
      <c r="M60" s="598">
        <f t="shared" ca="1" si="0"/>
        <v>0</v>
      </c>
      <c r="O60" s="600"/>
      <c r="R60" s="601"/>
    </row>
    <row r="61" spans="1:18" s="51" customFormat="1" ht="13.5" hidden="1" customHeight="1" outlineLevel="1" x14ac:dyDescent="0.3">
      <c r="A61" s="13">
        <f t="shared" si="1"/>
        <v>0</v>
      </c>
      <c r="B61" s="49"/>
      <c r="C61" s="49"/>
      <c r="D61" s="370" t="s">
        <v>2070</v>
      </c>
      <c r="E61" s="370" t="str">
        <f>VLOOKUP(D61,'03. Insumos'!A:D,2,0)</f>
        <v>PCMAT por fase da obra</v>
      </c>
      <c r="F61" s="68" t="s">
        <v>5218</v>
      </c>
      <c r="G61" s="68" t="str">
        <f>VLOOKUP(D61,'03. Insumos'!A:F,3,0)</f>
        <v>unid</v>
      </c>
      <c r="H61" s="69"/>
      <c r="I61" s="69">
        <v>1</v>
      </c>
      <c r="J61" s="70">
        <f t="shared" ref="J61:J69" si="10">IFERROR(IF(K61&lt;&gt;0,K61*$K$5,0),0)</f>
        <v>1200</v>
      </c>
      <c r="K61" s="54">
        <f>IF(A61=0,VLOOKUP(D61,'03. Insumos'!A:F,4,0),"")</f>
        <v>1200</v>
      </c>
      <c r="L61" s="70">
        <f>H61*J61*I61</f>
        <v>0</v>
      </c>
      <c r="M61" s="355">
        <f t="shared" ca="1" si="0"/>
        <v>0</v>
      </c>
      <c r="O61" s="148"/>
      <c r="R61" s="356"/>
    </row>
    <row r="62" spans="1:18" s="51" customFormat="1" ht="13.5" hidden="1" customHeight="1" outlineLevel="1" x14ac:dyDescent="0.3">
      <c r="A62" s="13">
        <f t="shared" si="1"/>
        <v>0</v>
      </c>
      <c r="B62" s="49"/>
      <c r="C62" s="49"/>
      <c r="D62" s="370" t="s">
        <v>2071</v>
      </c>
      <c r="E62" s="370" t="str">
        <f>VLOOKUP(D62,'03. Insumos'!A:D,2,0)</f>
        <v>Revisão do PCMAT</v>
      </c>
      <c r="F62" s="68" t="s">
        <v>5218</v>
      </c>
      <c r="G62" s="68" t="str">
        <f>VLOOKUP(D62,'03. Insumos'!A:F,3,0)</f>
        <v>unid</v>
      </c>
      <c r="H62" s="69"/>
      <c r="I62" s="69"/>
      <c r="J62" s="70">
        <f t="shared" si="10"/>
        <v>300</v>
      </c>
      <c r="K62" s="54">
        <f>IF(A62=0,VLOOKUP(D62,'03. Insumos'!A:F,4,0),"")</f>
        <v>300</v>
      </c>
      <c r="L62" s="70">
        <f t="shared" ref="L62:L67" si="11">H62*J62*I62</f>
        <v>0</v>
      </c>
      <c r="M62" s="355">
        <f t="shared" ca="1" si="0"/>
        <v>0</v>
      </c>
      <c r="O62" s="148"/>
      <c r="R62" s="356"/>
    </row>
    <row r="63" spans="1:18" s="51" customFormat="1" ht="13.5" hidden="1" customHeight="1" outlineLevel="1" x14ac:dyDescent="0.3">
      <c r="A63" s="13">
        <f t="shared" si="1"/>
        <v>0</v>
      </c>
      <c r="B63" s="49"/>
      <c r="C63" s="49"/>
      <c r="D63" s="370" t="s">
        <v>2072</v>
      </c>
      <c r="E63" s="370" t="str">
        <f>VLOOKUP(D63,'03. Insumos'!A:D,2,0)</f>
        <v>PGR por fase da obra</v>
      </c>
      <c r="F63" s="68" t="s">
        <v>5218</v>
      </c>
      <c r="G63" s="68" t="str">
        <f>VLOOKUP(D63,'03. Insumos'!A:F,3,0)</f>
        <v>unid</v>
      </c>
      <c r="H63" s="69"/>
      <c r="I63" s="69">
        <v>1</v>
      </c>
      <c r="J63" s="70">
        <f t="shared" si="10"/>
        <v>1500</v>
      </c>
      <c r="K63" s="54">
        <f>IF(A63=0,VLOOKUP(D63,'03. Insumos'!A:F,4,0),"")</f>
        <v>1500</v>
      </c>
      <c r="L63" s="70">
        <f t="shared" si="11"/>
        <v>0</v>
      </c>
      <c r="M63" s="355">
        <f t="shared" ca="1" si="0"/>
        <v>0</v>
      </c>
      <c r="O63" s="148"/>
      <c r="R63" s="356"/>
    </row>
    <row r="64" spans="1:18" s="51" customFormat="1" ht="13.5" hidden="1" customHeight="1" outlineLevel="1" x14ac:dyDescent="0.3">
      <c r="A64" s="13">
        <f t="shared" si="1"/>
        <v>0</v>
      </c>
      <c r="B64" s="49"/>
      <c r="C64" s="49"/>
      <c r="D64" s="370" t="s">
        <v>2073</v>
      </c>
      <c r="E64" s="370" t="str">
        <f>VLOOKUP(D64,'03. Insumos'!A:D,2,0)</f>
        <v>Revisão PGR</v>
      </c>
      <c r="F64" s="68" t="s">
        <v>5218</v>
      </c>
      <c r="G64" s="68" t="str">
        <f>VLOOKUP(D64,'03. Insumos'!A:F,3,0)</f>
        <v>unid</v>
      </c>
      <c r="H64" s="69"/>
      <c r="I64" s="69"/>
      <c r="J64" s="70">
        <f t="shared" si="10"/>
        <v>369</v>
      </c>
      <c r="K64" s="54">
        <f>IF(A64=0,VLOOKUP(D64,'03. Insumos'!A:F,4,0),"")</f>
        <v>369</v>
      </c>
      <c r="L64" s="70">
        <f t="shared" si="11"/>
        <v>0</v>
      </c>
      <c r="M64" s="355">
        <f t="shared" ca="1" si="0"/>
        <v>0</v>
      </c>
      <c r="O64" s="148"/>
      <c r="R64" s="356"/>
    </row>
    <row r="65" spans="1:18" s="51" customFormat="1" ht="13.5" hidden="1" customHeight="1" outlineLevel="1" x14ac:dyDescent="0.3">
      <c r="A65" s="13">
        <f t="shared" si="1"/>
        <v>0</v>
      </c>
      <c r="B65" s="49"/>
      <c r="C65" s="49"/>
      <c r="D65" s="370" t="s">
        <v>2074</v>
      </c>
      <c r="E65" s="370" t="str">
        <f>VLOOKUP(D65,'03. Insumos'!A:D,2,0)</f>
        <v>Mapa de risco por fase da obra</v>
      </c>
      <c r="F65" s="68" t="s">
        <v>5218</v>
      </c>
      <c r="G65" s="68" t="str">
        <f>VLOOKUP(D65,'03. Insumos'!A:F,3,0)</f>
        <v>unid</v>
      </c>
      <c r="H65" s="69"/>
      <c r="I65" s="69">
        <v>1</v>
      </c>
      <c r="J65" s="70">
        <f t="shared" si="10"/>
        <v>180</v>
      </c>
      <c r="K65" s="54">
        <f>IF(A65=0,VLOOKUP(D65,'03. Insumos'!A:F,4,0),"")</f>
        <v>180</v>
      </c>
      <c r="L65" s="70">
        <f t="shared" si="11"/>
        <v>0</v>
      </c>
      <c r="M65" s="355">
        <f t="shared" ca="1" si="0"/>
        <v>0</v>
      </c>
      <c r="O65" s="148"/>
      <c r="R65" s="356"/>
    </row>
    <row r="66" spans="1:18" s="51" customFormat="1" ht="13.5" hidden="1" customHeight="1" outlineLevel="1" x14ac:dyDescent="0.3">
      <c r="A66" s="13">
        <f t="shared" si="1"/>
        <v>0</v>
      </c>
      <c r="B66" s="49"/>
      <c r="C66" s="49"/>
      <c r="D66" s="370" t="s">
        <v>2075</v>
      </c>
      <c r="E66" s="370" t="str">
        <f>VLOOKUP(D66,'03. Insumos'!A:D,2,0)</f>
        <v>PCMAT por fase da obra</v>
      </c>
      <c r="F66" s="68" t="s">
        <v>5218</v>
      </c>
      <c r="G66" s="68" t="str">
        <f>VLOOKUP(D66,'03. Insumos'!A:F,3,0)</f>
        <v>unid</v>
      </c>
      <c r="H66" s="69"/>
      <c r="I66" s="69">
        <v>1</v>
      </c>
      <c r="J66" s="70">
        <f t="shared" si="10"/>
        <v>1800</v>
      </c>
      <c r="K66" s="54">
        <f>IF(A66=0,VLOOKUP(D66,'03. Insumos'!A:F,4,0),"")</f>
        <v>1800</v>
      </c>
      <c r="L66" s="70">
        <f t="shared" si="11"/>
        <v>0</v>
      </c>
      <c r="M66" s="355">
        <f t="shared" ca="1" si="0"/>
        <v>0</v>
      </c>
      <c r="O66" s="148"/>
      <c r="R66" s="356"/>
    </row>
    <row r="67" spans="1:18" s="51" customFormat="1" ht="13.5" hidden="1" customHeight="1" outlineLevel="1" x14ac:dyDescent="0.3">
      <c r="A67" s="13">
        <f t="shared" si="1"/>
        <v>0</v>
      </c>
      <c r="B67" s="49"/>
      <c r="C67" s="49"/>
      <c r="D67" s="370" t="s">
        <v>3409</v>
      </c>
      <c r="E67" s="370" t="str">
        <f>VLOOKUP(D67,'03. Insumos'!A:D,2,0)</f>
        <v>Exame admissional / demissional / períodico</v>
      </c>
      <c r="F67" s="68" t="s">
        <v>5218</v>
      </c>
      <c r="G67" s="68" t="str">
        <f>VLOOKUP(D67,'03. Insumos'!A:F,3,0)</f>
        <v>unid</v>
      </c>
      <c r="H67" s="69"/>
      <c r="I67" s="69">
        <v>10</v>
      </c>
      <c r="J67" s="70">
        <f t="shared" si="10"/>
        <v>50</v>
      </c>
      <c r="K67" s="54">
        <f>IF(A67=0,VLOOKUP(D67,'03. Insumos'!A:F,4,0),"")</f>
        <v>50</v>
      </c>
      <c r="L67" s="70">
        <f t="shared" si="11"/>
        <v>0</v>
      </c>
      <c r="M67" s="355">
        <f t="shared" ca="1" si="0"/>
        <v>0</v>
      </c>
      <c r="O67" s="148"/>
      <c r="R67" s="356"/>
    </row>
    <row r="68" spans="1:18" s="51" customFormat="1" ht="13.5" hidden="1" customHeight="1" outlineLevel="1" x14ac:dyDescent="0.3">
      <c r="A68" s="290">
        <f t="shared" si="1"/>
        <v>0</v>
      </c>
      <c r="B68" s="49"/>
      <c r="C68" s="49"/>
      <c r="D68" s="370" t="s">
        <v>2077</v>
      </c>
      <c r="E68" s="370" t="str">
        <f>VLOOKUP(D68,'03. Insumos'!A:D,2,0)</f>
        <v>Implantação e gerenciamento da CIPA</v>
      </c>
      <c r="F68" s="68" t="s">
        <v>5218</v>
      </c>
      <c r="G68" s="68" t="str">
        <f>VLOOKUP(D68,'03. Insumos'!A:F,3,0)</f>
        <v>mês</v>
      </c>
      <c r="H68" s="69"/>
      <c r="I68" s="69"/>
      <c r="J68" s="70">
        <f t="shared" si="10"/>
        <v>300</v>
      </c>
      <c r="K68" s="54">
        <f>IF(A68=0,VLOOKUP(D68,'03. Insumos'!A:F,4,0),"")</f>
        <v>300</v>
      </c>
      <c r="L68" s="485">
        <f>H68*J68*I68</f>
        <v>0</v>
      </c>
      <c r="M68" s="153">
        <f t="shared" ca="1" si="0"/>
        <v>0</v>
      </c>
      <c r="O68" s="148"/>
      <c r="R68" s="12"/>
    </row>
    <row r="69" spans="1:18" s="51" customFormat="1" ht="13.5" hidden="1" customHeight="1" outlineLevel="1" x14ac:dyDescent="0.3">
      <c r="A69" s="290">
        <f t="shared" si="1"/>
        <v>0</v>
      </c>
      <c r="B69" s="49"/>
      <c r="C69" s="49"/>
      <c r="D69" s="370" t="s">
        <v>2078</v>
      </c>
      <c r="E69" s="370" t="str">
        <f>VLOOKUP(D69,'03. Insumos'!A:D,2,0)</f>
        <v>Treinamento para CIPA</v>
      </c>
      <c r="F69" s="68" t="s">
        <v>5218</v>
      </c>
      <c r="G69" s="68" t="str">
        <f>VLOOKUP(D69,'03. Insumos'!A:F,3,0)</f>
        <v>unid</v>
      </c>
      <c r="H69" s="69"/>
      <c r="I69" s="69"/>
      <c r="J69" s="70">
        <f t="shared" si="10"/>
        <v>2000</v>
      </c>
      <c r="K69" s="54">
        <f>IF(A69=0,VLOOKUP(D69,'03. Insumos'!A:F,4,0),"")</f>
        <v>2000</v>
      </c>
      <c r="L69" s="485">
        <f>H69*J69*I69</f>
        <v>0</v>
      </c>
      <c r="M69" s="153">
        <f t="shared" ca="1" si="0"/>
        <v>0</v>
      </c>
      <c r="O69" s="148"/>
      <c r="R69" s="12"/>
    </row>
    <row r="70" spans="1:18" s="18" customFormat="1" ht="13.5" customHeight="1" outlineLevel="1" x14ac:dyDescent="0.3">
      <c r="A70" s="290">
        <f t="shared" si="1"/>
        <v>4</v>
      </c>
      <c r="B70" s="45"/>
      <c r="C70" s="45" t="s">
        <v>1941</v>
      </c>
      <c r="D70" s="45" t="s">
        <v>47</v>
      </c>
      <c r="E70" s="347"/>
      <c r="F70" s="327"/>
      <c r="G70" s="327"/>
      <c r="H70" s="328"/>
      <c r="I70" s="328"/>
      <c r="J70" s="335"/>
      <c r="K70" s="335" t="str">
        <f>IF(A70=0,VLOOKUP(D70,'03. Insumos'!A:F,4,0),"")</f>
        <v/>
      </c>
      <c r="L70" s="335">
        <f>SUMIF(A71:A80,6,L71:L80)</f>
        <v>3099.9833333333331</v>
      </c>
      <c r="M70" s="153">
        <f t="shared" ca="1" si="0"/>
        <v>5.5026898561460905E-3</v>
      </c>
      <c r="O70" s="148">
        <f>IF(I70&lt;&gt;0,I70*H70*K70,)</f>
        <v>0</v>
      </c>
      <c r="R70" s="12">
        <f>IF(J70&lt;&gt;0,J70/1.03-K70,0)</f>
        <v>0</v>
      </c>
    </row>
    <row r="71" spans="1:18" s="18" customFormat="1" ht="13.5" customHeight="1" outlineLevel="1" x14ac:dyDescent="0.3">
      <c r="A71" s="18">
        <f t="shared" si="1"/>
        <v>6</v>
      </c>
      <c r="B71" s="606"/>
      <c r="C71" s="606" t="s">
        <v>1942</v>
      </c>
      <c r="D71" s="606" t="s">
        <v>47</v>
      </c>
      <c r="E71" s="391"/>
      <c r="F71" s="325"/>
      <c r="H71" s="705">
        <v>5</v>
      </c>
      <c r="I71" s="326"/>
      <c r="J71" s="334"/>
      <c r="K71" s="607" t="str">
        <f>IF(A71=0,VLOOKUP(D71,'03. Insumos'!A:F,4,0),"")</f>
        <v/>
      </c>
      <c r="L71" s="334">
        <f>SUM(L72:L80)</f>
        <v>3099.9833333333331</v>
      </c>
      <c r="M71" s="598">
        <f t="shared" ca="1" si="0"/>
        <v>5.5026898561460905E-3</v>
      </c>
      <c r="O71" s="600">
        <f>IF(I71&lt;&gt;0,I71*#REF!*K71,)</f>
        <v>0</v>
      </c>
      <c r="R71" s="601">
        <f>IF(J71&lt;&gt;0,J71/1.03-K71,0)</f>
        <v>0</v>
      </c>
    </row>
    <row r="72" spans="1:18" s="51" customFormat="1" ht="13.5" hidden="1" customHeight="1" outlineLevel="1" x14ac:dyDescent="0.3">
      <c r="A72" s="13">
        <f t="shared" si="1"/>
        <v>0</v>
      </c>
      <c r="B72" s="49"/>
      <c r="C72" s="49"/>
      <c r="D72" s="370" t="s">
        <v>718</v>
      </c>
      <c r="E72" s="67" t="str">
        <f>VLOOKUP(D72,'03. Insumos'!A:D,2,0)</f>
        <v>Máscara</v>
      </c>
      <c r="F72" s="68" t="s">
        <v>3809</v>
      </c>
      <c r="G72" s="68" t="str">
        <f>VLOOKUP(D72,'03. Insumos'!A:F,3,0)</f>
        <v>unid</v>
      </c>
      <c r="H72" s="705">
        <v>1</v>
      </c>
      <c r="I72" s="345">
        <f>H71*L2*2*4</f>
        <v>160</v>
      </c>
      <c r="J72" s="70">
        <f t="shared" ref="J72:J80" si="12">IFERROR(IF(K72&lt;&gt;0,K72*$K$5,0),0)</f>
        <v>0.47333333333333333</v>
      </c>
      <c r="K72" s="70">
        <f>IF(A72=0,VLOOKUP(D72,'03. Insumos'!A:F,4,0),"")</f>
        <v>0.47333333333333333</v>
      </c>
      <c r="L72" s="70">
        <f t="shared" ref="L72:L80" si="13">H72*J72*I72</f>
        <v>75.733333333333334</v>
      </c>
      <c r="M72" s="355">
        <f t="shared" ca="1" si="0"/>
        <v>1.3443202762556701E-4</v>
      </c>
      <c r="O72" s="148">
        <f>IF(I72&lt;&gt;0,I72*H72*K72,)</f>
        <v>75.733333333333334</v>
      </c>
      <c r="R72" s="356">
        <f>IF(J72&lt;&gt;0,J72/1.03-K72,0)</f>
        <v>-1.3786407766990305E-2</v>
      </c>
    </row>
    <row r="73" spans="1:18" s="51" customFormat="1" ht="13.5" hidden="1" customHeight="1" outlineLevel="1" x14ac:dyDescent="0.3">
      <c r="A73" s="13">
        <f t="shared" si="1"/>
        <v>0</v>
      </c>
      <c r="B73" s="49"/>
      <c r="C73" s="49"/>
      <c r="D73" s="370" t="s">
        <v>719</v>
      </c>
      <c r="E73" s="67" t="str">
        <f>VLOOKUP(D73,'03. Insumos'!A:D,2,0)</f>
        <v>Bota</v>
      </c>
      <c r="F73" s="68" t="s">
        <v>3809</v>
      </c>
      <c r="G73" s="68" t="str">
        <f>VLOOKUP(D73,'03. Insumos'!A:F,3,0)</f>
        <v>unid</v>
      </c>
      <c r="H73" s="705">
        <v>1</v>
      </c>
      <c r="I73" s="345">
        <v>5</v>
      </c>
      <c r="J73" s="70">
        <f t="shared" si="12"/>
        <v>27</v>
      </c>
      <c r="K73" s="70">
        <f>IF(A73=0,VLOOKUP(D73,'03. Insumos'!A:F,4,0),"")</f>
        <v>27</v>
      </c>
      <c r="L73" s="70">
        <f t="shared" si="13"/>
        <v>135</v>
      </c>
      <c r="M73" s="355">
        <f t="shared" ca="1" si="0"/>
        <v>2.3963455628677217E-4</v>
      </c>
      <c r="O73" s="148"/>
      <c r="R73" s="356"/>
    </row>
    <row r="74" spans="1:18" s="51" customFormat="1" ht="13.5" hidden="1" customHeight="1" outlineLevel="1" x14ac:dyDescent="0.3">
      <c r="A74" s="13">
        <f t="shared" si="1"/>
        <v>0</v>
      </c>
      <c r="B74" s="49"/>
      <c r="C74" s="49"/>
      <c r="D74" s="370" t="s">
        <v>3068</v>
      </c>
      <c r="E74" s="67" t="str">
        <f>VLOOKUP(D74,'03. Insumos'!A:D,2,0)</f>
        <v xml:space="preserve">Uniforme - Calça </v>
      </c>
      <c r="F74" s="68" t="s">
        <v>3809</v>
      </c>
      <c r="G74" s="68" t="str">
        <f>VLOOKUP(D74,'03. Insumos'!A:F,3,0)</f>
        <v>unid</v>
      </c>
      <c r="H74" s="705">
        <v>1</v>
      </c>
      <c r="I74" s="345">
        <f>I73*2</f>
        <v>10</v>
      </c>
      <c r="J74" s="70">
        <f>IFERROR(IF(K74&lt;&gt;0,K74*$K$5,0),0)</f>
        <v>30</v>
      </c>
      <c r="K74" s="70">
        <f>IF(A74=0,VLOOKUP(D74,'03. Insumos'!A:F,4,0),"")</f>
        <v>30</v>
      </c>
      <c r="L74" s="70">
        <f>H74*J74*I74</f>
        <v>300</v>
      </c>
      <c r="M74" s="355">
        <f t="shared" ca="1" si="0"/>
        <v>5.3252123619282712E-4</v>
      </c>
      <c r="O74" s="148"/>
      <c r="R74" s="356"/>
    </row>
    <row r="75" spans="1:18" s="51" customFormat="1" ht="13.5" hidden="1" customHeight="1" outlineLevel="1" x14ac:dyDescent="0.3">
      <c r="A75" s="13">
        <f t="shared" si="1"/>
        <v>0</v>
      </c>
      <c r="B75" s="49"/>
      <c r="C75" s="49"/>
      <c r="D75" s="370" t="s">
        <v>3069</v>
      </c>
      <c r="E75" s="67" t="str">
        <f>VLOOKUP(D75,'03. Insumos'!A:D,2,0)</f>
        <v>Uniforme -  Camisa</v>
      </c>
      <c r="F75" s="68" t="s">
        <v>3809</v>
      </c>
      <c r="G75" s="68" t="str">
        <f>VLOOKUP(D75,'03. Insumos'!A:F,3,0)</f>
        <v>unid</v>
      </c>
      <c r="H75" s="705">
        <v>1</v>
      </c>
      <c r="I75" s="345">
        <f>I74*3</f>
        <v>30</v>
      </c>
      <c r="J75" s="70">
        <f>IFERROR(IF(K75&lt;&gt;0,K75*$K$5,0),0)</f>
        <v>43</v>
      </c>
      <c r="K75" s="70">
        <f>IF(A75=0,VLOOKUP(D75,'03. Insumos'!A:F,4,0),"")</f>
        <v>43</v>
      </c>
      <c r="L75" s="70">
        <f>H75*J75*I75</f>
        <v>1290</v>
      </c>
      <c r="M75" s="355">
        <f t="shared" ca="1" si="0"/>
        <v>2.2898413156291564E-3</v>
      </c>
      <c r="O75" s="148"/>
      <c r="R75" s="356"/>
    </row>
    <row r="76" spans="1:18" s="51" customFormat="1" ht="13.5" hidden="1" customHeight="1" outlineLevel="1" x14ac:dyDescent="0.3">
      <c r="A76" s="13">
        <f t="shared" si="1"/>
        <v>0</v>
      </c>
      <c r="B76" s="49"/>
      <c r="C76" s="49"/>
      <c r="D76" s="370" t="s">
        <v>720</v>
      </c>
      <c r="E76" s="67" t="str">
        <f>VLOOKUP(D76,'03. Insumos'!A:D,2,0)</f>
        <v>Capacete</v>
      </c>
      <c r="F76" s="68" t="s">
        <v>3809</v>
      </c>
      <c r="G76" s="68" t="str">
        <f>VLOOKUP(D76,'03. Insumos'!A:F,3,0)</f>
        <v>unid</v>
      </c>
      <c r="H76" s="705">
        <v>1</v>
      </c>
      <c r="I76" s="345">
        <f>I73</f>
        <v>5</v>
      </c>
      <c r="J76" s="70">
        <f t="shared" si="12"/>
        <v>9.73</v>
      </c>
      <c r="K76" s="70">
        <f>IF(A76=0,VLOOKUP(D76,'03. Insumos'!A:F,4,0),"")</f>
        <v>9.73</v>
      </c>
      <c r="L76" s="70">
        <f t="shared" si="13"/>
        <v>48.650000000000006</v>
      </c>
      <c r="M76" s="355">
        <f t="shared" ca="1" si="0"/>
        <v>8.6357193802603468E-5</v>
      </c>
      <c r="O76" s="148"/>
      <c r="R76" s="356"/>
    </row>
    <row r="77" spans="1:18" s="51" customFormat="1" ht="13.5" hidden="1" customHeight="1" outlineLevel="1" x14ac:dyDescent="0.3">
      <c r="A77" s="13">
        <f t="shared" si="1"/>
        <v>0</v>
      </c>
      <c r="B77" s="49"/>
      <c r="C77" s="49"/>
      <c r="D77" s="370" t="s">
        <v>721</v>
      </c>
      <c r="E77" s="67" t="str">
        <f>VLOOKUP(D77,'03. Insumos'!A:D,2,0)</f>
        <v>Cinto de segurança</v>
      </c>
      <c r="F77" s="68" t="s">
        <v>3809</v>
      </c>
      <c r="G77" s="68" t="str">
        <f>VLOOKUP(D77,'03. Insumos'!A:F,3,0)</f>
        <v>unid</v>
      </c>
      <c r="H77" s="705">
        <v>1</v>
      </c>
      <c r="I77" s="345">
        <f>I73</f>
        <v>5</v>
      </c>
      <c r="J77" s="70">
        <f t="shared" si="12"/>
        <v>46.2</v>
      </c>
      <c r="K77" s="70">
        <f>IF(A77=0,VLOOKUP(D77,'03. Insumos'!A:F,4,0),"")</f>
        <v>46.2</v>
      </c>
      <c r="L77" s="70">
        <f t="shared" si="13"/>
        <v>231</v>
      </c>
      <c r="M77" s="355">
        <f t="shared" ca="1" si="0"/>
        <v>4.1004135186847683E-4</v>
      </c>
      <c r="O77" s="148"/>
      <c r="R77" s="356"/>
    </row>
    <row r="78" spans="1:18" s="51" customFormat="1" ht="13.5" hidden="1" customHeight="1" outlineLevel="1" x14ac:dyDescent="0.3">
      <c r="A78" s="13">
        <f t="shared" si="1"/>
        <v>0</v>
      </c>
      <c r="B78" s="49"/>
      <c r="C78" s="49"/>
      <c r="D78" s="370" t="s">
        <v>722</v>
      </c>
      <c r="E78" s="67" t="str">
        <f>VLOOKUP(D78,'03. Insumos'!A:D,2,0)</f>
        <v>Corda de poliamida (50 m)</v>
      </c>
      <c r="F78" s="68" t="s">
        <v>3809</v>
      </c>
      <c r="G78" s="68" t="str">
        <f>VLOOKUP(D78,'03. Insumos'!A:F,3,0)</f>
        <v>rolo</v>
      </c>
      <c r="H78" s="705">
        <v>1</v>
      </c>
      <c r="I78" s="345">
        <v>2</v>
      </c>
      <c r="J78" s="70">
        <f t="shared" si="12"/>
        <v>350</v>
      </c>
      <c r="K78" s="70">
        <f>IF(A78=0,VLOOKUP(D78,'03. Insumos'!A:F,4,0),"")</f>
        <v>350</v>
      </c>
      <c r="L78" s="70">
        <f t="shared" si="13"/>
        <v>700</v>
      </c>
      <c r="M78" s="355">
        <f t="shared" ca="1" si="0"/>
        <v>1.2425495511165965E-3</v>
      </c>
      <c r="O78" s="148"/>
      <c r="R78" s="356"/>
    </row>
    <row r="79" spans="1:18" s="51" customFormat="1" ht="13.5" hidden="1" customHeight="1" outlineLevel="1" x14ac:dyDescent="0.3">
      <c r="A79" s="13">
        <f t="shared" si="1"/>
        <v>0</v>
      </c>
      <c r="B79" s="49"/>
      <c r="C79" s="49"/>
      <c r="D79" s="370" t="s">
        <v>723</v>
      </c>
      <c r="E79" s="67" t="str">
        <f>VLOOKUP(D79,'03. Insumos'!A:D,2,0)</f>
        <v>Luva</v>
      </c>
      <c r="F79" s="68" t="s">
        <v>3809</v>
      </c>
      <c r="G79" s="68" t="str">
        <f>VLOOKUP(D79,'03. Insumos'!A:F,3,0)</f>
        <v>unid</v>
      </c>
      <c r="H79" s="705">
        <v>1</v>
      </c>
      <c r="I79" s="345">
        <f>H71*L2*2</f>
        <v>40</v>
      </c>
      <c r="J79" s="70">
        <f t="shared" si="12"/>
        <v>7.74</v>
      </c>
      <c r="K79" s="70">
        <f>IF(A79=0,VLOOKUP(D79,'03. Insumos'!A:F,4,0),"")</f>
        <v>7.74</v>
      </c>
      <c r="L79" s="70">
        <f t="shared" si="13"/>
        <v>309.60000000000002</v>
      </c>
      <c r="M79" s="355">
        <f t="shared" ca="1" si="0"/>
        <v>5.4956191575099755E-4</v>
      </c>
      <c r="O79" s="148"/>
      <c r="R79" s="356"/>
    </row>
    <row r="80" spans="1:18" s="51" customFormat="1" ht="13.5" hidden="1" customHeight="1" outlineLevel="1" x14ac:dyDescent="0.3">
      <c r="A80" s="13">
        <f t="shared" si="1"/>
        <v>0</v>
      </c>
      <c r="B80" s="49"/>
      <c r="C80" s="49"/>
      <c r="D80" s="370" t="s">
        <v>724</v>
      </c>
      <c r="E80" s="67" t="str">
        <f>VLOOKUP(D80,'03. Insumos'!A:D,2,0)</f>
        <v>Óculos</v>
      </c>
      <c r="F80" s="68" t="s">
        <v>3809</v>
      </c>
      <c r="G80" s="68" t="str">
        <f>VLOOKUP(D80,'03. Insumos'!A:F,3,0)</f>
        <v>unid</v>
      </c>
      <c r="H80" s="705">
        <v>1</v>
      </c>
      <c r="I80" s="345">
        <f>H71</f>
        <v>5</v>
      </c>
      <c r="J80" s="70">
        <f t="shared" si="12"/>
        <v>2</v>
      </c>
      <c r="K80" s="70">
        <f>IF(A80=0,VLOOKUP(D80,'03. Insumos'!A:F,4,0),"")</f>
        <v>2</v>
      </c>
      <c r="L80" s="70">
        <f t="shared" si="13"/>
        <v>10</v>
      </c>
      <c r="M80" s="355">
        <f t="shared" ca="1" si="0"/>
        <v>1.7750707873094235E-5</v>
      </c>
      <c r="O80" s="148"/>
      <c r="R80" s="356"/>
    </row>
    <row r="81" spans="1:18" s="18" customFormat="1" ht="13.5" hidden="1" customHeight="1" outlineLevel="1" x14ac:dyDescent="0.3">
      <c r="A81" s="290">
        <f>LEN(C81)</f>
        <v>4</v>
      </c>
      <c r="B81" s="45"/>
      <c r="C81" s="45" t="s">
        <v>1941</v>
      </c>
      <c r="D81" s="45" t="s">
        <v>1940</v>
      </c>
      <c r="E81" s="347"/>
      <c r="F81" s="327"/>
      <c r="G81" s="327"/>
      <c r="H81" s="328"/>
      <c r="I81" s="328"/>
      <c r="J81" s="335"/>
      <c r="K81" s="335" t="str">
        <f>IF(A81=0,VLOOKUP(D81,'03. Insumos'!A:F,4,0),"")</f>
        <v/>
      </c>
      <c r="L81" s="335">
        <f>SUMIF(A82:A84,6,L82:L84)</f>
        <v>0</v>
      </c>
      <c r="M81" s="153">
        <f t="shared" ca="1" si="0"/>
        <v>0</v>
      </c>
      <c r="O81" s="148">
        <f>IF(I81&lt;&gt;0,I81*H81*K81,)</f>
        <v>0</v>
      </c>
      <c r="R81" s="12">
        <f>IF(J81&lt;&gt;0,J81/1.03-K81,0)</f>
        <v>0</v>
      </c>
    </row>
    <row r="82" spans="1:18" ht="13.5" hidden="1" customHeight="1" outlineLevel="1" x14ac:dyDescent="0.3">
      <c r="A82" s="290">
        <f>LEN(C82)</f>
        <v>6</v>
      </c>
      <c r="B82" s="606"/>
      <c r="C82" s="606" t="s">
        <v>1942</v>
      </c>
      <c r="D82" s="606" t="s">
        <v>1940</v>
      </c>
      <c r="E82" s="391"/>
      <c r="F82" s="325"/>
      <c r="G82" s="325"/>
      <c r="H82" s="326"/>
      <c r="I82" s="326"/>
      <c r="J82" s="334"/>
      <c r="K82" s="607" t="str">
        <f>IF(A82=0,VLOOKUP(D82,'03. Insumos'!A:F,4,0),"")</f>
        <v/>
      </c>
      <c r="L82" s="334">
        <f>SUM(L83:L84)</f>
        <v>0</v>
      </c>
      <c r="M82" s="153">
        <f t="shared" ca="1" si="0"/>
        <v>0</v>
      </c>
      <c r="O82" s="148">
        <f>IF(I82&lt;&gt;0,I82*H82*K82,)</f>
        <v>0</v>
      </c>
      <c r="R82" s="12">
        <f>IF(J82&lt;&gt;0,J82/1.03-K82,0)</f>
        <v>0</v>
      </c>
    </row>
    <row r="83" spans="1:18" ht="13.5" hidden="1" customHeight="1" outlineLevel="1" x14ac:dyDescent="0.3">
      <c r="A83" s="290">
        <f>LEN(C83)</f>
        <v>0</v>
      </c>
      <c r="B83" s="4"/>
      <c r="C83" s="4"/>
      <c r="D83" s="370" t="s">
        <v>1945</v>
      </c>
      <c r="E83" s="67" t="str">
        <f>VLOOKUP(D83,'03. Insumos'!A:D,2,0)</f>
        <v>Proteção de periferia</v>
      </c>
      <c r="F83" s="68" t="s">
        <v>5218</v>
      </c>
      <c r="G83" s="68" t="str">
        <f>VLOOKUP(D83,'03. Insumos'!A:F,3,0)</f>
        <v>vb</v>
      </c>
      <c r="H83" s="69"/>
      <c r="I83" s="69"/>
      <c r="J83" s="70">
        <f>IFERROR(IF(K83&lt;&gt;0,K83*$K$5,0),0)</f>
        <v>1683.2</v>
      </c>
      <c r="K83" s="54">
        <f>(40*5.58)+(60*16)+(10*50)</f>
        <v>1683.2</v>
      </c>
      <c r="L83" s="485">
        <f>H83*J83*I83</f>
        <v>0</v>
      </c>
      <c r="M83" s="153">
        <f t="shared" ca="1" si="0"/>
        <v>0</v>
      </c>
      <c r="O83" s="148"/>
      <c r="R83" s="12"/>
    </row>
    <row r="84" spans="1:18" s="51" customFormat="1" ht="13.5" hidden="1" customHeight="1" outlineLevel="1" x14ac:dyDescent="0.3">
      <c r="A84" s="290">
        <f>LEN(C84)</f>
        <v>0</v>
      </c>
      <c r="B84" s="49"/>
      <c r="C84" s="49"/>
      <c r="D84" s="140" t="s">
        <v>1946</v>
      </c>
      <c r="E84" s="67" t="str">
        <f>VLOOKUP(D84,'03. Insumos'!A:D,2,0)</f>
        <v>Linha de vida</v>
      </c>
      <c r="F84" s="68" t="s">
        <v>5218</v>
      </c>
      <c r="G84" s="68" t="str">
        <f>VLOOKUP(D84,'03. Insumos'!A:F,3,0)</f>
        <v>vb</v>
      </c>
      <c r="H84" s="69"/>
      <c r="I84" s="69"/>
      <c r="J84" s="70">
        <f>IFERROR(IF(K84&lt;&gt;0,K84*$K$5,0),0)</f>
        <v>11688.62</v>
      </c>
      <c r="K84" s="54">
        <f>IF(A84=0,VLOOKUP(D84,'03. Insumos'!A:F,4,0),"")</f>
        <v>11688.62</v>
      </c>
      <c r="L84" s="485">
        <f>H84*J84*I84</f>
        <v>0</v>
      </c>
      <c r="M84" s="153">
        <f t="shared" ca="1" si="0"/>
        <v>0</v>
      </c>
      <c r="O84" s="148">
        <f>IF(I84&lt;&gt;0,I84*H84*K84,)</f>
        <v>0</v>
      </c>
      <c r="R84" s="12">
        <f>IF(J84&lt;&gt;0,J84/1.03-K84,0)</f>
        <v>-340.44524271844602</v>
      </c>
    </row>
    <row r="85" spans="1:18" s="592" customFormat="1" ht="13.5" customHeight="1" x14ac:dyDescent="0.3">
      <c r="A85" s="478">
        <f t="shared" si="1"/>
        <v>3</v>
      </c>
      <c r="B85" s="390"/>
      <c r="C85" s="390" t="s">
        <v>356</v>
      </c>
      <c r="D85" s="390" t="s">
        <v>78</v>
      </c>
      <c r="E85" s="390"/>
      <c r="F85" s="323"/>
      <c r="G85" s="323"/>
      <c r="H85" s="324"/>
      <c r="I85" s="324"/>
      <c r="J85" s="333"/>
      <c r="K85" s="333"/>
      <c r="L85" s="333">
        <f>SUMIF(A86:A143,4,L86:L143)</f>
        <v>10179.5</v>
      </c>
      <c r="M85" s="479">
        <f t="shared" ca="1" si="0"/>
        <v>1.8069333079416276E-2</v>
      </c>
      <c r="O85" s="499">
        <f>IF(I85&lt;&gt;0,I85*H85*K85,)</f>
        <v>0</v>
      </c>
      <c r="R85" s="348">
        <f>IF(J85&lt;&gt;0,J85/1.03-K85,0)</f>
        <v>0</v>
      </c>
    </row>
    <row r="86" spans="1:18" s="18" customFormat="1" ht="0.6" customHeight="1" outlineLevel="1" x14ac:dyDescent="0.3">
      <c r="A86" s="290">
        <f t="shared" si="1"/>
        <v>0</v>
      </c>
      <c r="B86" s="63"/>
      <c r="C86" s="63"/>
      <c r="D86" s="63"/>
      <c r="E86" s="391"/>
      <c r="F86" s="325"/>
      <c r="G86" s="325"/>
      <c r="H86" s="326"/>
      <c r="I86" s="326"/>
      <c r="J86" s="334">
        <f>IFERROR(IF(K86&lt;&gt;0,K86*$K$5,0),0)</f>
        <v>0</v>
      </c>
      <c r="K86" s="66" t="e">
        <f>IF(A86=0,VLOOKUP(D86,'03. Insumos'!A:F,4,0),"")</f>
        <v>#N/A</v>
      </c>
      <c r="L86" s="334"/>
      <c r="M86" s="153">
        <f t="shared" ca="1" si="0"/>
        <v>0</v>
      </c>
      <c r="O86" s="148">
        <f>IF(I86&lt;&gt;0,I86*H86*K86,)</f>
        <v>0</v>
      </c>
      <c r="R86" s="12">
        <f>IF(J86&lt;&gt;0,J86/1.03-K86,0)</f>
        <v>0</v>
      </c>
    </row>
    <row r="87" spans="1:18" s="18" customFormat="1" ht="13.5" customHeight="1" outlineLevel="1" x14ac:dyDescent="0.3">
      <c r="A87" s="290">
        <f t="shared" si="1"/>
        <v>4</v>
      </c>
      <c r="B87" s="45"/>
      <c r="C87" s="45" t="s">
        <v>382</v>
      </c>
      <c r="D87" s="45" t="s">
        <v>112</v>
      </c>
      <c r="E87" s="347"/>
      <c r="F87" s="327"/>
      <c r="G87" s="327"/>
      <c r="H87" s="328"/>
      <c r="I87" s="328"/>
      <c r="J87" s="335"/>
      <c r="K87" s="335" t="str">
        <f>IF(A87=0,VLOOKUP(D87,'03. Insumos'!A:F,4,0),"")</f>
        <v/>
      </c>
      <c r="L87" s="335">
        <f>SUMIF(A88:A117,6,L88:L117)</f>
        <v>820</v>
      </c>
      <c r="M87" s="153">
        <f t="shared" ca="1" si="0"/>
        <v>1.4555580455937274E-3</v>
      </c>
      <c r="O87" s="148">
        <f>IF(I87&lt;&gt;0,I87*H87*K87,)</f>
        <v>0</v>
      </c>
      <c r="R87" s="12">
        <f>IF(J87&lt;&gt;0,J87/1.03-K87,0)</f>
        <v>0</v>
      </c>
    </row>
    <row r="88" spans="1:18" s="18" customFormat="1" ht="13.5" customHeight="1" outlineLevel="1" x14ac:dyDescent="0.3">
      <c r="A88" s="18">
        <f t="shared" si="1"/>
        <v>6</v>
      </c>
      <c r="B88" s="606"/>
      <c r="C88" s="606" t="s">
        <v>919</v>
      </c>
      <c r="D88" s="606" t="s">
        <v>2004</v>
      </c>
      <c r="E88" s="391"/>
      <c r="F88" s="325"/>
      <c r="G88" s="325"/>
      <c r="H88" s="326"/>
      <c r="I88" s="326"/>
      <c r="J88" s="334"/>
      <c r="K88" s="607" t="str">
        <f>IF(A88=0,VLOOKUP(D88,'03. Insumos'!A:F,4,0),"")</f>
        <v/>
      </c>
      <c r="L88" s="334">
        <f>SUM(L89:L115)</f>
        <v>820</v>
      </c>
      <c r="M88" s="598">
        <f t="shared" ca="1" si="0"/>
        <v>1.4555580455937274E-3</v>
      </c>
      <c r="O88" s="600">
        <f>IF(I88&lt;&gt;0,I88*H88*K88,)</f>
        <v>0</v>
      </c>
      <c r="R88" s="601">
        <f>IF(J88&lt;&gt;0,J88/1.03-K88,0)</f>
        <v>0</v>
      </c>
    </row>
    <row r="89" spans="1:18" ht="13.5" customHeight="1" outlineLevel="1" x14ac:dyDescent="0.3">
      <c r="A89" s="13">
        <f t="shared" si="1"/>
        <v>0</v>
      </c>
      <c r="B89" s="4"/>
      <c r="C89" s="4"/>
      <c r="D89" s="370" t="s">
        <v>726</v>
      </c>
      <c r="E89" s="67" t="str">
        <f>VLOOKUP(D89,'03. Insumos'!A:D,2,0)</f>
        <v>Serra mármore</v>
      </c>
      <c r="F89" s="68" t="s">
        <v>5218</v>
      </c>
      <c r="G89" s="68" t="str">
        <f>VLOOKUP(D89,'03. Insumos'!A:F,3,0)</f>
        <v>mês</v>
      </c>
      <c r="H89" s="69">
        <v>1</v>
      </c>
      <c r="I89" s="69">
        <f>L2</f>
        <v>4</v>
      </c>
      <c r="J89" s="70">
        <f t="shared" ref="J89:J115" si="14">IFERROR(IF(K89&lt;&gt;0,K89*$K$5,0),0)</f>
        <v>80</v>
      </c>
      <c r="K89" s="70">
        <f>IF(A89=0,VLOOKUP(D89,'03. Insumos'!A:F,4,0),"")</f>
        <v>80</v>
      </c>
      <c r="L89" s="70">
        <f>H89*J89*I89</f>
        <v>320</v>
      </c>
      <c r="M89" s="355">
        <f t="shared" ca="1" si="0"/>
        <v>5.6802265193901553E-4</v>
      </c>
      <c r="O89" s="148"/>
      <c r="R89" s="356"/>
    </row>
    <row r="90" spans="1:18" ht="13.5" hidden="1" customHeight="1" outlineLevel="1" x14ac:dyDescent="0.3">
      <c r="A90" s="13">
        <f t="shared" si="1"/>
        <v>0</v>
      </c>
      <c r="B90" s="4"/>
      <c r="C90" s="4"/>
      <c r="D90" s="140" t="s">
        <v>1987</v>
      </c>
      <c r="E90" s="67" t="str">
        <f>VLOOKUP(D90,'03. Insumos'!A:D,2,0)</f>
        <v>Torre de iluminação</v>
      </c>
      <c r="F90" s="68" t="s">
        <v>5218</v>
      </c>
      <c r="G90" s="68" t="str">
        <f>VLOOKUP(D90,'03. Insumos'!A:F,3,0)</f>
        <v>mês</v>
      </c>
      <c r="H90" s="69"/>
      <c r="I90" s="69"/>
      <c r="J90" s="70">
        <f t="shared" si="14"/>
        <v>1490</v>
      </c>
      <c r="K90" s="70">
        <f>IF(A90=0,VLOOKUP(D90,'03. Insumos'!A:F,4,0),"")</f>
        <v>1490</v>
      </c>
      <c r="L90" s="70">
        <f t="shared" ref="L90:L115" si="15">H90*J90*I90</f>
        <v>0</v>
      </c>
      <c r="M90" s="355">
        <f t="shared" ca="1" si="0"/>
        <v>0</v>
      </c>
      <c r="O90" s="148"/>
      <c r="R90" s="356"/>
    </row>
    <row r="91" spans="1:18" ht="13.5" hidden="1" customHeight="1" outlineLevel="1" x14ac:dyDescent="0.3">
      <c r="A91" s="13">
        <f t="shared" si="1"/>
        <v>0</v>
      </c>
      <c r="B91" s="4"/>
      <c r="C91" s="4"/>
      <c r="D91" s="140" t="s">
        <v>2049</v>
      </c>
      <c r="E91" s="67" t="str">
        <f>VLOOKUP(D91,'03. Insumos'!A:D,2,0)</f>
        <v>Traçador</v>
      </c>
      <c r="F91" s="68" t="s">
        <v>5218</v>
      </c>
      <c r="G91" s="68" t="str">
        <f>VLOOKUP(D91,'03. Insumos'!A:F,3,0)</f>
        <v>mês</v>
      </c>
      <c r="H91" s="69"/>
      <c r="I91" s="69"/>
      <c r="J91" s="70">
        <f t="shared" si="14"/>
        <v>105</v>
      </c>
      <c r="K91" s="70">
        <f>IF(A91=0,VLOOKUP(D91,'03. Insumos'!A:F,4,0),"")</f>
        <v>105</v>
      </c>
      <c r="L91" s="70">
        <f>H91*J91*I91</f>
        <v>0</v>
      </c>
      <c r="M91" s="355">
        <f t="shared" ca="1" si="0"/>
        <v>0</v>
      </c>
      <c r="O91" s="148"/>
      <c r="R91" s="356"/>
    </row>
    <row r="92" spans="1:18" ht="13.5" hidden="1" customHeight="1" outlineLevel="1" x14ac:dyDescent="0.3">
      <c r="A92" s="13">
        <f t="shared" si="1"/>
        <v>0</v>
      </c>
      <c r="B92" s="4"/>
      <c r="C92" s="4"/>
      <c r="D92" s="140" t="s">
        <v>153</v>
      </c>
      <c r="E92" s="67" t="str">
        <f>VLOOKUP(D92,'03. Insumos'!A:D,2,0)</f>
        <v>Velox Locação</v>
      </c>
      <c r="F92" s="68" t="s">
        <v>5218</v>
      </c>
      <c r="G92" s="68" t="str">
        <f>VLOOKUP(D92,'03. Insumos'!A:F,3,0)</f>
        <v>mês</v>
      </c>
      <c r="H92" s="69"/>
      <c r="I92" s="69"/>
      <c r="J92" s="70">
        <f t="shared" si="14"/>
        <v>290</v>
      </c>
      <c r="K92" s="70">
        <f>IF(A92=0,VLOOKUP(D92,'03. Insumos'!A:F,4,0),"")</f>
        <v>290</v>
      </c>
      <c r="L92" s="70">
        <f>H92*J92*I92</f>
        <v>0</v>
      </c>
      <c r="M92" s="355">
        <f t="shared" ca="1" si="0"/>
        <v>0</v>
      </c>
      <c r="O92" s="148"/>
      <c r="R92" s="356"/>
    </row>
    <row r="93" spans="1:18" ht="13.5" hidden="1" customHeight="1" outlineLevel="1" x14ac:dyDescent="0.3">
      <c r="A93" s="13">
        <f t="shared" si="1"/>
        <v>0</v>
      </c>
      <c r="B93" s="4"/>
      <c r="C93" s="4"/>
      <c r="D93" s="140" t="s">
        <v>2044</v>
      </c>
      <c r="E93" s="67" t="str">
        <f>VLOOKUP(D93,'03. Insumos'!A:D,2,0)</f>
        <v>Bomba submersa</v>
      </c>
      <c r="F93" s="68" t="s">
        <v>5218</v>
      </c>
      <c r="G93" s="68" t="str">
        <f>VLOOKUP(D93,'03. Insumos'!A:F,3,0)</f>
        <v>mês</v>
      </c>
      <c r="H93" s="69"/>
      <c r="I93" s="69"/>
      <c r="J93" s="70">
        <f t="shared" si="14"/>
        <v>230</v>
      </c>
      <c r="K93" s="70">
        <f>IF(A93=0,VLOOKUP(D93,'03. Insumos'!A:F,4,0),"")</f>
        <v>230</v>
      </c>
      <c r="L93" s="70">
        <f>H93*J93*I93</f>
        <v>0</v>
      </c>
      <c r="M93" s="355">
        <f t="shared" ca="1" si="0"/>
        <v>0</v>
      </c>
      <c r="O93" s="148"/>
      <c r="R93" s="356"/>
    </row>
    <row r="94" spans="1:18" ht="13.5" hidden="1" customHeight="1" outlineLevel="1" x14ac:dyDescent="0.3">
      <c r="A94" s="13">
        <f t="shared" si="1"/>
        <v>0</v>
      </c>
      <c r="B94" s="4"/>
      <c r="C94" s="4"/>
      <c r="D94" s="140" t="s">
        <v>2047</v>
      </c>
      <c r="E94" s="67" t="str">
        <f>VLOOKUP(D94,'03. Insumos'!A:D,2,0)</f>
        <v>Mangote para bomba 20 m</v>
      </c>
      <c r="F94" s="68" t="s">
        <v>5218</v>
      </c>
      <c r="G94" s="68" t="str">
        <f>VLOOKUP(D94,'03. Insumos'!A:F,3,0)</f>
        <v>mês</v>
      </c>
      <c r="H94" s="69"/>
      <c r="I94" s="69"/>
      <c r="J94" s="70">
        <f t="shared" si="14"/>
        <v>96</v>
      </c>
      <c r="K94" s="70">
        <f>IF(A94=0,VLOOKUP(D94,'03. Insumos'!A:F,4,0),"")</f>
        <v>96</v>
      </c>
      <c r="L94" s="70">
        <f>H94*J94*I94</f>
        <v>0</v>
      </c>
      <c r="M94" s="355">
        <f t="shared" ca="1" si="0"/>
        <v>0</v>
      </c>
      <c r="O94" s="148"/>
      <c r="R94" s="356"/>
    </row>
    <row r="95" spans="1:18" ht="13.5" hidden="1" customHeight="1" outlineLevel="1" x14ac:dyDescent="0.3">
      <c r="A95" s="13">
        <f t="shared" si="1"/>
        <v>0</v>
      </c>
      <c r="B95" s="4"/>
      <c r="C95" s="4"/>
      <c r="D95" s="370" t="s">
        <v>1988</v>
      </c>
      <c r="E95" s="744" t="str">
        <f>VLOOKUP(D95,'03. Insumos'!A:D,2,0)</f>
        <v>Martelete 10 Kg</v>
      </c>
      <c r="F95" s="745" t="s">
        <v>5218</v>
      </c>
      <c r="G95" s="745" t="str">
        <f>VLOOKUP(D95,'03. Insumos'!A:F,3,0)</f>
        <v>mês</v>
      </c>
      <c r="H95" s="746"/>
      <c r="I95" s="746">
        <v>1</v>
      </c>
      <c r="J95" s="338">
        <f t="shared" si="14"/>
        <v>490</v>
      </c>
      <c r="K95" s="70">
        <f>IF(A95=0,VLOOKUP(D95,'03. Insumos'!A:F,4,0),"")</f>
        <v>490</v>
      </c>
      <c r="L95" s="70">
        <f t="shared" si="15"/>
        <v>0</v>
      </c>
      <c r="M95" s="355">
        <f t="shared" ca="1" si="0"/>
        <v>0</v>
      </c>
      <c r="O95" s="148"/>
      <c r="R95" s="356"/>
    </row>
    <row r="96" spans="1:18" ht="13.5" customHeight="1" outlineLevel="1" x14ac:dyDescent="0.3">
      <c r="A96" s="13">
        <f t="shared" si="1"/>
        <v>0</v>
      </c>
      <c r="B96" s="4"/>
      <c r="C96" s="4"/>
      <c r="D96" s="370" t="s">
        <v>727</v>
      </c>
      <c r="E96" s="67" t="str">
        <f>VLOOKUP(D96,'03. Insumos'!A:D,2,0)</f>
        <v>MARTELETE (SDS PLUS) 220VOLTS BIF</v>
      </c>
      <c r="F96" s="68" t="s">
        <v>5218</v>
      </c>
      <c r="G96" s="68" t="str">
        <f>VLOOKUP(D96,'03. Insumos'!A:F,3,0)</f>
        <v>mês</v>
      </c>
      <c r="H96" s="69">
        <v>1</v>
      </c>
      <c r="I96" s="69">
        <f>L2</f>
        <v>4</v>
      </c>
      <c r="J96" s="70">
        <f t="shared" si="14"/>
        <v>125</v>
      </c>
      <c r="K96" s="70">
        <f>IF(A96=0,VLOOKUP(D96,'03. Insumos'!A:F,4,0),"")</f>
        <v>125</v>
      </c>
      <c r="L96" s="70">
        <f>H96*J96*I96</f>
        <v>500</v>
      </c>
      <c r="M96" s="355">
        <f t="shared" ca="1" si="0"/>
        <v>8.8753539365471175E-4</v>
      </c>
      <c r="O96" s="148"/>
      <c r="R96" s="356"/>
    </row>
    <row r="97" spans="1:18" ht="13.5" hidden="1" customHeight="1" outlineLevel="1" x14ac:dyDescent="0.3">
      <c r="A97" s="13">
        <f t="shared" si="1"/>
        <v>0</v>
      </c>
      <c r="B97" s="4"/>
      <c r="C97" s="4"/>
      <c r="D97" s="370" t="s">
        <v>727</v>
      </c>
      <c r="E97" s="67" t="str">
        <f>VLOOKUP(D97,'03. Insumos'!A:D,2,0)</f>
        <v>MARTELETE (SDS PLUS) 220VOLTS BIF</v>
      </c>
      <c r="F97" s="68" t="s">
        <v>5218</v>
      </c>
      <c r="G97" s="68" t="str">
        <f>VLOOKUP(D97,'03. Insumos'!A:F,3,0)</f>
        <v>mês</v>
      </c>
      <c r="H97" s="69"/>
      <c r="I97" s="69">
        <f>L2</f>
        <v>4</v>
      </c>
      <c r="J97" s="70">
        <f t="shared" si="14"/>
        <v>125</v>
      </c>
      <c r="K97" s="70">
        <f>IF(A97=0,VLOOKUP(D97,'03. Insumos'!A:F,4,0),"")</f>
        <v>125</v>
      </c>
      <c r="L97" s="70">
        <f>H97*J97*I97</f>
        <v>0</v>
      </c>
      <c r="M97" s="355">
        <f t="shared" ca="1" si="0"/>
        <v>0</v>
      </c>
      <c r="O97" s="148"/>
      <c r="R97" s="356"/>
    </row>
    <row r="98" spans="1:18" ht="13.5" hidden="1" customHeight="1" outlineLevel="1" x14ac:dyDescent="0.3">
      <c r="A98" s="13">
        <f t="shared" si="1"/>
        <v>0</v>
      </c>
      <c r="B98" s="4"/>
      <c r="C98" s="4"/>
      <c r="D98" s="370" t="s">
        <v>1990</v>
      </c>
      <c r="E98" s="67" t="str">
        <f>VLOOKUP(D98,'03. Insumos'!A:D,2,0)</f>
        <v>Compressor 185 PCM para 2 marteletes</v>
      </c>
      <c r="F98" s="68" t="s">
        <v>5218</v>
      </c>
      <c r="G98" s="68" t="str">
        <f>VLOOKUP(D98,'03. Insumos'!A:F,3,0)</f>
        <v>mês</v>
      </c>
      <c r="H98" s="69"/>
      <c r="I98" s="69"/>
      <c r="J98" s="70">
        <f t="shared" si="14"/>
        <v>2100</v>
      </c>
      <c r="K98" s="70">
        <f>IF(A98=0,VLOOKUP(D98,'03. Insumos'!A:F,4,0),"")</f>
        <v>2100</v>
      </c>
      <c r="L98" s="70">
        <f t="shared" si="15"/>
        <v>0</v>
      </c>
      <c r="M98" s="355">
        <f t="shared" ca="1" si="0"/>
        <v>0</v>
      </c>
      <c r="O98" s="148"/>
      <c r="R98" s="356"/>
    </row>
    <row r="99" spans="1:18" ht="13.5" hidden="1" customHeight="1" outlineLevel="1" x14ac:dyDescent="0.3">
      <c r="A99" s="13">
        <f t="shared" si="1"/>
        <v>0</v>
      </c>
      <c r="B99" s="4"/>
      <c r="C99" s="4"/>
      <c r="D99" s="370" t="s">
        <v>1991</v>
      </c>
      <c r="E99" s="67" t="str">
        <f>VLOOKUP(D99,'03. Insumos'!A:D,2,0)</f>
        <v>Lance de mangueira c/ 20 m</v>
      </c>
      <c r="F99" s="68" t="s">
        <v>5218</v>
      </c>
      <c r="G99" s="68" t="str">
        <f>VLOOKUP(D99,'03. Insumos'!A:F,3,0)</f>
        <v>mês</v>
      </c>
      <c r="H99" s="69"/>
      <c r="I99" s="69"/>
      <c r="J99" s="70">
        <f t="shared" si="14"/>
        <v>98</v>
      </c>
      <c r="K99" s="70">
        <f>IF(A99=0,VLOOKUP(D99,'03. Insumos'!A:F,4,0),"")</f>
        <v>98</v>
      </c>
      <c r="L99" s="70">
        <f t="shared" si="15"/>
        <v>0</v>
      </c>
      <c r="M99" s="355">
        <f t="shared" ca="1" si="0"/>
        <v>0</v>
      </c>
      <c r="O99" s="148"/>
      <c r="R99" s="356"/>
    </row>
    <row r="100" spans="1:18" ht="13.5" hidden="1" customHeight="1" outlineLevel="1" x14ac:dyDescent="0.3">
      <c r="A100" s="13">
        <f t="shared" si="1"/>
        <v>0</v>
      </c>
      <c r="B100" s="4"/>
      <c r="C100" s="4"/>
      <c r="D100" s="370" t="s">
        <v>1992</v>
      </c>
      <c r="E100" s="67" t="str">
        <f>VLOOKUP(D100,'03. Insumos'!A:D,2,0)</f>
        <v>Mini escavadeira</v>
      </c>
      <c r="F100" s="68" t="s">
        <v>5218</v>
      </c>
      <c r="G100" s="68" t="str">
        <f>VLOOKUP(D100,'03. Insumos'!A:F,3,0)</f>
        <v>mês</v>
      </c>
      <c r="H100" s="69"/>
      <c r="I100" s="69"/>
      <c r="J100" s="70">
        <f t="shared" si="14"/>
        <v>24000</v>
      </c>
      <c r="K100" s="70">
        <f>IF(A100=0,VLOOKUP(D100,'03. Insumos'!A:F,4,0),"")</f>
        <v>24000</v>
      </c>
      <c r="L100" s="70">
        <f t="shared" si="15"/>
        <v>0</v>
      </c>
      <c r="M100" s="355">
        <f t="shared" ca="1" si="0"/>
        <v>0</v>
      </c>
      <c r="O100" s="148"/>
      <c r="R100" s="356"/>
    </row>
    <row r="101" spans="1:18" ht="13.5" hidden="1" customHeight="1" outlineLevel="1" x14ac:dyDescent="0.3">
      <c r="A101" s="13">
        <f t="shared" si="1"/>
        <v>0</v>
      </c>
      <c r="B101" s="4"/>
      <c r="C101" s="4"/>
      <c r="D101" s="370" t="s">
        <v>2043</v>
      </c>
      <c r="E101" s="67" t="str">
        <f>VLOOKUP(D101,'03. Insumos'!A:D,2,0)</f>
        <v>Retroescavadeira com operador</v>
      </c>
      <c r="F101" s="68" t="s">
        <v>5218</v>
      </c>
      <c r="G101" s="68" t="str">
        <f>VLOOKUP(D101,'03. Insumos'!A:F,3,0)</f>
        <v>mês</v>
      </c>
      <c r="H101" s="69"/>
      <c r="I101" s="69"/>
      <c r="J101" s="70">
        <f t="shared" si="14"/>
        <v>16000</v>
      </c>
      <c r="K101" s="70">
        <f>IF(A101=0,VLOOKUP(D101,'03. Insumos'!A:F,4,0),"")</f>
        <v>16000</v>
      </c>
      <c r="L101" s="70">
        <f>H101*J101*I101</f>
        <v>0</v>
      </c>
      <c r="M101" s="355">
        <f t="shared" ca="1" si="0"/>
        <v>0</v>
      </c>
      <c r="O101" s="148"/>
      <c r="R101" s="356"/>
    </row>
    <row r="102" spans="1:18" ht="13.5" hidden="1" customHeight="1" outlineLevel="1" x14ac:dyDescent="0.3">
      <c r="A102" s="13">
        <f t="shared" si="1"/>
        <v>0</v>
      </c>
      <c r="B102" s="4"/>
      <c r="C102" s="4"/>
      <c r="D102" s="370" t="s">
        <v>1970</v>
      </c>
      <c r="E102" s="67" t="str">
        <f>VLOOKUP(D102,'03. Insumos'!A:D,2,0)</f>
        <v>Plataforma elevatória de 7 m (tesourinha)</v>
      </c>
      <c r="F102" s="68" t="s">
        <v>5218</v>
      </c>
      <c r="G102" s="68" t="str">
        <f>VLOOKUP(D102,'03. Insumos'!A:F,3,0)</f>
        <v>mês</v>
      </c>
      <c r="H102" s="69"/>
      <c r="I102" s="69"/>
      <c r="J102" s="70">
        <f t="shared" si="14"/>
        <v>1600</v>
      </c>
      <c r="K102" s="70">
        <f>IF(A102=0,VLOOKUP(D102,'03. Insumos'!A:F,4,0),"")</f>
        <v>1600</v>
      </c>
      <c r="L102" s="70">
        <f>H102*J102*I102</f>
        <v>0</v>
      </c>
      <c r="M102" s="355">
        <f t="shared" ca="1" si="0"/>
        <v>0</v>
      </c>
      <c r="O102" s="148"/>
      <c r="R102" s="356"/>
    </row>
    <row r="103" spans="1:18" ht="13.5" hidden="1" customHeight="1" outlineLevel="1" x14ac:dyDescent="0.3">
      <c r="A103" s="13">
        <f t="shared" si="1"/>
        <v>0</v>
      </c>
      <c r="B103" s="4"/>
      <c r="C103" s="4"/>
      <c r="D103" s="370" t="s">
        <v>442</v>
      </c>
      <c r="E103" s="67" t="str">
        <f>VLOOKUP(D103,'03. Insumos'!A:D,2,0)</f>
        <v>Compactação com Sapinho</v>
      </c>
      <c r="F103" s="68" t="s">
        <v>5218</v>
      </c>
      <c r="G103" s="68" t="str">
        <f>VLOOKUP(D103,'03. Insumos'!A:F,3,0)</f>
        <v>mês</v>
      </c>
      <c r="H103" s="69"/>
      <c r="I103" s="69"/>
      <c r="J103" s="70">
        <f t="shared" si="14"/>
        <v>520</v>
      </c>
      <c r="K103" s="70">
        <f>IF(A103=0,VLOOKUP(D103,'03. Insumos'!A:F,4,0),"")</f>
        <v>520</v>
      </c>
      <c r="L103" s="70">
        <f t="shared" si="15"/>
        <v>0</v>
      </c>
      <c r="M103" s="355">
        <f t="shared" ca="1" si="0"/>
        <v>0</v>
      </c>
      <c r="O103" s="148"/>
      <c r="R103" s="356"/>
    </row>
    <row r="104" spans="1:18" ht="13.5" hidden="1" customHeight="1" outlineLevel="1" x14ac:dyDescent="0.3">
      <c r="A104" s="13">
        <f t="shared" si="1"/>
        <v>0</v>
      </c>
      <c r="B104" s="4"/>
      <c r="C104" s="4"/>
      <c r="D104" s="370" t="s">
        <v>1994</v>
      </c>
      <c r="E104" s="67" t="str">
        <f>VLOOKUP(D104,'03. Insumos'!A:D,2,0)</f>
        <v>Cortador de piso</v>
      </c>
      <c r="F104" s="68" t="s">
        <v>5218</v>
      </c>
      <c r="G104" s="68" t="str">
        <f>VLOOKUP(D104,'03. Insumos'!A:F,3,0)</f>
        <v>mês</v>
      </c>
      <c r="H104" s="69"/>
      <c r="I104" s="69"/>
      <c r="J104" s="70">
        <f t="shared" si="14"/>
        <v>350</v>
      </c>
      <c r="K104" s="70">
        <f>IF(A104=0,VLOOKUP(D104,'03. Insumos'!A:F,4,0),"")</f>
        <v>350</v>
      </c>
      <c r="L104" s="70">
        <f t="shared" si="15"/>
        <v>0</v>
      </c>
      <c r="M104" s="355">
        <f t="shared" ca="1" si="0"/>
        <v>0</v>
      </c>
      <c r="O104" s="148"/>
      <c r="R104" s="356"/>
    </row>
    <row r="105" spans="1:18" ht="13.5" hidden="1" customHeight="1" outlineLevel="1" x14ac:dyDescent="0.3">
      <c r="A105" s="13">
        <f t="shared" si="1"/>
        <v>0</v>
      </c>
      <c r="B105" s="4"/>
      <c r="C105" s="4"/>
      <c r="D105" s="370" t="s">
        <v>1995</v>
      </c>
      <c r="E105" s="67" t="str">
        <f>VLOOKUP(D105,'03. Insumos'!A:D,2,0)</f>
        <v>Disco corte</v>
      </c>
      <c r="F105" s="68" t="s">
        <v>5218</v>
      </c>
      <c r="G105" s="68" t="str">
        <f>VLOOKUP(D105,'03. Insumos'!A:F,3,0)</f>
        <v>unid</v>
      </c>
      <c r="H105" s="69"/>
      <c r="I105" s="69"/>
      <c r="J105" s="70">
        <f t="shared" si="14"/>
        <v>260</v>
      </c>
      <c r="K105" s="70">
        <f>IF(A105=0,VLOOKUP(D105,'03. Insumos'!A:F,4,0),"")</f>
        <v>260</v>
      </c>
      <c r="L105" s="70">
        <f t="shared" si="15"/>
        <v>0</v>
      </c>
      <c r="M105" s="355">
        <f t="shared" ca="1" si="0"/>
        <v>0</v>
      </c>
      <c r="O105" s="148"/>
      <c r="R105" s="356"/>
    </row>
    <row r="106" spans="1:18" ht="14.25" hidden="1" customHeight="1" outlineLevel="1" x14ac:dyDescent="0.3">
      <c r="A106" s="13">
        <f t="shared" si="1"/>
        <v>0</v>
      </c>
      <c r="B106" s="4"/>
      <c r="C106" s="4"/>
      <c r="D106" s="370" t="s">
        <v>2014</v>
      </c>
      <c r="E106" s="67" t="str">
        <f>VLOOKUP(D106,'03. Insumos'!A:D,2,0)</f>
        <v>Compactador de solo</v>
      </c>
      <c r="F106" s="68" t="s">
        <v>5218</v>
      </c>
      <c r="G106" s="68" t="str">
        <f>VLOOKUP(D106,'03. Insumos'!A:F,3,0)</f>
        <v>mês</v>
      </c>
      <c r="H106" s="69"/>
      <c r="I106" s="69"/>
      <c r="J106" s="70">
        <f t="shared" si="14"/>
        <v>495</v>
      </c>
      <c r="K106" s="70">
        <f>IF(A106=0,VLOOKUP(D106,'03. Insumos'!A:F,4,0),"")</f>
        <v>495</v>
      </c>
      <c r="L106" s="70">
        <f t="shared" si="15"/>
        <v>0</v>
      </c>
      <c r="M106" s="355">
        <f t="shared" ca="1" si="0"/>
        <v>0</v>
      </c>
      <c r="O106" s="148"/>
      <c r="R106" s="356"/>
    </row>
    <row r="107" spans="1:18" ht="13.5" hidden="1" customHeight="1" outlineLevel="1" x14ac:dyDescent="0.3">
      <c r="A107" s="13">
        <f t="shared" si="1"/>
        <v>0</v>
      </c>
      <c r="B107" s="4"/>
      <c r="C107" s="4"/>
      <c r="D107" s="370" t="s">
        <v>2016</v>
      </c>
      <c r="E107" s="67" t="str">
        <f>VLOOKUP(D107,'03. Insumos'!A:D,2,0)</f>
        <v>Giranda com 100 metros</v>
      </c>
      <c r="F107" s="68" t="s">
        <v>5218</v>
      </c>
      <c r="G107" s="68" t="str">
        <f>VLOOKUP(D107,'03. Insumos'!A:F,3,0)</f>
        <v>unid</v>
      </c>
      <c r="H107" s="69"/>
      <c r="I107" s="69"/>
      <c r="J107" s="70">
        <f t="shared" si="14"/>
        <v>1300</v>
      </c>
      <c r="K107" s="70">
        <f>IF(A107=0,VLOOKUP(D107,'03. Insumos'!A:F,4,0),"")</f>
        <v>1300</v>
      </c>
      <c r="L107" s="70">
        <f t="shared" si="15"/>
        <v>0</v>
      </c>
      <c r="M107" s="355">
        <f t="shared" ca="1" si="0"/>
        <v>0</v>
      </c>
      <c r="O107" s="148"/>
      <c r="R107" s="356"/>
    </row>
    <row r="108" spans="1:18" ht="13.5" hidden="1" customHeight="1" outlineLevel="1" x14ac:dyDescent="0.3">
      <c r="A108" s="13">
        <f t="shared" si="1"/>
        <v>0</v>
      </c>
      <c r="B108" s="4"/>
      <c r="C108" s="4"/>
      <c r="D108" s="370" t="s">
        <v>729</v>
      </c>
      <c r="E108" s="67" t="str">
        <f>VLOOKUP(D108,'03. Insumos'!A:D,2,0)</f>
        <v>Lixadeira</v>
      </c>
      <c r="F108" s="68" t="s">
        <v>5218</v>
      </c>
      <c r="G108" s="68" t="str">
        <f>VLOOKUP(D108,'03. Insumos'!A:F,3,0)</f>
        <v>mês</v>
      </c>
      <c r="H108" s="69"/>
      <c r="I108" s="69"/>
      <c r="J108" s="70">
        <f t="shared" si="14"/>
        <v>105</v>
      </c>
      <c r="K108" s="70">
        <f>IF(A108=0,VLOOKUP(D108,'03. Insumos'!A:F,4,0),"")</f>
        <v>105</v>
      </c>
      <c r="L108" s="70">
        <f t="shared" si="15"/>
        <v>0</v>
      </c>
      <c r="M108" s="355">
        <f t="shared" ca="1" si="0"/>
        <v>0</v>
      </c>
      <c r="O108" s="148"/>
      <c r="R108" s="356"/>
    </row>
    <row r="109" spans="1:18" ht="13.5" hidden="1" customHeight="1" outlineLevel="1" x14ac:dyDescent="0.3">
      <c r="A109" s="13">
        <f t="shared" si="1"/>
        <v>0</v>
      </c>
      <c r="B109" s="4"/>
      <c r="C109" s="4"/>
      <c r="D109" s="370" t="s">
        <v>2177</v>
      </c>
      <c r="E109" s="67" t="str">
        <f>VLOOKUP(D109,'03. Insumos'!A:D,2,0)</f>
        <v>Betoneira</v>
      </c>
      <c r="F109" s="68" t="s">
        <v>5218</v>
      </c>
      <c r="G109" s="68" t="str">
        <f>VLOOKUP(D109,'03. Insumos'!A:F,3,0)</f>
        <v>mês</v>
      </c>
      <c r="H109" s="69"/>
      <c r="I109" s="69">
        <v>4</v>
      </c>
      <c r="J109" s="70">
        <f t="shared" si="14"/>
        <v>500</v>
      </c>
      <c r="K109" s="70">
        <f>IF(A109=0,VLOOKUP(D109,'03. Insumos'!A:F,4,0),"")</f>
        <v>500</v>
      </c>
      <c r="L109" s="70">
        <f>H109*J109*I109</f>
        <v>0</v>
      </c>
      <c r="M109" s="355">
        <f t="shared" ca="1" si="0"/>
        <v>0</v>
      </c>
      <c r="O109" s="148"/>
      <c r="R109" s="356"/>
    </row>
    <row r="110" spans="1:18" ht="13.5" hidden="1" customHeight="1" outlineLevel="1" x14ac:dyDescent="0.3">
      <c r="A110" s="13">
        <f t="shared" si="1"/>
        <v>0</v>
      </c>
      <c r="B110" s="4"/>
      <c r="C110" s="4"/>
      <c r="D110" s="370" t="s">
        <v>730</v>
      </c>
      <c r="E110" s="67" t="str">
        <f>VLOOKUP(D110,'03. Insumos'!A:D,2,0)</f>
        <v>Furadeira</v>
      </c>
      <c r="F110" s="68" t="s">
        <v>5218</v>
      </c>
      <c r="G110" s="68" t="str">
        <f>VLOOKUP(D110,'03. Insumos'!A:F,3,0)</f>
        <v>mês</v>
      </c>
      <c r="H110" s="69"/>
      <c r="I110" s="69"/>
      <c r="J110" s="70">
        <f t="shared" si="14"/>
        <v>125</v>
      </c>
      <c r="K110" s="70">
        <f>IF(A110=0,VLOOKUP(D110,'03. Insumos'!A:F,4,0),"")</f>
        <v>125</v>
      </c>
      <c r="L110" s="70">
        <f t="shared" si="15"/>
        <v>0</v>
      </c>
      <c r="M110" s="355">
        <f t="shared" ca="1" si="0"/>
        <v>0</v>
      </c>
      <c r="O110" s="148"/>
      <c r="R110" s="356"/>
    </row>
    <row r="111" spans="1:18" ht="13.5" hidden="1" customHeight="1" outlineLevel="1" x14ac:dyDescent="0.3">
      <c r="A111" s="13">
        <f t="shared" si="1"/>
        <v>0</v>
      </c>
      <c r="B111" s="4"/>
      <c r="C111" s="4"/>
      <c r="D111" s="370" t="s">
        <v>2025</v>
      </c>
      <c r="E111" s="67" t="str">
        <f>VLOOKUP(D111,'03. Insumos'!A:D,2,0)</f>
        <v>Vibrador de concreto de 35 mm com motor</v>
      </c>
      <c r="F111" s="68" t="s">
        <v>5218</v>
      </c>
      <c r="G111" s="68" t="str">
        <f>VLOOKUP(D111,'03. Insumos'!A:F,3,0)</f>
        <v>mês</v>
      </c>
      <c r="H111" s="69"/>
      <c r="I111" s="69">
        <v>4</v>
      </c>
      <c r="J111" s="70">
        <f t="shared" si="14"/>
        <v>160</v>
      </c>
      <c r="K111" s="70">
        <f>IF(A111=0,VLOOKUP(D111,'03. Insumos'!A:F,4,0),"")</f>
        <v>160</v>
      </c>
      <c r="L111" s="70">
        <f>H111*J111*I111</f>
        <v>0</v>
      </c>
      <c r="M111" s="355">
        <f t="shared" ca="1" si="0"/>
        <v>0</v>
      </c>
      <c r="O111" s="148"/>
      <c r="R111" s="356"/>
    </row>
    <row r="112" spans="1:18" ht="13.5" hidden="1" customHeight="1" outlineLevel="1" x14ac:dyDescent="0.3">
      <c r="A112" s="13">
        <f t="shared" si="1"/>
        <v>0</v>
      </c>
      <c r="B112" s="4"/>
      <c r="C112" s="4"/>
      <c r="D112" s="370" t="s">
        <v>2027</v>
      </c>
      <c r="E112" s="67" t="str">
        <f>VLOOKUP(D112,'03. Insumos'!A:D,2,0)</f>
        <v>Hidrojato</v>
      </c>
      <c r="F112" s="68" t="s">
        <v>5218</v>
      </c>
      <c r="G112" s="68" t="str">
        <f>VLOOKUP(D112,'03. Insumos'!A:F,3,0)</f>
        <v>mês</v>
      </c>
      <c r="H112" s="69"/>
      <c r="I112" s="69"/>
      <c r="J112" s="70">
        <f t="shared" si="14"/>
        <v>400</v>
      </c>
      <c r="K112" s="70">
        <f>IF(A112=0,VLOOKUP(D112,'03. Insumos'!A:F,4,0),"")</f>
        <v>400</v>
      </c>
      <c r="L112" s="70">
        <f>H112*J112*I112</f>
        <v>0</v>
      </c>
      <c r="M112" s="355">
        <f t="shared" ca="1" si="0"/>
        <v>0</v>
      </c>
      <c r="O112" s="148"/>
      <c r="R112" s="356"/>
    </row>
    <row r="113" spans="1:18" ht="13.5" hidden="1" customHeight="1" outlineLevel="1" x14ac:dyDescent="0.3">
      <c r="A113" s="13">
        <f t="shared" si="1"/>
        <v>0</v>
      </c>
      <c r="B113" s="4"/>
      <c r="C113" s="4"/>
      <c r="D113" s="370" t="s">
        <v>2033</v>
      </c>
      <c r="E113" s="67" t="str">
        <f>VLOOKUP(D113,'03. Insumos'!A:D,2,0)</f>
        <v>Caminhão Munck  (com peça para transporte )</v>
      </c>
      <c r="F113" s="68" t="s">
        <v>5218</v>
      </c>
      <c r="G113" s="68" t="str">
        <f>VLOOKUP(D113,'03. Insumos'!A:F,3,0)</f>
        <v>Diária</v>
      </c>
      <c r="H113" s="69"/>
      <c r="I113" s="69"/>
      <c r="J113" s="70">
        <f t="shared" si="14"/>
        <v>1000</v>
      </c>
      <c r="K113" s="70">
        <f>IF(A113=0,VLOOKUP(D113,'03. Insumos'!A:F,4,0),"")</f>
        <v>1000</v>
      </c>
      <c r="L113" s="70">
        <f>H113*J113*I113</f>
        <v>0</v>
      </c>
      <c r="M113" s="355">
        <f t="shared" ca="1" si="0"/>
        <v>0</v>
      </c>
      <c r="O113" s="148"/>
      <c r="R113" s="356"/>
    </row>
    <row r="114" spans="1:18" ht="13.5" hidden="1" customHeight="1" outlineLevel="1" x14ac:dyDescent="0.3">
      <c r="A114" s="13">
        <f t="shared" si="1"/>
        <v>0</v>
      </c>
      <c r="B114" s="4"/>
      <c r="C114" s="4"/>
      <c r="D114" s="370" t="s">
        <v>2009</v>
      </c>
      <c r="E114" s="67" t="str">
        <f>VLOOKUP(D114,'03. Insumos'!A:D,2,0)</f>
        <v xml:space="preserve">Frete equipamentos </v>
      </c>
      <c r="F114" s="68" t="s">
        <v>5218</v>
      </c>
      <c r="G114" s="68" t="str">
        <f>VLOOKUP(D114,'03. Insumos'!A:F,3,0)</f>
        <v>vb</v>
      </c>
      <c r="H114" s="69"/>
      <c r="I114" s="69">
        <v>1</v>
      </c>
      <c r="J114" s="70">
        <f t="shared" si="14"/>
        <v>1</v>
      </c>
      <c r="K114" s="70">
        <f>IF(A114=0,VLOOKUP(D114,'03. Insumos'!A:F,4,0),"")</f>
        <v>1</v>
      </c>
      <c r="L114" s="70">
        <f t="shared" si="15"/>
        <v>0</v>
      </c>
      <c r="M114" s="355">
        <f t="shared" ca="1" si="0"/>
        <v>0</v>
      </c>
      <c r="O114" s="148"/>
      <c r="R114" s="356"/>
    </row>
    <row r="115" spans="1:18" s="290" customFormat="1" ht="13.5" hidden="1" customHeight="1" outlineLevel="1" x14ac:dyDescent="0.3">
      <c r="A115" s="290">
        <f t="shared" si="1"/>
        <v>0</v>
      </c>
      <c r="B115" s="289"/>
      <c r="C115" s="289"/>
      <c r="D115" s="370" t="s">
        <v>5445</v>
      </c>
      <c r="E115" s="67" t="str">
        <f>VLOOKUP(D115,'03. Insumos'!A:D,2,0)</f>
        <v>Guincho 500 kgs</v>
      </c>
      <c r="F115" s="68" t="s">
        <v>5218</v>
      </c>
      <c r="G115" s="482" t="str">
        <f>VLOOKUP(D115,'03. Insumos'!A:F,3,0)</f>
        <v>mês</v>
      </c>
      <c r="H115" s="483"/>
      <c r="I115" s="483">
        <v>6</v>
      </c>
      <c r="J115" s="485">
        <f t="shared" si="14"/>
        <v>750</v>
      </c>
      <c r="K115" s="485">
        <f>IF(A115=0,VLOOKUP(D115,'03. Insumos'!A:F,4,0),"")</f>
        <v>750</v>
      </c>
      <c r="L115" s="485">
        <f t="shared" si="15"/>
        <v>0</v>
      </c>
      <c r="M115" s="153">
        <f t="shared" ca="1" si="0"/>
        <v>0</v>
      </c>
      <c r="O115" s="512"/>
      <c r="R115" s="487"/>
    </row>
    <row r="116" spans="1:18" ht="13.5" hidden="1" customHeight="1" outlineLevel="1" x14ac:dyDescent="0.3">
      <c r="A116" s="290">
        <f t="shared" si="1"/>
        <v>6</v>
      </c>
      <c r="B116" s="606"/>
      <c r="C116" s="606" t="s">
        <v>1329</v>
      </c>
      <c r="D116" s="606" t="s">
        <v>2003</v>
      </c>
      <c r="E116" s="593"/>
      <c r="F116" s="594"/>
      <c r="G116" s="325"/>
      <c r="H116" s="326"/>
      <c r="I116" s="326"/>
      <c r="J116" s="334"/>
      <c r="K116" s="629" t="str">
        <f>IF(A116=0,VLOOKUP(D116,'03. Insumos'!A:F,4,0),"")</f>
        <v/>
      </c>
      <c r="L116" s="334">
        <f>SUM(L117:L117)</f>
        <v>0</v>
      </c>
      <c r="M116" s="153">
        <f t="shared" ca="1" si="0"/>
        <v>0</v>
      </c>
      <c r="O116" s="148">
        <f t="shared" ref="O116:O159" si="16">IF(I116&lt;&gt;0,I116*H116*K116,)</f>
        <v>0</v>
      </c>
      <c r="R116" s="12">
        <f>IF(J116&lt;&gt;0,J116/1.03-K116,0)</f>
        <v>0</v>
      </c>
    </row>
    <row r="117" spans="1:18" s="51" customFormat="1" ht="13.5" hidden="1" customHeight="1" outlineLevel="1" x14ac:dyDescent="0.3">
      <c r="A117" s="290">
        <f t="shared" si="1"/>
        <v>0</v>
      </c>
      <c r="B117" s="49"/>
      <c r="C117" s="49"/>
      <c r="D117" s="370" t="s">
        <v>1996</v>
      </c>
      <c r="E117" s="370" t="str">
        <f>VLOOKUP(D117,'03. Insumos'!A:D,2,0)</f>
        <v>Veículo (Kombi, Bongo,etc)</v>
      </c>
      <c r="F117" s="68"/>
      <c r="G117" s="68" t="str">
        <f>VLOOKUP(D117,'03. Insumos'!A:F,3,0)</f>
        <v>mês</v>
      </c>
      <c r="H117" s="69"/>
      <c r="I117" s="69"/>
      <c r="J117" s="70">
        <f>IFERROR(IF(K117&lt;&gt;0,K117*$K$5,0),0)</f>
        <v>8300</v>
      </c>
      <c r="K117" s="54">
        <f>IF(A117=0,VLOOKUP(D117,'03. Insumos'!A:F,4,0),"")</f>
        <v>8300</v>
      </c>
      <c r="L117" s="485">
        <f>H117*J117*I117</f>
        <v>0</v>
      </c>
      <c r="M117" s="153">
        <f t="shared" ca="1" si="0"/>
        <v>0</v>
      </c>
      <c r="O117" s="148">
        <f t="shared" si="16"/>
        <v>0</v>
      </c>
      <c r="R117" s="12">
        <f>IF(J117&lt;&gt;0,J117/1.03-K117,0)</f>
        <v>-241.74757281553411</v>
      </c>
    </row>
    <row r="118" spans="1:18" s="18" customFormat="1" ht="13.5" customHeight="1" outlineLevel="1" x14ac:dyDescent="0.3">
      <c r="A118" s="290">
        <f t="shared" si="1"/>
        <v>4</v>
      </c>
      <c r="B118" s="45"/>
      <c r="C118" s="45" t="s">
        <v>383</v>
      </c>
      <c r="D118" s="45" t="s">
        <v>48</v>
      </c>
      <c r="E118" s="347"/>
      <c r="F118" s="327"/>
      <c r="G118" s="327"/>
      <c r="H118" s="328"/>
      <c r="I118" s="328"/>
      <c r="J118" s="335"/>
      <c r="K118" s="335" t="str">
        <f>IF(A118=0,VLOOKUP(D118,'03. Insumos'!A:F,4,0),"")</f>
        <v/>
      </c>
      <c r="L118" s="335">
        <f>SUMIF(A119:A127,6,L119:L127)</f>
        <v>6559.5</v>
      </c>
      <c r="M118" s="153">
        <f t="shared" ca="1" si="0"/>
        <v>1.1643576829356165E-2</v>
      </c>
      <c r="O118" s="148">
        <f t="shared" si="16"/>
        <v>0</v>
      </c>
      <c r="R118" s="12">
        <f>IF(J118&lt;&gt;0,J118/1.03-K118,0)</f>
        <v>0</v>
      </c>
    </row>
    <row r="119" spans="1:18" s="18" customFormat="1" ht="13.5" customHeight="1" outlineLevel="1" x14ac:dyDescent="0.3">
      <c r="A119" s="18">
        <f t="shared" si="1"/>
        <v>6</v>
      </c>
      <c r="B119" s="606"/>
      <c r="C119" s="606" t="s">
        <v>920</v>
      </c>
      <c r="D119" s="606" t="s">
        <v>49</v>
      </c>
      <c r="E119" s="391"/>
      <c r="F119" s="325"/>
      <c r="G119" s="325"/>
      <c r="H119" s="326"/>
      <c r="I119" s="326"/>
      <c r="J119" s="334"/>
      <c r="K119" s="607" t="str">
        <f>IF(A119=0,VLOOKUP(D119,'03. Insumos'!A:F,4,0),"")</f>
        <v/>
      </c>
      <c r="L119" s="334">
        <f>SUM(L120:L120)</f>
        <v>1800</v>
      </c>
      <c r="M119" s="598">
        <f t="shared" ca="1" si="0"/>
        <v>3.1951274171569625E-3</v>
      </c>
      <c r="O119" s="600">
        <f t="shared" si="16"/>
        <v>0</v>
      </c>
      <c r="R119" s="601">
        <f>IF(J119&lt;&gt;0,J119/1.03-K119,0)</f>
        <v>0</v>
      </c>
    </row>
    <row r="120" spans="1:18" s="51" customFormat="1" ht="13.5" customHeight="1" outlineLevel="1" x14ac:dyDescent="0.3">
      <c r="A120" s="13">
        <f t="shared" si="1"/>
        <v>0</v>
      </c>
      <c r="B120" s="49"/>
      <c r="C120" s="49"/>
      <c r="D120" s="370" t="s">
        <v>164</v>
      </c>
      <c r="E120" s="67" t="str">
        <f>VLOOKUP(D120,'03. Insumos'!A:D,2,0)</f>
        <v>Diversos materiais de canteiro</v>
      </c>
      <c r="F120" s="68" t="s">
        <v>3809</v>
      </c>
      <c r="G120" s="68" t="str">
        <f>VLOOKUP(D120,'03. Insumos'!A:F,3,0)</f>
        <v>uni</v>
      </c>
      <c r="H120" s="69">
        <v>1</v>
      </c>
      <c r="I120" s="69">
        <f>L2</f>
        <v>4</v>
      </c>
      <c r="J120" s="485">
        <f>IFERROR(IF(K120&lt;&gt;0,K120*$K$5,0),0)</f>
        <v>450</v>
      </c>
      <c r="K120" s="70">
        <f>IF(A120=0,VLOOKUP(D120,'03. Insumos'!A:F,4,0),"")</f>
        <v>450</v>
      </c>
      <c r="L120" s="70">
        <f>H120*J120*I120</f>
        <v>1800</v>
      </c>
      <c r="M120" s="355">
        <f t="shared" ca="1" si="0"/>
        <v>3.1951274171569625E-3</v>
      </c>
      <c r="O120" s="148">
        <f t="shared" si="16"/>
        <v>1800</v>
      </c>
      <c r="R120" s="356">
        <f>IF(J120&lt;&gt;0,J120/1.03-K120,0)</f>
        <v>-13.106796116504881</v>
      </c>
    </row>
    <row r="121" spans="1:18" s="51" customFormat="1" ht="13.5" customHeight="1" outlineLevel="1" x14ac:dyDescent="0.3">
      <c r="A121" s="290">
        <f t="shared" si="1"/>
        <v>6</v>
      </c>
      <c r="B121" s="630"/>
      <c r="C121" s="606" t="s">
        <v>1890</v>
      </c>
      <c r="D121" s="606" t="s">
        <v>1962</v>
      </c>
      <c r="E121" s="593"/>
      <c r="F121" s="594"/>
      <c r="G121" s="594"/>
      <c r="H121" s="595"/>
      <c r="I121" s="633"/>
      <c r="J121" s="597"/>
      <c r="K121" s="597"/>
      <c r="L121" s="334">
        <f>SUM(L122:L125)</f>
        <v>4199.5</v>
      </c>
      <c r="M121" s="153">
        <f t="shared" ca="1" si="0"/>
        <v>7.454409771305924E-3</v>
      </c>
      <c r="O121" s="148"/>
      <c r="R121" s="12"/>
    </row>
    <row r="122" spans="1:18" s="486" customFormat="1" outlineLevel="1" x14ac:dyDescent="0.3">
      <c r="A122" s="290">
        <f t="shared" si="1"/>
        <v>0</v>
      </c>
      <c r="B122" s="480"/>
      <c r="C122" s="289"/>
      <c r="D122" s="708" t="s">
        <v>5089</v>
      </c>
      <c r="E122" s="481" t="str">
        <f>VLOOKUP(D122,'03. Insumos'!A:D,2,0)</f>
        <v>Lona Terreiro 4 x 100m 12kg</v>
      </c>
      <c r="F122" s="68" t="s">
        <v>3809</v>
      </c>
      <c r="G122" s="482" t="str">
        <f>VLOOKUP(D122,'03. Insumos'!A:F,3,0)</f>
        <v>rolo</v>
      </c>
      <c r="H122" s="483">
        <v>1</v>
      </c>
      <c r="I122" s="483">
        <v>10</v>
      </c>
      <c r="J122" s="485">
        <f>IFERROR(IF(K122&lt;&gt;0,K122*$K$5,0),0)</f>
        <v>167.5</v>
      </c>
      <c r="K122" s="485">
        <f>IF(A122=0,VLOOKUP(D122,'03. Insumos'!A:F,4,0),"")</f>
        <v>167.5</v>
      </c>
      <c r="L122" s="485">
        <f>H122*J122*I122</f>
        <v>1675</v>
      </c>
      <c r="M122" s="153">
        <f t="shared" ca="1" si="0"/>
        <v>2.9732435687432847E-3</v>
      </c>
      <c r="O122" s="512"/>
      <c r="R122" s="487"/>
    </row>
    <row r="123" spans="1:18" s="51" customFormat="1" ht="13.5" customHeight="1" outlineLevel="1" x14ac:dyDescent="0.3">
      <c r="A123" s="290">
        <f t="shared" si="1"/>
        <v>0</v>
      </c>
      <c r="B123" s="49"/>
      <c r="C123" s="49"/>
      <c r="D123" s="370" t="s">
        <v>5090</v>
      </c>
      <c r="E123" s="67" t="str">
        <f>VLOOKUP(D123,'03. Insumos'!A:D,2,0)</f>
        <v>Madeirite Resinado 1,1 x 2,2m</v>
      </c>
      <c r="F123" s="68" t="s">
        <v>3809</v>
      </c>
      <c r="G123" s="68" t="str">
        <f>VLOOKUP(D123,'03. Insumos'!A:F,3,0)</f>
        <v>unid</v>
      </c>
      <c r="H123" s="69">
        <v>1</v>
      </c>
      <c r="I123" s="483">
        <v>5</v>
      </c>
      <c r="J123" s="70">
        <f>IFERROR(IF(K123&lt;&gt;0,K123*$K$5,0),0)</f>
        <v>97.9</v>
      </c>
      <c r="K123" s="70">
        <f>IF(A123=0,VLOOKUP(D123,'03. Insumos'!A:F,4,0),"")</f>
        <v>97.9</v>
      </c>
      <c r="L123" s="70">
        <f>H123*J123*I123</f>
        <v>489.5</v>
      </c>
      <c r="M123" s="153">
        <f t="shared" ca="1" si="0"/>
        <v>8.6889715038796281E-4</v>
      </c>
      <c r="O123" s="148"/>
      <c r="R123" s="12"/>
    </row>
    <row r="124" spans="1:18" s="51" customFormat="1" ht="13.5" customHeight="1" outlineLevel="1" x14ac:dyDescent="0.3">
      <c r="A124" s="290">
        <f t="shared" si="1"/>
        <v>0</v>
      </c>
      <c r="B124" s="49"/>
      <c r="C124" s="49"/>
      <c r="D124" s="370" t="s">
        <v>5199</v>
      </c>
      <c r="E124" s="67" t="str">
        <f>VLOOKUP(D124,'03. Insumos'!A:D,2,0)</f>
        <v xml:space="preserve">Fita crepe 48x50m </v>
      </c>
      <c r="F124" s="68" t="s">
        <v>3809</v>
      </c>
      <c r="G124" s="68" t="str">
        <f>VLOOKUP(D124,'03. Insumos'!A:F,3,0)</f>
        <v>uni</v>
      </c>
      <c r="H124" s="69">
        <v>1</v>
      </c>
      <c r="I124" s="483">
        <v>20</v>
      </c>
      <c r="J124" s="70">
        <f>IFERROR(IF(K124&lt;&gt;0,K124*$K$5,0),0)</f>
        <v>9.5</v>
      </c>
      <c r="K124" s="70">
        <f>IF(A124=0,VLOOKUP(D124,'03. Insumos'!A:F,4,0),"")</f>
        <v>9.5</v>
      </c>
      <c r="L124" s="70">
        <f>H124*J124*I124</f>
        <v>190</v>
      </c>
      <c r="M124" s="153">
        <f t="shared" ca="1" si="0"/>
        <v>3.3726344958879049E-4</v>
      </c>
      <c r="O124" s="148"/>
      <c r="R124" s="12"/>
    </row>
    <row r="125" spans="1:18" s="486" customFormat="1" ht="13.5" customHeight="1" outlineLevel="1" x14ac:dyDescent="0.3">
      <c r="A125" s="290">
        <f t="shared" si="1"/>
        <v>0</v>
      </c>
      <c r="B125" s="480"/>
      <c r="C125" s="480"/>
      <c r="D125" s="708" t="s">
        <v>5200</v>
      </c>
      <c r="E125" s="481" t="str">
        <f>VLOOKUP(D125,'03. Insumos'!A:D,2,0)</f>
        <v>Papelão ondulado 1,2m largura</v>
      </c>
      <c r="F125" s="68" t="s">
        <v>3809</v>
      </c>
      <c r="G125" s="482" t="str">
        <f>VLOOKUP(D125,'03. Insumos'!A:F,3,0)</f>
        <v>RL</v>
      </c>
      <c r="H125" s="483">
        <v>1</v>
      </c>
      <c r="I125" s="483">
        <v>10</v>
      </c>
      <c r="J125" s="485">
        <f>IFERROR(IF(K125&lt;&gt;0,K125*$K$5,0),0)</f>
        <v>184.5</v>
      </c>
      <c r="K125" s="485">
        <f>IF(A125=0,VLOOKUP(D125,'03. Insumos'!A:F,4,0),"")</f>
        <v>184.5</v>
      </c>
      <c r="L125" s="485">
        <f>H125*J125*I125</f>
        <v>1845</v>
      </c>
      <c r="M125" s="153">
        <f t="shared" ca="1" si="0"/>
        <v>3.2750056025858862E-3</v>
      </c>
      <c r="O125" s="512"/>
      <c r="R125" s="487"/>
    </row>
    <row r="126" spans="1:18" s="51" customFormat="1" ht="13.5" customHeight="1" outlineLevel="1" x14ac:dyDescent="0.3">
      <c r="A126" s="290">
        <f t="shared" si="1"/>
        <v>6</v>
      </c>
      <c r="B126" s="630"/>
      <c r="C126" s="606" t="s">
        <v>1938</v>
      </c>
      <c r="D126" s="606" t="s">
        <v>1939</v>
      </c>
      <c r="E126" s="593"/>
      <c r="F126" s="594"/>
      <c r="G126" s="594"/>
      <c r="H126" s="595"/>
      <c r="I126" s="633"/>
      <c r="J126" s="597"/>
      <c r="K126" s="597"/>
      <c r="L126" s="334">
        <f>L127</f>
        <v>560</v>
      </c>
      <c r="M126" s="153">
        <f t="shared" ref="M126:M190" ca="1" si="17">L126/$L$7</f>
        <v>9.940396408932772E-4</v>
      </c>
      <c r="O126" s="148"/>
      <c r="R126" s="12"/>
    </row>
    <row r="127" spans="1:18" s="51" customFormat="1" ht="13.5" customHeight="1" outlineLevel="1" x14ac:dyDescent="0.3">
      <c r="A127" s="290">
        <f t="shared" si="1"/>
        <v>0</v>
      </c>
      <c r="B127" s="49"/>
      <c r="C127" s="49"/>
      <c r="D127" s="140" t="s">
        <v>1937</v>
      </c>
      <c r="E127" s="67" t="str">
        <f>VLOOKUP(D127,'03. Insumos'!A:D,2,0)</f>
        <v>Furos no concreto</v>
      </c>
      <c r="F127" s="68" t="s">
        <v>5218</v>
      </c>
      <c r="G127" s="68" t="str">
        <f>VLOOKUP(D127,'03. Insumos'!A:F,3,0)</f>
        <v>Unid</v>
      </c>
      <c r="H127" s="69">
        <v>1</v>
      </c>
      <c r="I127" s="483">
        <v>4</v>
      </c>
      <c r="J127" s="70">
        <f>IFERROR(IF(K127&lt;&gt;0,K127*$K$5,0),0)</f>
        <v>140</v>
      </c>
      <c r="K127" s="54">
        <f>IF(A127=0,VLOOKUP(D127,'03. Insumos'!A:F,4,0),"")</f>
        <v>140</v>
      </c>
      <c r="L127" s="485">
        <f>H127*J127*I127</f>
        <v>560</v>
      </c>
      <c r="M127" s="153">
        <f t="shared" ca="1" si="17"/>
        <v>9.940396408932772E-4</v>
      </c>
      <c r="O127" s="148"/>
      <c r="R127" s="12"/>
    </row>
    <row r="128" spans="1:18" s="18" customFormat="1" ht="13.5" hidden="1" customHeight="1" outlineLevel="1" x14ac:dyDescent="0.3">
      <c r="A128" s="290">
        <f t="shared" si="1"/>
        <v>4</v>
      </c>
      <c r="B128" s="45"/>
      <c r="C128" s="45" t="s">
        <v>384</v>
      </c>
      <c r="D128" s="45" t="s">
        <v>1294</v>
      </c>
      <c r="E128" s="347"/>
      <c r="F128" s="327"/>
      <c r="G128" s="327"/>
      <c r="H128" s="328"/>
      <c r="I128" s="328"/>
      <c r="J128" s="335"/>
      <c r="K128" s="335" t="str">
        <f>IF(A128=0,VLOOKUP(D128,'03. Insumos'!A:F,4,0),"")</f>
        <v/>
      </c>
      <c r="L128" s="335">
        <f>SUMIF(A129:A143,6,L129:L143)</f>
        <v>2800</v>
      </c>
      <c r="M128" s="153">
        <f t="shared" ca="1" si="17"/>
        <v>4.970198204466386E-3</v>
      </c>
      <c r="O128" s="148">
        <f t="shared" si="16"/>
        <v>0</v>
      </c>
      <c r="R128" s="12">
        <f>IF(J128&lt;&gt;0,J128/1.03-K128,0)</f>
        <v>0</v>
      </c>
    </row>
    <row r="129" spans="1:20" s="18" customFormat="1" ht="13.5" hidden="1" customHeight="1" outlineLevel="1" x14ac:dyDescent="0.3">
      <c r="A129" s="18">
        <f t="shared" si="1"/>
        <v>6</v>
      </c>
      <c r="B129" s="606"/>
      <c r="C129" s="606" t="s">
        <v>921</v>
      </c>
      <c r="D129" s="606" t="s">
        <v>2056</v>
      </c>
      <c r="E129" s="391"/>
      <c r="F129" s="325"/>
      <c r="G129" s="325"/>
      <c r="H129" s="326" t="s">
        <v>37</v>
      </c>
      <c r="I129" s="326"/>
      <c r="J129" s="334"/>
      <c r="K129" s="607" t="str">
        <f>IF(A129=0,VLOOKUP(D129,'03. Insumos'!A:F,4,0),"")</f>
        <v/>
      </c>
      <c r="L129" s="334">
        <f>SUM(L130:L143)</f>
        <v>2800</v>
      </c>
      <c r="M129" s="598">
        <f t="shared" ca="1" si="17"/>
        <v>4.970198204466386E-3</v>
      </c>
      <c r="O129" s="600">
        <f t="shared" si="16"/>
        <v>0</v>
      </c>
      <c r="R129" s="601">
        <f>IF(J129&lt;&gt;0,J129/1.03-K129,0)</f>
        <v>0</v>
      </c>
    </row>
    <row r="130" spans="1:20" hidden="1" outlineLevel="1" x14ac:dyDescent="0.3">
      <c r="A130" s="13">
        <f t="shared" si="1"/>
        <v>0</v>
      </c>
      <c r="B130" s="4"/>
      <c r="C130" s="4"/>
      <c r="D130" s="370" t="s">
        <v>5287</v>
      </c>
      <c r="E130" s="67" t="str">
        <f>VLOOKUP(D130,'03. Insumos'!A:D,2,0)</f>
        <v>Andaime tubular 1,00 x 1,50m  com 3m de altura, plataforma metalica e rodízio</v>
      </c>
      <c r="F130" s="68" t="s">
        <v>5218</v>
      </c>
      <c r="G130" s="68" t="str">
        <f>VLOOKUP(D130,'03. Insumos'!A:F,3,0)</f>
        <v>CJ</v>
      </c>
      <c r="H130" s="69">
        <v>2</v>
      </c>
      <c r="I130" s="69">
        <f>L2</f>
        <v>4</v>
      </c>
      <c r="J130" s="70">
        <f t="shared" ref="J130:J143" si="18">IFERROR(IF(K130&lt;&gt;0,K130*$K$5,0),0)</f>
        <v>350</v>
      </c>
      <c r="K130" s="54">
        <f>IF(A130=0,VLOOKUP(D130,'03. Insumos'!A:F,4,0),"")</f>
        <v>350</v>
      </c>
      <c r="L130" s="70">
        <f t="shared" ref="L130:L142" si="19">H130*J130*I130</f>
        <v>2800</v>
      </c>
      <c r="M130" s="355">
        <f t="shared" ca="1" si="17"/>
        <v>4.970198204466386E-3</v>
      </c>
      <c r="O130" s="148"/>
      <c r="R130" s="356"/>
    </row>
    <row r="131" spans="1:20" hidden="1" outlineLevel="1" x14ac:dyDescent="0.3">
      <c r="A131" s="13">
        <f t="shared" si="1"/>
        <v>0</v>
      </c>
      <c r="B131" s="4"/>
      <c r="C131" s="4"/>
      <c r="D131" s="370" t="s">
        <v>3321</v>
      </c>
      <c r="E131" s="67" t="str">
        <f>VLOOKUP(D131,'03. Insumos'!A:D,2,0)</f>
        <v>Andaime Fachadeiro Multidirecional Medindo 146.51m - 13.15 Altura c/ 4 Níveis de Piso Met + Escada de Acesso + G.Corpo + Rodapé</v>
      </c>
      <c r="F131" s="68"/>
      <c r="G131" s="68" t="str">
        <f>VLOOKUP(D131,'03. Insumos'!A:F,3,0)</f>
        <v>m²</v>
      </c>
      <c r="H131" s="69"/>
      <c r="I131" s="69"/>
      <c r="J131" s="70">
        <f t="shared" si="18"/>
        <v>15.5</v>
      </c>
      <c r="K131" s="54">
        <f>IF(A131=0,VLOOKUP(D131,'03. Insumos'!A:F,4,0),"")</f>
        <v>15.5</v>
      </c>
      <c r="L131" s="70">
        <f t="shared" si="19"/>
        <v>0</v>
      </c>
      <c r="M131" s="355">
        <f t="shared" ca="1" si="17"/>
        <v>0</v>
      </c>
      <c r="O131" s="148"/>
      <c r="R131" s="356"/>
    </row>
    <row r="132" spans="1:20" hidden="1" outlineLevel="1" x14ac:dyDescent="0.3">
      <c r="A132" s="13">
        <f t="shared" si="1"/>
        <v>0</v>
      </c>
      <c r="B132" s="4"/>
      <c r="C132" s="4"/>
      <c r="D132" s="370" t="s">
        <v>3322</v>
      </c>
      <c r="E132" s="67" t="str">
        <f>VLOOKUP(D132,'03. Insumos'!A:D,2,0)</f>
        <v>Andaime Fachadeiro Multidirecional Medindo 5.5m - 6.5 Altura c/ 2 Níveis de Piso Met + Escada de Acesso + G.Corpo + Rodapé</v>
      </c>
      <c r="F132" s="68" t="s">
        <v>2612</v>
      </c>
      <c r="G132" s="68" t="str">
        <f>VLOOKUP(D132,'03. Insumos'!A:F,3,0)</f>
        <v>m²</v>
      </c>
      <c r="H132" s="69"/>
      <c r="I132" s="69"/>
      <c r="J132" s="70">
        <f t="shared" si="18"/>
        <v>7.5</v>
      </c>
      <c r="K132" s="70">
        <f>IF(A132=0,VLOOKUP(D132,'03. Insumos'!A:F,4,0),"")</f>
        <v>7.5</v>
      </c>
      <c r="L132" s="70">
        <f t="shared" si="19"/>
        <v>0</v>
      </c>
      <c r="M132" s="355">
        <f t="shared" ca="1" si="17"/>
        <v>0</v>
      </c>
      <c r="O132" s="148"/>
      <c r="R132" s="356"/>
    </row>
    <row r="133" spans="1:20" s="51" customFormat="1" hidden="1" outlineLevel="1" x14ac:dyDescent="0.3">
      <c r="A133" s="13">
        <f t="shared" si="1"/>
        <v>0</v>
      </c>
      <c r="B133" s="49"/>
      <c r="C133" s="49"/>
      <c r="D133" s="370" t="s">
        <v>3323</v>
      </c>
      <c r="E133" s="67" t="str">
        <f>VLOOKUP(D133,'03. Insumos'!A:D,2,0)</f>
        <v>Torre de Andaime Tubular Móvel Medindo 2x4 c/ nível piso metálico + escada + G. Corpo + Rodapé + Rodízios + Bases Ajust.</v>
      </c>
      <c r="F133" s="68" t="s">
        <v>2612</v>
      </c>
      <c r="G133" s="68" t="str">
        <f>VLOOKUP(D133,'03. Insumos'!A:F,3,0)</f>
        <v>Unid</v>
      </c>
      <c r="H133" s="69"/>
      <c r="I133" s="69">
        <v>1</v>
      </c>
      <c r="J133" s="70">
        <f t="shared" si="18"/>
        <v>250</v>
      </c>
      <c r="K133" s="70">
        <f>IF(A133=0,VLOOKUP(D133,'03. Insumos'!A:F,4,0),"")</f>
        <v>250</v>
      </c>
      <c r="L133" s="70">
        <f t="shared" si="19"/>
        <v>0</v>
      </c>
      <c r="M133" s="355">
        <f t="shared" ca="1" si="17"/>
        <v>0</v>
      </c>
      <c r="O133" s="148">
        <f t="shared" si="16"/>
        <v>0</v>
      </c>
      <c r="R133" s="356">
        <f>IF(J133&lt;&gt;0,J133/1.03-K133,0)</f>
        <v>-7.2815533980582643</v>
      </c>
      <c r="T133" s="51" t="e">
        <f>L128/#REF!</f>
        <v>#REF!</v>
      </c>
    </row>
    <row r="134" spans="1:20" s="51" customFormat="1" hidden="1" outlineLevel="1" x14ac:dyDescent="0.3">
      <c r="A134" s="13">
        <f t="shared" si="1"/>
        <v>0</v>
      </c>
      <c r="B134" s="49"/>
      <c r="C134" s="49"/>
      <c r="D134" s="370" t="s">
        <v>3324</v>
      </c>
      <c r="E134" s="67" t="str">
        <f>VLOOKUP(D134,'03. Insumos'!A:D,2,0)</f>
        <v>Montagem Andaime Fachadeiro + Forração + Travamento</v>
      </c>
      <c r="F134" s="68"/>
      <c r="G134" s="68" t="str">
        <f>VLOOKUP(D134,'03. Insumos'!A:F,3,0)</f>
        <v>m²</v>
      </c>
      <c r="H134" s="69"/>
      <c r="I134" s="69"/>
      <c r="J134" s="70">
        <f t="shared" si="18"/>
        <v>13.928571428571429</v>
      </c>
      <c r="K134" s="70">
        <f>IF(A134=0,VLOOKUP(D134,'03. Insumos'!A:F,4,0),"")</f>
        <v>13.928571428571429</v>
      </c>
      <c r="L134" s="70">
        <f t="shared" si="19"/>
        <v>0</v>
      </c>
      <c r="M134" s="355">
        <f t="shared" ca="1" si="17"/>
        <v>0</v>
      </c>
      <c r="O134" s="148"/>
      <c r="R134" s="356"/>
    </row>
    <row r="135" spans="1:20" s="51" customFormat="1" hidden="1" outlineLevel="1" x14ac:dyDescent="0.3">
      <c r="A135" s="13">
        <f t="shared" si="1"/>
        <v>0</v>
      </c>
      <c r="B135" s="49"/>
      <c r="C135" s="49"/>
      <c r="D135" s="370" t="s">
        <v>3325</v>
      </c>
      <c r="E135" s="67" t="str">
        <f>VLOOKUP(D135,'03. Insumos'!A:D,2,0)</f>
        <v>Desmontagem Andaime Fachadeiro + Forração + Travamento</v>
      </c>
      <c r="F135" s="68"/>
      <c r="G135" s="68" t="str">
        <f>VLOOKUP(D135,'03. Insumos'!A:F,3,0)</f>
        <v>m²</v>
      </c>
      <c r="H135" s="69"/>
      <c r="I135" s="69"/>
      <c r="J135" s="70">
        <f t="shared" si="18"/>
        <v>11.830357142857142</v>
      </c>
      <c r="K135" s="70">
        <f>IF(A135=0,VLOOKUP(D135,'03. Insumos'!A:F,4,0),"")</f>
        <v>11.830357142857142</v>
      </c>
      <c r="L135" s="70">
        <f t="shared" si="19"/>
        <v>0</v>
      </c>
      <c r="M135" s="355">
        <f t="shared" ca="1" si="17"/>
        <v>0</v>
      </c>
      <c r="O135" s="148">
        <f t="shared" si="16"/>
        <v>0</v>
      </c>
      <c r="R135" s="356">
        <f>IF(J135&lt;&gt;0,J135/1.03-K135,0)</f>
        <v>-0.34457350901525707</v>
      </c>
    </row>
    <row r="136" spans="1:20" s="51" customFormat="1" hidden="1" outlineLevel="1" x14ac:dyDescent="0.3">
      <c r="A136" s="13">
        <f t="shared" si="1"/>
        <v>0</v>
      </c>
      <c r="B136" s="49"/>
      <c r="C136" s="49"/>
      <c r="D136" s="370" t="s">
        <v>3326</v>
      </c>
      <c r="E136" s="67" t="str">
        <f>VLOOKUP(D136,'03. Insumos'!A:D,2,0)</f>
        <v>Montagem Plataforma para trabalho na Escada + Forração + Travamento</v>
      </c>
      <c r="F136" s="68"/>
      <c r="G136" s="68" t="str">
        <f>VLOOKUP(D136,'03. Insumos'!A:F,3,0)</f>
        <v>m²</v>
      </c>
      <c r="H136" s="69"/>
      <c r="I136" s="69"/>
      <c r="J136" s="70">
        <f t="shared" si="18"/>
        <v>43.75</v>
      </c>
      <c r="K136" s="70">
        <f>IF(A136=0,VLOOKUP(D136,'03. Insumos'!A:F,4,0),"")</f>
        <v>43.75</v>
      </c>
      <c r="L136" s="70">
        <f t="shared" si="19"/>
        <v>0</v>
      </c>
      <c r="M136" s="355">
        <f t="shared" ca="1" si="17"/>
        <v>0</v>
      </c>
      <c r="O136" s="148"/>
      <c r="R136" s="356"/>
    </row>
    <row r="137" spans="1:20" s="51" customFormat="1" hidden="1" outlineLevel="1" x14ac:dyDescent="0.3">
      <c r="A137" s="13">
        <f t="shared" si="1"/>
        <v>0</v>
      </c>
      <c r="B137" s="49"/>
      <c r="C137" s="49"/>
      <c r="D137" s="370" t="s">
        <v>3366</v>
      </c>
      <c r="E137" s="67" t="str">
        <f>VLOOKUP(D137,'03. Insumos'!A:D,2,0)</f>
        <v>Desmontagem Plataforma para trabalho na Escada + Forração + Travamento</v>
      </c>
      <c r="F137" s="68"/>
      <c r="G137" s="68" t="str">
        <f>VLOOKUP(D137,'03. Insumos'!A:F,3,0)</f>
        <v>m²</v>
      </c>
      <c r="H137" s="69"/>
      <c r="I137" s="69"/>
      <c r="J137" s="70">
        <f t="shared" si="18"/>
        <v>35</v>
      </c>
      <c r="K137" s="70">
        <f>IF(A137=0,VLOOKUP(D137,'03. Insumos'!A:F,4,0),"")</f>
        <v>35</v>
      </c>
      <c r="L137" s="70">
        <f>H137*J137*I137</f>
        <v>0</v>
      </c>
      <c r="M137" s="355">
        <f t="shared" ca="1" si="17"/>
        <v>0</v>
      </c>
      <c r="O137" s="148"/>
      <c r="R137" s="356"/>
    </row>
    <row r="138" spans="1:20" s="51" customFormat="1" hidden="1" outlineLevel="1" x14ac:dyDescent="0.3">
      <c r="A138" s="13">
        <f t="shared" si="1"/>
        <v>0</v>
      </c>
      <c r="B138" s="49"/>
      <c r="C138" s="49"/>
      <c r="D138" s="370" t="s">
        <v>3366</v>
      </c>
      <c r="E138" s="67" t="str">
        <f>VLOOKUP(D138,'03. Insumos'!A:D,2,0)</f>
        <v>Desmontagem Plataforma para trabalho na Escada + Forração + Travamento</v>
      </c>
      <c r="F138" s="68"/>
      <c r="G138" s="68" t="str">
        <f>VLOOKUP(D138,'03. Insumos'!A:F,3,0)</f>
        <v>m²</v>
      </c>
      <c r="H138" s="69"/>
      <c r="I138" s="69"/>
      <c r="J138" s="70">
        <f t="shared" si="18"/>
        <v>35</v>
      </c>
      <c r="K138" s="70">
        <f>IF(A138=0,VLOOKUP(D138,'03. Insumos'!A:F,4,0),"")</f>
        <v>35</v>
      </c>
      <c r="L138" s="70">
        <f>H138*J138*I138</f>
        <v>0</v>
      </c>
      <c r="M138" s="355">
        <f t="shared" ca="1" si="17"/>
        <v>0</v>
      </c>
      <c r="O138" s="148"/>
      <c r="R138" s="356"/>
    </row>
    <row r="139" spans="1:20" s="51" customFormat="1" hidden="1" outlineLevel="1" x14ac:dyDescent="0.3">
      <c r="A139" s="13">
        <f t="shared" si="1"/>
        <v>0</v>
      </c>
      <c r="B139" s="49"/>
      <c r="C139" s="49"/>
      <c r="D139" s="370" t="s">
        <v>3367</v>
      </c>
      <c r="E139" s="67" t="str">
        <f>VLOOKUP(D139,'03. Insumos'!A:D,2,0)</f>
        <v>Frete de Andaimes</v>
      </c>
      <c r="F139" s="68"/>
      <c r="G139" s="68" t="str">
        <f>VLOOKUP(D139,'03. Insumos'!A:F,3,0)</f>
        <v>vb</v>
      </c>
      <c r="H139" s="69"/>
      <c r="I139" s="69">
        <v>2</v>
      </c>
      <c r="J139" s="70">
        <f t="shared" si="18"/>
        <v>800</v>
      </c>
      <c r="K139" s="70">
        <f>IF(A139=0,VLOOKUP(D139,'03. Insumos'!A:F,4,0),"")</f>
        <v>800</v>
      </c>
      <c r="L139" s="70">
        <f>H139*J139*I139</f>
        <v>0</v>
      </c>
      <c r="M139" s="355">
        <f t="shared" ca="1" si="17"/>
        <v>0</v>
      </c>
      <c r="O139" s="148"/>
      <c r="R139" s="356"/>
    </row>
    <row r="140" spans="1:20" s="51" customFormat="1" hidden="1" outlineLevel="1" x14ac:dyDescent="0.3">
      <c r="A140" s="290">
        <f t="shared" si="1"/>
        <v>0</v>
      </c>
      <c r="B140" s="49"/>
      <c r="C140" s="49"/>
      <c r="D140" s="370" t="s">
        <v>1926</v>
      </c>
      <c r="E140" s="67" t="str">
        <f>VLOOKUP(D140,'03. Insumos'!A:D,2,0)</f>
        <v>Locação balancim elétrico de 8 m</v>
      </c>
      <c r="F140" s="68"/>
      <c r="G140" s="68" t="str">
        <f>VLOOKUP(D140,'03. Insumos'!A:F,3,0)</f>
        <v>unid</v>
      </c>
      <c r="H140" s="69"/>
      <c r="I140" s="69"/>
      <c r="J140" s="70">
        <f t="shared" si="18"/>
        <v>850</v>
      </c>
      <c r="K140" s="70">
        <f>IF(A140=0,VLOOKUP(D140,'03. Insumos'!A:F,4,0),"")</f>
        <v>850</v>
      </c>
      <c r="L140" s="70">
        <f t="shared" si="19"/>
        <v>0</v>
      </c>
      <c r="M140" s="153">
        <f t="shared" ca="1" si="17"/>
        <v>0</v>
      </c>
      <c r="O140" s="148"/>
      <c r="R140" s="12"/>
    </row>
    <row r="141" spans="1:20" s="51" customFormat="1" hidden="1" outlineLevel="1" x14ac:dyDescent="0.3">
      <c r="A141" s="290">
        <f t="shared" si="1"/>
        <v>0</v>
      </c>
      <c r="B141" s="49"/>
      <c r="C141" s="49"/>
      <c r="D141" s="370" t="s">
        <v>1927</v>
      </c>
      <c r="E141" s="67" t="str">
        <f>VLOOKUP(D141,'03. Insumos'!A:D,2,0)</f>
        <v>Locação torre auxiliar para fixação balancim elétrico  com contrapeso</v>
      </c>
      <c r="F141" s="68"/>
      <c r="G141" s="68" t="str">
        <f>VLOOKUP(D141,'03. Insumos'!A:F,3,0)</f>
        <v>unid</v>
      </c>
      <c r="H141" s="69"/>
      <c r="I141" s="69"/>
      <c r="J141" s="70">
        <f t="shared" si="18"/>
        <v>610</v>
      </c>
      <c r="K141" s="70">
        <f>IF(A141=0,VLOOKUP(D141,'03. Insumos'!A:F,4,0),"")</f>
        <v>610</v>
      </c>
      <c r="L141" s="70">
        <f>H141*J141*I141</f>
        <v>0</v>
      </c>
      <c r="M141" s="153">
        <f t="shared" ca="1" si="17"/>
        <v>0</v>
      </c>
      <c r="O141" s="148"/>
      <c r="R141" s="12"/>
    </row>
    <row r="142" spans="1:20" s="51" customFormat="1" hidden="1" outlineLevel="1" x14ac:dyDescent="0.3">
      <c r="A142" s="290">
        <f t="shared" si="1"/>
        <v>0</v>
      </c>
      <c r="B142" s="49"/>
      <c r="C142" s="49"/>
      <c r="D142" s="370" t="s">
        <v>1931</v>
      </c>
      <c r="E142" s="67" t="str">
        <f>VLOOKUP(D142,'03. Insumos'!A:D,2,0)</f>
        <v>Montagem e desmontagem de balancim elétrico fixado em torre auxiliar com contrapeso</v>
      </c>
      <c r="F142" s="68"/>
      <c r="G142" s="68" t="str">
        <f>VLOOKUP(D142,'03. Insumos'!A:F,3,0)</f>
        <v>unid</v>
      </c>
      <c r="H142" s="69"/>
      <c r="I142" s="69"/>
      <c r="J142" s="70">
        <f t="shared" si="18"/>
        <v>2700</v>
      </c>
      <c r="K142" s="70">
        <f>IF(A142=0,VLOOKUP(D142,'03. Insumos'!A:F,4,0),"")</f>
        <v>2700</v>
      </c>
      <c r="L142" s="70">
        <f t="shared" si="19"/>
        <v>0</v>
      </c>
      <c r="M142" s="153">
        <f t="shared" ca="1" si="17"/>
        <v>0</v>
      </c>
      <c r="O142" s="148"/>
      <c r="R142" s="12"/>
    </row>
    <row r="143" spans="1:20" s="51" customFormat="1" ht="13.5" hidden="1" customHeight="1" outlineLevel="1" x14ac:dyDescent="0.3">
      <c r="A143" s="290">
        <f t="shared" si="1"/>
        <v>0</v>
      </c>
      <c r="B143" s="49"/>
      <c r="C143" s="49"/>
      <c r="D143" s="370" t="s">
        <v>1933</v>
      </c>
      <c r="E143" s="67" t="str">
        <f>VLOOKUP(D143,'03. Insumos'!A:D,2,0)</f>
        <v>Frete equipamentos de acesso</v>
      </c>
      <c r="F143" s="68" t="s">
        <v>2612</v>
      </c>
      <c r="G143" s="68" t="str">
        <f>VLOOKUP(D143,'03. Insumos'!A:F,3,0)</f>
        <v>vb</v>
      </c>
      <c r="H143" s="69"/>
      <c r="I143" s="69"/>
      <c r="J143" s="70">
        <f t="shared" si="18"/>
        <v>100</v>
      </c>
      <c r="K143" s="70">
        <f>IF(A143=0,VLOOKUP(D143,'03. Insumos'!A:F,4,0),"")</f>
        <v>100</v>
      </c>
      <c r="L143" s="70">
        <f>H143*J143*I143</f>
        <v>0</v>
      </c>
      <c r="M143" s="153">
        <f t="shared" ca="1" si="17"/>
        <v>0</v>
      </c>
      <c r="O143" s="148">
        <f t="shared" si="16"/>
        <v>0</v>
      </c>
      <c r="R143" s="12">
        <f t="shared" ref="R143:R162" si="20">IF(J143&lt;&gt;0,J143/1.03-K143,0)</f>
        <v>-2.9126213592233086</v>
      </c>
      <c r="T143" s="51">
        <v>31.5</v>
      </c>
    </row>
    <row r="144" spans="1:20" s="592" customFormat="1" ht="13.5" customHeight="1" x14ac:dyDescent="0.3">
      <c r="A144" s="478">
        <f t="shared" si="1"/>
        <v>3</v>
      </c>
      <c r="B144" s="390"/>
      <c r="C144" s="390" t="s">
        <v>357</v>
      </c>
      <c r="D144" s="390" t="s">
        <v>993</v>
      </c>
      <c r="E144" s="390"/>
      <c r="F144" s="323"/>
      <c r="G144" s="323"/>
      <c r="H144" s="324"/>
      <c r="I144" s="324"/>
      <c r="J144" s="333"/>
      <c r="K144" s="333"/>
      <c r="L144" s="333">
        <f>SUMIF(A145:A165,4,L145:L165)</f>
        <v>51482.911999999997</v>
      </c>
      <c r="M144" s="479">
        <f t="shared" ca="1" si="17"/>
        <v>9.1385813136821759E-2</v>
      </c>
      <c r="O144" s="499">
        <f t="shared" si="16"/>
        <v>0</v>
      </c>
      <c r="R144" s="348">
        <f t="shared" si="20"/>
        <v>0</v>
      </c>
    </row>
    <row r="145" spans="1:18" s="18" customFormat="1" ht="13.5" customHeight="1" outlineLevel="1" x14ac:dyDescent="0.3">
      <c r="A145" s="290">
        <f t="shared" si="1"/>
        <v>4</v>
      </c>
      <c r="B145" s="45"/>
      <c r="C145" s="45" t="s">
        <v>381</v>
      </c>
      <c r="D145" s="45" t="s">
        <v>994</v>
      </c>
      <c r="E145" s="347"/>
      <c r="F145" s="327"/>
      <c r="G145" s="327"/>
      <c r="H145" s="328"/>
      <c r="I145" s="328"/>
      <c r="J145" s="335"/>
      <c r="K145" s="335" t="str">
        <f>IF(A145=0,VLOOKUP(D145,'03. Insumos'!A:F,4,0),"")</f>
        <v/>
      </c>
      <c r="L145" s="335">
        <f>SUMIF(A146:A155,6,L146:L155)</f>
        <v>51482.911999999997</v>
      </c>
      <c r="M145" s="153">
        <f t="shared" ca="1" si="17"/>
        <v>9.1385813136821759E-2</v>
      </c>
      <c r="O145" s="148">
        <f t="shared" si="16"/>
        <v>0</v>
      </c>
      <c r="R145" s="12">
        <f t="shared" si="20"/>
        <v>0</v>
      </c>
    </row>
    <row r="146" spans="1:18" s="18" customFormat="1" ht="13.5" customHeight="1" outlineLevel="1" x14ac:dyDescent="0.3">
      <c r="A146" s="18">
        <f t="shared" si="1"/>
        <v>6</v>
      </c>
      <c r="B146" s="606"/>
      <c r="C146" s="606" t="s">
        <v>922</v>
      </c>
      <c r="D146" s="606" t="s">
        <v>994</v>
      </c>
      <c r="E146" s="391"/>
      <c r="F146" s="325"/>
      <c r="G146" s="325"/>
      <c r="H146" s="326"/>
      <c r="I146" s="326"/>
      <c r="J146" s="334"/>
      <c r="K146" s="607" t="str">
        <f>IF(A146=0,VLOOKUP(D146,'03. Insumos'!A:F,4,0),"")</f>
        <v/>
      </c>
      <c r="L146" s="334">
        <f>SUM(L147:L155)</f>
        <v>51482.911999999997</v>
      </c>
      <c r="M146" s="598">
        <f t="shared" ca="1" si="17"/>
        <v>9.1385813136821759E-2</v>
      </c>
      <c r="O146" s="600">
        <f t="shared" si="16"/>
        <v>0</v>
      </c>
      <c r="R146" s="601">
        <f t="shared" si="20"/>
        <v>0</v>
      </c>
    </row>
    <row r="147" spans="1:18" s="51" customFormat="1" ht="13.5" customHeight="1" outlineLevel="1" x14ac:dyDescent="0.3">
      <c r="A147" s="13">
        <f t="shared" si="1"/>
        <v>0</v>
      </c>
      <c r="B147" s="49"/>
      <c r="C147" s="49"/>
      <c r="D147" s="370" t="s">
        <v>3396</v>
      </c>
      <c r="E147" s="67" t="str">
        <f>VLOOKUP(D147,'03. Insumos'!A:D,2,0)</f>
        <v>Enc. Administrativo</v>
      </c>
      <c r="F147" s="68" t="s">
        <v>3809</v>
      </c>
      <c r="G147" s="68" t="str">
        <f>VLOOKUP(D147,'03. Insumos'!A:F,3,0)</f>
        <v>mês</v>
      </c>
      <c r="H147" s="69">
        <v>0.5</v>
      </c>
      <c r="I147" s="69">
        <f t="shared" ref="I147:I155" si="21">$L$2</f>
        <v>4</v>
      </c>
      <c r="J147" s="70">
        <f t="shared" ref="J147:J155" si="22">IFERROR(IF(K147&lt;&gt;0,K147*$K$5,0),0)</f>
        <v>4813.9520000000002</v>
      </c>
      <c r="K147" s="70">
        <f>IF(A147=0,VLOOKUP(D147,'03. Insumos'!A:F,4,0),"")</f>
        <v>4813.9520000000002</v>
      </c>
      <c r="L147" s="70">
        <f t="shared" ref="L147:L155" si="23">H147*J147*I147</f>
        <v>9627.9040000000005</v>
      </c>
      <c r="M147" s="355">
        <f t="shared" ca="1" si="17"/>
        <v>1.7090211133419551E-2</v>
      </c>
      <c r="O147" s="148">
        <f t="shared" si="16"/>
        <v>9627.9040000000005</v>
      </c>
      <c r="R147" s="356">
        <f t="shared" si="20"/>
        <v>-140.21219417475731</v>
      </c>
    </row>
    <row r="148" spans="1:18" s="51" customFormat="1" ht="13.5" customHeight="1" outlineLevel="1" x14ac:dyDescent="0.3">
      <c r="A148" s="13">
        <f t="shared" si="1"/>
        <v>0</v>
      </c>
      <c r="B148" s="49"/>
      <c r="C148" s="49"/>
      <c r="D148" s="370" t="s">
        <v>3397</v>
      </c>
      <c r="E148" s="67" t="str">
        <f>VLOOKUP(D148,'03. Insumos'!A:D,2,0)</f>
        <v>Técnico Em Segurança Do Trabalho</v>
      </c>
      <c r="F148" s="68" t="s">
        <v>3809</v>
      </c>
      <c r="G148" s="68" t="str">
        <f>VLOOKUP(D148,'03. Insumos'!A:F,3,0)</f>
        <v>mês</v>
      </c>
      <c r="H148" s="69">
        <v>0.3</v>
      </c>
      <c r="I148" s="69">
        <f t="shared" si="21"/>
        <v>4</v>
      </c>
      <c r="J148" s="70">
        <f t="shared" si="22"/>
        <v>3580.7200000000003</v>
      </c>
      <c r="K148" s="70">
        <f>IF(A148=0,VLOOKUP(D148,'03. Insumos'!A:F,4,0),"")</f>
        <v>3580.7200000000003</v>
      </c>
      <c r="L148" s="70">
        <f t="shared" si="23"/>
        <v>4296.8640000000005</v>
      </c>
      <c r="M148" s="355">
        <f t="shared" ca="1" si="17"/>
        <v>7.6272377634415195E-3</v>
      </c>
      <c r="O148" s="148">
        <f t="shared" si="16"/>
        <v>4296.8640000000005</v>
      </c>
      <c r="R148" s="356">
        <f t="shared" si="20"/>
        <v>-104.2928155339805</v>
      </c>
    </row>
    <row r="149" spans="1:18" s="51" customFormat="1" ht="13.5" customHeight="1" outlineLevel="1" x14ac:dyDescent="0.3">
      <c r="A149" s="13">
        <f t="shared" si="1"/>
        <v>0</v>
      </c>
      <c r="B149" s="49"/>
      <c r="C149" s="49"/>
      <c r="D149" s="370" t="s">
        <v>3398</v>
      </c>
      <c r="E149" s="67" t="str">
        <f>VLOOKUP(D149,'03. Insumos'!A:D,2,0)</f>
        <v>Almoxarife</v>
      </c>
      <c r="F149" s="68" t="s">
        <v>3809</v>
      </c>
      <c r="G149" s="68" t="str">
        <f>VLOOKUP(D149,'03. Insumos'!A:F,3,0)</f>
        <v>mês</v>
      </c>
      <c r="H149" s="69">
        <v>1</v>
      </c>
      <c r="I149" s="69">
        <f t="shared" si="21"/>
        <v>4</v>
      </c>
      <c r="J149" s="70">
        <f t="shared" si="22"/>
        <v>3422.848</v>
      </c>
      <c r="K149" s="70">
        <f>IF(A149=0,VLOOKUP(D149,'03. Insumos'!A:F,4,0),"")</f>
        <v>3422.848</v>
      </c>
      <c r="L149" s="70">
        <f t="shared" si="23"/>
        <v>13691.392</v>
      </c>
      <c r="M149" s="355">
        <f t="shared" ca="1" si="17"/>
        <v>2.4303189976801944E-2</v>
      </c>
      <c r="O149" s="148">
        <f t="shared" si="16"/>
        <v>13691.392</v>
      </c>
      <c r="R149" s="356">
        <f t="shared" si="20"/>
        <v>-99.694601941747806</v>
      </c>
    </row>
    <row r="150" spans="1:18" s="51" customFormat="1" ht="13.5" customHeight="1" outlineLevel="1" x14ac:dyDescent="0.3">
      <c r="A150" s="13">
        <f t="shared" si="1"/>
        <v>0</v>
      </c>
      <c r="B150" s="49"/>
      <c r="C150" s="49"/>
      <c r="D150" s="370" t="s">
        <v>3399</v>
      </c>
      <c r="E150" s="67" t="str">
        <f>VLOOKUP(D150,'03. Insumos'!A:D,2,0)</f>
        <v>Auxiliar Almoxarife</v>
      </c>
      <c r="F150" s="68" t="s">
        <v>3809</v>
      </c>
      <c r="G150" s="68" t="str">
        <f>VLOOKUP(D150,'03. Insumos'!A:F,3,0)</f>
        <v>mês</v>
      </c>
      <c r="H150" s="69">
        <v>2</v>
      </c>
      <c r="I150" s="69">
        <f>L2</f>
        <v>4</v>
      </c>
      <c r="J150" s="70">
        <f t="shared" si="22"/>
        <v>2203.3440000000001</v>
      </c>
      <c r="K150" s="70">
        <f>IF(A150=0,VLOOKUP(D150,'03. Insumos'!A:F,4,0),"")</f>
        <v>2203.3440000000001</v>
      </c>
      <c r="L150" s="70">
        <f t="shared" si="23"/>
        <v>17626.752</v>
      </c>
      <c r="M150" s="355">
        <f t="shared" ca="1" si="17"/>
        <v>3.1288732550347954E-2</v>
      </c>
      <c r="O150" s="148">
        <f t="shared" si="16"/>
        <v>17626.752</v>
      </c>
      <c r="R150" s="356">
        <f t="shared" si="20"/>
        <v>-64.175067961165041</v>
      </c>
    </row>
    <row r="151" spans="1:18" s="51" customFormat="1" ht="13.5" customHeight="1" outlineLevel="1" x14ac:dyDescent="0.3">
      <c r="A151" s="290">
        <f t="shared" si="1"/>
        <v>0</v>
      </c>
      <c r="B151" s="49"/>
      <c r="C151" s="49"/>
      <c r="D151" s="370" t="s">
        <v>3400</v>
      </c>
      <c r="E151" s="67" t="str">
        <f>VLOOKUP(D151,'03. Insumos'!A:D,2,0)</f>
        <v>Encarregado De Obra</v>
      </c>
      <c r="F151" s="68" t="s">
        <v>3809</v>
      </c>
      <c r="G151" s="68" t="str">
        <f>VLOOKUP(D151,'03. Insumos'!A:F,3,0)</f>
        <v>mês</v>
      </c>
      <c r="H151" s="69">
        <v>1</v>
      </c>
      <c r="I151" s="483">
        <v>1</v>
      </c>
      <c r="J151" s="70">
        <f t="shared" si="22"/>
        <v>6240</v>
      </c>
      <c r="K151" s="70">
        <f>IF(A151=0,VLOOKUP(D151,'03. Insumos'!A:F,4,0),"")</f>
        <v>6240</v>
      </c>
      <c r="L151" s="70">
        <f t="shared" si="23"/>
        <v>6240</v>
      </c>
      <c r="M151" s="153">
        <f t="shared" ca="1" si="17"/>
        <v>1.1076441712810803E-2</v>
      </c>
      <c r="O151" s="148">
        <f t="shared" si="16"/>
        <v>6240</v>
      </c>
      <c r="R151" s="12">
        <f t="shared" si="20"/>
        <v>-181.74757281553411</v>
      </c>
    </row>
    <row r="152" spans="1:18" s="51" customFormat="1" ht="13.5" hidden="1" customHeight="1" outlineLevel="1" x14ac:dyDescent="0.3">
      <c r="A152" s="290">
        <f t="shared" si="1"/>
        <v>0</v>
      </c>
      <c r="B152" s="49"/>
      <c r="C152" s="49"/>
      <c r="D152" s="370" t="s">
        <v>3401</v>
      </c>
      <c r="E152" s="67" t="str">
        <f>VLOOKUP(D152,'03. Insumos'!A:D,2,0)</f>
        <v>Operador De Cremalheira</v>
      </c>
      <c r="F152" s="68" t="s">
        <v>3809</v>
      </c>
      <c r="G152" s="68" t="str">
        <f>VLOOKUP(D152,'03. Insumos'!A:F,3,0)</f>
        <v>mês</v>
      </c>
      <c r="H152" s="69"/>
      <c r="I152" s="483">
        <f t="shared" si="21"/>
        <v>4</v>
      </c>
      <c r="J152" s="70">
        <f t="shared" si="22"/>
        <v>2892.0320000000002</v>
      </c>
      <c r="K152" s="70">
        <f>IF(A152=0,VLOOKUP(D152,'03. Insumos'!A:F,4,0),"")</f>
        <v>2892.0320000000002</v>
      </c>
      <c r="L152" s="70">
        <f t="shared" si="23"/>
        <v>0</v>
      </c>
      <c r="M152" s="153">
        <f t="shared" ca="1" si="17"/>
        <v>0</v>
      </c>
      <c r="O152" s="148">
        <f t="shared" si="16"/>
        <v>0</v>
      </c>
      <c r="R152" s="12">
        <f t="shared" si="20"/>
        <v>-84.233941747572771</v>
      </c>
    </row>
    <row r="153" spans="1:18" s="51" customFormat="1" ht="13.5" hidden="1" customHeight="1" outlineLevel="1" x14ac:dyDescent="0.3">
      <c r="A153" s="290">
        <f t="shared" si="1"/>
        <v>0</v>
      </c>
      <c r="B153" s="49"/>
      <c r="C153" s="49"/>
      <c r="D153" s="370" t="s">
        <v>3402</v>
      </c>
      <c r="E153" s="67" t="str">
        <f>VLOOKUP(D153,'03. Insumos'!A:D,2,0)</f>
        <v>Operador De Grua</v>
      </c>
      <c r="F153" s="68" t="s">
        <v>3809</v>
      </c>
      <c r="G153" s="68" t="str">
        <f>VLOOKUP(D153,'03. Insumos'!A:F,3,0)</f>
        <v>mês</v>
      </c>
      <c r="H153" s="69"/>
      <c r="I153" s="483">
        <f t="shared" si="21"/>
        <v>4</v>
      </c>
      <c r="J153" s="70">
        <f t="shared" si="22"/>
        <v>0</v>
      </c>
      <c r="K153" s="70">
        <f>IF(A153=0,VLOOKUP(D153,'03. Insumos'!A:F,4,0),"")</f>
        <v>0</v>
      </c>
      <c r="L153" s="70">
        <f t="shared" si="23"/>
        <v>0</v>
      </c>
      <c r="M153" s="153">
        <f t="shared" ca="1" si="17"/>
        <v>0</v>
      </c>
      <c r="O153" s="148">
        <f t="shared" si="16"/>
        <v>0</v>
      </c>
      <c r="R153" s="12">
        <f t="shared" si="20"/>
        <v>0</v>
      </c>
    </row>
    <row r="154" spans="1:18" s="51" customFormat="1" ht="13.5" hidden="1" customHeight="1" outlineLevel="1" x14ac:dyDescent="0.3">
      <c r="A154" s="290">
        <f t="shared" si="1"/>
        <v>0</v>
      </c>
      <c r="B154" s="49"/>
      <c r="C154" s="49"/>
      <c r="D154" s="370" t="s">
        <v>3403</v>
      </c>
      <c r="E154" s="67" t="str">
        <f>VLOOKUP(D154,'03. Insumos'!A:D,2,0)</f>
        <v>Pedreiro</v>
      </c>
      <c r="F154" s="68" t="s">
        <v>3809</v>
      </c>
      <c r="G154" s="68" t="str">
        <f>VLOOKUP(D154,'03. Insumos'!A:F,3,0)</f>
        <v>mês</v>
      </c>
      <c r="H154" s="69"/>
      <c r="I154" s="483">
        <f t="shared" si="21"/>
        <v>4</v>
      </c>
      <c r="J154" s="70">
        <f t="shared" si="22"/>
        <v>3113.9679999999998</v>
      </c>
      <c r="K154" s="70">
        <f>IF(A154=0,VLOOKUP(D154,'03. Insumos'!A:F,4,0),"")</f>
        <v>3113.9679999999998</v>
      </c>
      <c r="L154" s="70">
        <f t="shared" si="23"/>
        <v>0</v>
      </c>
      <c r="M154" s="153">
        <f t="shared" ca="1" si="17"/>
        <v>0</v>
      </c>
      <c r="O154" s="148">
        <f t="shared" si="16"/>
        <v>0</v>
      </c>
      <c r="R154" s="12">
        <f t="shared" si="20"/>
        <v>-90.698097087378756</v>
      </c>
    </row>
    <row r="155" spans="1:18" s="51" customFormat="1" ht="13.5" hidden="1" customHeight="1" outlineLevel="1" x14ac:dyDescent="0.3">
      <c r="A155" s="290">
        <f t="shared" si="1"/>
        <v>0</v>
      </c>
      <c r="B155" s="49"/>
      <c r="C155" s="49"/>
      <c r="D155" s="370" t="s">
        <v>3404</v>
      </c>
      <c r="E155" s="67" t="str">
        <f>VLOOKUP(D155,'03. Insumos'!A:D,2,0)</f>
        <v>Carpinteiro</v>
      </c>
      <c r="F155" s="68" t="s">
        <v>3809</v>
      </c>
      <c r="G155" s="68" t="str">
        <f>VLOOKUP(D155,'03. Insumos'!A:F,3,0)</f>
        <v>mês</v>
      </c>
      <c r="H155" s="69"/>
      <c r="I155" s="483">
        <f t="shared" si="21"/>
        <v>4</v>
      </c>
      <c r="J155" s="70">
        <f t="shared" si="22"/>
        <v>3113.9679999999998</v>
      </c>
      <c r="K155" s="70">
        <f>IF(A155=0,VLOOKUP(D155,'03. Insumos'!A:F,4,0),"")</f>
        <v>3113.9679999999998</v>
      </c>
      <c r="L155" s="70">
        <f t="shared" si="23"/>
        <v>0</v>
      </c>
      <c r="M155" s="153">
        <f t="shared" ca="1" si="17"/>
        <v>0</v>
      </c>
      <c r="O155" s="148">
        <f t="shared" si="16"/>
        <v>0</v>
      </c>
      <c r="R155" s="12">
        <f t="shared" si="20"/>
        <v>-90.698097087378756</v>
      </c>
    </row>
    <row r="156" spans="1:18" s="18" customFormat="1" ht="13.5" hidden="1" customHeight="1" outlineLevel="1" x14ac:dyDescent="0.3">
      <c r="A156" s="290">
        <f t="shared" si="1"/>
        <v>4</v>
      </c>
      <c r="B156" s="45"/>
      <c r="C156" s="45" t="s">
        <v>54</v>
      </c>
      <c r="D156" s="45" t="s">
        <v>55</v>
      </c>
      <c r="E156" s="347"/>
      <c r="F156" s="327"/>
      <c r="G156" s="327"/>
      <c r="H156" s="328"/>
      <c r="I156" s="328"/>
      <c r="J156" s="335"/>
      <c r="K156" s="335"/>
      <c r="L156" s="335">
        <f>SUMIF(A157:A158,6,L157:L158)</f>
        <v>0</v>
      </c>
      <c r="M156" s="153">
        <f t="shared" ca="1" si="17"/>
        <v>0</v>
      </c>
      <c r="O156" s="148">
        <f t="shared" si="16"/>
        <v>0</v>
      </c>
      <c r="R156" s="12">
        <f t="shared" si="20"/>
        <v>0</v>
      </c>
    </row>
    <row r="157" spans="1:18" s="18" customFormat="1" ht="13.5" hidden="1" customHeight="1" outlineLevel="1" x14ac:dyDescent="0.3">
      <c r="A157" s="18">
        <f t="shared" si="1"/>
        <v>6</v>
      </c>
      <c r="B157" s="606"/>
      <c r="C157" s="606" t="s">
        <v>923</v>
      </c>
      <c r="D157" s="606" t="s">
        <v>56</v>
      </c>
      <c r="E157" s="391"/>
      <c r="F157" s="325"/>
      <c r="G157" s="325"/>
      <c r="H157" s="326"/>
      <c r="I157" s="326"/>
      <c r="J157" s="334"/>
      <c r="K157" s="607"/>
      <c r="L157" s="334">
        <f>SUM(L158)</f>
        <v>0</v>
      </c>
      <c r="M157" s="598">
        <f t="shared" ca="1" si="17"/>
        <v>0</v>
      </c>
      <c r="O157" s="600">
        <f t="shared" si="16"/>
        <v>0</v>
      </c>
      <c r="R157" s="601">
        <f t="shared" si="20"/>
        <v>0</v>
      </c>
    </row>
    <row r="158" spans="1:18" s="51" customFormat="1" ht="13.5" hidden="1" customHeight="1" outlineLevel="1" x14ac:dyDescent="0.3">
      <c r="A158" s="13">
        <f t="shared" si="1"/>
        <v>0</v>
      </c>
      <c r="B158" s="49"/>
      <c r="C158" s="49"/>
      <c r="D158" s="140" t="s">
        <v>3405</v>
      </c>
      <c r="E158" s="67" t="str">
        <f>VLOOKUP(D158,'03. Insumos'!A:D,2,0)</f>
        <v>Eletricista</v>
      </c>
      <c r="F158" s="68" t="s">
        <v>2612</v>
      </c>
      <c r="G158" s="68" t="str">
        <f>VLOOKUP(D158,'03. Insumos'!A:F,3,0)</f>
        <v>mês</v>
      </c>
      <c r="H158" s="69"/>
      <c r="I158" s="69">
        <f>L2*22*(SUM(H149:H155))</f>
        <v>352</v>
      </c>
      <c r="J158" s="70">
        <f>IFERROR(IF(K158&lt;&gt;0,K158*$K$5,0),0)</f>
        <v>2768.48</v>
      </c>
      <c r="K158" s="70">
        <f>IF(A158=0,VLOOKUP(D158,'03. Insumos'!A:F,4,0),"")</f>
        <v>2768.48</v>
      </c>
      <c r="L158" s="70">
        <f>H158*J158*I158</f>
        <v>0</v>
      </c>
      <c r="M158" s="355">
        <f t="shared" ca="1" si="17"/>
        <v>0</v>
      </c>
      <c r="O158" s="148">
        <f t="shared" si="16"/>
        <v>0</v>
      </c>
      <c r="R158" s="356">
        <f t="shared" si="20"/>
        <v>-80.635339805825424</v>
      </c>
    </row>
    <row r="159" spans="1:18" s="18" customFormat="1" ht="13.5" hidden="1" customHeight="1" outlineLevel="1" x14ac:dyDescent="0.3">
      <c r="A159" s="290">
        <f t="shared" ref="A159:A234" si="24">LEN(C159)</f>
        <v>4</v>
      </c>
      <c r="B159" s="45"/>
      <c r="C159" s="45" t="s">
        <v>57</v>
      </c>
      <c r="D159" s="45" t="s">
        <v>58</v>
      </c>
      <c r="E159" s="347"/>
      <c r="F159" s="327"/>
      <c r="G159" s="327"/>
      <c r="H159" s="328"/>
      <c r="I159" s="328"/>
      <c r="J159" s="335"/>
      <c r="K159" s="335"/>
      <c r="L159" s="335">
        <f>SUMIF(A160:A162,6,L160:L162)</f>
        <v>0</v>
      </c>
      <c r="M159" s="153">
        <f t="shared" ca="1" si="17"/>
        <v>0</v>
      </c>
      <c r="O159" s="148">
        <f t="shared" si="16"/>
        <v>0</v>
      </c>
      <c r="R159" s="12">
        <f t="shared" si="20"/>
        <v>0</v>
      </c>
    </row>
    <row r="160" spans="1:18" s="18" customFormat="1" ht="13.5" hidden="1" customHeight="1" outlineLevel="1" x14ac:dyDescent="0.3">
      <c r="A160" s="18">
        <f t="shared" si="24"/>
        <v>6</v>
      </c>
      <c r="B160" s="606"/>
      <c r="C160" s="606" t="s">
        <v>924</v>
      </c>
      <c r="D160" s="606" t="s">
        <v>58</v>
      </c>
      <c r="E160" s="391"/>
      <c r="F160" s="325"/>
      <c r="G160" s="325"/>
      <c r="H160" s="326"/>
      <c r="I160" s="326"/>
      <c r="J160" s="334"/>
      <c r="K160" s="607"/>
      <c r="L160" s="334">
        <f>SUM(L161:L162)</f>
        <v>0</v>
      </c>
      <c r="M160" s="598">
        <f t="shared" ca="1" si="17"/>
        <v>0</v>
      </c>
      <c r="O160" s="600"/>
      <c r="R160" s="601">
        <f t="shared" si="20"/>
        <v>0</v>
      </c>
    </row>
    <row r="161" spans="1:18" s="51" customFormat="1" ht="13.5" hidden="1" customHeight="1" outlineLevel="1" x14ac:dyDescent="0.3">
      <c r="A161" s="13">
        <f>LEN(C161)</f>
        <v>0</v>
      </c>
      <c r="B161" s="49"/>
      <c r="C161" s="49"/>
      <c r="D161" s="140" t="s">
        <v>3410</v>
      </c>
      <c r="E161" s="67" t="str">
        <f>VLOOKUP(D161,'03. Insumos'!A:D,2,0)</f>
        <v>Sistema de alarme com 4 câmeras e sensores</v>
      </c>
      <c r="F161" s="68"/>
      <c r="G161" s="68" t="str">
        <f>VLOOKUP(D161,'03. Insumos'!A:F,3,0)</f>
        <v>mês</v>
      </c>
      <c r="H161" s="69"/>
      <c r="I161" s="69">
        <f>L2</f>
        <v>4</v>
      </c>
      <c r="J161" s="70">
        <f>IFERROR(IF(K161&lt;&gt;0,K161*$K$5,0),0)</f>
        <v>400</v>
      </c>
      <c r="K161" s="54">
        <f>IF(A161=0,VLOOKUP(D161,'03. Insumos'!A:F,4,0),"")</f>
        <v>400</v>
      </c>
      <c r="L161" s="70">
        <f>H161*J161*I161</f>
        <v>0</v>
      </c>
      <c r="M161" s="355">
        <f t="shared" ca="1" si="17"/>
        <v>0</v>
      </c>
      <c r="O161" s="148">
        <f>IF(I161&lt;&gt;0,I161*H161*K161,)</f>
        <v>0</v>
      </c>
      <c r="R161" s="356">
        <f>IF(J161&lt;&gt;0,J161/1.03-K161,0)</f>
        <v>-11.650485436893234</v>
      </c>
    </row>
    <row r="162" spans="1:18" s="51" customFormat="1" ht="13.5" hidden="1" customHeight="1" outlineLevel="1" x14ac:dyDescent="0.3">
      <c r="A162" s="13">
        <f t="shared" si="24"/>
        <v>0</v>
      </c>
      <c r="B162" s="49"/>
      <c r="C162" s="49"/>
      <c r="D162" s="140" t="s">
        <v>3411</v>
      </c>
      <c r="E162" s="67" t="str">
        <f>VLOOKUP(D162,'03. Insumos'!A:D,2,0)</f>
        <v>Instalação Sistema de alarme com 4 câmeras e sensores</v>
      </c>
      <c r="F162" s="68"/>
      <c r="G162" s="68" t="str">
        <f>VLOOKUP(D162,'03. Insumos'!A:F,3,0)</f>
        <v>unid</v>
      </c>
      <c r="H162" s="69"/>
      <c r="I162" s="69">
        <v>1</v>
      </c>
      <c r="J162" s="70">
        <f>IFERROR(IF(K162&lt;&gt;0,K162*$K$5,0),0)</f>
        <v>1900</v>
      </c>
      <c r="K162" s="54">
        <f>IF(A162=0,VLOOKUP(D162,'03. Insumos'!A:F,4,0),"")</f>
        <v>1900</v>
      </c>
      <c r="L162" s="70">
        <f>H162*J162*I162</f>
        <v>0</v>
      </c>
      <c r="M162" s="355">
        <f t="shared" ca="1" si="17"/>
        <v>0</v>
      </c>
      <c r="O162" s="148">
        <f t="shared" ref="O162:O184" si="25">IF(I162&lt;&gt;0,I162*H162*K162,)</f>
        <v>0</v>
      </c>
      <c r="R162" s="356">
        <f t="shared" si="20"/>
        <v>-55.33980582524282</v>
      </c>
    </row>
    <row r="163" spans="1:18" s="51" customFormat="1" ht="13.5" hidden="1" customHeight="1" outlineLevel="1" x14ac:dyDescent="0.3">
      <c r="A163" s="290">
        <f t="shared" si="24"/>
        <v>4</v>
      </c>
      <c r="B163" s="45"/>
      <c r="C163" s="45" t="s">
        <v>2028</v>
      </c>
      <c r="D163" s="45" t="s">
        <v>2029</v>
      </c>
      <c r="E163" s="347"/>
      <c r="F163" s="327"/>
      <c r="G163" s="327"/>
      <c r="H163" s="328"/>
      <c r="I163" s="328"/>
      <c r="J163" s="335"/>
      <c r="K163" s="335"/>
      <c r="L163" s="335">
        <f>SUMIF(A164:A165,6,L164:L165)</f>
        <v>0</v>
      </c>
      <c r="M163" s="153">
        <f t="shared" ca="1" si="17"/>
        <v>0</v>
      </c>
      <c r="O163" s="148"/>
      <c r="R163" s="12"/>
    </row>
    <row r="164" spans="1:18" s="51" customFormat="1" ht="13.5" hidden="1" customHeight="1" outlineLevel="1" x14ac:dyDescent="0.3">
      <c r="A164" s="290">
        <f t="shared" si="24"/>
        <v>6</v>
      </c>
      <c r="B164" s="630"/>
      <c r="C164" s="606" t="s">
        <v>924</v>
      </c>
      <c r="D164" s="606" t="s">
        <v>2029</v>
      </c>
      <c r="E164" s="593"/>
      <c r="F164" s="594"/>
      <c r="G164" s="594"/>
      <c r="H164" s="595"/>
      <c r="I164" s="633"/>
      <c r="J164" s="597"/>
      <c r="K164" s="597"/>
      <c r="L164" s="334">
        <f>SUM(L165)</f>
        <v>0</v>
      </c>
      <c r="M164" s="153">
        <f t="shared" ca="1" si="17"/>
        <v>0</v>
      </c>
      <c r="O164" s="148"/>
      <c r="R164" s="12"/>
    </row>
    <row r="165" spans="1:18" s="51" customFormat="1" ht="13.5" hidden="1" customHeight="1" outlineLevel="1" x14ac:dyDescent="0.3">
      <c r="A165" s="290">
        <f t="shared" si="24"/>
        <v>0</v>
      </c>
      <c r="B165" s="49"/>
      <c r="C165" s="49"/>
      <c r="D165" s="140" t="s">
        <v>2032</v>
      </c>
      <c r="E165" s="67" t="str">
        <f>VLOOKUP(D165,'03. Insumos'!A:D,2,0)</f>
        <v>Topógrafo</v>
      </c>
      <c r="F165" s="68"/>
      <c r="G165" s="68" t="str">
        <f>VLOOKUP(D165,'03. Insumos'!A:F,3,0)</f>
        <v>diária</v>
      </c>
      <c r="H165" s="69"/>
      <c r="I165" s="69"/>
      <c r="J165" s="70">
        <f>IFERROR(IF(K165&lt;&gt;0,K165*$K$5,0),0)</f>
        <v>1720.9599999999998</v>
      </c>
      <c r="K165" s="54">
        <f>IF(A165=0,VLOOKUP(D165,'03. Insumos'!A:F,4,0),"")</f>
        <v>1720.9599999999998</v>
      </c>
      <c r="L165" s="70">
        <f>H165*J165*I165</f>
        <v>0</v>
      </c>
      <c r="M165" s="153">
        <f t="shared" ca="1" si="17"/>
        <v>0</v>
      </c>
      <c r="O165" s="148"/>
      <c r="R165" s="12"/>
    </row>
    <row r="166" spans="1:18" s="592" customFormat="1" ht="13.5" customHeight="1" x14ac:dyDescent="0.3">
      <c r="A166" s="478">
        <f t="shared" si="24"/>
        <v>3</v>
      </c>
      <c r="B166" s="390"/>
      <c r="C166" s="390" t="s">
        <v>358</v>
      </c>
      <c r="D166" s="390" t="s">
        <v>79</v>
      </c>
      <c r="E166" s="390"/>
      <c r="F166" s="323"/>
      <c r="G166" s="323"/>
      <c r="H166" s="324"/>
      <c r="I166" s="324"/>
      <c r="J166" s="333"/>
      <c r="K166" s="333"/>
      <c r="L166" s="333">
        <f>SUMIF(A167:A190,4,L167:L190)</f>
        <v>6500</v>
      </c>
      <c r="M166" s="479">
        <f t="shared" ca="1" si="17"/>
        <v>1.1537960117511252E-2</v>
      </c>
      <c r="O166" s="499">
        <f t="shared" si="25"/>
        <v>0</v>
      </c>
      <c r="R166" s="348">
        <f>IF(J166&lt;&gt;0,J166/1.03-K166,0)</f>
        <v>0</v>
      </c>
    </row>
    <row r="167" spans="1:18" s="18" customFormat="1" ht="4.5" customHeight="1" outlineLevel="1" x14ac:dyDescent="0.3">
      <c r="A167" s="290">
        <f t="shared" si="24"/>
        <v>0</v>
      </c>
      <c r="B167" s="63"/>
      <c r="C167" s="63"/>
      <c r="D167" s="63"/>
      <c r="E167" s="391"/>
      <c r="F167" s="325"/>
      <c r="G167" s="325"/>
      <c r="H167" s="326"/>
      <c r="I167" s="326"/>
      <c r="J167" s="334">
        <f>IFERROR(IF(K167&lt;&gt;0,K167*$K$5,0),0)</f>
        <v>0</v>
      </c>
      <c r="K167" s="66" t="e">
        <f>IF(A167=0,VLOOKUP(D167,'03. Insumos'!A:F,4,0),"")</f>
        <v>#N/A</v>
      </c>
      <c r="L167" s="334"/>
      <c r="M167" s="153">
        <f t="shared" ca="1" si="17"/>
        <v>0</v>
      </c>
      <c r="O167" s="148">
        <f t="shared" si="25"/>
        <v>0</v>
      </c>
      <c r="R167" s="12">
        <f>IF(J167&lt;&gt;0,J167/1.03-K167,0)</f>
        <v>0</v>
      </c>
    </row>
    <row r="168" spans="1:18" s="18" customFormat="1" ht="13.5" customHeight="1" outlineLevel="1" x14ac:dyDescent="0.3">
      <c r="A168" s="290">
        <f t="shared" si="24"/>
        <v>4</v>
      </c>
      <c r="B168" s="45"/>
      <c r="C168" s="45" t="s">
        <v>380</v>
      </c>
      <c r="D168" s="45" t="s">
        <v>59</v>
      </c>
      <c r="E168" s="347"/>
      <c r="F168" s="327"/>
      <c r="G168" s="327"/>
      <c r="H168" s="328"/>
      <c r="I168" s="328"/>
      <c r="J168" s="335"/>
      <c r="K168" s="335" t="str">
        <f>IF(A168=0,VLOOKUP(D168,'03. Insumos'!A:F,4,0),"")</f>
        <v/>
      </c>
      <c r="L168" s="335">
        <f>SUMIF(A169:A175,6,L169:L175)</f>
        <v>3300</v>
      </c>
      <c r="M168" s="153">
        <f t="shared" ca="1" si="17"/>
        <v>5.8577335981210973E-3</v>
      </c>
      <c r="O168" s="148">
        <f t="shared" si="25"/>
        <v>0</v>
      </c>
      <c r="R168" s="12">
        <f t="shared" ref="R168:R234" si="26">IF(J168&lt;&gt;0,J168/1.03-K168,0)</f>
        <v>0</v>
      </c>
    </row>
    <row r="169" spans="1:18" s="18" customFormat="1" ht="13.5" customHeight="1" outlineLevel="1" x14ac:dyDescent="0.3">
      <c r="A169" s="18">
        <f t="shared" si="24"/>
        <v>6</v>
      </c>
      <c r="B169" s="606"/>
      <c r="C169" s="606" t="s">
        <v>926</v>
      </c>
      <c r="D169" s="606" t="s">
        <v>59</v>
      </c>
      <c r="E169" s="391"/>
      <c r="F169" s="325"/>
      <c r="G169" s="325"/>
      <c r="H169" s="326"/>
      <c r="I169" s="326"/>
      <c r="J169" s="334"/>
      <c r="K169" s="607" t="str">
        <f>IF(A169=0,VLOOKUP(D169,'03. Insumos'!A:F,4,0),"")</f>
        <v/>
      </c>
      <c r="L169" s="334">
        <f>SUM(L170:L175)</f>
        <v>3300</v>
      </c>
      <c r="M169" s="598">
        <f t="shared" ca="1" si="17"/>
        <v>5.8577335981210973E-3</v>
      </c>
      <c r="O169" s="600">
        <f t="shared" si="25"/>
        <v>0</v>
      </c>
      <c r="R169" s="601">
        <f t="shared" si="26"/>
        <v>0</v>
      </c>
    </row>
    <row r="170" spans="1:18" s="51" customFormat="1" ht="13.5" hidden="1" customHeight="1" outlineLevel="1" x14ac:dyDescent="0.3">
      <c r="A170" s="13">
        <f t="shared" si="24"/>
        <v>0</v>
      </c>
      <c r="B170" s="49"/>
      <c r="C170" s="49"/>
      <c r="D170" s="370" t="s">
        <v>166</v>
      </c>
      <c r="E170" s="67" t="str">
        <f>VLOOKUP(D170,'03. Insumos'!A:D,2,0)</f>
        <v>Material de escritório</v>
      </c>
      <c r="F170" s="68" t="s">
        <v>5218</v>
      </c>
      <c r="G170" s="68" t="str">
        <f>VLOOKUP(D170,'03. Insumos'!A:F,3,0)</f>
        <v>mês</v>
      </c>
      <c r="H170" s="69"/>
      <c r="I170" s="69">
        <f>L2</f>
        <v>4</v>
      </c>
      <c r="J170" s="70">
        <f t="shared" ref="J170:J175" si="27">IFERROR(IF(K170&lt;&gt;0,K170*$K$5,0),0)</f>
        <v>550</v>
      </c>
      <c r="K170" s="70">
        <f>IF(A170=0,VLOOKUP(D170,'03. Insumos'!A:F,4,0),"")</f>
        <v>550</v>
      </c>
      <c r="L170" s="70">
        <f t="shared" ref="L170:L175" si="28">H170*J170*I170</f>
        <v>0</v>
      </c>
      <c r="M170" s="355">
        <f t="shared" ca="1" si="17"/>
        <v>0</v>
      </c>
      <c r="O170" s="148">
        <f t="shared" si="25"/>
        <v>0</v>
      </c>
      <c r="R170" s="356">
        <f t="shared" si="26"/>
        <v>-16.019417475728119</v>
      </c>
    </row>
    <row r="171" spans="1:18" s="51" customFormat="1" ht="13.5" customHeight="1" outlineLevel="1" x14ac:dyDescent="0.3">
      <c r="A171" s="13">
        <f t="shared" si="24"/>
        <v>0</v>
      </c>
      <c r="B171" s="49"/>
      <c r="C171" s="49"/>
      <c r="D171" s="370" t="s">
        <v>167</v>
      </c>
      <c r="E171" s="67" t="str">
        <f>VLOOKUP(D171,'03. Insumos'!A:D,2,0)</f>
        <v>Material de limpeza e higiene</v>
      </c>
      <c r="F171" s="68" t="s">
        <v>5218</v>
      </c>
      <c r="G171" s="68" t="str">
        <f>VLOOKUP(D171,'03. Insumos'!A:F,3,0)</f>
        <v>mês</v>
      </c>
      <c r="H171" s="69">
        <v>1</v>
      </c>
      <c r="I171" s="69">
        <f>L2</f>
        <v>4</v>
      </c>
      <c r="J171" s="70">
        <f t="shared" si="27"/>
        <v>600</v>
      </c>
      <c r="K171" s="70">
        <f>IF(A171=0,VLOOKUP(D171,'03. Insumos'!A:F,4,0),"")</f>
        <v>600</v>
      </c>
      <c r="L171" s="70">
        <f t="shared" si="28"/>
        <v>2400</v>
      </c>
      <c r="M171" s="355">
        <f t="shared" ca="1" si="17"/>
        <v>4.2601698895426169E-3</v>
      </c>
      <c r="O171" s="148">
        <f t="shared" si="25"/>
        <v>2400</v>
      </c>
      <c r="R171" s="356">
        <f t="shared" si="26"/>
        <v>-17.475728155339766</v>
      </c>
    </row>
    <row r="172" spans="1:18" s="51" customFormat="1" ht="13.5" hidden="1" customHeight="1" outlineLevel="1" x14ac:dyDescent="0.3">
      <c r="A172" s="13">
        <f t="shared" si="24"/>
        <v>0</v>
      </c>
      <c r="B172" s="49"/>
      <c r="C172" s="49"/>
      <c r="D172" s="370" t="s">
        <v>168</v>
      </c>
      <c r="E172" s="67" t="str">
        <f>VLOOKUP(D172,'03. Insumos'!A:D,2,0)</f>
        <v>Material de higiene</v>
      </c>
      <c r="F172" s="68" t="s">
        <v>5218</v>
      </c>
      <c r="G172" s="68" t="str">
        <f>VLOOKUP(D172,'03. Insumos'!A:F,3,0)</f>
        <v>mês</v>
      </c>
      <c r="H172" s="69"/>
      <c r="I172" s="69"/>
      <c r="J172" s="70">
        <f t="shared" si="27"/>
        <v>60</v>
      </c>
      <c r="K172" s="70">
        <f>IF(A172=0,VLOOKUP(D172,'03. Insumos'!A:F,4,0),"")</f>
        <v>60</v>
      </c>
      <c r="L172" s="70">
        <f t="shared" si="28"/>
        <v>0</v>
      </c>
      <c r="M172" s="355">
        <f t="shared" ca="1" si="17"/>
        <v>0</v>
      </c>
      <c r="O172" s="148">
        <f t="shared" si="25"/>
        <v>0</v>
      </c>
      <c r="R172" s="356">
        <f t="shared" si="26"/>
        <v>-1.7475728155339851</v>
      </c>
    </row>
    <row r="173" spans="1:18" s="51" customFormat="1" ht="13.5" hidden="1" customHeight="1" outlineLevel="1" x14ac:dyDescent="0.3">
      <c r="A173" s="13">
        <f t="shared" si="24"/>
        <v>0</v>
      </c>
      <c r="B173" s="49"/>
      <c r="C173" s="49"/>
      <c r="D173" s="370" t="s">
        <v>169</v>
      </c>
      <c r="E173" s="67" t="str">
        <f>VLOOKUP(D173,'03. Insumos'!A:D,2,0)</f>
        <v>Motoboy</v>
      </c>
      <c r="F173" s="68" t="s">
        <v>5218</v>
      </c>
      <c r="G173" s="68" t="str">
        <f>VLOOKUP(D173,'03. Insumos'!A:F,3,0)</f>
        <v>mês</v>
      </c>
      <c r="H173" s="69"/>
      <c r="I173" s="69"/>
      <c r="J173" s="70">
        <f t="shared" si="27"/>
        <v>100</v>
      </c>
      <c r="K173" s="70">
        <f>IF(A173=0,VLOOKUP(D173,'03. Insumos'!A:F,4,0),"")</f>
        <v>100</v>
      </c>
      <c r="L173" s="70">
        <f t="shared" si="28"/>
        <v>0</v>
      </c>
      <c r="M173" s="355">
        <f t="shared" ca="1" si="17"/>
        <v>0</v>
      </c>
      <c r="O173" s="148">
        <f t="shared" si="25"/>
        <v>0</v>
      </c>
      <c r="R173" s="356">
        <f t="shared" si="26"/>
        <v>-2.9126213592233086</v>
      </c>
    </row>
    <row r="174" spans="1:18" s="51" customFormat="1" ht="13.5" customHeight="1" outlineLevel="1" x14ac:dyDescent="0.3">
      <c r="A174" s="13">
        <f t="shared" si="24"/>
        <v>0</v>
      </c>
      <c r="B174" s="49"/>
      <c r="C174" s="49"/>
      <c r="D174" s="370" t="s">
        <v>170</v>
      </c>
      <c r="E174" s="67" t="str">
        <f>VLOOKUP(D174,'03. Insumos'!A:D,2,0)</f>
        <v>Cópias e plotagens</v>
      </c>
      <c r="F174" s="68" t="s">
        <v>3809</v>
      </c>
      <c r="G174" s="68" t="str">
        <f>VLOOKUP(D174,'03. Insumos'!A:F,3,0)</f>
        <v>mês</v>
      </c>
      <c r="H174" s="69">
        <v>1</v>
      </c>
      <c r="I174" s="69">
        <v>2</v>
      </c>
      <c r="J174" s="70">
        <f t="shared" si="27"/>
        <v>450</v>
      </c>
      <c r="K174" s="70">
        <f>IF(A174=0,VLOOKUP(D174,'03. Insumos'!A:F,4,0),"")</f>
        <v>450</v>
      </c>
      <c r="L174" s="70">
        <f t="shared" si="28"/>
        <v>900</v>
      </c>
      <c r="M174" s="355">
        <f t="shared" ca="1" si="17"/>
        <v>1.5975637085784812E-3</v>
      </c>
      <c r="O174" s="148">
        <f t="shared" si="25"/>
        <v>900</v>
      </c>
      <c r="R174" s="356">
        <f t="shared" si="26"/>
        <v>-13.106796116504881</v>
      </c>
    </row>
    <row r="175" spans="1:18" s="51" customFormat="1" ht="13.5" hidden="1" customHeight="1" outlineLevel="1" x14ac:dyDescent="0.3">
      <c r="A175" s="290">
        <f t="shared" si="24"/>
        <v>0</v>
      </c>
      <c r="B175" s="49"/>
      <c r="C175" s="49"/>
      <c r="D175" s="140" t="s">
        <v>171</v>
      </c>
      <c r="E175" s="67" t="str">
        <f>VLOOKUP(D175,'03. Insumos'!A:D,2,0)</f>
        <v>Telefonia e Internet</v>
      </c>
      <c r="F175" s="68" t="s">
        <v>5218</v>
      </c>
      <c r="G175" s="68" t="str">
        <f>VLOOKUP(D175,'03. Insumos'!A:F,3,0)</f>
        <v>mês</v>
      </c>
      <c r="H175" s="69"/>
      <c r="I175" s="69"/>
      <c r="J175" s="70">
        <f t="shared" si="27"/>
        <v>100</v>
      </c>
      <c r="K175" s="54">
        <f>IF(A175=0,VLOOKUP(D175,'03. Insumos'!A:F,4,0),"")</f>
        <v>100</v>
      </c>
      <c r="L175" s="70">
        <f t="shared" si="28"/>
        <v>0</v>
      </c>
      <c r="M175" s="153">
        <f t="shared" ca="1" si="17"/>
        <v>0</v>
      </c>
      <c r="O175" s="148">
        <f t="shared" si="25"/>
        <v>0</v>
      </c>
      <c r="R175" s="12">
        <f t="shared" si="26"/>
        <v>-2.9126213592233086</v>
      </c>
    </row>
    <row r="176" spans="1:18" s="18" customFormat="1" ht="13.5" customHeight="1" outlineLevel="1" x14ac:dyDescent="0.3">
      <c r="A176" s="290">
        <f t="shared" si="24"/>
        <v>4</v>
      </c>
      <c r="B176" s="45"/>
      <c r="C176" s="45" t="s">
        <v>64</v>
      </c>
      <c r="D176" s="45" t="s">
        <v>65</v>
      </c>
      <c r="E176" s="347"/>
      <c r="F176" s="327"/>
      <c r="G176" s="327"/>
      <c r="H176" s="328"/>
      <c r="I176" s="328"/>
      <c r="J176" s="335"/>
      <c r="K176" s="335" t="str">
        <f>IF(A176=0,VLOOKUP(D176,'03. Insumos'!A:F,4,0),"")</f>
        <v/>
      </c>
      <c r="L176" s="335">
        <f>SUMIF(A177:A179,6,L177:L179)</f>
        <v>3200</v>
      </c>
      <c r="M176" s="153">
        <f t="shared" ca="1" si="17"/>
        <v>5.680226519390155E-3</v>
      </c>
      <c r="O176" s="148">
        <f t="shared" si="25"/>
        <v>0</v>
      </c>
      <c r="R176" s="12">
        <f t="shared" si="26"/>
        <v>0</v>
      </c>
    </row>
    <row r="177" spans="1:18" s="18" customFormat="1" ht="13.5" customHeight="1" outlineLevel="1" x14ac:dyDescent="0.3">
      <c r="A177" s="18">
        <f t="shared" si="24"/>
        <v>6</v>
      </c>
      <c r="B177" s="606"/>
      <c r="C177" s="606" t="s">
        <v>927</v>
      </c>
      <c r="D177" s="606" t="s">
        <v>66</v>
      </c>
      <c r="E177" s="391"/>
      <c r="F177" s="325"/>
      <c r="G177" s="325"/>
      <c r="H177" s="326"/>
      <c r="I177" s="326"/>
      <c r="J177" s="334"/>
      <c r="K177" s="607" t="str">
        <f>IF(A177=0,VLOOKUP(D177,'03. Insumos'!A:F,4,0),"")</f>
        <v/>
      </c>
      <c r="L177" s="334">
        <f>SUM(L178:L179)</f>
        <v>3200</v>
      </c>
      <c r="M177" s="598">
        <f t="shared" ca="1" si="17"/>
        <v>5.680226519390155E-3</v>
      </c>
      <c r="O177" s="600">
        <f t="shared" si="25"/>
        <v>0</v>
      </c>
      <c r="R177" s="601">
        <f t="shared" si="26"/>
        <v>0</v>
      </c>
    </row>
    <row r="178" spans="1:18" s="51" customFormat="1" ht="13.5" customHeight="1" outlineLevel="1" x14ac:dyDescent="0.3">
      <c r="A178" s="13">
        <f t="shared" si="24"/>
        <v>0</v>
      </c>
      <c r="B178" s="49"/>
      <c r="C178" s="49"/>
      <c r="D178" s="370" t="s">
        <v>172</v>
      </c>
      <c r="E178" s="67" t="str">
        <f>VLOOKUP(D178,'03. Insumos'!A:D,2,0)</f>
        <v>Caçamba para entulho</v>
      </c>
      <c r="F178" s="68" t="s">
        <v>5218</v>
      </c>
      <c r="G178" s="68" t="str">
        <f>VLOOKUP(D178,'03. Insumos'!A:F,3,0)</f>
        <v>uni</v>
      </c>
      <c r="H178" s="69">
        <v>2</v>
      </c>
      <c r="I178" s="69">
        <f>L2*1</f>
        <v>4</v>
      </c>
      <c r="J178" s="70">
        <f>IFERROR(IF(K178&lt;&gt;0,K178*$K$5,0),0)</f>
        <v>400</v>
      </c>
      <c r="K178" s="70">
        <f>IF(A178=0,VLOOKUP(D178,'03. Insumos'!A:F,4,0),"")</f>
        <v>400</v>
      </c>
      <c r="L178" s="70">
        <f>H178*J178*I178</f>
        <v>3200</v>
      </c>
      <c r="M178" s="355">
        <f t="shared" ca="1" si="17"/>
        <v>5.680226519390155E-3</v>
      </c>
      <c r="O178" s="148">
        <f t="shared" si="25"/>
        <v>3200</v>
      </c>
      <c r="R178" s="356">
        <f t="shared" si="26"/>
        <v>-11.650485436893234</v>
      </c>
    </row>
    <row r="179" spans="1:18" s="51" customFormat="1" ht="13.5" hidden="1" customHeight="1" outlineLevel="1" x14ac:dyDescent="0.3">
      <c r="A179" s="290">
        <f t="shared" si="24"/>
        <v>0</v>
      </c>
      <c r="B179" s="49"/>
      <c r="C179" s="49"/>
      <c r="D179" s="370" t="s">
        <v>173</v>
      </c>
      <c r="E179" s="67" t="str">
        <f>VLOOKUP(D179,'03. Insumos'!A:D,2,0)</f>
        <v>Caçamba Classe D</v>
      </c>
      <c r="F179" s="68" t="s">
        <v>5218</v>
      </c>
      <c r="G179" s="68" t="str">
        <f>VLOOKUP(D179,'03. Insumos'!A:F,3,0)</f>
        <v>uni</v>
      </c>
      <c r="H179" s="69"/>
      <c r="I179" s="483"/>
      <c r="J179" s="70">
        <f>IFERROR(IF(K179&lt;&gt;0,K179*$K$5,0),0)</f>
        <v>700</v>
      </c>
      <c r="K179" s="70">
        <f>IF(A179=0,VLOOKUP(D179,'03. Insumos'!A:F,4,0),"")</f>
        <v>700</v>
      </c>
      <c r="L179" s="485">
        <f>H179*J179*I179</f>
        <v>0</v>
      </c>
      <c r="M179" s="153">
        <f t="shared" ca="1" si="17"/>
        <v>0</v>
      </c>
      <c r="O179" s="148">
        <f t="shared" si="25"/>
        <v>0</v>
      </c>
      <c r="R179" s="12">
        <f t="shared" si="26"/>
        <v>-20.388349514563174</v>
      </c>
    </row>
    <row r="180" spans="1:18" s="18" customFormat="1" ht="13.5" hidden="1" customHeight="1" outlineLevel="1" x14ac:dyDescent="0.3">
      <c r="A180" s="290">
        <f t="shared" si="24"/>
        <v>4</v>
      </c>
      <c r="B180" s="45"/>
      <c r="C180" s="45" t="s">
        <v>68</v>
      </c>
      <c r="D180" s="45" t="s">
        <v>69</v>
      </c>
      <c r="E180" s="347"/>
      <c r="F180" s="327"/>
      <c r="G180" s="327"/>
      <c r="H180" s="328"/>
      <c r="I180" s="328"/>
      <c r="J180" s="335"/>
      <c r="K180" s="335" t="str">
        <f>IF(A180=0,VLOOKUP(D180,'03. Insumos'!A:F,4,0),"")</f>
        <v/>
      </c>
      <c r="L180" s="335">
        <f>SUMIF(A181:A186,6,L181:L186)</f>
        <v>0</v>
      </c>
      <c r="M180" s="153">
        <f t="shared" ca="1" si="17"/>
        <v>0</v>
      </c>
      <c r="O180" s="148">
        <f t="shared" si="25"/>
        <v>0</v>
      </c>
      <c r="R180" s="12">
        <f t="shared" si="26"/>
        <v>0</v>
      </c>
    </row>
    <row r="181" spans="1:18" ht="13.5" hidden="1" customHeight="1" outlineLevel="1" x14ac:dyDescent="0.3">
      <c r="A181" s="290">
        <f t="shared" si="24"/>
        <v>6</v>
      </c>
      <c r="B181" s="606"/>
      <c r="C181" s="606" t="s">
        <v>928</v>
      </c>
      <c r="D181" s="606" t="s">
        <v>70</v>
      </c>
      <c r="E181" s="391"/>
      <c r="F181" s="325"/>
      <c r="G181" s="325"/>
      <c r="H181" s="326"/>
      <c r="I181" s="491"/>
      <c r="J181" s="334"/>
      <c r="K181" s="607" t="str">
        <f>IF(A181=0,VLOOKUP(D181,'03. Insumos'!A:F,4,0),"")</f>
        <v/>
      </c>
      <c r="L181" s="334">
        <f>SUM(L182)</f>
        <v>0</v>
      </c>
      <c r="M181" s="153">
        <f t="shared" ca="1" si="17"/>
        <v>0</v>
      </c>
      <c r="O181" s="148">
        <f t="shared" si="25"/>
        <v>0</v>
      </c>
      <c r="R181" s="12">
        <f t="shared" si="26"/>
        <v>0</v>
      </c>
    </row>
    <row r="182" spans="1:18" s="51" customFormat="1" ht="13.5" hidden="1" customHeight="1" outlineLevel="1" x14ac:dyDescent="0.3">
      <c r="A182" s="290">
        <f t="shared" si="24"/>
        <v>0</v>
      </c>
      <c r="B182" s="49"/>
      <c r="C182" s="49"/>
      <c r="D182" s="370" t="s">
        <v>174</v>
      </c>
      <c r="E182" s="67" t="str">
        <f>VLOOKUP(D182,'03. Insumos'!A:D,2,0)</f>
        <v>Caixinha de Obra</v>
      </c>
      <c r="F182" s="68" t="s">
        <v>3809</v>
      </c>
      <c r="G182" s="68" t="str">
        <f>VLOOKUP(D182,'03. Insumos'!A:F,3,0)</f>
        <v>mês</v>
      </c>
      <c r="H182" s="69"/>
      <c r="I182" s="483">
        <f>L2</f>
        <v>4</v>
      </c>
      <c r="J182" s="70">
        <f>IFERROR(IF(K182&lt;&gt;0,K182*$K$5,0),0)</f>
        <v>1000</v>
      </c>
      <c r="K182" s="54">
        <f>IF(A182=0,VLOOKUP(D182,'03. Insumos'!A:F,4,0),"")</f>
        <v>1000</v>
      </c>
      <c r="L182" s="485">
        <f>H182*J182*I182</f>
        <v>0</v>
      </c>
      <c r="M182" s="153">
        <f t="shared" ca="1" si="17"/>
        <v>0</v>
      </c>
      <c r="O182" s="148">
        <f t="shared" si="25"/>
        <v>0</v>
      </c>
      <c r="R182" s="12">
        <f t="shared" si="26"/>
        <v>-29.126213592233057</v>
      </c>
    </row>
    <row r="183" spans="1:18" ht="13.5" hidden="1" customHeight="1" outlineLevel="1" x14ac:dyDescent="0.3">
      <c r="A183" s="290">
        <f t="shared" si="24"/>
        <v>6</v>
      </c>
      <c r="B183" s="606"/>
      <c r="C183" s="606" t="s">
        <v>987</v>
      </c>
      <c r="D183" s="606" t="s">
        <v>988</v>
      </c>
      <c r="E183" s="391"/>
      <c r="F183" s="325"/>
      <c r="G183" s="325"/>
      <c r="H183" s="326"/>
      <c r="I183" s="491"/>
      <c r="J183" s="334"/>
      <c r="K183" s="607" t="str">
        <f>IF(A183=0,VLOOKUP(D183,'03. Insumos'!A:F,4,0),"")</f>
        <v/>
      </c>
      <c r="L183" s="334">
        <f>SUM(L184)</f>
        <v>0</v>
      </c>
      <c r="M183" s="153">
        <f t="shared" ca="1" si="17"/>
        <v>0</v>
      </c>
      <c r="O183" s="148">
        <f t="shared" si="25"/>
        <v>0</v>
      </c>
      <c r="R183" s="12">
        <f t="shared" si="26"/>
        <v>0</v>
      </c>
    </row>
    <row r="184" spans="1:18" s="51" customFormat="1" ht="13.5" hidden="1" customHeight="1" outlineLevel="1" x14ac:dyDescent="0.3">
      <c r="A184" s="290">
        <f t="shared" si="24"/>
        <v>0</v>
      </c>
      <c r="B184" s="49"/>
      <c r="C184" s="49"/>
      <c r="D184" s="140"/>
      <c r="E184" s="67" t="s">
        <v>988</v>
      </c>
      <c r="F184" s="68"/>
      <c r="G184" s="68" t="s">
        <v>29</v>
      </c>
      <c r="H184" s="69"/>
      <c r="I184" s="483">
        <f>L2</f>
        <v>4</v>
      </c>
      <c r="J184" s="70">
        <f>IFERROR(IF(K184&lt;&gt;0,K184*$K$5,0),0)</f>
        <v>200</v>
      </c>
      <c r="K184" s="54">
        <f>200</f>
        <v>200</v>
      </c>
      <c r="L184" s="485">
        <f>H184*J184*I184</f>
        <v>0</v>
      </c>
      <c r="M184" s="153">
        <f t="shared" ca="1" si="17"/>
        <v>0</v>
      </c>
      <c r="O184" s="148">
        <f t="shared" si="25"/>
        <v>0</v>
      </c>
      <c r="R184" s="12">
        <f t="shared" si="26"/>
        <v>-5.8252427184466171</v>
      </c>
    </row>
    <row r="185" spans="1:18" ht="13.5" hidden="1" customHeight="1" outlineLevel="1" x14ac:dyDescent="0.3">
      <c r="A185" s="290">
        <f t="shared" si="24"/>
        <v>6</v>
      </c>
      <c r="B185" s="606"/>
      <c r="C185" s="606" t="s">
        <v>989</v>
      </c>
      <c r="D185" s="606" t="s">
        <v>990</v>
      </c>
      <c r="E185" s="391"/>
      <c r="F185" s="325"/>
      <c r="G185" s="325"/>
      <c r="H185" s="326"/>
      <c r="I185" s="633"/>
      <c r="J185" s="334"/>
      <c r="K185" s="607" t="str">
        <f>IF(A185=0,VLOOKUP(D185,'03. Insumos'!A:F,4,0),"")</f>
        <v/>
      </c>
      <c r="L185" s="334">
        <f>SUM(L186:L186)</f>
        <v>0</v>
      </c>
      <c r="M185" s="153">
        <f t="shared" ca="1" si="17"/>
        <v>0</v>
      </c>
      <c r="O185" s="148"/>
      <c r="R185" s="12">
        <f t="shared" si="26"/>
        <v>0</v>
      </c>
    </row>
    <row r="186" spans="1:18" s="51" customFormat="1" ht="13.5" hidden="1" customHeight="1" outlineLevel="1" x14ac:dyDescent="0.3">
      <c r="A186" s="290">
        <f t="shared" si="24"/>
        <v>0</v>
      </c>
      <c r="B186" s="49"/>
      <c r="C186" s="49"/>
      <c r="D186" s="140"/>
      <c r="E186" s="67" t="s">
        <v>991</v>
      </c>
      <c r="F186" s="68" t="s">
        <v>2612</v>
      </c>
      <c r="G186" s="68" t="s">
        <v>37</v>
      </c>
      <c r="H186" s="345"/>
      <c r="I186" s="483">
        <f>L2</f>
        <v>4</v>
      </c>
      <c r="J186" s="70">
        <f>IFERROR(IF(K186&lt;&gt;0,K186*$K$5,0),0)</f>
        <v>400</v>
      </c>
      <c r="K186" s="70">
        <v>400</v>
      </c>
      <c r="L186" s="70">
        <f>H186*J186*I186</f>
        <v>0</v>
      </c>
      <c r="M186" s="153">
        <f t="shared" ca="1" si="17"/>
        <v>0</v>
      </c>
      <c r="O186" s="148">
        <f t="shared" ref="O186:O206" si="29">IF(I186&lt;&gt;0,I186*H186*K186,)</f>
        <v>0</v>
      </c>
      <c r="R186" s="12">
        <f t="shared" si="26"/>
        <v>-11.650485436893234</v>
      </c>
    </row>
    <row r="187" spans="1:18" s="18" customFormat="1" ht="13.5" hidden="1" customHeight="1" outlineLevel="1" x14ac:dyDescent="0.3">
      <c r="A187" s="290">
        <f t="shared" si="24"/>
        <v>4</v>
      </c>
      <c r="B187" s="45"/>
      <c r="C187" s="45" t="s">
        <v>1362</v>
      </c>
      <c r="D187" s="45" t="s">
        <v>1363</v>
      </c>
      <c r="E187" s="347"/>
      <c r="F187" s="327"/>
      <c r="G187" s="327"/>
      <c r="H187" s="328"/>
      <c r="I187" s="328"/>
      <c r="J187" s="335"/>
      <c r="K187" s="335" t="str">
        <f>IF(A187=0,VLOOKUP(D187,'03. Insumos'!A:F,4,0),"")</f>
        <v/>
      </c>
      <c r="L187" s="335">
        <f>SUMIF(A188:A190,6,L188:L190)</f>
        <v>0</v>
      </c>
      <c r="M187" s="153">
        <f t="shared" ca="1" si="17"/>
        <v>0</v>
      </c>
      <c r="O187" s="148">
        <f t="shared" si="29"/>
        <v>0</v>
      </c>
      <c r="R187" s="12">
        <f t="shared" si="26"/>
        <v>0</v>
      </c>
    </row>
    <row r="188" spans="1:18" ht="13.5" hidden="1" customHeight="1" outlineLevel="1" x14ac:dyDescent="0.3">
      <c r="A188" s="290">
        <f t="shared" si="24"/>
        <v>6</v>
      </c>
      <c r="B188" s="606"/>
      <c r="C188" s="606" t="s">
        <v>928</v>
      </c>
      <c r="D188" s="606" t="s">
        <v>1363</v>
      </c>
      <c r="E188" s="391"/>
      <c r="F188" s="325"/>
      <c r="G188" s="325"/>
      <c r="H188" s="326"/>
      <c r="I188" s="491"/>
      <c r="J188" s="334"/>
      <c r="K188" s="607" t="str">
        <f>IF(A188=0,VLOOKUP(D188,'03. Insumos'!A:F,4,0),"")</f>
        <v/>
      </c>
      <c r="L188" s="334">
        <f>SUM(L189:L190)</f>
        <v>0</v>
      </c>
      <c r="M188" s="153">
        <f t="shared" ca="1" si="17"/>
        <v>0</v>
      </c>
      <c r="O188" s="148">
        <f t="shared" si="29"/>
        <v>0</v>
      </c>
      <c r="R188" s="12">
        <f t="shared" si="26"/>
        <v>0</v>
      </c>
    </row>
    <row r="189" spans="1:18" s="51" customFormat="1" ht="13.5" hidden="1" customHeight="1" outlineLevel="1" x14ac:dyDescent="0.3">
      <c r="A189" s="290">
        <f t="shared" si="24"/>
        <v>0</v>
      </c>
      <c r="B189" s="49"/>
      <c r="C189" s="49"/>
      <c r="D189" s="140"/>
      <c r="E189" s="67" t="s">
        <v>1364</v>
      </c>
      <c r="F189" s="68"/>
      <c r="G189" s="68" t="s">
        <v>37</v>
      </c>
      <c r="H189" s="69"/>
      <c r="I189" s="483">
        <f>L2</f>
        <v>4</v>
      </c>
      <c r="J189" s="70">
        <f>IFERROR(IF(K189&lt;&gt;0,K189*$K$5,0),0)</f>
        <v>2000</v>
      </c>
      <c r="K189" s="54">
        <f>2000</f>
        <v>2000</v>
      </c>
      <c r="L189" s="485">
        <f>H189*J189*I189</f>
        <v>0</v>
      </c>
      <c r="M189" s="153">
        <f t="shared" ca="1" si="17"/>
        <v>0</v>
      </c>
      <c r="O189" s="148">
        <f t="shared" si="29"/>
        <v>0</v>
      </c>
      <c r="R189" s="12">
        <f t="shared" si="26"/>
        <v>-58.252427184466114</v>
      </c>
    </row>
    <row r="190" spans="1:18" s="51" customFormat="1" ht="12.75" hidden="1" customHeight="1" outlineLevel="1" x14ac:dyDescent="0.3">
      <c r="A190" s="290">
        <f t="shared" si="24"/>
        <v>0</v>
      </c>
      <c r="B190" s="49"/>
      <c r="C190" s="49"/>
      <c r="D190" s="140"/>
      <c r="E190" s="67" t="s">
        <v>1365</v>
      </c>
      <c r="F190" s="68"/>
      <c r="G190" s="68" t="s">
        <v>37</v>
      </c>
      <c r="H190" s="69"/>
      <c r="I190" s="483">
        <f>L2</f>
        <v>4</v>
      </c>
      <c r="J190" s="70">
        <f>IFERROR(IF(K190&lt;&gt;0,K190*$K$5,0),0)</f>
        <v>3000</v>
      </c>
      <c r="K190" s="54">
        <f>3000</f>
        <v>3000</v>
      </c>
      <c r="L190" s="485">
        <f>H190*J190*I190</f>
        <v>0</v>
      </c>
      <c r="M190" s="153">
        <f t="shared" ca="1" si="17"/>
        <v>0</v>
      </c>
      <c r="O190" s="148">
        <f t="shared" si="29"/>
        <v>0</v>
      </c>
      <c r="R190" s="12">
        <f t="shared" si="26"/>
        <v>-87.378640776699285</v>
      </c>
    </row>
    <row r="191" spans="1:18" ht="13.5" customHeight="1" x14ac:dyDescent="0.3">
      <c r="A191" s="290">
        <f t="shared" si="24"/>
        <v>1</v>
      </c>
      <c r="B191" s="20"/>
      <c r="C191" s="20" t="s">
        <v>353</v>
      </c>
      <c r="D191" s="20" t="s">
        <v>260</v>
      </c>
      <c r="E191" s="389"/>
      <c r="F191" s="331"/>
      <c r="G191" s="331"/>
      <c r="H191" s="332"/>
      <c r="I191" s="332"/>
      <c r="J191" s="337"/>
      <c r="K191" s="26">
        <f ca="1">L191/H327</f>
        <v>11552.586138244518</v>
      </c>
      <c r="L191" s="26">
        <f ca="1">SUMIF(A192:A628,3,L192:L628)</f>
        <v>482089.4195489437</v>
      </c>
      <c r="M191" s="153">
        <f t="shared" ref="M191:M265" ca="1" si="30">L191/$L$7</f>
        <v>0.85574284551228652</v>
      </c>
      <c r="O191" s="148">
        <f t="shared" si="29"/>
        <v>0</v>
      </c>
      <c r="R191" s="12">
        <f t="shared" si="26"/>
        <v>0</v>
      </c>
    </row>
    <row r="192" spans="1:18" s="592" customFormat="1" x14ac:dyDescent="0.3">
      <c r="A192" s="478">
        <f t="shared" si="24"/>
        <v>3</v>
      </c>
      <c r="B192" s="390"/>
      <c r="C192" s="390" t="s">
        <v>343</v>
      </c>
      <c r="D192" s="390" t="s">
        <v>2910</v>
      </c>
      <c r="E192" s="390"/>
      <c r="F192" s="323"/>
      <c r="G192" s="678"/>
      <c r="H192" s="324"/>
      <c r="I192" s="324"/>
      <c r="J192" s="333"/>
      <c r="K192" s="333"/>
      <c r="L192" s="333">
        <f>SUMIF(A193:A204,4,L193:L204)</f>
        <v>7656.7879999999986</v>
      </c>
      <c r="M192" s="479">
        <f t="shared" ca="1" si="30"/>
        <v>1.3591340703421344E-2</v>
      </c>
      <c r="O192" s="499">
        <f t="shared" si="29"/>
        <v>0</v>
      </c>
      <c r="R192" s="348">
        <f t="shared" si="26"/>
        <v>0</v>
      </c>
    </row>
    <row r="193" spans="1:22" s="18" customFormat="1" outlineLevel="1" x14ac:dyDescent="0.3">
      <c r="A193" s="290">
        <f t="shared" si="24"/>
        <v>4</v>
      </c>
      <c r="B193" s="45"/>
      <c r="C193" s="45" t="s">
        <v>378</v>
      </c>
      <c r="D193" s="45" t="s">
        <v>2841</v>
      </c>
      <c r="E193" s="347"/>
      <c r="F193" s="327"/>
      <c r="G193" s="327"/>
      <c r="H193" s="328"/>
      <c r="I193" s="328"/>
      <c r="J193" s="335"/>
      <c r="K193" s="335" t="str">
        <f>IF(A193=0,VLOOKUP(D193,'03. Insumos'!A:F,4,0),"")</f>
        <v/>
      </c>
      <c r="L193" s="335">
        <f>SUMIF(A194:A204,6,L194:L204)</f>
        <v>7656.7879999999986</v>
      </c>
      <c r="M193" s="153">
        <f t="shared" ca="1" si="30"/>
        <v>1.3591340703421344E-2</v>
      </c>
      <c r="O193" s="148">
        <f t="shared" si="29"/>
        <v>0</v>
      </c>
      <c r="R193" s="12">
        <f t="shared" si="26"/>
        <v>0</v>
      </c>
    </row>
    <row r="194" spans="1:22" s="18" customFormat="1" ht="13.5" customHeight="1" outlineLevel="1" x14ac:dyDescent="0.3">
      <c r="A194" s="18">
        <f t="shared" si="24"/>
        <v>6</v>
      </c>
      <c r="B194" s="606"/>
      <c r="C194" s="606" t="s">
        <v>929</v>
      </c>
      <c r="D194" s="606" t="s">
        <v>2841</v>
      </c>
      <c r="E194" s="391"/>
      <c r="F194" s="325"/>
      <c r="G194" s="325"/>
      <c r="H194" s="326"/>
      <c r="I194" s="326"/>
      <c r="J194" s="334"/>
      <c r="K194" s="607" t="str">
        <f>IF(A194=0,VLOOKUP(D194,'03. Insumos'!A:F,4,0),"")</f>
        <v/>
      </c>
      <c r="L194" s="334">
        <f>SUMIF(A195:A204,,L195:L204)</f>
        <v>7656.7879999999986</v>
      </c>
      <c r="M194" s="598">
        <f t="shared" ca="1" si="30"/>
        <v>1.3591340703421344E-2</v>
      </c>
      <c r="O194" s="600">
        <f t="shared" si="29"/>
        <v>0</v>
      </c>
      <c r="R194" s="601">
        <f t="shared" si="26"/>
        <v>0</v>
      </c>
    </row>
    <row r="195" spans="1:22" s="51" customFormat="1" ht="13.5" customHeight="1" outlineLevel="1" x14ac:dyDescent="0.3">
      <c r="A195" s="13">
        <f>LEN(C195)</f>
        <v>0</v>
      </c>
      <c r="B195" s="49"/>
      <c r="C195" s="49"/>
      <c r="D195" s="370" t="s">
        <v>411</v>
      </c>
      <c r="E195" s="67" t="str">
        <f>VLOOKUP(D195,'03. Insumos'!A:D,2,0)</f>
        <v>Martelete de 2,5 Kg</v>
      </c>
      <c r="F195" s="68" t="s">
        <v>5218</v>
      </c>
      <c r="G195" s="68" t="str">
        <f>VLOOKUP(D195,'03. Insumos'!A:F,3,0)</f>
        <v>mês</v>
      </c>
      <c r="H195" s="69">
        <v>1</v>
      </c>
      <c r="I195" s="69">
        <v>1</v>
      </c>
      <c r="J195" s="70">
        <f t="shared" ref="J195:J204" si="31">IFERROR(IF(K195&lt;&gt;0,K195*$K$5,0),0)</f>
        <v>185</v>
      </c>
      <c r="K195" s="70">
        <f>IF(A195=0,VLOOKUP(D195,'03. Insumos'!A:F,4,0),"")</f>
        <v>185</v>
      </c>
      <c r="L195" s="70">
        <f t="shared" ref="L195:L204" si="32">H195*J195*I195</f>
        <v>185</v>
      </c>
      <c r="M195" s="355">
        <f t="shared" ca="1" si="30"/>
        <v>3.2838809565224338E-4</v>
      </c>
      <c r="O195" s="148">
        <f t="shared" si="29"/>
        <v>185</v>
      </c>
      <c r="R195" s="356">
        <f>IF(J195&lt;&gt;0,J195/1.03-K195,0)</f>
        <v>-5.3883495145631173</v>
      </c>
    </row>
    <row r="196" spans="1:22" ht="13.5" customHeight="1" outlineLevel="1" x14ac:dyDescent="0.3">
      <c r="A196" s="13">
        <f t="shared" ref="A196:A204" si="33">LEN(C196)</f>
        <v>0</v>
      </c>
      <c r="B196" s="4"/>
      <c r="C196" s="4"/>
      <c r="D196" s="370" t="s">
        <v>5465</v>
      </c>
      <c r="E196" s="67" t="str">
        <f>VLOOKUP(D196,'03. Insumos'!A:D,2,0)</f>
        <v>Demolição - Pilares</v>
      </c>
      <c r="F196" s="68" t="s">
        <v>5218</v>
      </c>
      <c r="G196" s="68" t="str">
        <f>VLOOKUP(D196,'03. Insumos'!A:F,3,0)</f>
        <v>unid</v>
      </c>
      <c r="H196" s="69">
        <v>1</v>
      </c>
      <c r="I196" s="69">
        <v>7</v>
      </c>
      <c r="J196" s="70">
        <f t="shared" si="31"/>
        <v>170</v>
      </c>
      <c r="K196" s="70">
        <f>IF(A196=0,VLOOKUP(D196,'03. Insumos'!A:F,4,0),"")</f>
        <v>170</v>
      </c>
      <c r="L196" s="70">
        <f t="shared" si="32"/>
        <v>1190</v>
      </c>
      <c r="M196" s="355">
        <f t="shared" ca="1" si="30"/>
        <v>2.1123342368982142E-3</v>
      </c>
      <c r="O196" s="148"/>
      <c r="R196" s="356"/>
    </row>
    <row r="197" spans="1:22" ht="13.5" customHeight="1" outlineLevel="1" x14ac:dyDescent="0.3">
      <c r="A197" s="13">
        <f t="shared" si="33"/>
        <v>0</v>
      </c>
      <c r="B197" s="4"/>
      <c r="C197" s="4"/>
      <c r="D197" s="370" t="s">
        <v>5474</v>
      </c>
      <c r="E197" s="67" t="str">
        <f>VLOOKUP(D197,'03. Insumos'!A:D,2,0)</f>
        <v>Demolição - Esquadrias</v>
      </c>
      <c r="F197" s="68" t="s">
        <v>5218</v>
      </c>
      <c r="G197" s="68" t="str">
        <f>VLOOKUP(D197,'03. Insumos'!A:F,3,0)</f>
        <v>unid</v>
      </c>
      <c r="H197" s="69">
        <v>1</v>
      </c>
      <c r="I197" s="69">
        <v>9</v>
      </c>
      <c r="J197" s="70">
        <f t="shared" si="31"/>
        <v>15</v>
      </c>
      <c r="K197" s="70">
        <f>IF(A197=0,VLOOKUP(D197,'03. Insumos'!A:F,4,0),"")</f>
        <v>15</v>
      </c>
      <c r="L197" s="70">
        <f t="shared" si="32"/>
        <v>135</v>
      </c>
      <c r="M197" s="355">
        <f t="shared" ca="1" si="30"/>
        <v>2.3963455628677217E-4</v>
      </c>
      <c r="O197" s="148"/>
      <c r="R197" s="356"/>
    </row>
    <row r="198" spans="1:22" ht="13.5" customHeight="1" outlineLevel="1" x14ac:dyDescent="0.3">
      <c r="A198" s="13">
        <f t="shared" si="33"/>
        <v>0</v>
      </c>
      <c r="B198" s="4"/>
      <c r="C198" s="4"/>
      <c r="D198" s="370" t="s">
        <v>5475</v>
      </c>
      <c r="E198" s="67" t="str">
        <f>VLOOKUP(D198,'03. Insumos'!A:D,2,0)</f>
        <v>Demolição - Armário</v>
      </c>
      <c r="F198" s="68" t="s">
        <v>5218</v>
      </c>
      <c r="G198" s="68" t="str">
        <f>VLOOKUP(D198,'03. Insumos'!A:F,3,0)</f>
        <v>m²</v>
      </c>
      <c r="H198" s="69">
        <v>1</v>
      </c>
      <c r="I198" s="69">
        <v>23.82</v>
      </c>
      <c r="J198" s="70">
        <f t="shared" si="31"/>
        <v>15</v>
      </c>
      <c r="K198" s="70">
        <f>IF(A198=0,VLOOKUP(D198,'03. Insumos'!A:F,4,0),"")</f>
        <v>15</v>
      </c>
      <c r="L198" s="70">
        <f t="shared" si="32"/>
        <v>357.3</v>
      </c>
      <c r="M198" s="355">
        <f t="shared" ca="1" si="30"/>
        <v>6.3423279230565704E-4</v>
      </c>
      <c r="O198" s="148"/>
      <c r="R198" s="356"/>
    </row>
    <row r="199" spans="1:22" s="51" customFormat="1" ht="13.5" customHeight="1" outlineLevel="1" x14ac:dyDescent="0.3">
      <c r="A199" s="13">
        <f t="shared" si="33"/>
        <v>0</v>
      </c>
      <c r="B199" s="49"/>
      <c r="C199" s="49"/>
      <c r="D199" s="370" t="s">
        <v>5091</v>
      </c>
      <c r="E199" s="67" t="str">
        <f>VLOOKUP(D199,'03. Insumos'!A:D,2,0)</f>
        <v>Demolição - Forro Existete</v>
      </c>
      <c r="F199" s="68" t="s">
        <v>3809</v>
      </c>
      <c r="G199" s="68" t="str">
        <f>VLOOKUP(D199,'03. Insumos'!A:F,3,0)</f>
        <v>m²</v>
      </c>
      <c r="H199" s="69">
        <v>1</v>
      </c>
      <c r="I199" s="69">
        <v>31.39</v>
      </c>
      <c r="J199" s="70">
        <f t="shared" si="31"/>
        <v>18</v>
      </c>
      <c r="K199" s="70">
        <f>IF(A199=0,VLOOKUP(D199,'03. Insumos'!A:F,4,0),"")</f>
        <v>18</v>
      </c>
      <c r="L199" s="70">
        <f>H199*J199*I199</f>
        <v>565.02</v>
      </c>
      <c r="M199" s="355">
        <f t="shared" ca="1" si="30"/>
        <v>1.0029504962455705E-3</v>
      </c>
      <c r="O199" s="148">
        <f>IF(I199&lt;&gt;0,I199*H199*K199,)</f>
        <v>565.02</v>
      </c>
      <c r="R199" s="356">
        <f t="shared" ref="R199:R204" si="34">IF(J199&lt;&gt;0,J199/1.03-K199,0)</f>
        <v>-0.52427184466019483</v>
      </c>
      <c r="T199" s="224">
        <f>SUM(L196:L203)</f>
        <v>5471.7879999999986</v>
      </c>
      <c r="U199" s="224">
        <f>T199/120</f>
        <v>45.598233333333319</v>
      </c>
      <c r="V199" s="224">
        <f>U199/4</f>
        <v>11.39955833333333</v>
      </c>
    </row>
    <row r="200" spans="1:22" s="51" customFormat="1" ht="13.5" customHeight="1" outlineLevel="1" x14ac:dyDescent="0.3">
      <c r="A200" s="13">
        <f t="shared" si="33"/>
        <v>0</v>
      </c>
      <c r="B200" s="49"/>
      <c r="C200" s="49"/>
      <c r="D200" s="370" t="s">
        <v>5092</v>
      </c>
      <c r="E200" s="67" t="str">
        <f>VLOOKUP(D200,'03. Insumos'!A:D,2,0)</f>
        <v>Demolição - Contra piso existente</v>
      </c>
      <c r="F200" s="68" t="s">
        <v>3809</v>
      </c>
      <c r="G200" s="68" t="str">
        <f>VLOOKUP(D200,'03. Insumos'!A:F,3,0)</f>
        <v>m²</v>
      </c>
      <c r="H200" s="69">
        <v>1</v>
      </c>
      <c r="I200" s="69">
        <v>28.18</v>
      </c>
      <c r="J200" s="70">
        <f t="shared" si="31"/>
        <v>18</v>
      </c>
      <c r="K200" s="70">
        <f>IF(A200=0,VLOOKUP(D200,'03. Insumos'!A:F,4,0),"")</f>
        <v>18</v>
      </c>
      <c r="L200" s="70">
        <f t="shared" si="32"/>
        <v>507.24</v>
      </c>
      <c r="M200" s="355">
        <f t="shared" ca="1" si="30"/>
        <v>9.0038690615483203E-4</v>
      </c>
      <c r="O200" s="148">
        <f>IF(I200&lt;&gt;0,I200*H200*K200,)</f>
        <v>507.24</v>
      </c>
      <c r="R200" s="356">
        <f t="shared" si="34"/>
        <v>-0.52427184466019483</v>
      </c>
      <c r="T200" s="51">
        <f>3*10*120</f>
        <v>3600</v>
      </c>
      <c r="U200" s="224"/>
      <c r="V200" s="194"/>
    </row>
    <row r="201" spans="1:22" s="51" customFormat="1" ht="13.5" customHeight="1" outlineLevel="1" x14ac:dyDescent="0.3">
      <c r="A201" s="13">
        <f t="shared" si="33"/>
        <v>0</v>
      </c>
      <c r="B201" s="49"/>
      <c r="C201" s="49"/>
      <c r="D201" s="370" t="s">
        <v>5430</v>
      </c>
      <c r="E201" s="67" t="str">
        <f>VLOOKUP(D201,'03. Insumos'!A:D,2,0)</f>
        <v>Demolição - Revestimento existente</v>
      </c>
      <c r="F201" s="68" t="s">
        <v>3809</v>
      </c>
      <c r="G201" s="68" t="str">
        <f>VLOOKUP(D201,'03. Insumos'!A:F,3,0)</f>
        <v>m²</v>
      </c>
      <c r="H201" s="69">
        <v>1</v>
      </c>
      <c r="I201" s="69">
        <v>111.74</v>
      </c>
      <c r="J201" s="70">
        <f t="shared" si="31"/>
        <v>10</v>
      </c>
      <c r="K201" s="70">
        <f>IF(A201=0,VLOOKUP(D201,'03. Insumos'!A:F,4,0),"")</f>
        <v>10</v>
      </c>
      <c r="L201" s="70">
        <f t="shared" si="32"/>
        <v>1117.3999999999999</v>
      </c>
      <c r="M201" s="355">
        <f t="shared" ca="1" si="30"/>
        <v>1.9834640977395494E-3</v>
      </c>
      <c r="O201" s="148">
        <f>IF(I201&lt;&gt;0,I201*H201*K201,)</f>
        <v>1117.3999999999999</v>
      </c>
      <c r="R201" s="356">
        <f t="shared" si="34"/>
        <v>-0.29126213592233086</v>
      </c>
    </row>
    <row r="202" spans="1:22" s="51" customFormat="1" ht="13.5" customHeight="1" outlineLevel="1" x14ac:dyDescent="0.3">
      <c r="A202" s="13">
        <f t="shared" si="33"/>
        <v>0</v>
      </c>
      <c r="B202" s="49"/>
      <c r="C202" s="49"/>
      <c r="D202" s="370" t="s">
        <v>5429</v>
      </c>
      <c r="E202" s="67" t="str">
        <f>VLOOKUP(D202,'03. Insumos'!A:D,2,0)</f>
        <v xml:space="preserve">Demolição - Rasgo para Rodapé </v>
      </c>
      <c r="F202" s="68" t="s">
        <v>3809</v>
      </c>
      <c r="G202" s="68" t="str">
        <f>VLOOKUP(D202,'03. Insumos'!A:F,3,0)</f>
        <v>m</v>
      </c>
      <c r="H202" s="69">
        <v>1</v>
      </c>
      <c r="I202" s="69">
        <v>25.28</v>
      </c>
      <c r="J202" s="70">
        <f t="shared" si="31"/>
        <v>12</v>
      </c>
      <c r="K202" s="70">
        <f>IF(A202=0,VLOOKUP(D202,'03. Insumos'!A:F,4,0),"")</f>
        <v>12</v>
      </c>
      <c r="L202" s="70">
        <f t="shared" si="32"/>
        <v>303.36</v>
      </c>
      <c r="M202" s="355">
        <f t="shared" ca="1" si="30"/>
        <v>5.3848547403818675E-4</v>
      </c>
      <c r="O202" s="148">
        <f>IF(I202&lt;&gt;0,I202*H202*K202,)</f>
        <v>303.36</v>
      </c>
      <c r="R202" s="356">
        <f t="shared" si="34"/>
        <v>-0.34951456310679596</v>
      </c>
    </row>
    <row r="203" spans="1:22" s="51" customFormat="1" ht="13.5" customHeight="1" outlineLevel="1" x14ac:dyDescent="0.3">
      <c r="A203" s="13">
        <f t="shared" si="33"/>
        <v>0</v>
      </c>
      <c r="B203" s="49"/>
      <c r="C203" s="49"/>
      <c r="D203" s="370" t="s">
        <v>5313</v>
      </c>
      <c r="E203" s="67" t="str">
        <f>VLOOKUP(D203,'03. Insumos'!A:D,2,0)</f>
        <v>Demolição - Paredes</v>
      </c>
      <c r="F203" s="68" t="s">
        <v>3809</v>
      </c>
      <c r="G203" s="68" t="str">
        <f>VLOOKUP(D203,'03. Insumos'!A:F,3,0)</f>
        <v>m²</v>
      </c>
      <c r="H203" s="69">
        <v>1</v>
      </c>
      <c r="I203" s="69">
        <v>72.025999999999996</v>
      </c>
      <c r="J203" s="70">
        <f t="shared" si="31"/>
        <v>18</v>
      </c>
      <c r="K203" s="70">
        <f>IF(A203=0,VLOOKUP(D203,'03. Insumos'!A:F,4,0),"")</f>
        <v>18</v>
      </c>
      <c r="L203" s="70">
        <f t="shared" si="32"/>
        <v>1296.4679999999998</v>
      </c>
      <c r="M203" s="355">
        <f t="shared" ca="1" si="30"/>
        <v>2.3013224734814734E-3</v>
      </c>
      <c r="O203" s="148">
        <f>IF(I203&lt;&gt;0,I203*H203*K203,)</f>
        <v>1296.4679999999998</v>
      </c>
      <c r="R203" s="356">
        <f t="shared" si="34"/>
        <v>-0.52427184466019483</v>
      </c>
    </row>
    <row r="204" spans="1:22" s="51" customFormat="1" ht="13.5" customHeight="1" outlineLevel="1" x14ac:dyDescent="0.3">
      <c r="A204" s="13">
        <f t="shared" si="33"/>
        <v>0</v>
      </c>
      <c r="B204" s="49"/>
      <c r="C204" s="49"/>
      <c r="D204" s="370" t="s">
        <v>172</v>
      </c>
      <c r="E204" s="67" t="str">
        <f>VLOOKUP(D204,'03. Insumos'!A:D,2,0)</f>
        <v>Caçamba para entulho</v>
      </c>
      <c r="F204" s="68" t="s">
        <v>5218</v>
      </c>
      <c r="G204" s="68" t="str">
        <f>VLOOKUP(D204,'03. Insumos'!A:F,3,0)</f>
        <v>uni</v>
      </c>
      <c r="H204" s="69">
        <v>1</v>
      </c>
      <c r="I204" s="69">
        <f>ROUNDUP((((((I199*0.04)*1.4)+((I200*0.02)*1.4)+((I202*0.03)*1.2)*1)+((I203*0.1)*1.5)+((I201*0.02)*1.3)*1)/4+((I198*0.2)*1.3))/5,0)+2</f>
        <v>5</v>
      </c>
      <c r="J204" s="70">
        <f t="shared" si="31"/>
        <v>400</v>
      </c>
      <c r="K204" s="70">
        <f>IF(A204=0,VLOOKUP(D204,'03. Insumos'!A:F,4,0),"")</f>
        <v>400</v>
      </c>
      <c r="L204" s="70">
        <f t="shared" si="32"/>
        <v>2000</v>
      </c>
      <c r="M204" s="355">
        <f t="shared" ca="1" si="30"/>
        <v>3.550141574618847E-3</v>
      </c>
      <c r="O204" s="148">
        <f t="shared" si="29"/>
        <v>2000</v>
      </c>
      <c r="R204" s="356">
        <f t="shared" si="34"/>
        <v>-11.650485436893234</v>
      </c>
    </row>
    <row r="205" spans="1:22" s="592" customFormat="1" ht="13.5" hidden="1" customHeight="1" x14ac:dyDescent="0.3">
      <c r="A205" s="478">
        <f t="shared" si="24"/>
        <v>3</v>
      </c>
      <c r="B205" s="390"/>
      <c r="C205" s="390" t="s">
        <v>344</v>
      </c>
      <c r="D205" s="390" t="s">
        <v>114</v>
      </c>
      <c r="E205" s="390"/>
      <c r="F205" s="323"/>
      <c r="G205" s="562"/>
      <c r="H205" s="324"/>
      <c r="I205" s="324"/>
      <c r="J205" s="333"/>
      <c r="K205" s="333"/>
      <c r="L205" s="333">
        <f>SUMIF(A206:A232,4,L206:L232)</f>
        <v>0</v>
      </c>
      <c r="M205" s="479">
        <f t="shared" ca="1" si="30"/>
        <v>0</v>
      </c>
      <c r="O205" s="499">
        <f t="shared" si="29"/>
        <v>0</v>
      </c>
      <c r="R205" s="348"/>
      <c r="S205" s="609"/>
    </row>
    <row r="206" spans="1:22" s="18" customFormat="1" ht="13.5" hidden="1" customHeight="1" outlineLevel="1" x14ac:dyDescent="0.3">
      <c r="A206" s="290">
        <f t="shared" si="24"/>
        <v>4</v>
      </c>
      <c r="B206" s="45"/>
      <c r="C206" s="45" t="s">
        <v>377</v>
      </c>
      <c r="D206" s="45" t="s">
        <v>3509</v>
      </c>
      <c r="E206" s="347"/>
      <c r="F206" s="327"/>
      <c r="G206" s="327"/>
      <c r="H206" s="328"/>
      <c r="I206" s="328"/>
      <c r="J206" s="335"/>
      <c r="K206" s="335" t="str">
        <f>IF(A206=0,VLOOKUP(D206,'03. Insumos'!A:F,4,0),"")</f>
        <v/>
      </c>
      <c r="L206" s="335">
        <f>SUMIF(A207:A210,6,L207:L210)</f>
        <v>0</v>
      </c>
      <c r="M206" s="153">
        <f t="shared" ca="1" si="30"/>
        <v>0</v>
      </c>
      <c r="O206" s="148">
        <f t="shared" si="29"/>
        <v>0</v>
      </c>
      <c r="R206" s="12"/>
    </row>
    <row r="207" spans="1:22" s="18" customFormat="1" ht="13.5" hidden="1" customHeight="1" outlineLevel="1" x14ac:dyDescent="0.3">
      <c r="A207" s="18">
        <f>LEN(C207)</f>
        <v>6</v>
      </c>
      <c r="B207" s="606"/>
      <c r="C207" s="606" t="s">
        <v>930</v>
      </c>
      <c r="D207" s="606" t="s">
        <v>3523</v>
      </c>
      <c r="E207" s="391"/>
      <c r="F207" s="325"/>
      <c r="G207" s="325" t="s">
        <v>74</v>
      </c>
      <c r="H207" s="326"/>
      <c r="I207" s="326"/>
      <c r="J207" s="334"/>
      <c r="K207" s="607" t="str">
        <f>IF(A207=0,VLOOKUP(D207,'03. Insumos'!A:F,4,0),"")</f>
        <v/>
      </c>
      <c r="L207" s="334">
        <f>SUMIF(A208:A210,,L208:L210)</f>
        <v>0</v>
      </c>
      <c r="M207" s="598">
        <f t="shared" ca="1" si="30"/>
        <v>0</v>
      </c>
      <c r="O207" s="600"/>
      <c r="R207" s="601"/>
    </row>
    <row r="208" spans="1:22" ht="13.5" hidden="1" customHeight="1" outlineLevel="1" x14ac:dyDescent="0.3">
      <c r="A208" s="13">
        <v>0</v>
      </c>
      <c r="B208" s="67"/>
      <c r="C208" s="55"/>
      <c r="D208" s="140" t="s">
        <v>3383</v>
      </c>
      <c r="E208" s="67" t="str">
        <f>VLOOKUP(D208,'03. Insumos'!A:D,2,0)</f>
        <v>Fornecimento Estaca Pré Moldada de concreto (281mm)</v>
      </c>
      <c r="F208" s="68"/>
      <c r="G208" s="68" t="str">
        <f>VLOOKUP(D208,'03. Insumos'!A:F,3,0)</f>
        <v>m</v>
      </c>
      <c r="H208" s="69"/>
      <c r="I208" s="69"/>
      <c r="J208" s="70">
        <f>IFERROR(IF(K208&lt;&gt;0,K208*$K$5,0),0)</f>
        <v>120</v>
      </c>
      <c r="K208" s="54">
        <f>IF(A208=0,VLOOKUP(D208,'03. Insumos'!A:F,4,0),"")</f>
        <v>120</v>
      </c>
      <c r="L208" s="70">
        <f>H208*J208*I208</f>
        <v>0</v>
      </c>
      <c r="M208" s="355">
        <f t="shared" ca="1" si="30"/>
        <v>0</v>
      </c>
      <c r="O208" s="148"/>
      <c r="R208" s="356"/>
    </row>
    <row r="209" spans="1:18" ht="13.5" hidden="1" customHeight="1" outlineLevel="1" x14ac:dyDescent="0.3">
      <c r="A209" s="13">
        <v>0</v>
      </c>
      <c r="B209" s="67"/>
      <c r="C209" s="55"/>
      <c r="D209" s="140" t="s">
        <v>4885</v>
      </c>
      <c r="E209" s="67" t="str">
        <f>VLOOKUP(D209,'03. Insumos'!A:D,2,0)</f>
        <v>Cravação Estaca Pré Moldada de concreto (281mm)</v>
      </c>
      <c r="F209" s="68"/>
      <c r="G209" s="68" t="str">
        <f>VLOOKUP(D209,'03. Insumos'!A:F,3,0)</f>
        <v>m</v>
      </c>
      <c r="H209" s="69"/>
      <c r="I209" s="69"/>
      <c r="J209" s="70">
        <f>IFERROR(IF(K209&lt;&gt;0,K209*$K$5,0),0)</f>
        <v>50</v>
      </c>
      <c r="K209" s="54">
        <f>IF(A209=0,VLOOKUP(D209,'03. Insumos'!A:F,4,0),"")</f>
        <v>50</v>
      </c>
      <c r="L209" s="70">
        <f>H209*J209*I209</f>
        <v>0</v>
      </c>
      <c r="M209" s="355">
        <f t="shared" ca="1" si="30"/>
        <v>0</v>
      </c>
      <c r="O209" s="148"/>
      <c r="R209" s="356"/>
    </row>
    <row r="210" spans="1:18" ht="13.5" hidden="1" customHeight="1" outlineLevel="1" x14ac:dyDescent="0.3">
      <c r="A210" s="13">
        <v>0</v>
      </c>
      <c r="B210" s="67"/>
      <c r="C210" s="55"/>
      <c r="D210" s="140" t="s">
        <v>3384</v>
      </c>
      <c r="E210" s="67" t="str">
        <f>VLOOKUP(D210,'03. Insumos'!A:D,2,0)</f>
        <v>Mobilização para execução da estaca pré moldada</v>
      </c>
      <c r="F210" s="68"/>
      <c r="G210" s="68" t="str">
        <f>VLOOKUP(D210,'03. Insumos'!A:F,3,0)</f>
        <v>vb</v>
      </c>
      <c r="H210" s="69"/>
      <c r="I210" s="69"/>
      <c r="J210" s="70">
        <f>IFERROR(IF(K210&lt;&gt;0,K210*$K$5,0),0)</f>
        <v>6000</v>
      </c>
      <c r="K210" s="54">
        <f>IF(A210=0,VLOOKUP(D210,'03. Insumos'!A:F,4,0),"")</f>
        <v>6000</v>
      </c>
      <c r="L210" s="70">
        <f>H210*J210*I210</f>
        <v>0</v>
      </c>
      <c r="M210" s="355">
        <f t="shared" ca="1" si="30"/>
        <v>0</v>
      </c>
      <c r="O210" s="148"/>
      <c r="R210" s="356"/>
    </row>
    <row r="211" spans="1:18" s="18" customFormat="1" ht="13.5" hidden="1" customHeight="1" outlineLevel="1" x14ac:dyDescent="0.3">
      <c r="A211" s="290">
        <f t="shared" si="24"/>
        <v>4</v>
      </c>
      <c r="B211" s="45"/>
      <c r="C211" s="45" t="s">
        <v>3467</v>
      </c>
      <c r="D211" s="45" t="s">
        <v>3498</v>
      </c>
      <c r="E211" s="347"/>
      <c r="F211" s="327"/>
      <c r="G211" s="327"/>
      <c r="H211" s="328"/>
      <c r="I211" s="328"/>
      <c r="J211" s="335"/>
      <c r="K211" s="335" t="str">
        <f>IF(A211=0,VLOOKUP(D211,'03. Insumos'!A:F,4,0),"")</f>
        <v/>
      </c>
      <c r="L211" s="335">
        <f>SUMIF(A212:A232,6,L212:L232)</f>
        <v>0</v>
      </c>
      <c r="M211" s="153">
        <f t="shared" ca="1" si="30"/>
        <v>0</v>
      </c>
      <c r="O211" s="148">
        <f>IF(I211&lt;&gt;0,I211*H211*K211,)</f>
        <v>0</v>
      </c>
      <c r="R211" s="12">
        <f t="shared" si="26"/>
        <v>0</v>
      </c>
    </row>
    <row r="212" spans="1:18" s="18" customFormat="1" ht="13.5" hidden="1" customHeight="1" outlineLevel="1" x14ac:dyDescent="0.3">
      <c r="A212" s="18">
        <v>6</v>
      </c>
      <c r="B212" s="606"/>
      <c r="C212" s="606" t="s">
        <v>4529</v>
      </c>
      <c r="D212" s="606" t="s">
        <v>3499</v>
      </c>
      <c r="E212" s="391"/>
      <c r="F212" s="325"/>
      <c r="G212" s="325" t="s">
        <v>72</v>
      </c>
      <c r="H212" s="326"/>
      <c r="I212" s="326"/>
      <c r="J212" s="334"/>
      <c r="K212" s="607"/>
      <c r="L212" s="334">
        <f>SUMIF(A213:A215,,L213:L215)</f>
        <v>0</v>
      </c>
      <c r="M212" s="598">
        <f t="shared" ca="1" si="30"/>
        <v>0</v>
      </c>
      <c r="O212" s="600"/>
      <c r="R212" s="601"/>
    </row>
    <row r="213" spans="1:18" s="51" customFormat="1" ht="13.5" hidden="1" customHeight="1" outlineLevel="1" x14ac:dyDescent="0.3">
      <c r="A213" s="13">
        <v>0</v>
      </c>
      <c r="B213" s="67"/>
      <c r="C213" s="55"/>
      <c r="D213" s="140" t="s">
        <v>3385</v>
      </c>
      <c r="E213" s="67" t="str">
        <f>VLOOKUP(D213,'03. Insumos'!A:D,2,0)</f>
        <v>Concreto Usinado 35 Mpa, fator AC 0,45</v>
      </c>
      <c r="F213" s="68"/>
      <c r="G213" s="68" t="str">
        <f>VLOOKUP(D213,'03. Insumos'!A:F,3,0)</f>
        <v>m³</v>
      </c>
      <c r="H213" s="69"/>
      <c r="I213" s="69"/>
      <c r="J213" s="70">
        <f>IFERROR(IF(K213&lt;&gt;0,K213*$K$5,0),0)</f>
        <v>515</v>
      </c>
      <c r="K213" s="70">
        <f>IF(A213=0,VLOOKUP(D213,'03. Insumos'!A:F,4,0),"")</f>
        <v>515</v>
      </c>
      <c r="L213" s="70">
        <f t="shared" ref="L213:L232" si="35">H213*J213*I213</f>
        <v>0</v>
      </c>
      <c r="M213" s="355">
        <f t="shared" ca="1" si="30"/>
        <v>0</v>
      </c>
      <c r="O213" s="148"/>
      <c r="R213" s="356"/>
    </row>
    <row r="214" spans="1:18" s="51" customFormat="1" ht="13.5" hidden="1" customHeight="1" outlineLevel="1" x14ac:dyDescent="0.3">
      <c r="A214" s="13">
        <v>0</v>
      </c>
      <c r="B214" s="67"/>
      <c r="C214" s="67"/>
      <c r="D214" s="140" t="s">
        <v>2384</v>
      </c>
      <c r="E214" s="67" t="str">
        <f>VLOOKUP(D214,'03. Insumos'!A:D,2,0)</f>
        <v>Concreto magro</v>
      </c>
      <c r="F214" s="68"/>
      <c r="G214" s="68" t="str">
        <f>VLOOKUP(D214,'03. Insumos'!A:F,3,0)</f>
        <v>m³</v>
      </c>
      <c r="H214" s="69"/>
      <c r="I214" s="69"/>
      <c r="J214" s="70">
        <f>IFERROR(IF(K214&lt;&gt;0,K214*$K$5,0),0)</f>
        <v>319.64999999999998</v>
      </c>
      <c r="K214" s="70">
        <f>IF(A214=0,VLOOKUP(D214,'03. Insumos'!A:F,4,0),"")</f>
        <v>319.64999999999998</v>
      </c>
      <c r="L214" s="70">
        <f t="shared" si="35"/>
        <v>0</v>
      </c>
      <c r="M214" s="355">
        <f t="shared" ca="1" si="30"/>
        <v>0</v>
      </c>
      <c r="O214" s="148"/>
      <c r="R214" s="356"/>
    </row>
    <row r="215" spans="1:18" s="51" customFormat="1" ht="13.5" hidden="1" customHeight="1" outlineLevel="1" x14ac:dyDescent="0.3">
      <c r="A215" s="13">
        <v>0</v>
      </c>
      <c r="B215" s="67"/>
      <c r="C215" s="67"/>
      <c r="D215" s="140" t="s">
        <v>3389</v>
      </c>
      <c r="E215" s="67" t="str">
        <f>VLOOKUP(D215,'03. Insumos'!A:D,2,0)</f>
        <v xml:space="preserve">Lançamento Concreto Convencional </v>
      </c>
      <c r="F215" s="68"/>
      <c r="G215" s="68" t="str">
        <f>VLOOKUP(D215,'03. Insumos'!A:F,3,0)</f>
        <v>m³</v>
      </c>
      <c r="H215" s="69"/>
      <c r="I215" s="69"/>
      <c r="J215" s="70">
        <f>IFERROR(IF(K215&lt;&gt;0,K215*$K$5,0),0)</f>
        <v>94.903999999999996</v>
      </c>
      <c r="K215" s="70">
        <f>IF(A215=0,VLOOKUP(D215,'03. Insumos'!A:F,4,0),"")</f>
        <v>94.903999999999996</v>
      </c>
      <c r="L215" s="70">
        <f>H215*J215*I215</f>
        <v>0</v>
      </c>
      <c r="M215" s="355">
        <f t="shared" ca="1" si="30"/>
        <v>0</v>
      </c>
      <c r="O215" s="148"/>
      <c r="R215" s="356"/>
    </row>
    <row r="216" spans="1:18" s="18" customFormat="1" ht="13.5" hidden="1" customHeight="1" outlineLevel="1" x14ac:dyDescent="0.3">
      <c r="A216" s="18">
        <v>6</v>
      </c>
      <c r="B216" s="606"/>
      <c r="C216" s="606" t="s">
        <v>3506</v>
      </c>
      <c r="D216" s="606" t="s">
        <v>3500</v>
      </c>
      <c r="E216" s="391"/>
      <c r="F216" s="325"/>
      <c r="G216" s="325" t="s">
        <v>89</v>
      </c>
      <c r="H216" s="326"/>
      <c r="I216" s="326"/>
      <c r="J216" s="334"/>
      <c r="K216" s="607"/>
      <c r="L216" s="334">
        <f>SUMIF(A217:A225,,L217:L225)</f>
        <v>0</v>
      </c>
      <c r="M216" s="598">
        <f t="shared" ca="1" si="30"/>
        <v>0</v>
      </c>
      <c r="O216" s="600"/>
      <c r="R216" s="601"/>
    </row>
    <row r="217" spans="1:18" s="51" customFormat="1" ht="13.5" hidden="1" customHeight="1" outlineLevel="1" x14ac:dyDescent="0.3">
      <c r="A217" s="13">
        <v>0</v>
      </c>
      <c r="B217" s="67"/>
      <c r="C217" s="67"/>
      <c r="D217" s="140" t="s">
        <v>444</v>
      </c>
      <c r="E217" s="67" t="str">
        <f>VLOOKUP(D217,'03. Insumos'!A:D,2,0)</f>
        <v>Aço CA60 4,2m - corte e dobra</v>
      </c>
      <c r="F217" s="68"/>
      <c r="G217" s="68" t="str">
        <f>VLOOKUP(D217,'03. Insumos'!A:F,3,0)</f>
        <v>kg</v>
      </c>
      <c r="H217" s="69"/>
      <c r="I217" s="69"/>
      <c r="J217" s="70">
        <f t="shared" ref="J217:J225" si="36">IFERROR(IF(K217&lt;&gt;0,K217*$K$5,0),0)</f>
        <v>8.2026299999999992</v>
      </c>
      <c r="K217" s="70">
        <f>IF(A217=0,VLOOKUP(D217,'03. Insumos'!A:F,4,0),"")</f>
        <v>8.2026299999999992</v>
      </c>
      <c r="L217" s="70">
        <f t="shared" si="35"/>
        <v>0</v>
      </c>
      <c r="M217" s="355">
        <f t="shared" ca="1" si="30"/>
        <v>0</v>
      </c>
      <c r="O217" s="148"/>
      <c r="R217" s="356"/>
    </row>
    <row r="218" spans="1:18" s="51" customFormat="1" ht="13.5" hidden="1" customHeight="1" outlineLevel="1" x14ac:dyDescent="0.3">
      <c r="A218" s="13">
        <v>0</v>
      </c>
      <c r="B218" s="67"/>
      <c r="C218" s="67"/>
      <c r="D218" s="140" t="s">
        <v>445</v>
      </c>
      <c r="E218" s="67" t="str">
        <f>VLOOKUP(D218,'03. Insumos'!A:D,2,0)</f>
        <v>Aço CA60 5mm - corte e dobra</v>
      </c>
      <c r="F218" s="68"/>
      <c r="G218" s="68" t="str">
        <f>VLOOKUP(D218,'03. Insumos'!A:F,3,0)</f>
        <v>kg</v>
      </c>
      <c r="H218" s="69"/>
      <c r="I218" s="69"/>
      <c r="J218" s="70">
        <f t="shared" si="36"/>
        <v>8.2026299999999992</v>
      </c>
      <c r="K218" s="70">
        <f>IF(A218=0,VLOOKUP(D218,'03. Insumos'!A:F,4,0),"")</f>
        <v>8.2026299999999992</v>
      </c>
      <c r="L218" s="70">
        <f t="shared" si="35"/>
        <v>0</v>
      </c>
      <c r="M218" s="355">
        <f t="shared" ca="1" si="30"/>
        <v>0</v>
      </c>
      <c r="O218" s="148"/>
      <c r="R218" s="356"/>
    </row>
    <row r="219" spans="1:18" s="51" customFormat="1" ht="13.5" hidden="1" customHeight="1" outlineLevel="1" x14ac:dyDescent="0.3">
      <c r="A219" s="13">
        <v>0</v>
      </c>
      <c r="B219" s="67"/>
      <c r="C219" s="67"/>
      <c r="D219" s="140" t="s">
        <v>446</v>
      </c>
      <c r="E219" s="67" t="str">
        <f>VLOOKUP(D219,'03. Insumos'!A:D,2,0)</f>
        <v>Aço CA50 6,3mm - corte e dobra</v>
      </c>
      <c r="F219" s="68"/>
      <c r="G219" s="68" t="str">
        <f>VLOOKUP(D219,'03. Insumos'!A:F,3,0)</f>
        <v>kg</v>
      </c>
      <c r="H219" s="69"/>
      <c r="I219" s="69"/>
      <c r="J219" s="70">
        <f t="shared" si="36"/>
        <v>7.1491600000000002</v>
      </c>
      <c r="K219" s="70">
        <f>IF(A219=0,VLOOKUP(D219,'03. Insumos'!A:F,4,0),"")</f>
        <v>7.1491600000000002</v>
      </c>
      <c r="L219" s="70">
        <f t="shared" si="35"/>
        <v>0</v>
      </c>
      <c r="M219" s="355">
        <f t="shared" ca="1" si="30"/>
        <v>0</v>
      </c>
      <c r="O219" s="148"/>
      <c r="R219" s="356"/>
    </row>
    <row r="220" spans="1:18" s="51" customFormat="1" ht="13.5" hidden="1" customHeight="1" outlineLevel="1" x14ac:dyDescent="0.3">
      <c r="A220" s="13">
        <v>0</v>
      </c>
      <c r="B220" s="67"/>
      <c r="C220" s="67"/>
      <c r="D220" s="140" t="s">
        <v>447</v>
      </c>
      <c r="E220" s="67" t="str">
        <f>VLOOKUP(D220,'03. Insumos'!A:D,2,0)</f>
        <v>Aço CA50 8mm  - corte e dobra</v>
      </c>
      <c r="F220" s="68"/>
      <c r="G220" s="68" t="str">
        <f>VLOOKUP(D220,'03. Insumos'!A:F,3,0)</f>
        <v>kg</v>
      </c>
      <c r="H220" s="69"/>
      <c r="I220" s="69"/>
      <c r="J220" s="70">
        <f t="shared" si="36"/>
        <v>7.1491600000000002</v>
      </c>
      <c r="K220" s="70">
        <f>IF(A220=0,VLOOKUP(D220,'03. Insumos'!A:F,4,0),"")</f>
        <v>7.1491600000000002</v>
      </c>
      <c r="L220" s="70">
        <f t="shared" si="35"/>
        <v>0</v>
      </c>
      <c r="M220" s="355">
        <f t="shared" ca="1" si="30"/>
        <v>0</v>
      </c>
      <c r="O220" s="148"/>
      <c r="R220" s="356"/>
    </row>
    <row r="221" spans="1:18" s="51" customFormat="1" ht="13.5" hidden="1" customHeight="1" outlineLevel="1" x14ac:dyDescent="0.3">
      <c r="A221" s="13">
        <v>0</v>
      </c>
      <c r="B221" s="67"/>
      <c r="C221" s="67"/>
      <c r="D221" s="140" t="s">
        <v>448</v>
      </c>
      <c r="E221" s="67" t="str">
        <f>VLOOKUP(D221,'03. Insumos'!A:D,2,0)</f>
        <v>Aço CA50 10mm - Vergalhão</v>
      </c>
      <c r="F221" s="68"/>
      <c r="G221" s="68" t="str">
        <f>VLOOKUP(D221,'03. Insumos'!A:F,3,0)</f>
        <v>kg</v>
      </c>
      <c r="H221" s="69"/>
      <c r="I221" s="69"/>
      <c r="J221" s="70">
        <f t="shared" si="36"/>
        <v>6.3385199999999999</v>
      </c>
      <c r="K221" s="70">
        <f>IF(A221=0,VLOOKUP(D221,'03. Insumos'!A:F,4,0),"")</f>
        <v>6.3385199999999999</v>
      </c>
      <c r="L221" s="70">
        <f t="shared" si="35"/>
        <v>0</v>
      </c>
      <c r="M221" s="355">
        <f t="shared" ca="1" si="30"/>
        <v>0</v>
      </c>
      <c r="O221" s="148"/>
      <c r="R221" s="356"/>
    </row>
    <row r="222" spans="1:18" s="51" customFormat="1" ht="13.5" hidden="1" customHeight="1" outlineLevel="1" x14ac:dyDescent="0.3">
      <c r="A222" s="13">
        <v>0</v>
      </c>
      <c r="B222" s="67"/>
      <c r="C222" s="67"/>
      <c r="D222" s="140" t="s">
        <v>449</v>
      </c>
      <c r="E222" s="67" t="str">
        <f>VLOOKUP(D222,'03. Insumos'!A:D,2,0)</f>
        <v>Aço CA50 12,5mm - corte e dobra</v>
      </c>
      <c r="F222" s="68"/>
      <c r="G222" s="68" t="str">
        <f>VLOOKUP(D222,'03. Insumos'!A:F,3,0)</f>
        <v>kg</v>
      </c>
      <c r="H222" s="69"/>
      <c r="I222" s="69"/>
      <c r="J222" s="70">
        <f t="shared" si="36"/>
        <v>6.5582900000000004</v>
      </c>
      <c r="K222" s="70">
        <f>IF(A222=0,VLOOKUP(D222,'03. Insumos'!A:F,4,0),"")</f>
        <v>6.5582900000000004</v>
      </c>
      <c r="L222" s="70">
        <f t="shared" si="35"/>
        <v>0</v>
      </c>
      <c r="M222" s="355">
        <f t="shared" ca="1" si="30"/>
        <v>0</v>
      </c>
      <c r="O222" s="148"/>
      <c r="R222" s="356"/>
    </row>
    <row r="223" spans="1:18" s="51" customFormat="1" ht="13.5" hidden="1" customHeight="1" outlineLevel="1" x14ac:dyDescent="0.3">
      <c r="A223" s="13">
        <v>0</v>
      </c>
      <c r="B223" s="67"/>
      <c r="C223" s="67"/>
      <c r="D223" s="140" t="s">
        <v>450</v>
      </c>
      <c r="E223" s="67" t="str">
        <f>VLOOKUP(D223,'03. Insumos'!A:D,2,0)</f>
        <v>Aço CA50 16mm - corte e dobra</v>
      </c>
      <c r="F223" s="68"/>
      <c r="G223" s="68" t="str">
        <f>VLOOKUP(D223,'03. Insumos'!A:F,3,0)</f>
        <v>kg</v>
      </c>
      <c r="H223" s="69"/>
      <c r="I223" s="69"/>
      <c r="J223" s="70">
        <f t="shared" si="36"/>
        <v>6.5582900000000004</v>
      </c>
      <c r="K223" s="70">
        <f>IF(A223=0,VLOOKUP(D223,'03. Insumos'!A:F,4,0),"")</f>
        <v>6.5582900000000004</v>
      </c>
      <c r="L223" s="70">
        <f t="shared" si="35"/>
        <v>0</v>
      </c>
      <c r="M223" s="355">
        <f t="shared" ca="1" si="30"/>
        <v>0</v>
      </c>
      <c r="O223" s="148"/>
      <c r="R223" s="356"/>
    </row>
    <row r="224" spans="1:18" s="51" customFormat="1" ht="13.5" hidden="1" customHeight="1" outlineLevel="1" x14ac:dyDescent="0.3">
      <c r="A224" s="13">
        <v>0</v>
      </c>
      <c r="B224" s="67"/>
      <c r="C224" s="67"/>
      <c r="D224" s="140" t="s">
        <v>451</v>
      </c>
      <c r="E224" s="67" t="str">
        <f>VLOOKUP(D224,'03. Insumos'!A:D,2,0)</f>
        <v>Aço CA50 20mm - corte e dobra</v>
      </c>
      <c r="F224" s="68"/>
      <c r="G224" s="68" t="str">
        <f>VLOOKUP(D224,'03. Insumos'!A:F,3,0)</f>
        <v>kg</v>
      </c>
      <c r="H224" s="69"/>
      <c r="I224" s="69"/>
      <c r="J224" s="70">
        <f t="shared" si="36"/>
        <v>6.5582900000000004</v>
      </c>
      <c r="K224" s="70">
        <f>IF(A224=0,VLOOKUP(D224,'03. Insumos'!A:F,4,0),"")</f>
        <v>6.5582900000000004</v>
      </c>
      <c r="L224" s="70">
        <f>H224*J224*I224</f>
        <v>0</v>
      </c>
      <c r="M224" s="355">
        <f t="shared" ca="1" si="30"/>
        <v>0</v>
      </c>
      <c r="O224" s="148"/>
      <c r="R224" s="356"/>
    </row>
    <row r="225" spans="1:18" s="51" customFormat="1" ht="13.5" hidden="1" customHeight="1" outlineLevel="1" x14ac:dyDescent="0.3">
      <c r="A225" s="13">
        <v>0</v>
      </c>
      <c r="B225" s="67"/>
      <c r="C225" s="67"/>
      <c r="D225" s="140" t="s">
        <v>3376</v>
      </c>
      <c r="E225" s="67" t="str">
        <f>VLOOKUP(D225,'03. Insumos'!A:D,2,0)</f>
        <v>Lançamento e montagem de armadura - MO</v>
      </c>
      <c r="F225" s="68"/>
      <c r="G225" s="68" t="str">
        <f>VLOOKUP(D225,'03. Insumos'!A:F,3,0)</f>
        <v>Kg</v>
      </c>
      <c r="H225" s="69"/>
      <c r="I225" s="69"/>
      <c r="J225" s="70">
        <f t="shared" si="36"/>
        <v>1.4320000000000002</v>
      </c>
      <c r="K225" s="70">
        <f>IF(A225=0,VLOOKUP(D225,'03. Insumos'!A:F,4,0),"")</f>
        <v>1.4320000000000002</v>
      </c>
      <c r="L225" s="70">
        <f>H225*J225*I225</f>
        <v>0</v>
      </c>
      <c r="M225" s="355">
        <f t="shared" ca="1" si="30"/>
        <v>0</v>
      </c>
      <c r="O225" s="148"/>
      <c r="R225" s="356"/>
    </row>
    <row r="226" spans="1:18" s="18" customFormat="1" ht="13.5" hidden="1" customHeight="1" outlineLevel="1" x14ac:dyDescent="0.3">
      <c r="A226" s="18">
        <v>6</v>
      </c>
      <c r="B226" s="606"/>
      <c r="C226" s="606" t="s">
        <v>3507</v>
      </c>
      <c r="D226" s="606" t="s">
        <v>3501</v>
      </c>
      <c r="E226" s="391"/>
      <c r="F226" s="325"/>
      <c r="G226" s="325"/>
      <c r="H226" s="326"/>
      <c r="I226" s="326"/>
      <c r="J226" s="334"/>
      <c r="K226" s="607"/>
      <c r="L226" s="334">
        <f>SUMIF(A227,,L227)</f>
        <v>0</v>
      </c>
      <c r="M226" s="598">
        <f t="shared" ca="1" si="30"/>
        <v>0</v>
      </c>
      <c r="O226" s="600"/>
      <c r="R226" s="601"/>
    </row>
    <row r="227" spans="1:18" s="51" customFormat="1" ht="13.5" hidden="1" customHeight="1" outlineLevel="1" x14ac:dyDescent="0.3">
      <c r="A227" s="13">
        <v>0</v>
      </c>
      <c r="B227" s="67"/>
      <c r="C227" s="67"/>
      <c r="D227" s="140" t="s">
        <v>3146</v>
      </c>
      <c r="E227" s="67" t="str">
        <f>VLOOKUP(D227,'03. Insumos'!A:D,2,0)</f>
        <v>Forma - Material e Mão de obra</v>
      </c>
      <c r="F227" s="68"/>
      <c r="G227" s="68" t="s">
        <v>73</v>
      </c>
      <c r="H227" s="69"/>
      <c r="I227" s="69">
        <f>H226</f>
        <v>0</v>
      </c>
      <c r="J227" s="70">
        <f>IFERROR(IF(K227&lt;&gt;0,K227*$K$5,0),0)</f>
        <v>140</v>
      </c>
      <c r="K227" s="70">
        <f>IF(A227=0,VLOOKUP(D227,'03. Insumos'!A:F,4,0),"")</f>
        <v>140</v>
      </c>
      <c r="L227" s="70">
        <f t="shared" si="35"/>
        <v>0</v>
      </c>
      <c r="M227" s="355">
        <f t="shared" ca="1" si="30"/>
        <v>0</v>
      </c>
      <c r="O227" s="148"/>
      <c r="R227" s="356"/>
    </row>
    <row r="228" spans="1:18" s="18" customFormat="1" ht="13.5" hidden="1" customHeight="1" outlineLevel="1" x14ac:dyDescent="0.3">
      <c r="A228" s="18">
        <v>6</v>
      </c>
      <c r="B228" s="606"/>
      <c r="C228" s="606" t="s">
        <v>3508</v>
      </c>
      <c r="D228" s="606" t="s">
        <v>3468</v>
      </c>
      <c r="E228" s="391"/>
      <c r="F228" s="325"/>
      <c r="G228" s="325" t="s">
        <v>72</v>
      </c>
      <c r="H228" s="326">
        <v>0</v>
      </c>
      <c r="I228" s="326"/>
      <c r="J228" s="334"/>
      <c r="K228" s="607"/>
      <c r="L228" s="334">
        <f>SUMIF(A229:A232,,L229:L232)</f>
        <v>0</v>
      </c>
      <c r="M228" s="598">
        <f t="shared" ca="1" si="30"/>
        <v>0</v>
      </c>
      <c r="O228" s="600"/>
      <c r="R228" s="601"/>
    </row>
    <row r="229" spans="1:18" s="51" customFormat="1" ht="13.5" hidden="1" customHeight="1" outlineLevel="1" x14ac:dyDescent="0.3">
      <c r="A229" s="13">
        <f t="shared" si="24"/>
        <v>0</v>
      </c>
      <c r="B229" s="67"/>
      <c r="C229" s="67"/>
      <c r="D229" s="140" t="s">
        <v>454</v>
      </c>
      <c r="E229" s="67" t="str">
        <f>VLOOKUP(D229,'03. Insumos'!A:D,2,0)</f>
        <v>Escavação Manual</v>
      </c>
      <c r="F229" s="68"/>
      <c r="G229" s="68" t="s">
        <v>72</v>
      </c>
      <c r="H229" s="69"/>
      <c r="I229" s="69"/>
      <c r="J229" s="70">
        <f>IFERROR(IF(K229&lt;&gt;0,K229*$K$5,0),0)</f>
        <v>150</v>
      </c>
      <c r="K229" s="70">
        <f>IF(A229=0,VLOOKUP(D229,'03. Insumos'!A:F,4,0),"")</f>
        <v>150</v>
      </c>
      <c r="L229" s="70">
        <f t="shared" si="35"/>
        <v>0</v>
      </c>
      <c r="M229" s="355">
        <f t="shared" ca="1" si="30"/>
        <v>0</v>
      </c>
      <c r="O229" s="148">
        <f>IF(I229&lt;&gt;0,I229*H229*K229,)</f>
        <v>0</v>
      </c>
      <c r="R229" s="356">
        <f t="shared" si="26"/>
        <v>-4.3689320388349415</v>
      </c>
    </row>
    <row r="230" spans="1:18" s="51" customFormat="1" ht="13.5" hidden="1" customHeight="1" outlineLevel="1" x14ac:dyDescent="0.3">
      <c r="A230" s="13">
        <v>0</v>
      </c>
      <c r="B230" s="67"/>
      <c r="C230" s="67"/>
      <c r="D230" s="140" t="s">
        <v>2240</v>
      </c>
      <c r="E230" s="67" t="str">
        <f>VLOOKUP(D230,'03. Insumos'!A:D,2,0)</f>
        <v>Reaterro manual</v>
      </c>
      <c r="F230" s="68"/>
      <c r="G230" s="68" t="s">
        <v>72</v>
      </c>
      <c r="H230" s="69"/>
      <c r="I230" s="69"/>
      <c r="J230" s="70">
        <f>IFERROR(IF(K230&lt;&gt;0,K230*$K$5,0),0)</f>
        <v>80</v>
      </c>
      <c r="K230" s="70">
        <f>IF(A230=0,VLOOKUP(D230,'03. Insumos'!A:F,4,0),"")</f>
        <v>80</v>
      </c>
      <c r="L230" s="70">
        <f t="shared" si="35"/>
        <v>0</v>
      </c>
      <c r="M230" s="355">
        <f t="shared" ca="1" si="30"/>
        <v>0</v>
      </c>
      <c r="O230" s="148"/>
      <c r="R230" s="356"/>
    </row>
    <row r="231" spans="1:18" s="51" customFormat="1" ht="13.5" hidden="1" customHeight="1" outlineLevel="1" x14ac:dyDescent="0.3">
      <c r="A231" s="13">
        <f t="shared" si="24"/>
        <v>0</v>
      </c>
      <c r="B231" s="67"/>
      <c r="C231" s="67"/>
      <c r="D231" s="140" t="s">
        <v>455</v>
      </c>
      <c r="E231" s="67" t="str">
        <f>VLOOKUP(D231,'03. Insumos'!A:D,2,0)</f>
        <v>Acerto de Terreno MAT+MO</v>
      </c>
      <c r="F231" s="68"/>
      <c r="G231" s="68" t="s">
        <v>73</v>
      </c>
      <c r="H231" s="69"/>
      <c r="I231" s="69"/>
      <c r="J231" s="70">
        <f>IFERROR(IF(K231&lt;&gt;0,K231*$K$5,0),0)</f>
        <v>20</v>
      </c>
      <c r="K231" s="70">
        <f>IF(A231=0,VLOOKUP(D231,'03. Insumos'!A:F,4,0),"")</f>
        <v>20</v>
      </c>
      <c r="L231" s="70">
        <f t="shared" si="35"/>
        <v>0</v>
      </c>
      <c r="M231" s="355">
        <f t="shared" ca="1" si="30"/>
        <v>0</v>
      </c>
      <c r="O231" s="148">
        <f>IF(I231&lt;&gt;0,I231*H231*K231,)</f>
        <v>0</v>
      </c>
      <c r="R231" s="356">
        <f t="shared" si="26"/>
        <v>-0.58252427184466171</v>
      </c>
    </row>
    <row r="232" spans="1:18" s="51" customFormat="1" ht="13.5" hidden="1" customHeight="1" outlineLevel="1" x14ac:dyDescent="0.3">
      <c r="A232" s="13">
        <f t="shared" si="24"/>
        <v>0</v>
      </c>
      <c r="B232" s="67"/>
      <c r="C232" s="67"/>
      <c r="D232" s="140" t="s">
        <v>178</v>
      </c>
      <c r="E232" s="67" t="str">
        <f>VLOOKUP(D232,'03. Insumos'!A:D,2,0)</f>
        <v>Arrasamento de estacas</v>
      </c>
      <c r="F232" s="68"/>
      <c r="G232" s="68" t="s">
        <v>241</v>
      </c>
      <c r="H232" s="69"/>
      <c r="I232" s="69"/>
      <c r="J232" s="70">
        <f>IFERROR(IF(K232&lt;&gt;0,K232*$K$5,0),0)</f>
        <v>150</v>
      </c>
      <c r="K232" s="70">
        <f>IF(A232=0,VLOOKUP(D232,'03. Insumos'!A:F,4,0),"")</f>
        <v>150</v>
      </c>
      <c r="L232" s="70">
        <f t="shared" si="35"/>
        <v>0</v>
      </c>
      <c r="M232" s="355">
        <f t="shared" ca="1" si="30"/>
        <v>0</v>
      </c>
      <c r="O232" s="148">
        <f>IF(I232&lt;&gt;0,I232*H232*K232,)</f>
        <v>0</v>
      </c>
      <c r="R232" s="356">
        <f t="shared" si="26"/>
        <v>-4.3689320388349415</v>
      </c>
    </row>
    <row r="233" spans="1:18" s="592" customFormat="1" ht="13.5" hidden="1" customHeight="1" collapsed="1" x14ac:dyDescent="0.3">
      <c r="A233" s="478">
        <f t="shared" si="24"/>
        <v>3</v>
      </c>
      <c r="B233" s="390"/>
      <c r="C233" s="390" t="s">
        <v>345</v>
      </c>
      <c r="D233" s="390" t="s">
        <v>942</v>
      </c>
      <c r="E233" s="390"/>
      <c r="F233" s="323"/>
      <c r="G233" s="323"/>
      <c r="H233" s="324"/>
      <c r="I233" s="324"/>
      <c r="J233" s="333"/>
      <c r="K233" s="333"/>
      <c r="L233" s="333">
        <f>SUMIF(A234:A269,4,L234:L269)</f>
        <v>0</v>
      </c>
      <c r="M233" s="479">
        <f t="shared" ca="1" si="30"/>
        <v>0</v>
      </c>
      <c r="O233" s="499">
        <f>IF(I233&lt;&gt;0,I233*H233*K233,)</f>
        <v>0</v>
      </c>
      <c r="R233" s="348">
        <f t="shared" si="26"/>
        <v>0</v>
      </c>
    </row>
    <row r="234" spans="1:18" s="18" customFormat="1" ht="13.5" hidden="1" customHeight="1" outlineLevel="1" x14ac:dyDescent="0.3">
      <c r="A234" s="290">
        <f t="shared" si="24"/>
        <v>4</v>
      </c>
      <c r="B234" s="45"/>
      <c r="C234" s="45" t="s">
        <v>379</v>
      </c>
      <c r="D234" s="45" t="s">
        <v>3147</v>
      </c>
      <c r="E234" s="347"/>
      <c r="F234" s="327"/>
      <c r="G234" s="327"/>
      <c r="H234" s="328"/>
      <c r="I234" s="328"/>
      <c r="J234" s="335"/>
      <c r="K234" s="335" t="str">
        <f>IF(A234=0,VLOOKUP(D234,'03. Insumos'!A:F,4,0),"")</f>
        <v/>
      </c>
      <c r="L234" s="335">
        <f>SUMIF(A235:A269,6,L235:L269)</f>
        <v>0</v>
      </c>
      <c r="M234" s="153">
        <f t="shared" ca="1" si="30"/>
        <v>0</v>
      </c>
      <c r="O234" s="148">
        <f>IF(I234&lt;&gt;0,I234*H234*K234,)</f>
        <v>0</v>
      </c>
      <c r="R234" s="12">
        <f t="shared" si="26"/>
        <v>0</v>
      </c>
    </row>
    <row r="235" spans="1:18" s="18" customFormat="1" ht="13.5" hidden="1" customHeight="1" outlineLevel="1" x14ac:dyDescent="0.3">
      <c r="A235" s="18">
        <f t="shared" ref="A235:A316" si="37">LEN(C235)</f>
        <v>6</v>
      </c>
      <c r="B235" s="606"/>
      <c r="C235" s="606" t="s">
        <v>939</v>
      </c>
      <c r="D235" s="606" t="s">
        <v>4964</v>
      </c>
      <c r="E235" s="391"/>
      <c r="F235" s="325"/>
      <c r="G235" s="325" t="s">
        <v>72</v>
      </c>
      <c r="H235" s="326"/>
      <c r="I235" s="326"/>
      <c r="J235" s="334"/>
      <c r="K235" s="607" t="str">
        <f>IF(A235=0,VLOOKUP(D235,'03. Insumos'!A:F,4,0),"")</f>
        <v/>
      </c>
      <c r="L235" s="334">
        <f>SUM(L236:L239)</f>
        <v>0</v>
      </c>
      <c r="M235" s="598">
        <f t="shared" ca="1" si="30"/>
        <v>0</v>
      </c>
      <c r="O235" s="600">
        <f t="shared" ref="O235:O242" si="38">IF(I235&lt;&gt;0,I235*H235*K235,)</f>
        <v>0</v>
      </c>
      <c r="R235" s="601">
        <f t="shared" ref="R235:R242" si="39">IF(J235&lt;&gt;0,J235/1.03-K235,0)</f>
        <v>0</v>
      </c>
    </row>
    <row r="236" spans="1:18" s="51" customFormat="1" ht="13.5" hidden="1" customHeight="1" outlineLevel="1" x14ac:dyDescent="0.3">
      <c r="A236" s="13">
        <f t="shared" si="37"/>
        <v>0</v>
      </c>
      <c r="B236" s="49"/>
      <c r="C236" s="49"/>
      <c r="D236" s="370" t="s">
        <v>3389</v>
      </c>
      <c r="E236" s="67" t="str">
        <f>VLOOKUP(D236,'03. Insumos'!A:D,2,0)</f>
        <v xml:space="preserve">Lançamento Concreto Convencional </v>
      </c>
      <c r="F236" s="68" t="s">
        <v>3809</v>
      </c>
      <c r="G236" s="68" t="str">
        <f>VLOOKUP(D236,'03. Insumos'!A:F,3,0)</f>
        <v>m³</v>
      </c>
      <c r="H236" s="69"/>
      <c r="I236" s="69">
        <v>26.12</v>
      </c>
      <c r="J236" s="70">
        <f t="shared" ref="J236:J239" si="40">IFERROR(IF(K236&lt;&gt;0,K236*$K$5,0),0)</f>
        <v>94.903999999999996</v>
      </c>
      <c r="K236" s="70">
        <f>IF(A236=0,VLOOKUP(D236,'03. Insumos'!A:F,4,0),"")</f>
        <v>94.903999999999996</v>
      </c>
      <c r="L236" s="70">
        <f t="shared" ref="L236:L239" si="41">H236*J236*I236</f>
        <v>0</v>
      </c>
      <c r="M236" s="355">
        <f t="shared" ca="1" si="30"/>
        <v>0</v>
      </c>
      <c r="O236" s="148">
        <f t="shared" si="38"/>
        <v>0</v>
      </c>
      <c r="R236" s="356">
        <f t="shared" si="39"/>
        <v>-2.7641941747572787</v>
      </c>
    </row>
    <row r="237" spans="1:18" s="51" customFormat="1" ht="13.5" hidden="1" customHeight="1" outlineLevel="1" x14ac:dyDescent="0.3">
      <c r="A237" s="13">
        <v>0</v>
      </c>
      <c r="B237" s="49"/>
      <c r="C237" s="49"/>
      <c r="D237" s="370" t="s">
        <v>5432</v>
      </c>
      <c r="E237" s="67" t="str">
        <f>VLOOKUP(D237,'03. Insumos'!A:D,2,0)</f>
        <v>Concreto Convencional</v>
      </c>
      <c r="F237" s="68" t="s">
        <v>3809</v>
      </c>
      <c r="G237" s="68" t="str">
        <f>VLOOKUP(D237,'03. Insumos'!A:F,3,0)</f>
        <v>m³</v>
      </c>
      <c r="H237" s="69"/>
      <c r="I237" s="69">
        <v>26.12</v>
      </c>
      <c r="J237" s="70">
        <f t="shared" si="40"/>
        <v>365</v>
      </c>
      <c r="K237" s="70">
        <f>IF(A237=0,VLOOKUP(D237,'03. Insumos'!A:F,4,0),"")</f>
        <v>365</v>
      </c>
      <c r="L237" s="70">
        <f t="shared" si="41"/>
        <v>0</v>
      </c>
      <c r="M237" s="355">
        <f t="shared" ca="1" si="30"/>
        <v>0</v>
      </c>
      <c r="O237" s="148"/>
      <c r="R237" s="356"/>
    </row>
    <row r="238" spans="1:18" s="51" customFormat="1" ht="13.5" hidden="1" customHeight="1" outlineLevel="1" x14ac:dyDescent="0.3">
      <c r="A238" s="13">
        <v>0</v>
      </c>
      <c r="B238" s="49"/>
      <c r="C238" s="49"/>
      <c r="D238" s="370" t="s">
        <v>3145</v>
      </c>
      <c r="E238" s="67" t="str">
        <f>VLOOKUP(D238,'03. Insumos'!A:D,2,0)</f>
        <v>Forma (Mat - Chapa plastificada 12 mm+ perna 3'+ tábua)</v>
      </c>
      <c r="F238" s="68" t="s">
        <v>3809</v>
      </c>
      <c r="G238" s="68" t="str">
        <f>VLOOKUP(D238,'03. Insumos'!A:F,3,0)</f>
        <v>m²</v>
      </c>
      <c r="H238" s="69"/>
      <c r="I238" s="69">
        <v>174.13738964999996</v>
      </c>
      <c r="J238" s="70">
        <f t="shared" si="40"/>
        <v>27.42</v>
      </c>
      <c r="K238" s="70">
        <f>IF(A238=0,VLOOKUP(D238,'03. Insumos'!A:F,4,0),"")</f>
        <v>27.42</v>
      </c>
      <c r="L238" s="70">
        <f t="shared" si="41"/>
        <v>0</v>
      </c>
      <c r="M238" s="355">
        <f t="shared" ca="1" si="30"/>
        <v>0</v>
      </c>
      <c r="O238" s="148"/>
      <c r="R238" s="356"/>
    </row>
    <row r="239" spans="1:18" s="51" customFormat="1" ht="13.5" hidden="1" customHeight="1" outlineLevel="1" x14ac:dyDescent="0.3">
      <c r="A239" s="13">
        <v>0</v>
      </c>
      <c r="B239" s="49"/>
      <c r="C239" s="49"/>
      <c r="D239" s="370"/>
      <c r="E239" s="67" t="e">
        <f>VLOOKUP(D239,'03. Insumos'!A:D,2,0)</f>
        <v>#N/A</v>
      </c>
      <c r="F239" s="68" t="s">
        <v>3809</v>
      </c>
      <c r="G239" s="68" t="e">
        <f>VLOOKUP(D239,'03. Insumos'!A:F,3,0)</f>
        <v>#N/A</v>
      </c>
      <c r="H239" s="69">
        <v>1</v>
      </c>
      <c r="I239" s="69"/>
      <c r="J239" s="70">
        <f t="shared" si="40"/>
        <v>0</v>
      </c>
      <c r="K239" s="70" t="e">
        <f>IF(A239=0,VLOOKUP(D239,'03. Insumos'!A:F,4,0),"")</f>
        <v>#N/A</v>
      </c>
      <c r="L239" s="70">
        <f t="shared" si="41"/>
        <v>0</v>
      </c>
      <c r="M239" s="355">
        <f t="shared" ca="1" si="30"/>
        <v>0</v>
      </c>
      <c r="O239" s="148">
        <f t="shared" si="38"/>
        <v>0</v>
      </c>
      <c r="R239" s="356"/>
    </row>
    <row r="240" spans="1:18" s="18" customFormat="1" ht="13.5" hidden="1" customHeight="1" outlineLevel="1" x14ac:dyDescent="0.3">
      <c r="A240" s="18">
        <v>6</v>
      </c>
      <c r="B240" s="606"/>
      <c r="C240" s="606" t="s">
        <v>1331</v>
      </c>
      <c r="D240" s="606" t="s">
        <v>4965</v>
      </c>
      <c r="E240" s="391"/>
      <c r="F240" s="325"/>
      <c r="G240" s="325" t="s">
        <v>89</v>
      </c>
      <c r="H240" s="326"/>
      <c r="I240" s="326"/>
      <c r="J240" s="334"/>
      <c r="K240" s="607"/>
      <c r="L240" s="334">
        <f>SUM(L241:L249)</f>
        <v>0</v>
      </c>
      <c r="M240" s="598">
        <f t="shared" ca="1" si="30"/>
        <v>0</v>
      </c>
      <c r="O240" s="600"/>
      <c r="R240" s="601"/>
    </row>
    <row r="241" spans="1:18" s="51" customFormat="1" hidden="1" outlineLevel="1" x14ac:dyDescent="0.3">
      <c r="A241" s="13">
        <f>LEN(C241)</f>
        <v>0</v>
      </c>
      <c r="B241" s="49"/>
      <c r="C241" s="49"/>
      <c r="D241" s="370" t="s">
        <v>445</v>
      </c>
      <c r="E241" s="67" t="str">
        <f>VLOOKUP(D241,'03. Insumos'!A:D,2,0)</f>
        <v>Aço CA60 5mm - corte e dobra</v>
      </c>
      <c r="F241" s="68"/>
      <c r="G241" s="68" t="str">
        <f>VLOOKUP(D241,'03. Insumos'!A:F,3,0)</f>
        <v>kg</v>
      </c>
      <c r="H241" s="69">
        <v>1</v>
      </c>
      <c r="I241" s="69"/>
      <c r="J241" s="70">
        <f t="shared" ref="J241:J249" si="42">IFERROR(IF(K241&lt;&gt;0,K241*$K$5,0),0)</f>
        <v>8.2026299999999992</v>
      </c>
      <c r="K241" s="70">
        <f>IF(A241=0,VLOOKUP(D241,'03. Insumos'!A:F,4,0),"")</f>
        <v>8.2026299999999992</v>
      </c>
      <c r="L241" s="70">
        <f>H241*J241*I241</f>
        <v>0</v>
      </c>
      <c r="M241" s="355">
        <f t="shared" ca="1" si="30"/>
        <v>0</v>
      </c>
      <c r="O241" s="148">
        <f t="shared" si="38"/>
        <v>0</v>
      </c>
      <c r="R241" s="356">
        <f t="shared" si="39"/>
        <v>-0.23891155339805881</v>
      </c>
    </row>
    <row r="242" spans="1:18" s="51" customFormat="1" hidden="1" outlineLevel="1" x14ac:dyDescent="0.3">
      <c r="A242" s="13">
        <f>LEN(C242)</f>
        <v>0</v>
      </c>
      <c r="B242" s="49"/>
      <c r="C242" s="49"/>
      <c r="D242" s="370" t="s">
        <v>446</v>
      </c>
      <c r="E242" s="67" t="str">
        <f>VLOOKUP(D242,'03. Insumos'!A:D,2,0)</f>
        <v>Aço CA50 6,3mm - corte e dobra</v>
      </c>
      <c r="F242" s="68"/>
      <c r="G242" s="68" t="str">
        <f>VLOOKUP(D242,'03. Insumos'!A:F,3,0)</f>
        <v>kg</v>
      </c>
      <c r="H242" s="69">
        <v>1</v>
      </c>
      <c r="I242" s="69"/>
      <c r="J242" s="70">
        <f t="shared" si="42"/>
        <v>7.1491600000000002</v>
      </c>
      <c r="K242" s="70">
        <f>IF(A242=0,VLOOKUP(D242,'03. Insumos'!A:F,4,0),"")</f>
        <v>7.1491600000000002</v>
      </c>
      <c r="L242" s="70">
        <f>H242*J242*I242</f>
        <v>0</v>
      </c>
      <c r="M242" s="355">
        <f t="shared" ca="1" si="30"/>
        <v>0</v>
      </c>
      <c r="O242" s="148">
        <f t="shared" si="38"/>
        <v>0</v>
      </c>
      <c r="R242" s="356">
        <f t="shared" si="39"/>
        <v>-0.20822796116504882</v>
      </c>
    </row>
    <row r="243" spans="1:18" s="51" customFormat="1" hidden="1" outlineLevel="1" x14ac:dyDescent="0.3">
      <c r="A243" s="13">
        <v>0</v>
      </c>
      <c r="B243" s="49"/>
      <c r="C243" s="49"/>
      <c r="D243" s="370" t="s">
        <v>447</v>
      </c>
      <c r="E243" s="67" t="str">
        <f>VLOOKUP(D243,'03. Insumos'!A:D,2,0)</f>
        <v>Aço CA50 8mm  - corte e dobra</v>
      </c>
      <c r="F243" s="68"/>
      <c r="G243" s="68" t="str">
        <f>VLOOKUP(D243,'03. Insumos'!A:F,3,0)</f>
        <v>kg</v>
      </c>
      <c r="H243" s="69">
        <v>1</v>
      </c>
      <c r="I243" s="69"/>
      <c r="J243" s="70">
        <f t="shared" si="42"/>
        <v>7.1491600000000002</v>
      </c>
      <c r="K243" s="70">
        <f>IF(A243=0,VLOOKUP(D243,'03. Insumos'!A:F,4,0),"")</f>
        <v>7.1491600000000002</v>
      </c>
      <c r="L243" s="70">
        <f>H243*J243*I243</f>
        <v>0</v>
      </c>
      <c r="M243" s="355">
        <f t="shared" ca="1" si="30"/>
        <v>0</v>
      </c>
      <c r="O243" s="148"/>
      <c r="R243" s="356"/>
    </row>
    <row r="244" spans="1:18" ht="13.5" hidden="1" customHeight="1" outlineLevel="1" x14ac:dyDescent="0.3">
      <c r="A244" s="13">
        <f t="shared" si="37"/>
        <v>0</v>
      </c>
      <c r="B244" s="4"/>
      <c r="C244" s="4"/>
      <c r="D244" s="370" t="s">
        <v>448</v>
      </c>
      <c r="E244" s="67" t="str">
        <f>VLOOKUP(D244,'03. Insumos'!A:D,2,0)</f>
        <v>Aço CA50 10mm - Vergalhão</v>
      </c>
      <c r="F244" s="56"/>
      <c r="G244" s="68" t="str">
        <f>VLOOKUP(D244,'03. Insumos'!A:F,3,0)</f>
        <v>kg</v>
      </c>
      <c r="H244" s="69">
        <v>1</v>
      </c>
      <c r="I244" s="57"/>
      <c r="J244" s="70">
        <f t="shared" si="42"/>
        <v>6.3385199999999999</v>
      </c>
      <c r="K244" s="70">
        <f>IF(A244=0,VLOOKUP(D244,'03. Insumos'!A:F,4,0),"")</f>
        <v>6.3385199999999999</v>
      </c>
      <c r="L244" s="70">
        <f>H244*J244*I244</f>
        <v>0</v>
      </c>
      <c r="M244" s="355">
        <f t="shared" ca="1" si="30"/>
        <v>0</v>
      </c>
      <c r="O244" s="148">
        <f t="shared" ref="O244:O249" si="43">IF(I244&lt;&gt;0,I244*H244*K244,)</f>
        <v>0</v>
      </c>
      <c r="R244" s="356">
        <f>IF(J244&lt;&gt;0,J244/1.03-K244,0)</f>
        <v>-0.18461708737864058</v>
      </c>
    </row>
    <row r="245" spans="1:18" ht="13.5" hidden="1" customHeight="1" outlineLevel="1" x14ac:dyDescent="0.3">
      <c r="A245" s="13">
        <f t="shared" si="37"/>
        <v>0</v>
      </c>
      <c r="B245" s="4"/>
      <c r="C245" s="4"/>
      <c r="D245" s="370" t="s">
        <v>5433</v>
      </c>
      <c r="E245" s="67" t="str">
        <f>VLOOKUP(D245,'03. Insumos'!A:D,2,0)</f>
        <v>Aço CA50 16,0mm - vergalhão</v>
      </c>
      <c r="F245" s="68" t="s">
        <v>5218</v>
      </c>
      <c r="G245" s="68" t="str">
        <f>VLOOKUP(D245,'03. Insumos'!A:F,3,0)</f>
        <v>kg</v>
      </c>
      <c r="H245" s="69"/>
      <c r="I245" s="69">
        <f>H240</f>
        <v>0</v>
      </c>
      <c r="J245" s="70">
        <f t="shared" si="42"/>
        <v>6.03667</v>
      </c>
      <c r="K245" s="70">
        <f>IF(A245=0,VLOOKUP(D245,'03. Insumos'!A:F,4,0),"")</f>
        <v>6.03667</v>
      </c>
      <c r="L245" s="70">
        <f t="shared" ref="L245:L260" si="44">H245*J245*I245</f>
        <v>0</v>
      </c>
      <c r="M245" s="355">
        <f t="shared" ca="1" si="30"/>
        <v>0</v>
      </c>
      <c r="O245" s="148">
        <f t="shared" si="43"/>
        <v>0</v>
      </c>
      <c r="R245" s="356"/>
    </row>
    <row r="246" spans="1:18" s="51" customFormat="1" ht="13.5" hidden="1" customHeight="1" outlineLevel="1" x14ac:dyDescent="0.3">
      <c r="A246" s="13">
        <f t="shared" si="37"/>
        <v>0</v>
      </c>
      <c r="B246" s="49"/>
      <c r="C246" s="49"/>
      <c r="D246" s="370" t="s">
        <v>450</v>
      </c>
      <c r="E246" s="67" t="str">
        <f>VLOOKUP(D246,'03. Insumos'!A:D,2,0)</f>
        <v>Aço CA50 16mm - corte e dobra</v>
      </c>
      <c r="F246" s="68"/>
      <c r="G246" s="68" t="str">
        <f>VLOOKUP(D246,'03. Insumos'!A:F,3,0)</f>
        <v>kg</v>
      </c>
      <c r="H246" s="69"/>
      <c r="I246" s="69"/>
      <c r="J246" s="70">
        <f t="shared" si="42"/>
        <v>6.5582900000000004</v>
      </c>
      <c r="K246" s="70">
        <f>IF(A246=0,VLOOKUP(D246,'03. Insumos'!A:F,4,0),"")</f>
        <v>6.5582900000000004</v>
      </c>
      <c r="L246" s="70">
        <f t="shared" si="44"/>
        <v>0</v>
      </c>
      <c r="M246" s="355">
        <f t="shared" ca="1" si="30"/>
        <v>0</v>
      </c>
      <c r="O246" s="148">
        <f t="shared" si="43"/>
        <v>0</v>
      </c>
      <c r="R246" s="356">
        <f>IF(J246&lt;&gt;0,J246/1.03-K246,0)</f>
        <v>-0.1910181553398056</v>
      </c>
    </row>
    <row r="247" spans="1:18" s="51" customFormat="1" ht="13.5" hidden="1" customHeight="1" outlineLevel="1" x14ac:dyDescent="0.3">
      <c r="A247" s="13">
        <f t="shared" si="37"/>
        <v>0</v>
      </c>
      <c r="B247" s="49"/>
      <c r="C247" s="49"/>
      <c r="D247" s="370" t="s">
        <v>451</v>
      </c>
      <c r="E247" s="67" t="str">
        <f>VLOOKUP(D247,'03. Insumos'!A:D,2,0)</f>
        <v>Aço CA50 20mm - corte e dobra</v>
      </c>
      <c r="F247" s="68"/>
      <c r="G247" s="68" t="str">
        <f>VLOOKUP(D247,'03. Insumos'!A:F,3,0)</f>
        <v>kg</v>
      </c>
      <c r="H247" s="69"/>
      <c r="I247" s="69"/>
      <c r="J247" s="70">
        <f t="shared" si="42"/>
        <v>6.5582900000000004</v>
      </c>
      <c r="K247" s="70">
        <f>IF(A247=0,VLOOKUP(D247,'03. Insumos'!A:F,4,0),"")</f>
        <v>6.5582900000000004</v>
      </c>
      <c r="L247" s="70">
        <f t="shared" si="44"/>
        <v>0</v>
      </c>
      <c r="M247" s="355">
        <f t="shared" ca="1" si="30"/>
        <v>0</v>
      </c>
      <c r="O247" s="148">
        <f t="shared" si="43"/>
        <v>0</v>
      </c>
      <c r="R247" s="356">
        <f>IF(J247&lt;&gt;0,J247/1.03-K247,0)</f>
        <v>-0.1910181553398056</v>
      </c>
    </row>
    <row r="248" spans="1:18" ht="13.5" hidden="1" customHeight="1" outlineLevel="1" x14ac:dyDescent="0.3">
      <c r="A248" s="13">
        <f t="shared" si="37"/>
        <v>0</v>
      </c>
      <c r="B248" s="4"/>
      <c r="C248" s="4"/>
      <c r="D248" s="370" t="s">
        <v>180</v>
      </c>
      <c r="E248" s="67" t="str">
        <f>VLOOKUP(D248,'03. Insumos'!A:D,2,0)</f>
        <v>Corte e Dobra de Aço - MO</v>
      </c>
      <c r="F248" s="68" t="s">
        <v>3809</v>
      </c>
      <c r="G248" s="68" t="str">
        <f>VLOOKUP(D248,'03. Insumos'!A:F,3,0)</f>
        <v>kg</v>
      </c>
      <c r="H248" s="69"/>
      <c r="I248" s="69">
        <f>I245</f>
        <v>0</v>
      </c>
      <c r="J248" s="70">
        <f t="shared" si="42"/>
        <v>0.75</v>
      </c>
      <c r="K248" s="70">
        <f>IF(A248=0,VLOOKUP(D248,'03. Insumos'!A:F,4,0),"")</f>
        <v>0.75</v>
      </c>
      <c r="L248" s="70">
        <f t="shared" si="44"/>
        <v>0</v>
      </c>
      <c r="M248" s="355">
        <f t="shared" ca="1" si="30"/>
        <v>0</v>
      </c>
      <c r="O248" s="148">
        <f t="shared" si="43"/>
        <v>0</v>
      </c>
      <c r="R248" s="356"/>
    </row>
    <row r="249" spans="1:18" s="51" customFormat="1" ht="13.5" hidden="1" customHeight="1" outlineLevel="1" x14ac:dyDescent="0.3">
      <c r="A249" s="13">
        <f t="shared" si="37"/>
        <v>0</v>
      </c>
      <c r="B249" s="49"/>
      <c r="C249" s="49"/>
      <c r="D249" s="370" t="s">
        <v>3376</v>
      </c>
      <c r="E249" s="67" t="str">
        <f>VLOOKUP(D249,'03. Insumos'!A:D,2,0)</f>
        <v>Lançamento e montagem de armadura - MO</v>
      </c>
      <c r="F249" s="68" t="s">
        <v>3809</v>
      </c>
      <c r="G249" s="68" t="str">
        <f>VLOOKUP(D249,'03. Insumos'!A:F,3,0)</f>
        <v>Kg</v>
      </c>
      <c r="H249" s="69"/>
      <c r="I249" s="69">
        <f>I245</f>
        <v>0</v>
      </c>
      <c r="J249" s="70">
        <f t="shared" si="42"/>
        <v>1.4320000000000002</v>
      </c>
      <c r="K249" s="70">
        <f>IF(A249=0,VLOOKUP(D249,'03. Insumos'!A:F,4,0),"")</f>
        <v>1.4320000000000002</v>
      </c>
      <c r="L249" s="70">
        <f t="shared" si="44"/>
        <v>0</v>
      </c>
      <c r="M249" s="355">
        <f t="shared" ca="1" si="30"/>
        <v>0</v>
      </c>
      <c r="O249" s="148">
        <f t="shared" si="43"/>
        <v>0</v>
      </c>
      <c r="R249" s="356">
        <f>IF(J249&lt;&gt;0,J249/1.03-K249,0)</f>
        <v>-4.1708737864077694E-2</v>
      </c>
    </row>
    <row r="250" spans="1:18" s="18" customFormat="1" ht="13.5" hidden="1" customHeight="1" outlineLevel="1" x14ac:dyDescent="0.3">
      <c r="A250" s="18">
        <v>6</v>
      </c>
      <c r="B250" s="606"/>
      <c r="C250" s="606" t="s">
        <v>2110</v>
      </c>
      <c r="D250" s="606" t="s">
        <v>5440</v>
      </c>
      <c r="E250" s="391"/>
      <c r="F250" s="325"/>
      <c r="G250" s="325"/>
      <c r="H250" s="326"/>
      <c r="I250" s="326"/>
      <c r="J250" s="334"/>
      <c r="K250" s="607"/>
      <c r="L250" s="334">
        <f>SUM(L251:L255)</f>
        <v>0</v>
      </c>
      <c r="M250" s="598">
        <f t="shared" ca="1" si="30"/>
        <v>0</v>
      </c>
      <c r="O250" s="600"/>
      <c r="R250" s="601"/>
    </row>
    <row r="251" spans="1:18" s="51" customFormat="1" ht="13.5" hidden="1" customHeight="1" outlineLevel="1" x14ac:dyDescent="0.3">
      <c r="A251" s="13">
        <f>LEN(C251)</f>
        <v>0</v>
      </c>
      <c r="B251" s="49"/>
      <c r="C251" s="49"/>
      <c r="D251" s="370" t="s">
        <v>5417</v>
      </c>
      <c r="E251" s="67" t="str">
        <f>VLOOKUP(D251,'03. Insumos'!A:D,2,0)</f>
        <v>MAT - Treliças Pré-laje - S=250 kg/m²</v>
      </c>
      <c r="F251" s="68" t="s">
        <v>5218</v>
      </c>
      <c r="G251" s="68" t="str">
        <f>VLOOKUP(D251,'03. Insumos'!A:F,3,0)</f>
        <v>m²</v>
      </c>
      <c r="H251" s="69"/>
      <c r="I251" s="69">
        <v>1</v>
      </c>
      <c r="J251" s="70">
        <f>IFERROR(IF(K251&lt;&gt;0,K251*$K$5,0),0)</f>
        <v>97.5</v>
      </c>
      <c r="K251" s="70">
        <f>IF(A251=0,VLOOKUP(D251,'03. Insumos'!A:F,4,0),"")</f>
        <v>97.5</v>
      </c>
      <c r="L251" s="70">
        <f>H251*J251*I251</f>
        <v>0</v>
      </c>
      <c r="M251" s="355">
        <f t="shared" ca="1" si="30"/>
        <v>0</v>
      </c>
      <c r="O251" s="148">
        <f t="shared" ref="O251:O253" si="45">IF(I251&lt;&gt;0,I251*H251*K251,)</f>
        <v>0</v>
      </c>
      <c r="R251" s="356">
        <f t="shared" ref="R251:R253" si="46">IF(J251&lt;&gt;0,J251/1.03-K251,0)</f>
        <v>-2.8398058252427205</v>
      </c>
    </row>
    <row r="252" spans="1:18" s="51" customFormat="1" ht="13.5" hidden="1" customHeight="1" outlineLevel="1" x14ac:dyDescent="0.3">
      <c r="A252" s="13">
        <f>LEN(C252)</f>
        <v>0</v>
      </c>
      <c r="B252" s="49"/>
      <c r="C252" s="49"/>
      <c r="D252" s="370" t="s">
        <v>5418</v>
      </c>
      <c r="E252" s="67" t="str">
        <f>VLOOKUP(D252,'03. Insumos'!A:D,2,0)</f>
        <v>MAT - Treliças Pré-laje - S=400 kg/m²</v>
      </c>
      <c r="F252" s="68" t="s">
        <v>5218</v>
      </c>
      <c r="G252" s="68" t="str">
        <f>VLOOKUP(D252,'03. Insumos'!A:F,3,0)</f>
        <v>m²</v>
      </c>
      <c r="H252" s="69"/>
      <c r="I252" s="69">
        <v>1</v>
      </c>
      <c r="J252" s="70">
        <f>IFERROR(IF(K252&lt;&gt;0,K252*$K$5,0),0)</f>
        <v>103.5</v>
      </c>
      <c r="K252" s="70">
        <f>IF(A252=0,VLOOKUP(D252,'03. Insumos'!A:F,4,0),"")</f>
        <v>103.5</v>
      </c>
      <c r="L252" s="70">
        <f>H252*J252*I252</f>
        <v>0</v>
      </c>
      <c r="M252" s="355">
        <f t="shared" ca="1" si="30"/>
        <v>0</v>
      </c>
      <c r="O252" s="148">
        <f t="shared" si="45"/>
        <v>0</v>
      </c>
      <c r="R252" s="356">
        <f t="shared" si="46"/>
        <v>-3.0145631067961176</v>
      </c>
    </row>
    <row r="253" spans="1:18" s="51" customFormat="1" ht="13.5" hidden="1" customHeight="1" outlineLevel="1" x14ac:dyDescent="0.3">
      <c r="A253" s="13">
        <f>LEN(C253)</f>
        <v>0</v>
      </c>
      <c r="B253" s="49"/>
      <c r="C253" s="49"/>
      <c r="D253" s="370" t="s">
        <v>5419</v>
      </c>
      <c r="E253" s="67" t="str">
        <f>VLOOKUP(D253,'03. Insumos'!A:D,2,0)</f>
        <v>MAT - Treliças Pré-laje - S=1000 kg/m²</v>
      </c>
      <c r="F253" s="68" t="s">
        <v>5218</v>
      </c>
      <c r="G253" s="68" t="str">
        <f>VLOOKUP(D253,'03. Insumos'!A:F,3,0)</f>
        <v>m²</v>
      </c>
      <c r="H253" s="69"/>
      <c r="I253" s="69">
        <v>1</v>
      </c>
      <c r="J253" s="70">
        <f>IFERROR(IF(K253&lt;&gt;0,K253*$K$5,0),0)</f>
        <v>109.5</v>
      </c>
      <c r="K253" s="70">
        <f>IF(A253=0,VLOOKUP(D253,'03. Insumos'!A:F,4,0),"")</f>
        <v>109.5</v>
      </c>
      <c r="L253" s="70">
        <f>H253*J253*I253</f>
        <v>0</v>
      </c>
      <c r="M253" s="355">
        <f t="shared" ca="1" si="30"/>
        <v>0</v>
      </c>
      <c r="O253" s="148">
        <f t="shared" si="45"/>
        <v>0</v>
      </c>
      <c r="R253" s="356">
        <f t="shared" si="46"/>
        <v>-3.1893203883495147</v>
      </c>
    </row>
    <row r="254" spans="1:18" s="51" customFormat="1" ht="13.5" hidden="1" customHeight="1" outlineLevel="1" x14ac:dyDescent="0.3">
      <c r="A254" s="13">
        <f>LEN(C254)</f>
        <v>0</v>
      </c>
      <c r="B254" s="49"/>
      <c r="C254" s="49"/>
      <c r="D254" s="370" t="s">
        <v>5420</v>
      </c>
      <c r="E254" s="67" t="str">
        <f>VLOOKUP(D254,'03. Insumos'!A:D,2,0)</f>
        <v>Frete</v>
      </c>
      <c r="F254" s="68" t="s">
        <v>5218</v>
      </c>
      <c r="G254" s="68" t="str">
        <f>VLOOKUP(D254,'03. Insumos'!A:F,3,0)</f>
        <v>vb</v>
      </c>
      <c r="H254" s="69"/>
      <c r="I254" s="69">
        <v>1</v>
      </c>
      <c r="J254" s="70">
        <f>IFERROR(IF(K254&lt;&gt;0,K254*$K$5,0),0)</f>
        <v>1</v>
      </c>
      <c r="K254" s="70">
        <f>IF(A254=0,VLOOKUP(D254,'03. Insumos'!A:F,4,0),"")</f>
        <v>1</v>
      </c>
      <c r="L254" s="70">
        <f>H254*J254*I254</f>
        <v>0</v>
      </c>
      <c r="M254" s="355">
        <f ca="1">L254/$L$7</f>
        <v>0</v>
      </c>
      <c r="O254" s="148">
        <f>IF(I254&lt;&gt;0,I254*H254*K254,)</f>
        <v>0</v>
      </c>
      <c r="R254" s="356">
        <f>IF(J254&lt;&gt;0,J254/1.03-K254,0)</f>
        <v>-2.9126213592232997E-2</v>
      </c>
    </row>
    <row r="255" spans="1:18" s="51" customFormat="1" ht="13.95" hidden="1" customHeight="1" outlineLevel="1" x14ac:dyDescent="0.3">
      <c r="A255" s="13">
        <v>0</v>
      </c>
      <c r="B255" s="49"/>
      <c r="C255" s="49"/>
      <c r="D255" s="140"/>
      <c r="E255" s="67" t="e">
        <f>VLOOKUP(D255,'03. Insumos'!A:D,2,0)</f>
        <v>#N/A</v>
      </c>
      <c r="F255" s="68"/>
      <c r="G255" s="68" t="e">
        <f>VLOOKUP(D255,'03. Insumos'!A:F,3,0)</f>
        <v>#N/A</v>
      </c>
      <c r="H255" s="69"/>
      <c r="I255" s="69"/>
      <c r="J255" s="70">
        <f>IFERROR(IF(K255&lt;&gt;0,K255*$K$5,0),0)</f>
        <v>0</v>
      </c>
      <c r="K255" s="70" t="e">
        <f>IF(A255=0,VLOOKUP(D255,'03. Insumos'!A:F,4,0),"")</f>
        <v>#N/A</v>
      </c>
      <c r="L255" s="70">
        <f>H255*J255*I255</f>
        <v>0</v>
      </c>
      <c r="M255" s="355">
        <f t="shared" ca="1" si="30"/>
        <v>0</v>
      </c>
      <c r="O255" s="148"/>
      <c r="R255" s="356"/>
    </row>
    <row r="256" spans="1:18" s="18" customFormat="1" ht="13.5" hidden="1" customHeight="1" outlineLevel="1" x14ac:dyDescent="0.3">
      <c r="A256" s="18">
        <v>6</v>
      </c>
      <c r="B256" s="606"/>
      <c r="C256" s="606" t="s">
        <v>1332</v>
      </c>
      <c r="D256" s="606" t="s">
        <v>3502</v>
      </c>
      <c r="E256" s="391"/>
      <c r="F256" s="325"/>
      <c r="G256" s="325" t="s">
        <v>73</v>
      </c>
      <c r="H256" s="326"/>
      <c r="I256" s="326"/>
      <c r="J256" s="334"/>
      <c r="K256" s="607"/>
      <c r="L256" s="334">
        <f>SUMIF(A257:A257,0,L257:L257)</f>
        <v>0</v>
      </c>
      <c r="M256" s="598">
        <f t="shared" ca="1" si="30"/>
        <v>0</v>
      </c>
      <c r="O256" s="600"/>
      <c r="R256" s="601"/>
    </row>
    <row r="257" spans="1:18" s="51" customFormat="1" ht="13.95" hidden="1" customHeight="1" outlineLevel="1" x14ac:dyDescent="0.3">
      <c r="A257" s="13">
        <f>LEN(C257)</f>
        <v>0</v>
      </c>
      <c r="B257" s="49"/>
      <c r="C257" s="49"/>
      <c r="D257" s="370" t="s">
        <v>3146</v>
      </c>
      <c r="E257" s="67" t="str">
        <f>VLOOKUP(D257,'03. Insumos'!A:D,2,0)</f>
        <v>Forma - Material e Mão de obra</v>
      </c>
      <c r="F257" s="68" t="s">
        <v>3809</v>
      </c>
      <c r="G257" s="68" t="str">
        <f>VLOOKUP(D257,'03. Insumos'!A:F,3,0)</f>
        <v>m²</v>
      </c>
      <c r="H257" s="69"/>
      <c r="I257" s="69">
        <v>174.13738964999996</v>
      </c>
      <c r="J257" s="70">
        <f>IFERROR(IF(K257&lt;&gt;0,K257*$K$5,0),0)</f>
        <v>140</v>
      </c>
      <c r="K257" s="70">
        <f>IF(A257=0,VLOOKUP(D257,'03. Insumos'!A:F,4,0),"")</f>
        <v>140</v>
      </c>
      <c r="L257" s="70">
        <f t="shared" ref="L257" si="47">H257*J257*I257</f>
        <v>0</v>
      </c>
      <c r="M257" s="355">
        <f t="shared" ca="1" si="30"/>
        <v>0</v>
      </c>
      <c r="O257" s="148">
        <f>IF(I257&lt;&gt;0,I257*H257*K257,)</f>
        <v>0</v>
      </c>
      <c r="R257" s="356">
        <f>IF(J257&lt;&gt;0,J257/1.03-K257,0)</f>
        <v>-4.0776699029126178</v>
      </c>
    </row>
    <row r="258" spans="1:18" s="18" customFormat="1" ht="13.5" hidden="1" customHeight="1" outlineLevel="1" x14ac:dyDescent="0.3">
      <c r="A258" s="18">
        <v>6</v>
      </c>
      <c r="B258" s="606"/>
      <c r="C258" s="606" t="s">
        <v>2110</v>
      </c>
      <c r="D258" s="606" t="s">
        <v>4972</v>
      </c>
      <c r="E258" s="391"/>
      <c r="F258" s="325"/>
      <c r="G258" s="325" t="s">
        <v>73</v>
      </c>
      <c r="H258" s="326"/>
      <c r="I258" s="326"/>
      <c r="J258" s="334"/>
      <c r="K258" s="607"/>
      <c r="L258" s="334">
        <f>SUMIF(A259:A260,0,L259:L260)</f>
        <v>0</v>
      </c>
      <c r="M258" s="598">
        <f t="shared" ca="1" si="30"/>
        <v>0</v>
      </c>
      <c r="O258" s="600"/>
      <c r="R258" s="601"/>
    </row>
    <row r="259" spans="1:18" s="51" customFormat="1" ht="13.95" hidden="1" customHeight="1" outlineLevel="1" x14ac:dyDescent="0.3">
      <c r="A259" s="13">
        <f>LEN(C259)</f>
        <v>0</v>
      </c>
      <c r="B259" s="49"/>
      <c r="C259" s="49"/>
      <c r="D259" s="370" t="s">
        <v>2377</v>
      </c>
      <c r="E259" s="67" t="str">
        <f>VLOOKUP(D259,'03. Insumos'!A:D,2,0)</f>
        <v>Fornecimento de Sikadur 32</v>
      </c>
      <c r="F259" s="68" t="s">
        <v>5218</v>
      </c>
      <c r="G259" s="68" t="str">
        <f>VLOOKUP(D259,'03. Insumos'!A:F,3,0)</f>
        <v>unid</v>
      </c>
      <c r="H259" s="69"/>
      <c r="I259" s="69"/>
      <c r="J259" s="70">
        <f>IFERROR(IF(K259&lt;&gt;0,K259*$K$5,0),0)</f>
        <v>100</v>
      </c>
      <c r="K259" s="70">
        <f>IF(A259=0,VLOOKUP(D259,'03. Insumos'!A:F,4,0),"")</f>
        <v>100</v>
      </c>
      <c r="L259" s="70">
        <f t="shared" ref="L259" si="48">H259*J259*I259</f>
        <v>0</v>
      </c>
      <c r="M259" s="355">
        <f t="shared" ca="1" si="30"/>
        <v>0</v>
      </c>
      <c r="O259" s="148">
        <f>IF(I259&lt;&gt;0,I259*H259*K259,)</f>
        <v>0</v>
      </c>
      <c r="R259" s="356">
        <f>IF(J259&lt;&gt;0,J259/1.03-K259,0)</f>
        <v>-2.9126213592233086</v>
      </c>
    </row>
    <row r="260" spans="1:18" s="51" customFormat="1" ht="13.95" hidden="1" customHeight="1" outlineLevel="1" x14ac:dyDescent="0.3">
      <c r="A260" s="13">
        <f>LEN(C260)</f>
        <v>0</v>
      </c>
      <c r="B260" s="49"/>
      <c r="C260" s="49"/>
      <c r="D260" s="370" t="s">
        <v>4886</v>
      </c>
      <c r="E260" s="67" t="str">
        <f>VLOOKUP(D260,'03. Insumos'!A:D,2,0)</f>
        <v>Sikagrout tixotrópico 25kg</v>
      </c>
      <c r="F260" s="68" t="s">
        <v>5218</v>
      </c>
      <c r="G260" s="68" t="str">
        <f>VLOOKUP(D260,'03. Insumos'!A:F,3,0)</f>
        <v>sc</v>
      </c>
      <c r="H260" s="69"/>
      <c r="I260" s="69"/>
      <c r="J260" s="70">
        <f>IFERROR(IF(K260&lt;&gt;0,K260*$K$5,0),0)</f>
        <v>55</v>
      </c>
      <c r="K260" s="70">
        <f>IF(A260=0,VLOOKUP(D260,'03. Insumos'!A:F,4,0),"")</f>
        <v>55</v>
      </c>
      <c r="L260" s="70">
        <f t="shared" si="44"/>
        <v>0</v>
      </c>
      <c r="M260" s="355">
        <f t="shared" ca="1" si="30"/>
        <v>0</v>
      </c>
      <c r="O260" s="148">
        <f>IF(I260&lt;&gt;0,I260*H260*K260,)</f>
        <v>0</v>
      </c>
      <c r="R260" s="356">
        <f>IF(J260&lt;&gt;0,J260/1.03-K260,0)</f>
        <v>-1.6019417475728162</v>
      </c>
    </row>
    <row r="261" spans="1:18" s="18" customFormat="1" ht="13.5" hidden="1" customHeight="1" outlineLevel="1" x14ac:dyDescent="0.3">
      <c r="A261" s="18">
        <v>6</v>
      </c>
      <c r="B261" s="606"/>
      <c r="C261" s="606" t="s">
        <v>2110</v>
      </c>
      <c r="D261" s="606" t="s">
        <v>3511</v>
      </c>
      <c r="E261" s="391"/>
      <c r="F261" s="325"/>
      <c r="G261" s="325"/>
      <c r="H261" s="326"/>
      <c r="I261" s="326"/>
      <c r="J261" s="334"/>
      <c r="K261" s="607"/>
      <c r="L261" s="334">
        <f>SUM(L262)</f>
        <v>0</v>
      </c>
      <c r="M261" s="598">
        <f t="shared" ca="1" si="30"/>
        <v>0</v>
      </c>
      <c r="O261" s="600"/>
      <c r="R261" s="601"/>
    </row>
    <row r="262" spans="1:18" s="51" customFormat="1" ht="13.95" hidden="1" customHeight="1" outlineLevel="1" x14ac:dyDescent="0.3">
      <c r="A262" s="13">
        <v>0</v>
      </c>
      <c r="B262" s="49"/>
      <c r="C262" s="49"/>
      <c r="D262" s="140" t="s">
        <v>3388</v>
      </c>
      <c r="E262" s="67" t="str">
        <f>VLOOKUP(D262,'03. Insumos'!A:D,2,0)</f>
        <v>Proteções Coletivas</v>
      </c>
      <c r="F262" s="68"/>
      <c r="G262" s="68" t="str">
        <f>VLOOKUP(D262,'03. Insumos'!A:F,3,0)</f>
        <v>vb</v>
      </c>
      <c r="H262" s="69"/>
      <c r="I262" s="69"/>
      <c r="J262" s="70">
        <f>IFERROR(IF(K262&lt;&gt;0,K262*$K$5,0),0)</f>
        <v>1</v>
      </c>
      <c r="K262" s="70">
        <f>IF(A262=0,VLOOKUP(D262,'03. Insumos'!A:F,4,0),"")</f>
        <v>1</v>
      </c>
      <c r="L262" s="70">
        <f>H262*J262*I262</f>
        <v>0</v>
      </c>
      <c r="M262" s="355">
        <f t="shared" ca="1" si="30"/>
        <v>0</v>
      </c>
      <c r="O262" s="148"/>
      <c r="R262" s="356"/>
    </row>
    <row r="263" spans="1:18" s="18" customFormat="1" ht="13.5" hidden="1" customHeight="1" outlineLevel="1" x14ac:dyDescent="0.3">
      <c r="A263" s="18">
        <v>6</v>
      </c>
      <c r="B263" s="606"/>
      <c r="C263" s="606" t="s">
        <v>3512</v>
      </c>
      <c r="D263" s="606" t="s">
        <v>3472</v>
      </c>
      <c r="E263" s="391"/>
      <c r="F263" s="325"/>
      <c r="G263" s="325"/>
      <c r="H263" s="326"/>
      <c r="I263" s="326"/>
      <c r="J263" s="334"/>
      <c r="K263" s="607"/>
      <c r="L263" s="334">
        <f>SUMIF(A264:A265,0,L264:L265)</f>
        <v>0</v>
      </c>
      <c r="M263" s="598">
        <f t="shared" ca="1" si="30"/>
        <v>0</v>
      </c>
      <c r="O263" s="600"/>
      <c r="R263" s="601"/>
    </row>
    <row r="264" spans="1:18" s="51" customFormat="1" ht="13.95" hidden="1" customHeight="1" outlineLevel="1" x14ac:dyDescent="0.3">
      <c r="A264" s="13">
        <v>0</v>
      </c>
      <c r="B264" s="49"/>
      <c r="C264" s="49"/>
      <c r="D264" s="370" t="s">
        <v>185</v>
      </c>
      <c r="E264" s="67" t="str">
        <f>VLOOKUP(D264,'03. Insumos'!A:D,2,0)</f>
        <v xml:space="preserve">Estrutura Metálica mais telhas termo acústicas com EPS 30mm. -  MO + MAT </v>
      </c>
      <c r="F264" s="68" t="s">
        <v>5218</v>
      </c>
      <c r="G264" s="68" t="str">
        <f>VLOOKUP(D264,'03. Insumos'!A:F,3,0)</f>
        <v>vb</v>
      </c>
      <c r="H264" s="69">
        <v>1</v>
      </c>
      <c r="I264" s="69">
        <f>H263</f>
        <v>0</v>
      </c>
      <c r="J264" s="70">
        <f>IFERROR(IF(K264&lt;&gt;0,K264*$K$5,0),0)</f>
        <v>36500</v>
      </c>
      <c r="K264" s="70">
        <f>IF(A264=0,VLOOKUP(D264,'03. Insumos'!A:F,4,0),"")</f>
        <v>36500</v>
      </c>
      <c r="L264" s="70">
        <f>H264*J264*I264</f>
        <v>0</v>
      </c>
      <c r="M264" s="355">
        <f t="shared" ca="1" si="30"/>
        <v>0</v>
      </c>
      <c r="O264" s="148"/>
      <c r="R264" s="356"/>
    </row>
    <row r="265" spans="1:18" s="51" customFormat="1" ht="13.95" hidden="1" customHeight="1" outlineLevel="1" x14ac:dyDescent="0.3">
      <c r="A265" s="13">
        <v>0</v>
      </c>
      <c r="B265" s="49"/>
      <c r="C265" s="49"/>
      <c r="D265" s="140"/>
      <c r="E265" s="67" t="e">
        <f>VLOOKUP(D265,'03. Insumos'!A:D,2,0)</f>
        <v>#N/A</v>
      </c>
      <c r="F265" s="68"/>
      <c r="G265" s="68" t="e">
        <f>VLOOKUP(D265,'03. Insumos'!A:F,3,0)</f>
        <v>#N/A</v>
      </c>
      <c r="H265" s="69"/>
      <c r="I265" s="69"/>
      <c r="J265" s="70">
        <f>IFERROR(IF(K265&lt;&gt;0,K265*$K$5,0),0)</f>
        <v>0</v>
      </c>
      <c r="K265" s="70" t="e">
        <f>IF(A265=0,VLOOKUP(D265,'03. Insumos'!A:F,4,0),"")</f>
        <v>#N/A</v>
      </c>
      <c r="L265" s="70">
        <f t="shared" ref="L265:L268" si="49">H265*J265*I265</f>
        <v>0</v>
      </c>
      <c r="M265" s="355">
        <f t="shared" ca="1" si="30"/>
        <v>0</v>
      </c>
      <c r="O265" s="148"/>
      <c r="R265" s="356"/>
    </row>
    <row r="266" spans="1:18" s="51" customFormat="1" ht="13.95" hidden="1" customHeight="1" outlineLevel="1" x14ac:dyDescent="0.3">
      <c r="A266" s="13">
        <v>0</v>
      </c>
      <c r="B266" s="49"/>
      <c r="C266" s="49"/>
      <c r="D266" s="140" t="s">
        <v>5094</v>
      </c>
      <c r="E266" s="67" t="str">
        <f>VLOOKUP(D266,'03. Insumos'!A:D,2,0)</f>
        <v>Painel Wall - 1,20 x 2,50 m de 40mm</v>
      </c>
      <c r="F266" s="68"/>
      <c r="G266" s="68" t="str">
        <f>VLOOKUP(D266,'03. Insumos'!A:F,3,0)</f>
        <v>unid</v>
      </c>
      <c r="H266" s="69"/>
      <c r="I266" s="69"/>
      <c r="J266" s="70">
        <f t="shared" ref="J266:J268" si="50">IFERROR(IF(K266&lt;&gt;0,K266*$K$5,0),0)</f>
        <v>272</v>
      </c>
      <c r="K266" s="70">
        <f>IF(A266=0,VLOOKUP(D266,'03. Insumos'!A:F,4,0),"")</f>
        <v>272</v>
      </c>
      <c r="L266" s="70">
        <f t="shared" si="49"/>
        <v>0</v>
      </c>
      <c r="M266" s="355">
        <f t="shared" ref="M266:M332" ca="1" si="51">L266/$L$7</f>
        <v>0</v>
      </c>
      <c r="O266" s="148"/>
      <c r="R266" s="356"/>
    </row>
    <row r="267" spans="1:18" s="51" customFormat="1" ht="13.95" hidden="1" customHeight="1" outlineLevel="1" x14ac:dyDescent="0.3">
      <c r="A267" s="13">
        <v>0</v>
      </c>
      <c r="B267" s="49"/>
      <c r="C267" s="49"/>
      <c r="D267" s="140" t="s">
        <v>5095</v>
      </c>
      <c r="E267" s="67" t="str">
        <f>VLOOKUP(D267,'03. Insumos'!A:D,2,0)</f>
        <v>Parafuso autobrocante 12mm x 3" (6,3 mm X 76mm)</v>
      </c>
      <c r="F267" s="68"/>
      <c r="G267" s="68" t="str">
        <f>VLOOKUP(D267,'03. Insumos'!A:F,3,0)</f>
        <v>unid</v>
      </c>
      <c r="H267" s="69"/>
      <c r="I267" s="69"/>
      <c r="J267" s="70">
        <f t="shared" si="50"/>
        <v>0.7</v>
      </c>
      <c r="K267" s="70">
        <f>IF(A267=0,VLOOKUP(D267,'03. Insumos'!A:F,4,0),"")</f>
        <v>0.7</v>
      </c>
      <c r="L267" s="70">
        <f t="shared" si="49"/>
        <v>0</v>
      </c>
      <c r="M267" s="355">
        <f t="shared" ca="1" si="51"/>
        <v>0</v>
      </c>
      <c r="O267" s="148"/>
      <c r="R267" s="356"/>
    </row>
    <row r="268" spans="1:18" s="51" customFormat="1" ht="13.95" hidden="1" customHeight="1" outlineLevel="1" x14ac:dyDescent="0.3">
      <c r="A268" s="13">
        <v>0</v>
      </c>
      <c r="B268" s="49"/>
      <c r="C268" s="49"/>
      <c r="D268" s="140" t="s">
        <v>5098</v>
      </c>
      <c r="E268" s="67" t="str">
        <f>VLOOKUP(D268,'03. Insumos'!A:D,2,0)</f>
        <v>Vedacit Selante PU 40</v>
      </c>
      <c r="F268" s="68"/>
      <c r="G268" s="68" t="str">
        <f>VLOOKUP(D268,'03. Insumos'!A:F,3,0)</f>
        <v>unid</v>
      </c>
      <c r="H268" s="69"/>
      <c r="I268" s="69"/>
      <c r="J268" s="70">
        <f t="shared" si="50"/>
        <v>0</v>
      </c>
      <c r="K268" s="70">
        <f>IF(A268=0,VLOOKUP(D268,'03. Insumos'!A:F,4,0),"")</f>
        <v>0</v>
      </c>
      <c r="L268" s="70">
        <f t="shared" si="49"/>
        <v>0</v>
      </c>
      <c r="M268" s="355">
        <f t="shared" ca="1" si="51"/>
        <v>0</v>
      </c>
      <c r="O268" s="148"/>
      <c r="R268" s="356"/>
    </row>
    <row r="269" spans="1:18" s="51" customFormat="1" ht="13.95" hidden="1" customHeight="1" outlineLevel="1" x14ac:dyDescent="0.3">
      <c r="A269" s="13">
        <v>0</v>
      </c>
      <c r="B269" s="49"/>
      <c r="C269" s="49"/>
      <c r="D269" s="140" t="s">
        <v>5096</v>
      </c>
      <c r="E269" s="67" t="str">
        <f>VLOOKUP(D269,'03. Insumos'!A:D,2,0)</f>
        <v>Frete de Transposte</v>
      </c>
      <c r="F269" s="68"/>
      <c r="G269" s="68" t="str">
        <f>VLOOKUP(D269,'03. Insumos'!A:F,3,0)</f>
        <v>unid</v>
      </c>
      <c r="H269" s="69"/>
      <c r="I269" s="69"/>
      <c r="J269" s="70">
        <f>IFERROR(IF(K269&lt;&gt;0,K269*$K$5,0),0)</f>
        <v>1</v>
      </c>
      <c r="K269" s="70">
        <f>IF(A269=0,VLOOKUP(D269,'03. Insumos'!A:F,4,0),"")</f>
        <v>1</v>
      </c>
      <c r="L269" s="70">
        <f>H269*J269*I269</f>
        <v>0</v>
      </c>
      <c r="M269" s="355">
        <f t="shared" ca="1" si="51"/>
        <v>0</v>
      </c>
      <c r="O269" s="148"/>
      <c r="R269" s="356"/>
    </row>
    <row r="270" spans="1:18" s="592" customFormat="1" collapsed="1" x14ac:dyDescent="0.3">
      <c r="A270" s="478">
        <f t="shared" si="37"/>
        <v>3</v>
      </c>
      <c r="B270" s="390"/>
      <c r="C270" s="390" t="s">
        <v>80</v>
      </c>
      <c r="D270" s="390" t="s">
        <v>261</v>
      </c>
      <c r="E270" s="390"/>
      <c r="F270" s="323"/>
      <c r="G270" s="678"/>
      <c r="H270" s="324"/>
      <c r="I270" s="324"/>
      <c r="J270" s="333"/>
      <c r="K270" s="333"/>
      <c r="L270" s="333">
        <f>SUMIF(A271:A285,4,L271:L285)</f>
        <v>155313</v>
      </c>
      <c r="M270" s="479">
        <f t="shared" ca="1" si="51"/>
        <v>0.27569156918938847</v>
      </c>
      <c r="O270" s="499">
        <f>IF(I270&lt;&gt;0,I270*H270*K270,)</f>
        <v>0</v>
      </c>
      <c r="R270" s="348">
        <f t="shared" ref="R270:R282" si="52">IF(J270&lt;&gt;0,J270/1.03-K270,0)</f>
        <v>0</v>
      </c>
    </row>
    <row r="271" spans="1:18" s="18" customFormat="1" outlineLevel="1" x14ac:dyDescent="0.3">
      <c r="A271" s="290">
        <f t="shared" si="37"/>
        <v>4</v>
      </c>
      <c r="B271" s="45"/>
      <c r="C271" s="45" t="s">
        <v>262</v>
      </c>
      <c r="D271" s="45" t="s">
        <v>1877</v>
      </c>
      <c r="E271" s="347"/>
      <c r="F271" s="327"/>
      <c r="G271" s="327"/>
      <c r="H271" s="328"/>
      <c r="I271" s="328"/>
      <c r="J271" s="335"/>
      <c r="K271" s="335" t="str">
        <f>IF(A271=0,VLOOKUP(D271,'03. Insumos'!A:F,4,0),"")</f>
        <v/>
      </c>
      <c r="L271" s="335">
        <f>SUMIF(A272:A285,6,L272:L285)</f>
        <v>155313</v>
      </c>
      <c r="M271" s="153">
        <f t="shared" ca="1" si="51"/>
        <v>0.27569156918938847</v>
      </c>
      <c r="O271" s="148">
        <f>IF(I271&lt;&gt;0,I271*H271*K271,)</f>
        <v>0</v>
      </c>
      <c r="R271" s="12">
        <f t="shared" si="52"/>
        <v>0</v>
      </c>
    </row>
    <row r="272" spans="1:18" s="18" customFormat="1" ht="13.5" customHeight="1" outlineLevel="1" x14ac:dyDescent="0.3">
      <c r="A272" s="18">
        <f t="shared" si="37"/>
        <v>6</v>
      </c>
      <c r="B272" s="606"/>
      <c r="C272" s="606" t="s">
        <v>263</v>
      </c>
      <c r="D272" s="606" t="s">
        <v>4637</v>
      </c>
      <c r="E272" s="391"/>
      <c r="F272" s="325"/>
      <c r="G272" s="325" t="s">
        <v>73</v>
      </c>
      <c r="H272" s="326">
        <f>ROUNDUP((27.29*1.1),0)</f>
        <v>31</v>
      </c>
      <c r="I272" s="326"/>
      <c r="J272" s="334"/>
      <c r="K272" s="607" t="str">
        <f>IF(A272=0,VLOOKUP(D272,'03. Insumos'!A:F,4,0),"")</f>
        <v/>
      </c>
      <c r="L272" s="334">
        <f>SUM(L273:L276)</f>
        <v>136785</v>
      </c>
      <c r="M272" s="598">
        <f t="shared" ca="1" si="51"/>
        <v>0.24280305764211951</v>
      </c>
      <c r="O272" s="600">
        <f>IF(I272&lt;&gt;0,I272*H272*K272,)</f>
        <v>0</v>
      </c>
      <c r="R272" s="601">
        <f t="shared" si="52"/>
        <v>0</v>
      </c>
    </row>
    <row r="273" spans="1:18" s="51" customFormat="1" ht="13.5" customHeight="1" outlineLevel="1" x14ac:dyDescent="0.3">
      <c r="A273" s="13">
        <f t="shared" si="37"/>
        <v>0</v>
      </c>
      <c r="B273" s="49"/>
      <c r="C273" s="49"/>
      <c r="D273" s="370" t="s">
        <v>732</v>
      </c>
      <c r="E273" s="67" t="str">
        <f>VLOOKUP(D273,'03. Insumos'!A:D,2,0)</f>
        <v>Perfil Metálico - Solda</v>
      </c>
      <c r="F273" s="68" t="s">
        <v>5218</v>
      </c>
      <c r="G273" s="68" t="str">
        <f>VLOOKUP(D273,'03. Insumos'!A:F,3,0)</f>
        <v>unid</v>
      </c>
      <c r="H273" s="69">
        <v>1</v>
      </c>
      <c r="I273" s="69">
        <f>ROUNDUP(H272/(0.19*0.39),0)</f>
        <v>419</v>
      </c>
      <c r="J273" s="70">
        <f>IFERROR(IF(K273&lt;&gt;0,K273*$K$5,0),0)</f>
        <v>320</v>
      </c>
      <c r="K273" s="70">
        <f>IF(A273=0,VLOOKUP(D273,'03. Insumos'!A:F,4,0),"")</f>
        <v>320</v>
      </c>
      <c r="L273" s="70">
        <f>H273*J273*I273</f>
        <v>134080</v>
      </c>
      <c r="M273" s="355">
        <f t="shared" ca="1" si="51"/>
        <v>0.23800149116244751</v>
      </c>
      <c r="O273" s="148">
        <f t="shared" ref="O273:O315" si="53">IF(I273&lt;&gt;0,I273*H273*K273,)</f>
        <v>134080</v>
      </c>
      <c r="R273" s="356">
        <f t="shared" si="52"/>
        <v>-9.3203883495145874</v>
      </c>
    </row>
    <row r="274" spans="1:18" s="51" customFormat="1" ht="13.5" customHeight="1" outlineLevel="1" x14ac:dyDescent="0.3">
      <c r="A274" s="13">
        <f t="shared" si="37"/>
        <v>0</v>
      </c>
      <c r="B274" s="49"/>
      <c r="C274" s="49"/>
      <c r="D274" s="370" t="s">
        <v>2272</v>
      </c>
      <c r="E274" s="67" t="str">
        <f>VLOOKUP(D274,'03. Insumos'!A:D,2,0)</f>
        <v>Argamassa multiuso 50kg (grandes Qtde, acima de 240)</v>
      </c>
      <c r="F274" s="68" t="s">
        <v>5218</v>
      </c>
      <c r="G274" s="68" t="str">
        <f>VLOOKUP(D274,'03. Insumos'!A:F,3,0)</f>
        <v>sc</v>
      </c>
      <c r="H274" s="69">
        <v>1</v>
      </c>
      <c r="I274" s="69">
        <f>ROUNDUP((H272/(45*0.2*0.2)),0)</f>
        <v>18</v>
      </c>
      <c r="J274" s="70">
        <f>IFERROR(IF(K274&lt;&gt;0,K274*$K$5,0),0)</f>
        <v>23</v>
      </c>
      <c r="K274" s="70">
        <f>IF(A274=0,VLOOKUP(D274,'03. Insumos'!A:F,4,0),"")</f>
        <v>23</v>
      </c>
      <c r="L274" s="70">
        <f>H274*J274*I274</f>
        <v>414</v>
      </c>
      <c r="M274" s="355">
        <f t="shared" ca="1" si="51"/>
        <v>7.3487930594610138E-4</v>
      </c>
      <c r="O274" s="148">
        <f t="shared" si="53"/>
        <v>414</v>
      </c>
      <c r="R274" s="356">
        <f t="shared" si="52"/>
        <v>-0.66990291262136026</v>
      </c>
    </row>
    <row r="275" spans="1:18" s="51" customFormat="1" ht="12.75" customHeight="1" outlineLevel="1" x14ac:dyDescent="0.3">
      <c r="A275" s="13">
        <f t="shared" si="37"/>
        <v>0</v>
      </c>
      <c r="B275" s="49"/>
      <c r="C275" s="49"/>
      <c r="D275" s="370" t="s">
        <v>192</v>
      </c>
      <c r="E275" s="67" t="str">
        <f>VLOOKUP(D275,'03. Insumos'!A:D,2,0)</f>
        <v>Tela galvanizada</v>
      </c>
      <c r="F275" s="68" t="s">
        <v>5218</v>
      </c>
      <c r="G275" s="68" t="str">
        <f>VLOOKUP(D275,'03. Insumos'!A:F,3,0)</f>
        <v>Cx</v>
      </c>
      <c r="H275" s="69">
        <v>1</v>
      </c>
      <c r="I275" s="69">
        <f>ROUNDUP(H272/100,0)</f>
        <v>1</v>
      </c>
      <c r="J275" s="70">
        <f>IFERROR(IF(K275&lt;&gt;0,K275*$K$5,0),0)</f>
        <v>245</v>
      </c>
      <c r="K275" s="70">
        <f>IF(A275=0,VLOOKUP(D275,'03. Insumos'!A:F,4,0),"")</f>
        <v>245</v>
      </c>
      <c r="L275" s="70">
        <f>H275*J275*I275</f>
        <v>245</v>
      </c>
      <c r="M275" s="355">
        <f t="shared" ca="1" si="51"/>
        <v>4.3489234289080877E-4</v>
      </c>
      <c r="O275" s="148">
        <f t="shared" si="53"/>
        <v>245</v>
      </c>
      <c r="R275" s="356">
        <f t="shared" si="52"/>
        <v>-7.1359223300970882</v>
      </c>
    </row>
    <row r="276" spans="1:18" s="51" customFormat="1" ht="13.5" customHeight="1" outlineLevel="1" x14ac:dyDescent="0.3">
      <c r="A276" s="13">
        <f t="shared" si="37"/>
        <v>0</v>
      </c>
      <c r="B276" s="49"/>
      <c r="C276" s="49"/>
      <c r="D276" s="370" t="s">
        <v>457</v>
      </c>
      <c r="E276" s="67" t="str">
        <f>VLOOKUP(D276,'03. Insumos'!A:D,2,0)</f>
        <v>Execução Alvenaria  - Bloco Concreto</v>
      </c>
      <c r="F276" s="68" t="s">
        <v>3809</v>
      </c>
      <c r="G276" s="68" t="str">
        <f>VLOOKUP(D276,'03. Insumos'!A:F,3,0)</f>
        <v>m²</v>
      </c>
      <c r="H276" s="69">
        <v>1</v>
      </c>
      <c r="I276" s="69">
        <f>H272</f>
        <v>31</v>
      </c>
      <c r="J276" s="70">
        <f>IFERROR(IF(K276&lt;&gt;0,K276*$K$5,0),0)</f>
        <v>66</v>
      </c>
      <c r="K276" s="70">
        <f>IF(A276=0,VLOOKUP(D276,'03. Insumos'!A:F,4,0),"")</f>
        <v>66</v>
      </c>
      <c r="L276" s="70">
        <f>H276*J276*I276</f>
        <v>2046</v>
      </c>
      <c r="M276" s="355">
        <f t="shared" ca="1" si="51"/>
        <v>3.6317948308350807E-3</v>
      </c>
      <c r="O276" s="148">
        <f t="shared" si="53"/>
        <v>2046</v>
      </c>
      <c r="R276" s="356">
        <f t="shared" si="52"/>
        <v>-1.9223300970873822</v>
      </c>
    </row>
    <row r="277" spans="1:18" s="18" customFormat="1" ht="13.5" customHeight="1" outlineLevel="1" x14ac:dyDescent="0.3">
      <c r="A277" s="18">
        <f>LEN(C277)</f>
        <v>6</v>
      </c>
      <c r="B277" s="606"/>
      <c r="C277" s="606" t="s">
        <v>3148</v>
      </c>
      <c r="D277" s="606" t="s">
        <v>5391</v>
      </c>
      <c r="E277" s="391"/>
      <c r="F277" s="325"/>
      <c r="G277" s="325" t="s">
        <v>73</v>
      </c>
      <c r="H277" s="326">
        <f>ROUNDUP((28.96*1.1),0)</f>
        <v>32</v>
      </c>
      <c r="I277" s="326"/>
      <c r="J277" s="70"/>
      <c r="K277" s="607" t="str">
        <f>IF(A277=0,VLOOKUP(D277,'03. Insumos'!A:F,4,0),"")</f>
        <v/>
      </c>
      <c r="L277" s="334">
        <f>SUM(L278:L281)</f>
        <v>18078</v>
      </c>
      <c r="M277" s="598">
        <f t="shared" ca="1" si="51"/>
        <v>3.2089729692979761E-2</v>
      </c>
      <c r="O277" s="600">
        <f t="shared" si="53"/>
        <v>0</v>
      </c>
      <c r="R277" s="601">
        <f t="shared" si="52"/>
        <v>0</v>
      </c>
    </row>
    <row r="278" spans="1:18" s="51" customFormat="1" ht="13.5" customHeight="1" outlineLevel="1" x14ac:dyDescent="0.3">
      <c r="A278" s="13">
        <f>LEN(C278)</f>
        <v>0</v>
      </c>
      <c r="B278" s="49"/>
      <c r="C278" s="49"/>
      <c r="D278" s="370" t="s">
        <v>190</v>
      </c>
      <c r="E278" s="67" t="str">
        <f>VLOOKUP(D278,'03. Insumos'!A:D,2,0)</f>
        <v>Argamassa revestimento externo 50kg</v>
      </c>
      <c r="F278" s="68" t="s">
        <v>5218</v>
      </c>
      <c r="G278" s="68" t="str">
        <f>VLOOKUP(D278,'03. Insumos'!A:F,3,0)</f>
        <v>sc</v>
      </c>
      <c r="H278" s="69">
        <v>1</v>
      </c>
      <c r="I278" s="69">
        <f>ROUNDUP(H277/(0.19*0.39),0)</f>
        <v>432</v>
      </c>
      <c r="J278" s="70">
        <f>IFERROR(IF(K278&lt;&gt;0,K278*$K$5,0),0)</f>
        <v>36</v>
      </c>
      <c r="K278" s="70">
        <f>IF(A278=0,VLOOKUP(D278,'03. Insumos'!A:F,4,0),"")</f>
        <v>36</v>
      </c>
      <c r="L278" s="70">
        <f>H278*J278*I278</f>
        <v>15552</v>
      </c>
      <c r="M278" s="355">
        <f t="shared" ca="1" si="51"/>
        <v>2.7605900884236156E-2</v>
      </c>
      <c r="O278" s="148"/>
      <c r="R278" s="356"/>
    </row>
    <row r="279" spans="1:18" s="51" customFormat="1" ht="13.5" customHeight="1" outlineLevel="1" x14ac:dyDescent="0.3">
      <c r="A279" s="13">
        <v>0</v>
      </c>
      <c r="B279" s="49"/>
      <c r="C279" s="49"/>
      <c r="D279" s="370" t="s">
        <v>2272</v>
      </c>
      <c r="E279" s="67" t="str">
        <f>VLOOKUP(D279,'03. Insumos'!A:D,2,0)</f>
        <v>Argamassa multiuso 50kg (grandes Qtde, acima de 240)</v>
      </c>
      <c r="F279" s="68" t="s">
        <v>5218</v>
      </c>
      <c r="G279" s="68" t="str">
        <f>VLOOKUP(D279,'03. Insumos'!A:F,3,0)</f>
        <v>sc</v>
      </c>
      <c r="H279" s="69">
        <v>1</v>
      </c>
      <c r="I279" s="69">
        <f>ROUNDUP((H277/(45*0.2*0.2)),0)</f>
        <v>18</v>
      </c>
      <c r="J279" s="70">
        <f>IFERROR(IF(K279&lt;&gt;0,K279*$K$5,0),0)</f>
        <v>23</v>
      </c>
      <c r="K279" s="70">
        <f>IF(A279=0,VLOOKUP(D279,'03. Insumos'!A:F,4,0),"")</f>
        <v>23</v>
      </c>
      <c r="L279" s="70">
        <f>H279*J279*I279</f>
        <v>414</v>
      </c>
      <c r="M279" s="355">
        <f t="shared" ca="1" si="51"/>
        <v>7.3487930594610138E-4</v>
      </c>
      <c r="O279" s="148">
        <v>0</v>
      </c>
      <c r="R279" s="356">
        <v>-0.33786407766990401</v>
      </c>
    </row>
    <row r="280" spans="1:18" s="51" customFormat="1" ht="13.5" hidden="1" customHeight="1" outlineLevel="1" x14ac:dyDescent="0.3">
      <c r="A280" s="13">
        <v>0</v>
      </c>
      <c r="B280" s="49"/>
      <c r="C280" s="49"/>
      <c r="D280" s="370"/>
      <c r="E280" s="67" t="e">
        <f>VLOOKUP(D280,'03. Insumos'!A:D,2,0)</f>
        <v>#N/A</v>
      </c>
      <c r="F280" s="68" t="s">
        <v>5218</v>
      </c>
      <c r="G280" s="68" t="e">
        <f>VLOOKUP(D280,'03. Insumos'!A:F,3,0)</f>
        <v>#N/A</v>
      </c>
      <c r="H280" s="69">
        <v>1</v>
      </c>
      <c r="I280" s="69">
        <f>ROUNDUP(H277/100,0)</f>
        <v>1</v>
      </c>
      <c r="J280" s="70">
        <f>IFERROR(IF(K280&lt;&gt;0,K280*$K$5,0),0)</f>
        <v>0</v>
      </c>
      <c r="K280" s="70" t="e">
        <f>IF(A280=0,VLOOKUP(D280,'03. Insumos'!A:F,4,0),"")</f>
        <v>#N/A</v>
      </c>
      <c r="L280" s="70">
        <f>H280*J280*I280</f>
        <v>0</v>
      </c>
      <c r="M280" s="355">
        <f t="shared" ca="1" si="51"/>
        <v>0</v>
      </c>
      <c r="O280" s="148">
        <v>0</v>
      </c>
      <c r="R280" s="356">
        <v>-0.33786407766990401</v>
      </c>
    </row>
    <row r="281" spans="1:18" s="51" customFormat="1" ht="13.5" customHeight="1" outlineLevel="1" x14ac:dyDescent="0.3">
      <c r="A281" s="13">
        <v>0</v>
      </c>
      <c r="B281" s="49"/>
      <c r="C281" s="49"/>
      <c r="D281" s="370" t="s">
        <v>457</v>
      </c>
      <c r="E281" s="67" t="str">
        <f>VLOOKUP(D281,'03. Insumos'!A:D,2,0)</f>
        <v>Execução Alvenaria  - Bloco Concreto</v>
      </c>
      <c r="F281" s="68" t="s">
        <v>3809</v>
      </c>
      <c r="G281" s="68" t="str">
        <f>VLOOKUP(D281,'03. Insumos'!A:F,3,0)</f>
        <v>m²</v>
      </c>
      <c r="H281" s="69">
        <v>1</v>
      </c>
      <c r="I281" s="69">
        <f>H277</f>
        <v>32</v>
      </c>
      <c r="J281" s="70">
        <f>IFERROR(IF(K281&lt;&gt;0,K281*$K$5,0),0)</f>
        <v>66</v>
      </c>
      <c r="K281" s="70">
        <f>IF(A281=0,VLOOKUP(D281,'03. Insumos'!A:F,4,0),"")</f>
        <v>66</v>
      </c>
      <c r="L281" s="70">
        <f>H281*J281*I281</f>
        <v>2112</v>
      </c>
      <c r="M281" s="355">
        <f t="shared" ca="1" si="51"/>
        <v>3.7489495027975025E-3</v>
      </c>
      <c r="O281" s="148">
        <v>0</v>
      </c>
      <c r="R281" s="356">
        <v>-0.33786407766990401</v>
      </c>
    </row>
    <row r="282" spans="1:18" s="18" customFormat="1" ht="13.5" customHeight="1" outlineLevel="1" x14ac:dyDescent="0.3">
      <c r="A282" s="18">
        <f>LEN(C282)</f>
        <v>6</v>
      </c>
      <c r="B282" s="606"/>
      <c r="C282" s="606" t="s">
        <v>5483</v>
      </c>
      <c r="D282" s="606" t="s">
        <v>4998</v>
      </c>
      <c r="E282" s="391"/>
      <c r="F282" s="325"/>
      <c r="G282" s="325" t="s">
        <v>73</v>
      </c>
      <c r="H282" s="326">
        <f>ROUNDUP((2.04*1.1),0)</f>
        <v>3</v>
      </c>
      <c r="I282" s="326"/>
      <c r="J282" s="334"/>
      <c r="K282" s="607" t="str">
        <f>IF(A282=0,VLOOKUP(D282,'03. Insumos'!A:F,4,0),"")</f>
        <v/>
      </c>
      <c r="L282" s="334">
        <f>SUM(L283:L285)</f>
        <v>450</v>
      </c>
      <c r="M282" s="598">
        <f t="shared" ca="1" si="51"/>
        <v>7.9878185428924062E-4</v>
      </c>
      <c r="O282" s="600">
        <f t="shared" si="53"/>
        <v>0</v>
      </c>
      <c r="R282" s="601">
        <f t="shared" si="52"/>
        <v>0</v>
      </c>
    </row>
    <row r="283" spans="1:18" s="51" customFormat="1" ht="13.5" customHeight="1" outlineLevel="1" x14ac:dyDescent="0.3">
      <c r="A283" s="13">
        <f>LEN(C283)</f>
        <v>0</v>
      </c>
      <c r="B283" s="49"/>
      <c r="C283" s="49"/>
      <c r="D283" s="370" t="s">
        <v>5330</v>
      </c>
      <c r="E283" s="67" t="str">
        <f>VLOOKUP(D283,'03. Insumos'!A:D,2,0)</f>
        <v>MAT + MO - E1 - ST- 12,5 -MS 70 40/40 - BA</v>
      </c>
      <c r="F283" s="68" t="s">
        <v>5218</v>
      </c>
      <c r="G283" s="68" t="str">
        <f>VLOOKUP(D283,'03. Insumos'!A:F,3,0)</f>
        <v>m²</v>
      </c>
      <c r="H283" s="69">
        <v>1</v>
      </c>
      <c r="I283" s="69">
        <f>H282</f>
        <v>3</v>
      </c>
      <c r="J283" s="70">
        <f>IFERROR(IF(K283&lt;&gt;0,K283*$K$5,0),0)</f>
        <v>150</v>
      </c>
      <c r="K283" s="70">
        <f>IF(A283=0,VLOOKUP(D283,'03. Insumos'!A:F,4,0),"")</f>
        <v>150</v>
      </c>
      <c r="L283" s="70">
        <f>H283*J283*I283</f>
        <v>450</v>
      </c>
      <c r="M283" s="355">
        <f t="shared" ca="1" si="51"/>
        <v>7.9878185428924062E-4</v>
      </c>
      <c r="O283" s="148"/>
      <c r="R283" s="356"/>
    </row>
    <row r="284" spans="1:18" s="51" customFormat="1" ht="13.5" hidden="1" customHeight="1" outlineLevel="1" x14ac:dyDescent="0.3">
      <c r="A284" s="13">
        <f>LEN(C284)</f>
        <v>0</v>
      </c>
      <c r="B284" s="49"/>
      <c r="C284" s="49"/>
      <c r="D284" s="370"/>
      <c r="E284" s="67" t="e">
        <f>VLOOKUP(D284,'03. Insumos'!A:D,2,0)</f>
        <v>#N/A</v>
      </c>
      <c r="F284" s="68" t="s">
        <v>5218</v>
      </c>
      <c r="G284" s="68" t="e">
        <f>VLOOKUP(D284,'03. Insumos'!A:F,3,0)</f>
        <v>#N/A</v>
      </c>
      <c r="H284" s="69"/>
      <c r="I284" s="69">
        <v>34.65</v>
      </c>
      <c r="J284" s="70">
        <f>IFERROR(IF(K284&lt;&gt;0,K284*$K$5,0),0)</f>
        <v>0</v>
      </c>
      <c r="K284" s="70" t="e">
        <f>IF(A284=0,VLOOKUP(D284,'03. Insumos'!A:F,4,0),"")</f>
        <v>#N/A</v>
      </c>
      <c r="L284" s="70">
        <f>H284*J284*I284</f>
        <v>0</v>
      </c>
      <c r="M284" s="355">
        <f t="shared" ca="1" si="51"/>
        <v>0</v>
      </c>
      <c r="O284" s="148"/>
      <c r="R284" s="356"/>
    </row>
    <row r="285" spans="1:18" s="51" customFormat="1" ht="13.5" hidden="1" customHeight="1" outlineLevel="1" x14ac:dyDescent="0.3">
      <c r="A285" s="13">
        <v>0</v>
      </c>
      <c r="B285" s="49"/>
      <c r="C285" s="49"/>
      <c r="D285" s="140"/>
      <c r="E285" s="67" t="e">
        <f>VLOOKUP(D285,'03. Insumos'!A:D,2,0)</f>
        <v>#N/A</v>
      </c>
      <c r="F285" s="68" t="s">
        <v>2612</v>
      </c>
      <c r="G285" s="68" t="e">
        <f>VLOOKUP(D285,'03. Insumos'!A:F,3,0)</f>
        <v>#N/A</v>
      </c>
      <c r="H285" s="69"/>
      <c r="I285" s="69"/>
      <c r="J285" s="70">
        <f>IFERROR(IF(K285&lt;&gt;0,K285*$K$5,0),0)</f>
        <v>0</v>
      </c>
      <c r="K285" s="70" t="e">
        <f>IF(A285=0,VLOOKUP(D285,'03. Insumos'!A:F,4,0),"")</f>
        <v>#N/A</v>
      </c>
      <c r="L285" s="70">
        <f>H285*J285*I285</f>
        <v>0</v>
      </c>
      <c r="M285" s="355">
        <f t="shared" ca="1" si="51"/>
        <v>0</v>
      </c>
      <c r="O285" s="148">
        <v>0</v>
      </c>
      <c r="R285" s="356">
        <v>-0.33786407766990401</v>
      </c>
    </row>
    <row r="286" spans="1:18" s="592" customFormat="1" x14ac:dyDescent="0.3">
      <c r="A286" s="478">
        <f t="shared" si="37"/>
        <v>3</v>
      </c>
      <c r="B286" s="390"/>
      <c r="C286" s="390" t="s">
        <v>81</v>
      </c>
      <c r="D286" s="390" t="s">
        <v>86</v>
      </c>
      <c r="E286" s="390"/>
      <c r="F286" s="323"/>
      <c r="G286" s="678"/>
      <c r="H286" s="324"/>
      <c r="I286" s="324"/>
      <c r="J286" s="333"/>
      <c r="K286" s="333"/>
      <c r="L286" s="333">
        <f ca="1">SUMIF(A287:A310,4,L287:L296)</f>
        <v>27419.7</v>
      </c>
      <c r="M286" s="479">
        <f t="shared" ca="1" si="51"/>
        <v>4.8671908466788205E-2</v>
      </c>
      <c r="O286" s="499">
        <f t="shared" si="53"/>
        <v>0</v>
      </c>
      <c r="R286" s="348">
        <f>IF(J286&lt;&gt;0,J286/1.03-K286,0)</f>
        <v>0</v>
      </c>
    </row>
    <row r="287" spans="1:18" s="18" customFormat="1" ht="13.5" customHeight="1" outlineLevel="1" x14ac:dyDescent="0.3">
      <c r="A287" s="290">
        <f t="shared" si="37"/>
        <v>4</v>
      </c>
      <c r="B287" s="45"/>
      <c r="C287" s="45" t="s">
        <v>361</v>
      </c>
      <c r="D287" s="45" t="s">
        <v>1160</v>
      </c>
      <c r="E287" s="347"/>
      <c r="F287" s="327"/>
      <c r="G287" s="327"/>
      <c r="H287" s="328"/>
      <c r="I287" s="328"/>
      <c r="J287" s="335"/>
      <c r="K287" s="335" t="str">
        <f>IF(A287=0,VLOOKUP(D287,'03. Insumos'!A:F,4,0),"")</f>
        <v/>
      </c>
      <c r="L287" s="335">
        <f>SUMIF(A288:A290,6,L288:L290)</f>
        <v>0.95</v>
      </c>
      <c r="M287" s="153">
        <f t="shared" ca="1" si="51"/>
        <v>1.6863172479439522E-6</v>
      </c>
      <c r="O287" s="148">
        <f t="shared" si="53"/>
        <v>0</v>
      </c>
      <c r="R287" s="12">
        <f>IF(J287&lt;&gt;0,J287/1.03-K287,0)</f>
        <v>0</v>
      </c>
    </row>
    <row r="288" spans="1:18" s="18" customFormat="1" ht="13.5" customHeight="1" outlineLevel="1" x14ac:dyDescent="0.3">
      <c r="A288" s="18">
        <f t="shared" si="37"/>
        <v>6</v>
      </c>
      <c r="B288" s="606"/>
      <c r="C288" s="606" t="s">
        <v>266</v>
      </c>
      <c r="D288" s="606" t="s">
        <v>1160</v>
      </c>
      <c r="E288" s="391"/>
      <c r="F288" s="325"/>
      <c r="G288" s="325"/>
      <c r="H288" s="326"/>
      <c r="I288" s="326"/>
      <c r="J288" s="334"/>
      <c r="K288" s="607" t="str">
        <f>IF(A288=0,VLOOKUP(D288,'03. Insumos'!A:F,4,0),"")</f>
        <v/>
      </c>
      <c r="L288" s="334">
        <f>SUM(L289:L290)</f>
        <v>0.95</v>
      </c>
      <c r="M288" s="598">
        <f t="shared" ca="1" si="51"/>
        <v>1.6863172479439522E-6</v>
      </c>
      <c r="O288" s="600">
        <f t="shared" si="53"/>
        <v>0</v>
      </c>
      <c r="R288" s="601">
        <f>IF(J288&lt;&gt;0,J288/1.03-K288,0)</f>
        <v>0</v>
      </c>
    </row>
    <row r="289" spans="1:18" s="51" customFormat="1" outlineLevel="1" x14ac:dyDescent="0.3">
      <c r="A289" s="13">
        <f t="shared" si="37"/>
        <v>0</v>
      </c>
      <c r="B289" s="49"/>
      <c r="C289" s="49"/>
      <c r="D289" s="370" t="s">
        <v>3380</v>
      </c>
      <c r="E289" s="67" t="str">
        <f>VLOOKUP(D289,'03. Insumos'!A:D,2,0)</f>
        <v>Instalações Prediais (elétricas, hidraulicas, esgoto sanitário e gás ) - Fogão Elétrico / Aquecimento Central ou Chuveiro Elétrico</v>
      </c>
      <c r="F289" s="68" t="s">
        <v>5218</v>
      </c>
      <c r="G289" s="68" t="str">
        <f>VLOOKUP(D289,'03. Insumos'!A:F,3,0)</f>
        <v>vb</v>
      </c>
      <c r="H289" s="746">
        <v>0.95</v>
      </c>
      <c r="I289" s="69">
        <v>1</v>
      </c>
      <c r="J289" s="70">
        <f>IFERROR(IF(K289&lt;&gt;0,K289*$K$5,0),0)</f>
        <v>1</v>
      </c>
      <c r="K289" s="70">
        <f>IF(A289=0,VLOOKUP(D289,'03. Insumos'!A:F,4,0),"")</f>
        <v>1</v>
      </c>
      <c r="L289" s="70">
        <f>H289*J289*I289</f>
        <v>0.95</v>
      </c>
      <c r="M289" s="355">
        <f t="shared" ca="1" si="51"/>
        <v>1.6863172479439522E-6</v>
      </c>
      <c r="O289" s="148">
        <f t="shared" si="53"/>
        <v>0.95</v>
      </c>
      <c r="R289" s="356">
        <f>IF(J289&lt;&gt;0,J289/1.03-K289,0)</f>
        <v>-2.9126213592232997E-2</v>
      </c>
    </row>
    <row r="290" spans="1:18" s="51" customFormat="1" hidden="1" outlineLevel="1" x14ac:dyDescent="0.3">
      <c r="A290" s="13">
        <f t="shared" si="37"/>
        <v>0</v>
      </c>
      <c r="B290" s="49"/>
      <c r="C290" s="49"/>
      <c r="D290" s="370" t="s">
        <v>4697</v>
      </c>
      <c r="E290" s="370" t="str">
        <f>VLOOKUP(D290,'03. Insumos'!A:D,2,0)</f>
        <v>Luminárias</v>
      </c>
      <c r="F290" s="68" t="s">
        <v>5218</v>
      </c>
      <c r="G290" s="68" t="str">
        <f>VLOOKUP(D290,'03. Insumos'!A:F,3,0)</f>
        <v>vb</v>
      </c>
      <c r="H290" s="69"/>
      <c r="I290" s="69">
        <v>1</v>
      </c>
      <c r="J290" s="70">
        <f>IFERROR(IF(K290&lt;&gt;0,K290*$K$5,0),0)</f>
        <v>5661</v>
      </c>
      <c r="K290" s="70">
        <f>IF(A290=0,VLOOKUP(D290,'03. Insumos'!A:F,4,0),"")</f>
        <v>5661</v>
      </c>
      <c r="L290" s="70">
        <f>H290*J290*I290</f>
        <v>0</v>
      </c>
      <c r="M290" s="355">
        <f t="shared" ca="1" si="51"/>
        <v>0</v>
      </c>
      <c r="O290" s="148"/>
      <c r="R290" s="356"/>
    </row>
    <row r="291" spans="1:18" s="18" customFormat="1" ht="13.5" customHeight="1" outlineLevel="1" x14ac:dyDescent="0.3">
      <c r="A291" s="290">
        <f t="shared" si="37"/>
        <v>4</v>
      </c>
      <c r="B291" s="45"/>
      <c r="C291" s="45" t="s">
        <v>1352</v>
      </c>
      <c r="D291" s="45" t="s">
        <v>5126</v>
      </c>
      <c r="E291" s="347"/>
      <c r="F291" s="327"/>
      <c r="G291" s="327"/>
      <c r="H291" s="328"/>
      <c r="I291" s="328"/>
      <c r="J291" s="335"/>
      <c r="K291" s="335"/>
      <c r="L291" s="335">
        <f>SUMIF(A292:A297,6,L292:L297)</f>
        <v>27418.75</v>
      </c>
      <c r="M291" s="153">
        <f t="shared" ca="1" si="51"/>
        <v>4.8670222149540254E-2</v>
      </c>
      <c r="O291" s="148">
        <f t="shared" si="53"/>
        <v>0</v>
      </c>
      <c r="R291" s="12">
        <f>IF(J291&lt;&gt;0,J291/1.03-K291,0)</f>
        <v>0</v>
      </c>
    </row>
    <row r="292" spans="1:18" s="18" customFormat="1" ht="13.5" customHeight="1" outlineLevel="1" x14ac:dyDescent="0.3">
      <c r="A292" s="18">
        <f t="shared" si="37"/>
        <v>6</v>
      </c>
      <c r="B292" s="606"/>
      <c r="C292" s="606" t="s">
        <v>1353</v>
      </c>
      <c r="D292" s="606" t="s">
        <v>5126</v>
      </c>
      <c r="E292" s="391"/>
      <c r="F292" s="325"/>
      <c r="G292" s="325"/>
      <c r="H292" s="326"/>
      <c r="I292" s="326"/>
      <c r="J292" s="334"/>
      <c r="K292" s="607"/>
      <c r="L292" s="334">
        <f>SUM(L293:L297)</f>
        <v>27418.75</v>
      </c>
      <c r="M292" s="598">
        <f t="shared" ca="1" si="51"/>
        <v>4.8670222149540254E-2</v>
      </c>
      <c r="O292" s="600">
        <f t="shared" si="53"/>
        <v>0</v>
      </c>
      <c r="R292" s="601">
        <f>IF(J292&lt;&gt;0,J292/1.03-K292,0)</f>
        <v>0</v>
      </c>
    </row>
    <row r="293" spans="1:18" s="59" customFormat="1" ht="13.5" customHeight="1" outlineLevel="1" x14ac:dyDescent="0.3">
      <c r="A293" s="13">
        <f t="shared" si="37"/>
        <v>0</v>
      </c>
      <c r="B293" s="55"/>
      <c r="C293" s="55"/>
      <c r="D293" s="370" t="s">
        <v>4711</v>
      </c>
      <c r="E293" s="67" t="str">
        <f>VLOOKUP(D293,'03. Insumos'!A:D,2,0)</f>
        <v>Instalações de Ar condicionado - MAT + MO</v>
      </c>
      <c r="F293" s="68" t="s">
        <v>5218</v>
      </c>
      <c r="G293" s="68" t="str">
        <f>VLOOKUP(D293,'03. Insumos'!A:F,3,0)</f>
        <v>unid</v>
      </c>
      <c r="H293" s="69">
        <v>1</v>
      </c>
      <c r="I293" s="69">
        <v>5</v>
      </c>
      <c r="J293" s="70">
        <f>IFERROR(IF(K293&lt;&gt;0,K293*$K$5,0),0)</f>
        <v>743.75</v>
      </c>
      <c r="K293" s="70">
        <f>IF(A293=0,VLOOKUP(D293,'03. Insumos'!A:F,4,0),"")</f>
        <v>743.75</v>
      </c>
      <c r="L293" s="70">
        <f>H293*J293*I293</f>
        <v>3718.75</v>
      </c>
      <c r="M293" s="355">
        <f t="shared" ca="1" si="51"/>
        <v>6.6010444903069187E-3</v>
      </c>
      <c r="O293" s="148"/>
      <c r="R293" s="356"/>
    </row>
    <row r="294" spans="1:18" s="59" customFormat="1" ht="13.5" customHeight="1" outlineLevel="1" x14ac:dyDescent="0.3">
      <c r="A294" s="13">
        <f t="shared" ref="A294:A295" si="54">LEN(C294)</f>
        <v>0</v>
      </c>
      <c r="B294" s="55"/>
      <c r="C294" s="55"/>
      <c r="D294" s="370" t="s">
        <v>3390</v>
      </c>
      <c r="E294" s="67" t="str">
        <f>VLOOKUP(D294,'03. Insumos'!A:D,2,0)</f>
        <v>Infra para Instalação Cassete - MAT + MO</v>
      </c>
      <c r="F294" s="68" t="s">
        <v>5218</v>
      </c>
      <c r="G294" s="68" t="str">
        <f>VLOOKUP(D294,'03. Insumos'!A:F,3,0)</f>
        <v>Unid</v>
      </c>
      <c r="H294" s="69">
        <v>1</v>
      </c>
      <c r="I294" s="69">
        <v>5</v>
      </c>
      <c r="J294" s="70">
        <f>IFERROR(IF(K294&lt;&gt;0,K294*$K$5,0),0)</f>
        <v>2200</v>
      </c>
      <c r="K294" s="70">
        <f>IF(A294=0,VLOOKUP(D294,'03. Insumos'!A:F,4,0),"")</f>
        <v>2200</v>
      </c>
      <c r="L294" s="70">
        <f>H294*J294*I294</f>
        <v>11000</v>
      </c>
      <c r="M294" s="355">
        <f t="shared" ref="M294:M295" ca="1" si="55">L294/$L$7</f>
        <v>1.9525778660403659E-2</v>
      </c>
      <c r="O294" s="148"/>
      <c r="R294" s="356"/>
    </row>
    <row r="295" spans="1:18" s="59" customFormat="1" ht="13.5" customHeight="1" outlineLevel="1" x14ac:dyDescent="0.3">
      <c r="A295" s="13">
        <f t="shared" si="54"/>
        <v>0</v>
      </c>
      <c r="B295" s="55"/>
      <c r="C295" s="55"/>
      <c r="D295" s="370" t="s">
        <v>2849</v>
      </c>
      <c r="E295" s="67" t="str">
        <f>VLOOKUP(D295,'03. Insumos'!A:D,2,0)</f>
        <v>Exaustor tipo ventokit, embutido no forro - MAT + MO</v>
      </c>
      <c r="F295" s="68" t="s">
        <v>5218</v>
      </c>
      <c r="G295" s="68" t="str">
        <f>VLOOKUP(D295,'03. Insumos'!A:F,3,0)</f>
        <v>unid</v>
      </c>
      <c r="H295" s="69">
        <v>1</v>
      </c>
      <c r="I295" s="69">
        <v>1</v>
      </c>
      <c r="J295" s="70">
        <f>IFERROR(IF(K295&lt;&gt;0,K295*$K$5,0),0)</f>
        <v>900</v>
      </c>
      <c r="K295" s="70">
        <f>IF(A295=0,VLOOKUP(D295,'03. Insumos'!A:F,4,0),"")</f>
        <v>900</v>
      </c>
      <c r="L295" s="70">
        <f>H295*J295*I295</f>
        <v>900</v>
      </c>
      <c r="M295" s="355">
        <f t="shared" ca="1" si="55"/>
        <v>1.5975637085784812E-3</v>
      </c>
      <c r="O295" s="148"/>
      <c r="R295" s="356"/>
    </row>
    <row r="296" spans="1:18" s="59" customFormat="1" ht="13.5" customHeight="1" outlineLevel="1" x14ac:dyDescent="0.3">
      <c r="A296" s="13">
        <f>LEN(C296)</f>
        <v>0</v>
      </c>
      <c r="B296" s="55"/>
      <c r="C296" s="55"/>
      <c r="D296" s="370" t="s">
        <v>5085</v>
      </c>
      <c r="E296" s="67" t="str">
        <f>VLOOKUP(D296,'03. Insumos'!A:D,2,0)</f>
        <v>Ar Condicionado - Equipamentos</v>
      </c>
      <c r="F296" s="68" t="s">
        <v>5218</v>
      </c>
      <c r="G296" s="68" t="str">
        <f>VLOOKUP(D296,'03. Insumos'!A:F,3,0)</f>
        <v>vb</v>
      </c>
      <c r="H296" s="69">
        <v>1</v>
      </c>
      <c r="I296" s="69">
        <v>1</v>
      </c>
      <c r="J296" s="70">
        <f>IFERROR(IF(K296&lt;&gt;0,K296*$K$5,0),0)</f>
        <v>11800</v>
      </c>
      <c r="K296" s="70">
        <f>IF(A296=0,VLOOKUP(D296,'03. Insumos'!A:F,4,0),"")</f>
        <v>11800</v>
      </c>
      <c r="L296" s="70">
        <f>H296*J296*I296</f>
        <v>11800</v>
      </c>
      <c r="M296" s="355">
        <f t="shared" ca="1" si="51"/>
        <v>2.0945835290251198E-2</v>
      </c>
      <c r="O296" s="148"/>
      <c r="R296" s="356"/>
    </row>
    <row r="297" spans="1:18" s="59" customFormat="1" ht="13.5" hidden="1" customHeight="1" outlineLevel="1" x14ac:dyDescent="0.3">
      <c r="A297" s="13">
        <f>LEN(C297)</f>
        <v>0</v>
      </c>
      <c r="B297" s="55"/>
      <c r="C297" s="55"/>
      <c r="D297" s="140"/>
      <c r="E297" s="67" t="e">
        <f>VLOOKUP(D297,'03. Insumos'!A:D,2,0)</f>
        <v>#N/A</v>
      </c>
      <c r="F297" s="68" t="s">
        <v>2963</v>
      </c>
      <c r="G297" s="68" t="e">
        <f>VLOOKUP(D297,'03. Insumos'!A:F,3,0)</f>
        <v>#N/A</v>
      </c>
      <c r="H297" s="69"/>
      <c r="I297" s="69"/>
      <c r="J297" s="70">
        <f>IFERROR(IF(K297&lt;&gt;0,K297*$K$5,0),0)</f>
        <v>0</v>
      </c>
      <c r="K297" s="70" t="e">
        <f>IF(A297=0,VLOOKUP(D297,'03. Insumos'!A:F,4,0),"")</f>
        <v>#N/A</v>
      </c>
      <c r="L297" s="70">
        <f>H297*J297*I297</f>
        <v>0</v>
      </c>
      <c r="M297" s="355">
        <f t="shared" ca="1" si="51"/>
        <v>0</v>
      </c>
      <c r="O297" s="148"/>
      <c r="R297" s="356"/>
    </row>
    <row r="298" spans="1:18" s="18" customFormat="1" ht="13.5" hidden="1" customHeight="1" outlineLevel="1" x14ac:dyDescent="0.3">
      <c r="A298" s="290">
        <f t="shared" ref="A298:A306" si="56">LEN(C298)</f>
        <v>4</v>
      </c>
      <c r="B298" s="45"/>
      <c r="C298" s="45" t="s">
        <v>1354</v>
      </c>
      <c r="D298" s="45" t="s">
        <v>4752</v>
      </c>
      <c r="E298" s="347"/>
      <c r="F298" s="327"/>
      <c r="G298" s="327"/>
      <c r="H298" s="328"/>
      <c r="I298" s="328"/>
      <c r="J298" s="335"/>
      <c r="K298" s="335"/>
      <c r="L298" s="335">
        <f>SUMIF(A299:A310,6,L299:L310)</f>
        <v>0</v>
      </c>
      <c r="M298" s="153">
        <f t="shared" ca="1" si="51"/>
        <v>0</v>
      </c>
      <c r="O298" s="148">
        <f t="shared" ref="O298:O299" si="57">IF(I298&lt;&gt;0,I298*H298*K298,)</f>
        <v>0</v>
      </c>
      <c r="R298" s="12">
        <f>IF(J298&lt;&gt;0,J298/1.03-K298,0)</f>
        <v>0</v>
      </c>
    </row>
    <row r="299" spans="1:18" s="18" customFormat="1" ht="13.5" hidden="1" customHeight="1" outlineLevel="1" x14ac:dyDescent="0.3">
      <c r="A299" s="18">
        <f t="shared" si="56"/>
        <v>6</v>
      </c>
      <c r="B299" s="606"/>
      <c r="C299" s="606" t="s">
        <v>1355</v>
      </c>
      <c r="D299" s="606" t="s">
        <v>4752</v>
      </c>
      <c r="E299" s="391"/>
      <c r="F299" s="325"/>
      <c r="G299" s="325"/>
      <c r="H299" s="326"/>
      <c r="I299" s="326"/>
      <c r="J299" s="334"/>
      <c r="K299" s="607"/>
      <c r="L299" s="334">
        <f>SUM(L300:L310)</f>
        <v>0</v>
      </c>
      <c r="M299" s="598">
        <f t="shared" ca="1" si="51"/>
        <v>0</v>
      </c>
      <c r="O299" s="600">
        <f t="shared" si="57"/>
        <v>0</v>
      </c>
      <c r="R299" s="601">
        <f>IF(J299&lt;&gt;0,J299/1.03-K299,0)</f>
        <v>0</v>
      </c>
    </row>
    <row r="300" spans="1:18" s="59" customFormat="1" ht="13.5" hidden="1" customHeight="1" outlineLevel="1" x14ac:dyDescent="0.3">
      <c r="A300" s="13">
        <f t="shared" si="56"/>
        <v>0</v>
      </c>
      <c r="B300" s="55"/>
      <c r="C300" s="55"/>
      <c r="D300" s="140" t="s">
        <v>4657</v>
      </c>
      <c r="E300" s="67" t="str">
        <f>VLOOKUP(D300,'03. Insumos'!A:D,2,0)</f>
        <v>Filtração Piscina - MAT</v>
      </c>
      <c r="F300" s="68" t="s">
        <v>2963</v>
      </c>
      <c r="G300" s="68" t="str">
        <f>VLOOKUP(D300,'03. Insumos'!A:F,3,0)</f>
        <v>vb</v>
      </c>
      <c r="H300" s="69"/>
      <c r="I300" s="69"/>
      <c r="J300" s="70">
        <f t="shared" ref="J300:J310" si="58">IFERROR(IF(K300&lt;&gt;0,K300*$K$5,0),0)</f>
        <v>4625</v>
      </c>
      <c r="K300" s="70">
        <f>IF(A300=0,VLOOKUP(D300,'03. Insumos'!A:F,4,0),"")</f>
        <v>4625</v>
      </c>
      <c r="L300" s="70">
        <f t="shared" ref="L300:L310" si="59">H300*J300*I300</f>
        <v>0</v>
      </c>
      <c r="M300" s="355">
        <f t="shared" ca="1" si="51"/>
        <v>0</v>
      </c>
      <c r="O300" s="148"/>
      <c r="R300" s="356"/>
    </row>
    <row r="301" spans="1:18" s="59" customFormat="1" ht="13.5" hidden="1" customHeight="1" outlineLevel="1" x14ac:dyDescent="0.3">
      <c r="A301" s="13">
        <f>LEN(C301)</f>
        <v>0</v>
      </c>
      <c r="B301" s="55"/>
      <c r="C301" s="55"/>
      <c r="D301" s="140" t="s">
        <v>4658</v>
      </c>
      <c r="E301" s="67" t="str">
        <f>VLOOKUP(D301,'03. Insumos'!A:D,2,0)</f>
        <v>Iluminação Piscina - MAT</v>
      </c>
      <c r="F301" s="68" t="s">
        <v>2963</v>
      </c>
      <c r="G301" s="68" t="str">
        <f>VLOOKUP(D301,'03. Insumos'!A:F,3,0)</f>
        <v>vb</v>
      </c>
      <c r="H301" s="69"/>
      <c r="I301" s="69"/>
      <c r="J301" s="70">
        <f t="shared" si="58"/>
        <v>2460</v>
      </c>
      <c r="K301" s="70">
        <f>IF(A301=0,VLOOKUP(D301,'03. Insumos'!A:F,4,0),"")</f>
        <v>2460</v>
      </c>
      <c r="L301" s="70">
        <f t="shared" si="59"/>
        <v>0</v>
      </c>
      <c r="M301" s="355">
        <f t="shared" ca="1" si="51"/>
        <v>0</v>
      </c>
      <c r="O301" s="148"/>
      <c r="R301" s="356"/>
    </row>
    <row r="302" spans="1:18" s="59" customFormat="1" ht="13.5" hidden="1" customHeight="1" outlineLevel="1" x14ac:dyDescent="0.3">
      <c r="A302" s="13">
        <f>LEN(C302)</f>
        <v>0</v>
      </c>
      <c r="B302" s="55"/>
      <c r="C302" s="55"/>
      <c r="D302" s="140" t="s">
        <v>4659</v>
      </c>
      <c r="E302" s="67" t="str">
        <f>VLOOKUP(D302,'03. Insumos'!A:D,2,0)</f>
        <v>Aquecimento da Piscina - MAT</v>
      </c>
      <c r="F302" s="68" t="s">
        <v>2963</v>
      </c>
      <c r="G302" s="68" t="str">
        <f>VLOOKUP(D302,'03. Insumos'!A:F,3,0)</f>
        <v>vb</v>
      </c>
      <c r="H302" s="69"/>
      <c r="I302" s="69"/>
      <c r="J302" s="70">
        <f t="shared" si="58"/>
        <v>26470</v>
      </c>
      <c r="K302" s="70">
        <f>IF(A302=0,VLOOKUP(D302,'03. Insumos'!A:F,4,0),"")</f>
        <v>26470</v>
      </c>
      <c r="L302" s="70">
        <f t="shared" si="59"/>
        <v>0</v>
      </c>
      <c r="M302" s="355">
        <f t="shared" ca="1" si="51"/>
        <v>0</v>
      </c>
      <c r="O302" s="148"/>
      <c r="R302" s="356"/>
    </row>
    <row r="303" spans="1:18" s="59" customFormat="1" ht="13.5" hidden="1" customHeight="1" outlineLevel="1" x14ac:dyDescent="0.3">
      <c r="A303" s="13">
        <f t="shared" ref="A303" si="60">LEN(C303)</f>
        <v>0</v>
      </c>
      <c r="B303" s="55"/>
      <c r="C303" s="55"/>
      <c r="D303" s="140" t="s">
        <v>4660</v>
      </c>
      <c r="E303" s="67" t="str">
        <f>VLOOKUP(D303,'03. Insumos'!A:D,2,0)</f>
        <v>Capa Termica - MAT</v>
      </c>
      <c r="F303" s="68" t="s">
        <v>2963</v>
      </c>
      <c r="G303" s="68" t="str">
        <f>VLOOKUP(D303,'03. Insumos'!A:F,3,0)</f>
        <v>vb</v>
      </c>
      <c r="H303" s="69"/>
      <c r="I303" s="69"/>
      <c r="J303" s="70">
        <f t="shared" si="58"/>
        <v>38</v>
      </c>
      <c r="K303" s="70">
        <f>IF(A303=0,VLOOKUP(D303,'03. Insumos'!A:F,4,0),"")</f>
        <v>38</v>
      </c>
      <c r="L303" s="70">
        <f t="shared" si="59"/>
        <v>0</v>
      </c>
      <c r="M303" s="355">
        <f t="shared" ca="1" si="51"/>
        <v>0</v>
      </c>
      <c r="O303" s="148"/>
      <c r="R303" s="356"/>
    </row>
    <row r="304" spans="1:18" s="59" customFormat="1" ht="13.5" hidden="1" customHeight="1" outlineLevel="1" x14ac:dyDescent="0.3">
      <c r="A304" s="13">
        <f>LEN(C304)</f>
        <v>0</v>
      </c>
      <c r="B304" s="55"/>
      <c r="C304" s="55"/>
      <c r="D304" s="140" t="s">
        <v>4661</v>
      </c>
      <c r="E304" s="67" t="str">
        <f>VLOOKUP(D304,'03. Insumos'!A:D,2,0)</f>
        <v>Trantamento de Água (sem cloro) - MAT</v>
      </c>
      <c r="F304" s="68" t="s">
        <v>2963</v>
      </c>
      <c r="G304" s="68" t="str">
        <f>VLOOKUP(D304,'03. Insumos'!A:F,3,0)</f>
        <v>vb</v>
      </c>
      <c r="H304" s="69"/>
      <c r="I304" s="69"/>
      <c r="J304" s="70">
        <f t="shared" si="58"/>
        <v>3450</v>
      </c>
      <c r="K304" s="70">
        <f>IF(A304=0,VLOOKUP(D304,'03. Insumos'!A:F,4,0),"")</f>
        <v>3450</v>
      </c>
      <c r="L304" s="70">
        <f t="shared" si="59"/>
        <v>0</v>
      </c>
      <c r="M304" s="355">
        <f t="shared" ca="1" si="51"/>
        <v>0</v>
      </c>
      <c r="O304" s="148"/>
      <c r="R304" s="356"/>
    </row>
    <row r="305" spans="1:26" s="59" customFormat="1" ht="13.5" hidden="1" customHeight="1" outlineLevel="1" x14ac:dyDescent="0.3">
      <c r="A305" s="13">
        <f>LEN(C305)</f>
        <v>0</v>
      </c>
      <c r="B305" s="55"/>
      <c r="C305" s="55"/>
      <c r="D305" s="140" t="s">
        <v>4662</v>
      </c>
      <c r="E305" s="67" t="str">
        <f>VLOOKUP(D305,'03. Insumos'!A:D,2,0)</f>
        <v>Material para Instalação da Piscina - MAT</v>
      </c>
      <c r="F305" s="68" t="s">
        <v>2963</v>
      </c>
      <c r="G305" s="68" t="str">
        <f>VLOOKUP(D305,'03. Insumos'!A:F,3,0)</f>
        <v>vb</v>
      </c>
      <c r="H305" s="69"/>
      <c r="I305" s="69"/>
      <c r="J305" s="70">
        <f t="shared" si="58"/>
        <v>4500</v>
      </c>
      <c r="K305" s="70">
        <f>IF(A305=0,VLOOKUP(D305,'03. Insumos'!A:F,4,0),"")</f>
        <v>4500</v>
      </c>
      <c r="L305" s="70">
        <f t="shared" si="59"/>
        <v>0</v>
      </c>
      <c r="M305" s="355">
        <f t="shared" ca="1" si="51"/>
        <v>0</v>
      </c>
      <c r="O305" s="148"/>
      <c r="R305" s="356"/>
    </row>
    <row r="306" spans="1:26" s="59" customFormat="1" ht="13.5" hidden="1" customHeight="1" outlineLevel="1" x14ac:dyDescent="0.3">
      <c r="A306" s="13">
        <f t="shared" si="56"/>
        <v>0</v>
      </c>
      <c r="B306" s="55"/>
      <c r="C306" s="55"/>
      <c r="D306" s="140" t="s">
        <v>4663</v>
      </c>
      <c r="E306" s="67" t="str">
        <f>VLOOKUP(D306,'03. Insumos'!A:D,2,0)</f>
        <v>Mão de obra para instalação da Piscina - MO</v>
      </c>
      <c r="F306" s="68" t="s">
        <v>2963</v>
      </c>
      <c r="G306" s="68" t="str">
        <f>VLOOKUP(D306,'03. Insumos'!A:F,3,0)</f>
        <v>vb</v>
      </c>
      <c r="H306" s="69"/>
      <c r="I306" s="69"/>
      <c r="J306" s="70">
        <f t="shared" si="58"/>
        <v>5700</v>
      </c>
      <c r="K306" s="70">
        <f>IF(A306=0,VLOOKUP(D306,'03. Insumos'!A:F,4,0),"")</f>
        <v>5700</v>
      </c>
      <c r="L306" s="70">
        <f t="shared" si="59"/>
        <v>0</v>
      </c>
      <c r="M306" s="355">
        <f t="shared" ca="1" si="51"/>
        <v>0</v>
      </c>
      <c r="O306" s="148"/>
      <c r="R306" s="356"/>
    </row>
    <row r="307" spans="1:26" s="59" customFormat="1" ht="13.5" hidden="1" customHeight="1" outlineLevel="1" x14ac:dyDescent="0.3">
      <c r="A307" s="13">
        <f>LEN(C307)</f>
        <v>0</v>
      </c>
      <c r="B307" s="55"/>
      <c r="C307" s="55"/>
      <c r="D307" s="140" t="s">
        <v>4664</v>
      </c>
      <c r="E307" s="67">
        <f>VLOOKUP(D307,'03. Insumos'!A:D,2,0)</f>
        <v>0</v>
      </c>
      <c r="F307" s="68" t="s">
        <v>2963</v>
      </c>
      <c r="G307" s="68" t="str">
        <f>VLOOKUP(D307,'03. Insumos'!A:F,3,0)</f>
        <v>vb</v>
      </c>
      <c r="H307" s="69"/>
      <c r="I307" s="69"/>
      <c r="J307" s="70">
        <f t="shared" si="58"/>
        <v>6000</v>
      </c>
      <c r="K307" s="70">
        <f>IF(A307=0,VLOOKUP(D307,'03. Insumos'!A:F,4,0),"")</f>
        <v>6000</v>
      </c>
      <c r="L307" s="70">
        <f t="shared" si="59"/>
        <v>0</v>
      </c>
      <c r="M307" s="355">
        <f t="shared" ca="1" si="51"/>
        <v>0</v>
      </c>
      <c r="O307" s="148"/>
      <c r="R307" s="356"/>
    </row>
    <row r="308" spans="1:26" s="59" customFormat="1" ht="13.5" hidden="1" customHeight="1" outlineLevel="1" x14ac:dyDescent="0.3">
      <c r="A308" s="13">
        <f>LEN(C308)</f>
        <v>0</v>
      </c>
      <c r="B308" s="55"/>
      <c r="C308" s="55"/>
      <c r="D308" s="140" t="s">
        <v>4665</v>
      </c>
      <c r="E308" s="67">
        <f>VLOOKUP(D308,'03. Insumos'!A:D,2,0)</f>
        <v>0</v>
      </c>
      <c r="F308" s="68" t="s">
        <v>2963</v>
      </c>
      <c r="G308" s="68" t="str">
        <f>VLOOKUP(D308,'03. Insumos'!A:F,3,0)</f>
        <v>vb</v>
      </c>
      <c r="H308" s="69"/>
      <c r="I308" s="69"/>
      <c r="J308" s="70">
        <f t="shared" si="58"/>
        <v>600</v>
      </c>
      <c r="K308" s="70">
        <f>IF(A308=0,VLOOKUP(D308,'03. Insumos'!A:F,4,0),"")</f>
        <v>600</v>
      </c>
      <c r="L308" s="70">
        <f t="shared" si="59"/>
        <v>0</v>
      </c>
      <c r="M308" s="355">
        <f t="shared" ca="1" si="51"/>
        <v>0</v>
      </c>
      <c r="O308" s="148"/>
      <c r="R308" s="356"/>
    </row>
    <row r="309" spans="1:26" s="59" customFormat="1" ht="13.5" hidden="1" customHeight="1" outlineLevel="1" x14ac:dyDescent="0.3">
      <c r="A309" s="13">
        <f>LEN(C309)</f>
        <v>0</v>
      </c>
      <c r="B309" s="55"/>
      <c r="C309" s="55"/>
      <c r="D309" s="140" t="s">
        <v>4666</v>
      </c>
      <c r="E309" s="67">
        <f>VLOOKUP(D309,'03. Insumos'!A:D,2,0)</f>
        <v>0</v>
      </c>
      <c r="F309" s="68" t="s">
        <v>2963</v>
      </c>
      <c r="G309" s="68" t="str">
        <f>VLOOKUP(D309,'03. Insumos'!A:F,3,0)</f>
        <v>vb</v>
      </c>
      <c r="H309" s="69"/>
      <c r="I309" s="69"/>
      <c r="J309" s="70">
        <f t="shared" si="58"/>
        <v>3778</v>
      </c>
      <c r="K309" s="70">
        <f>IF(A309=0,VLOOKUP(D309,'03. Insumos'!A:F,4,0),"")</f>
        <v>3778</v>
      </c>
      <c r="L309" s="70">
        <f t="shared" si="59"/>
        <v>0</v>
      </c>
      <c r="M309" s="355">
        <f t="shared" ca="1" si="51"/>
        <v>0</v>
      </c>
      <c r="O309" s="148"/>
      <c r="R309" s="356"/>
    </row>
    <row r="310" spans="1:26" s="59" customFormat="1" ht="13.5" hidden="1" customHeight="1" outlineLevel="1" x14ac:dyDescent="0.3">
      <c r="A310" s="13">
        <f>LEN(C310)</f>
        <v>0</v>
      </c>
      <c r="B310" s="55"/>
      <c r="C310" s="55"/>
      <c r="D310" s="140" t="s">
        <v>4667</v>
      </c>
      <c r="E310" s="67">
        <f>VLOOKUP(D310,'03. Insumos'!A:D,2,0)</f>
        <v>0</v>
      </c>
      <c r="F310" s="68" t="s">
        <v>2963</v>
      </c>
      <c r="G310" s="68" t="str">
        <f>VLOOKUP(D310,'03. Insumos'!A:F,3,0)</f>
        <v>vb</v>
      </c>
      <c r="H310" s="69"/>
      <c r="I310" s="69"/>
      <c r="J310" s="70">
        <f t="shared" si="58"/>
        <v>22280</v>
      </c>
      <c r="K310" s="70">
        <f>IF(A310=0,VLOOKUP(D310,'03. Insumos'!A:F,4,0),"")</f>
        <v>22280</v>
      </c>
      <c r="L310" s="70">
        <f t="shared" si="59"/>
        <v>0</v>
      </c>
      <c r="M310" s="355">
        <f t="shared" ca="1" si="51"/>
        <v>0</v>
      </c>
      <c r="O310" s="148"/>
      <c r="R310" s="356"/>
    </row>
    <row r="311" spans="1:26" s="592" customFormat="1" ht="13.5" customHeight="1" x14ac:dyDescent="0.3">
      <c r="A311" s="478">
        <f t="shared" si="37"/>
        <v>3</v>
      </c>
      <c r="B311" s="390"/>
      <c r="C311" s="390" t="s">
        <v>82</v>
      </c>
      <c r="D311" s="390" t="s">
        <v>3005</v>
      </c>
      <c r="E311" s="390"/>
      <c r="F311" s="323"/>
      <c r="G311" s="678"/>
      <c r="H311" s="324"/>
      <c r="I311" s="324"/>
      <c r="J311" s="333"/>
      <c r="K311" s="333"/>
      <c r="L311" s="333">
        <f>SUMIF(A312:A324,4,L312:L324)</f>
        <v>7372.75</v>
      </c>
      <c r="M311" s="479">
        <f t="shared" ca="1" si="51"/>
        <v>1.3087153147135553E-2</v>
      </c>
      <c r="O311" s="499">
        <f t="shared" si="53"/>
        <v>0</v>
      </c>
      <c r="R311" s="348">
        <f>IF(J311&lt;&gt;0,J311/1.03-K311,0)</f>
        <v>0</v>
      </c>
    </row>
    <row r="312" spans="1:26" s="18" customFormat="1" ht="13.5" customHeight="1" outlineLevel="1" x14ac:dyDescent="0.3">
      <c r="A312" s="290">
        <f t="shared" si="37"/>
        <v>4</v>
      </c>
      <c r="B312" s="45"/>
      <c r="C312" s="45" t="s">
        <v>362</v>
      </c>
      <c r="D312" s="45" t="s">
        <v>2943</v>
      </c>
      <c r="E312" s="347"/>
      <c r="F312" s="327"/>
      <c r="G312" s="327"/>
      <c r="H312" s="328"/>
      <c r="I312" s="328"/>
      <c r="J312" s="335"/>
      <c r="K312" s="335" t="str">
        <f>IF(A312=0,VLOOKUP(D312,'03. Insumos'!A:F,4,0),"")</f>
        <v/>
      </c>
      <c r="L312" s="335">
        <f>SUMIF(A313:A324,6,L313:L324)</f>
        <v>7372.75</v>
      </c>
      <c r="M312" s="153">
        <f t="shared" ca="1" si="51"/>
        <v>1.3087153147135553E-2</v>
      </c>
      <c r="O312" s="148">
        <f t="shared" si="53"/>
        <v>0</v>
      </c>
      <c r="R312" s="12">
        <f>IF(J312&lt;&gt;0,J312/1.03-K312,0)</f>
        <v>0</v>
      </c>
    </row>
    <row r="313" spans="1:26" s="18" customFormat="1" ht="13.5" customHeight="1" outlineLevel="1" x14ac:dyDescent="0.3">
      <c r="A313" s="18">
        <f t="shared" si="37"/>
        <v>6</v>
      </c>
      <c r="B313" s="606"/>
      <c r="C313" s="606" t="s">
        <v>277</v>
      </c>
      <c r="D313" s="606" t="s">
        <v>3522</v>
      </c>
      <c r="E313" s="391"/>
      <c r="F313" s="325"/>
      <c r="G313" s="325" t="s">
        <v>73</v>
      </c>
      <c r="H313" s="326">
        <v>65.25</v>
      </c>
      <c r="I313" s="326"/>
      <c r="J313" s="334"/>
      <c r="K313" s="607" t="str">
        <f>IF(A313=0,VLOOKUP(D313,'03. Insumos'!A:F,4,0),"")</f>
        <v/>
      </c>
      <c r="L313" s="334">
        <f>SUM(L314:L316)</f>
        <v>7273.75</v>
      </c>
      <c r="M313" s="598">
        <f t="shared" ca="1" si="51"/>
        <v>1.2911421139191919E-2</v>
      </c>
      <c r="O313" s="600">
        <f t="shared" si="53"/>
        <v>0</v>
      </c>
      <c r="R313" s="601">
        <f>IF(J313&lt;&gt;0,J313/1.03-K313,0)</f>
        <v>0</v>
      </c>
    </row>
    <row r="314" spans="1:26" s="59" customFormat="1" ht="13.5" customHeight="1" outlineLevel="1" x14ac:dyDescent="0.3">
      <c r="A314" s="13">
        <f t="shared" si="37"/>
        <v>0</v>
      </c>
      <c r="B314" s="55"/>
      <c r="C314" s="55"/>
      <c r="D314" s="370" t="s">
        <v>4941</v>
      </c>
      <c r="E314" s="67" t="str">
        <f>VLOOKUP(D314,'03. Insumos'!A:D,2,0)</f>
        <v>Impermeabilização com argamassa polimérica + regularização  - MAT+MO</v>
      </c>
      <c r="F314" s="68" t="s">
        <v>5218</v>
      </c>
      <c r="G314" s="68" t="str">
        <f>VLOOKUP(D314,'03. Insumos'!A:F,3,0)</f>
        <v>m²</v>
      </c>
      <c r="H314" s="69">
        <v>1</v>
      </c>
      <c r="I314" s="69">
        <f>H313</f>
        <v>65.25</v>
      </c>
      <c r="J314" s="70">
        <f>IFERROR(IF(K314&lt;&gt;0,K314*$K$5,0),0)</f>
        <v>89</v>
      </c>
      <c r="K314" s="70">
        <f>IF(A314=0,VLOOKUP(D314,'03. Insumos'!A:F,4,0),"")</f>
        <v>89</v>
      </c>
      <c r="L314" s="70">
        <f>H314*J314*I314</f>
        <v>5807.25</v>
      </c>
      <c r="M314" s="355">
        <f t="shared" ca="1" si="51"/>
        <v>1.0308279829602651E-2</v>
      </c>
      <c r="O314" s="148"/>
      <c r="R314" s="356"/>
    </row>
    <row r="315" spans="1:26" s="51" customFormat="1" ht="13.5" customHeight="1" outlineLevel="1" x14ac:dyDescent="0.3">
      <c r="A315" s="13">
        <f t="shared" si="37"/>
        <v>0</v>
      </c>
      <c r="B315" s="49"/>
      <c r="C315" s="49"/>
      <c r="D315" s="370" t="s">
        <v>2192</v>
      </c>
      <c r="E315" s="67" t="str">
        <f>VLOOKUP(D315,'03. Insumos'!A:D,2,0)</f>
        <v>Execução da argamassa de regularização</v>
      </c>
      <c r="F315" s="68" t="s">
        <v>5218</v>
      </c>
      <c r="G315" s="68" t="str">
        <f>VLOOKUP(D315,'03. Insumos'!A:F,3,0)</f>
        <v>m²</v>
      </c>
      <c r="H315" s="69">
        <v>1</v>
      </c>
      <c r="I315" s="69">
        <f>H313</f>
        <v>65.25</v>
      </c>
      <c r="J315" s="70">
        <f>IFERROR(IF(K315&lt;&gt;0,K315*$K$5,0),0)</f>
        <v>22</v>
      </c>
      <c r="K315" s="70">
        <f>IF(A315=0,VLOOKUP(D315,'03. Insumos'!A:F,4,0),"")</f>
        <v>22</v>
      </c>
      <c r="L315" s="70">
        <f>H315*J315*I315</f>
        <v>1435.5</v>
      </c>
      <c r="M315" s="355">
        <f t="shared" ca="1" si="51"/>
        <v>2.5481141151826774E-3</v>
      </c>
      <c r="O315" s="148">
        <f t="shared" si="53"/>
        <v>1435.5</v>
      </c>
      <c r="R315" s="356">
        <f>IF(J315&lt;&gt;0,J315/1.03-K315,0)</f>
        <v>-0.64077669902912504</v>
      </c>
    </row>
    <row r="316" spans="1:26" s="51" customFormat="1" ht="13.5" customHeight="1" outlineLevel="1" x14ac:dyDescent="0.3">
      <c r="A316" s="13">
        <f t="shared" si="37"/>
        <v>0</v>
      </c>
      <c r="B316" s="49"/>
      <c r="C316" s="49"/>
      <c r="D316" s="370" t="s">
        <v>3433</v>
      </c>
      <c r="E316" s="67" t="str">
        <f>VLOOKUP(D316,'03. Insumos'!A:D,2,0)</f>
        <v>Argamassa multiuso 50kg (grandes Qtde, acima de 240)</v>
      </c>
      <c r="F316" s="68" t="s">
        <v>5218</v>
      </c>
      <c r="G316" s="68" t="str">
        <f>VLOOKUP(D316,'03. Insumos'!A:F,3,0)</f>
        <v>sc</v>
      </c>
      <c r="H316" s="69">
        <v>1</v>
      </c>
      <c r="I316" s="69">
        <f>ROUNDUP((H313*0.03),0)</f>
        <v>2</v>
      </c>
      <c r="J316" s="70">
        <f>IFERROR(IF(K316&lt;&gt;0,K316*$K$5,0),0)</f>
        <v>15.5</v>
      </c>
      <c r="K316" s="70">
        <f>IF(A316=0,VLOOKUP(D316,'03. Insumos'!A:F,4,0),"")</f>
        <v>15.5</v>
      </c>
      <c r="L316" s="70">
        <f>H316*J316*I316</f>
        <v>31</v>
      </c>
      <c r="M316" s="355">
        <f t="shared" ca="1" si="51"/>
        <v>5.5027194406592129E-5</v>
      </c>
      <c r="O316" s="148"/>
      <c r="R316" s="356"/>
    </row>
    <row r="317" spans="1:26" s="18" customFormat="1" ht="13.5" customHeight="1" outlineLevel="1" x14ac:dyDescent="0.3">
      <c r="A317" s="18">
        <f>LEN(C317)</f>
        <v>6</v>
      </c>
      <c r="B317" s="606"/>
      <c r="C317" s="606" t="s">
        <v>363</v>
      </c>
      <c r="D317" s="606" t="s">
        <v>4486</v>
      </c>
      <c r="E317" s="391"/>
      <c r="F317" s="325"/>
      <c r="G317" s="325" t="s">
        <v>73</v>
      </c>
      <c r="H317" s="326"/>
      <c r="I317" s="326"/>
      <c r="J317" s="334"/>
      <c r="K317" s="607" t="str">
        <f>IF(A317=0,VLOOKUP(D317,'03. Insumos'!A:F,4,0),"")</f>
        <v/>
      </c>
      <c r="L317" s="334">
        <f>SUM(L318)</f>
        <v>99</v>
      </c>
      <c r="M317" s="598">
        <f t="shared" ca="1" si="51"/>
        <v>1.7573200794363292E-4</v>
      </c>
      <c r="O317" s="600">
        <f>IF(I317&lt;&gt;0,I317*H317*K317,)</f>
        <v>0</v>
      </c>
      <c r="R317" s="601">
        <f>IF(J317&lt;&gt;0,J317/1.03-K317,0)</f>
        <v>0</v>
      </c>
    </row>
    <row r="318" spans="1:26" s="59" customFormat="1" ht="13.5" customHeight="1" outlineLevel="1" x14ac:dyDescent="0.3">
      <c r="A318" s="13">
        <f>LEN(C318)</f>
        <v>0</v>
      </c>
      <c r="B318" s="55"/>
      <c r="C318" s="55"/>
      <c r="D318" s="370" t="s">
        <v>4942</v>
      </c>
      <c r="E318" s="67" t="str">
        <f>VLOOKUP(D318,'03. Insumos'!A:D,2,0)</f>
        <v>Tratamento de Ralos e Pontos de Bacia com Epoxi e tela de Poliester Mat+MO</v>
      </c>
      <c r="F318" s="68" t="s">
        <v>5218</v>
      </c>
      <c r="G318" s="68" t="str">
        <f>VLOOKUP(D318,'03. Insumos'!A:F,3,0)</f>
        <v>unid</v>
      </c>
      <c r="H318" s="69">
        <v>1</v>
      </c>
      <c r="I318" s="69">
        <v>6</v>
      </c>
      <c r="J318" s="70">
        <f>IFERROR(IF(K318&lt;&gt;0,K318*$K$5,0),0)</f>
        <v>16.5</v>
      </c>
      <c r="K318" s="70">
        <f>IF(A318=0,VLOOKUP(D318,'03. Insumos'!A:F,4,0),"")</f>
        <v>16.5</v>
      </c>
      <c r="L318" s="70">
        <f>H318*J318*I318</f>
        <v>99</v>
      </c>
      <c r="M318" s="355">
        <f t="shared" ca="1" si="51"/>
        <v>1.7573200794363292E-4</v>
      </c>
      <c r="O318" s="148"/>
      <c r="R318" s="356"/>
    </row>
    <row r="319" spans="1:26" customFormat="1" ht="13.5" hidden="1" customHeight="1" outlineLevel="1" x14ac:dyDescent="0.3">
      <c r="A319" s="726">
        <f t="shared" ref="A319:A359" si="61">LEN(C319)</f>
        <v>6</v>
      </c>
      <c r="B319" s="648"/>
      <c r="C319" s="648" t="s">
        <v>277</v>
      </c>
      <c r="D319" s="648" t="s">
        <v>4483</v>
      </c>
      <c r="E319" s="648"/>
      <c r="F319" s="727"/>
      <c r="G319" s="727" t="s">
        <v>73</v>
      </c>
      <c r="H319" s="728"/>
      <c r="I319" s="729"/>
      <c r="J319" s="730"/>
      <c r="K319" s="730" t="s">
        <v>2787</v>
      </c>
      <c r="L319" s="730">
        <f>SUMIF(A320:A324,,L320:L324)</f>
        <v>0</v>
      </c>
      <c r="M319" s="731">
        <f t="shared" ca="1" si="51"/>
        <v>0</v>
      </c>
      <c r="N319" s="732"/>
      <c r="O319" s="733">
        <f>IF(I319&lt;&gt;0,I319*H319*K319,)</f>
        <v>0</v>
      </c>
      <c r="P319" s="732"/>
      <c r="Q319" s="732"/>
      <c r="R319" s="734">
        <f>IF(J319&lt;&gt;0,J319/1.03-K319,0)</f>
        <v>0</v>
      </c>
      <c r="S319" s="732"/>
      <c r="T319" s="732"/>
      <c r="U319" s="732"/>
      <c r="V319" s="732"/>
      <c r="W319" s="732"/>
      <c r="X319" s="732"/>
      <c r="Y319" s="732"/>
      <c r="Z319" s="732"/>
    </row>
    <row r="320" spans="1:26" customFormat="1" ht="13.5" hidden="1" customHeight="1" outlineLevel="1" x14ac:dyDescent="0.3">
      <c r="A320" s="726">
        <f t="shared" si="61"/>
        <v>0</v>
      </c>
      <c r="B320" s="735"/>
      <c r="C320" s="735"/>
      <c r="D320" s="370" t="s">
        <v>186</v>
      </c>
      <c r="E320" s="67" t="str">
        <f>VLOOKUP(D320,'03. Insumos'!A:D,2,0)</f>
        <v>Manta Asfáltica MAT+MO Completo</v>
      </c>
      <c r="F320" s="68" t="s">
        <v>5218</v>
      </c>
      <c r="G320" s="68" t="str">
        <f>VLOOKUP(D320,'03. Insumos'!A:F,3,0)</f>
        <v>m²</v>
      </c>
      <c r="H320" s="736">
        <v>1</v>
      </c>
      <c r="I320" s="627">
        <f>H319</f>
        <v>0</v>
      </c>
      <c r="J320" s="737">
        <f t="shared" ref="J320:J324" si="62">IFERROR(IF(K320&lt;&gt;0,K320*$K$5,0),0)</f>
        <v>115</v>
      </c>
      <c r="K320" s="70">
        <f>IF(A320=0,VLOOKUP(D320,'03. Insumos'!A:F,4,0),"")</f>
        <v>115</v>
      </c>
      <c r="L320" s="737">
        <f t="shared" ref="L320:L324" si="63">H320*J320*I320</f>
        <v>0</v>
      </c>
      <c r="M320" s="738">
        <f t="shared" ca="1" si="51"/>
        <v>0</v>
      </c>
      <c r="N320" s="739"/>
      <c r="O320" s="740"/>
      <c r="P320" s="739"/>
      <c r="Q320" s="739"/>
      <c r="R320" s="741"/>
      <c r="S320" s="739"/>
      <c r="T320" s="739"/>
      <c r="U320" s="739"/>
      <c r="V320" s="739"/>
      <c r="W320" s="739"/>
      <c r="X320" s="739"/>
      <c r="Y320" s="739"/>
      <c r="Z320" s="739"/>
    </row>
    <row r="321" spans="1:26" customFormat="1" ht="13.5" hidden="1" customHeight="1" outlineLevel="1" x14ac:dyDescent="0.3">
      <c r="A321" s="726">
        <f t="shared" si="61"/>
        <v>0</v>
      </c>
      <c r="B321" s="742"/>
      <c r="C321" s="742"/>
      <c r="D321" s="370" t="s">
        <v>2192</v>
      </c>
      <c r="E321" s="67" t="str">
        <f>VLOOKUP(D321,'03. Insumos'!A:D,2,0)</f>
        <v>Execução da argamassa de regularização</v>
      </c>
      <c r="F321" s="68" t="s">
        <v>5218</v>
      </c>
      <c r="G321" s="68" t="str">
        <f>VLOOKUP(D321,'03. Insumos'!A:F,3,0)</f>
        <v>m²</v>
      </c>
      <c r="H321" s="736">
        <v>1</v>
      </c>
      <c r="I321" s="627">
        <f>H319</f>
        <v>0</v>
      </c>
      <c r="J321" s="737">
        <f t="shared" si="62"/>
        <v>22</v>
      </c>
      <c r="K321" s="70">
        <f>IF(A321=0,VLOOKUP(D321,'03. Insumos'!A:F,4,0),"")</f>
        <v>22</v>
      </c>
      <c r="L321" s="737">
        <f t="shared" si="63"/>
        <v>0</v>
      </c>
      <c r="M321" s="738">
        <f t="shared" ca="1" si="51"/>
        <v>0</v>
      </c>
      <c r="N321" s="743"/>
      <c r="O321" s="740">
        <f>IF(I321&lt;&gt;0,I321*H321*K321,)</f>
        <v>0</v>
      </c>
      <c r="P321" s="743"/>
      <c r="Q321" s="743"/>
      <c r="R321" s="741">
        <f>IF(J321&lt;&gt;0,J321/1.03-K321,0)</f>
        <v>-0.64077669902912504</v>
      </c>
      <c r="S321" s="743"/>
      <c r="T321" s="743"/>
      <c r="U321" s="743"/>
      <c r="V321" s="743"/>
      <c r="W321" s="743"/>
      <c r="X321" s="743"/>
      <c r="Y321" s="743"/>
      <c r="Z321" s="743"/>
    </row>
    <row r="322" spans="1:26" customFormat="1" ht="13.5" hidden="1" customHeight="1" outlineLevel="1" x14ac:dyDescent="0.3">
      <c r="A322" s="726">
        <f t="shared" si="61"/>
        <v>0</v>
      </c>
      <c r="B322" s="742"/>
      <c r="C322" s="742"/>
      <c r="D322" s="370" t="s">
        <v>3433</v>
      </c>
      <c r="E322" s="67" t="str">
        <f>VLOOKUP(D322,'03. Insumos'!A:D,2,0)</f>
        <v>Argamassa multiuso 50kg (grandes Qtde, acima de 240)</v>
      </c>
      <c r="F322" s="68" t="s">
        <v>5218</v>
      </c>
      <c r="G322" s="68" t="str">
        <f>VLOOKUP(D322,'03. Insumos'!A:F,3,0)</f>
        <v>sc</v>
      </c>
      <c r="H322" s="736">
        <v>1</v>
      </c>
      <c r="I322" s="627">
        <f>ROUNDUP((H319/2.7)*3,0)</f>
        <v>0</v>
      </c>
      <c r="J322" s="737">
        <f t="shared" si="62"/>
        <v>15.5</v>
      </c>
      <c r="K322" s="70">
        <f>IF(A322=0,VLOOKUP(D322,'03. Insumos'!A:F,4,0),"")</f>
        <v>15.5</v>
      </c>
      <c r="L322" s="737">
        <f t="shared" si="63"/>
        <v>0</v>
      </c>
      <c r="M322" s="738">
        <f t="shared" ca="1" si="51"/>
        <v>0</v>
      </c>
      <c r="N322" s="743">
        <f>SUMIF(D:D,N321,I:I)</f>
        <v>0</v>
      </c>
      <c r="O322" s="740"/>
      <c r="P322" s="743"/>
      <c r="Q322" s="743"/>
      <c r="R322" s="741"/>
      <c r="S322" s="743"/>
      <c r="T322" s="743"/>
      <c r="U322" s="743"/>
      <c r="V322" s="743"/>
      <c r="W322" s="743"/>
      <c r="X322" s="743"/>
      <c r="Y322" s="743"/>
      <c r="Z322" s="743"/>
    </row>
    <row r="323" spans="1:26" customFormat="1" ht="13.5" hidden="1" customHeight="1" outlineLevel="1" x14ac:dyDescent="0.3">
      <c r="A323" s="726">
        <f t="shared" si="61"/>
        <v>0</v>
      </c>
      <c r="B323" s="742"/>
      <c r="C323" s="742"/>
      <c r="D323" s="370" t="s">
        <v>4215</v>
      </c>
      <c r="E323" s="67" t="str">
        <f>VLOOKUP(D323,'03. Insumos'!A:D,2,0)</f>
        <v>Proteção com acabamento vassourado para impermeabilização com manta</v>
      </c>
      <c r="F323" s="68" t="s">
        <v>5218</v>
      </c>
      <c r="G323" s="68" t="str">
        <f>VLOOKUP(D323,'03. Insumos'!A:F,3,0)</f>
        <v>m²</v>
      </c>
      <c r="H323" s="736">
        <v>1</v>
      </c>
      <c r="I323" s="627">
        <f>H319</f>
        <v>0</v>
      </c>
      <c r="J323" s="737">
        <f t="shared" si="62"/>
        <v>18</v>
      </c>
      <c r="K323" s="70">
        <f>IF(A323=0,VLOOKUP(D323,'03. Insumos'!A:F,4,0),"")</f>
        <v>18</v>
      </c>
      <c r="L323" s="737">
        <f t="shared" si="63"/>
        <v>0</v>
      </c>
      <c r="M323" s="738">
        <f t="shared" ca="1" si="51"/>
        <v>0</v>
      </c>
      <c r="N323" s="743" t="s">
        <v>1591</v>
      </c>
      <c r="O323" s="740"/>
      <c r="P323" s="743"/>
      <c r="Q323" s="743"/>
      <c r="R323" s="741"/>
      <c r="S323" s="743"/>
      <c r="T323" s="743"/>
      <c r="U323" s="743"/>
      <c r="V323" s="743"/>
      <c r="W323" s="743"/>
      <c r="X323" s="743"/>
      <c r="Y323" s="743"/>
      <c r="Z323" s="743"/>
    </row>
    <row r="324" spans="1:26" customFormat="1" ht="13.5" hidden="1" customHeight="1" outlineLevel="1" x14ac:dyDescent="0.3">
      <c r="A324" s="726">
        <f t="shared" si="61"/>
        <v>0</v>
      </c>
      <c r="B324" s="742"/>
      <c r="C324" s="742"/>
      <c r="D324" s="370" t="s">
        <v>5444</v>
      </c>
      <c r="E324" s="67" t="str">
        <f>VLOOKUP(D324,'03. Insumos'!A:D,2,0)</f>
        <v>MAT + MO - Execução de Isolamento Térmico</v>
      </c>
      <c r="F324" s="68" t="s">
        <v>5218</v>
      </c>
      <c r="G324" s="68" t="str">
        <f>VLOOKUP(D324,'03. Insumos'!A:F,3,0)</f>
        <v>m²</v>
      </c>
      <c r="H324" s="736">
        <v>1</v>
      </c>
      <c r="I324" s="627">
        <f>ROUNDUP(H319/2.7,0)</f>
        <v>0</v>
      </c>
      <c r="J324" s="737">
        <f t="shared" si="62"/>
        <v>78</v>
      </c>
      <c r="K324" s="70">
        <f>IF(A324=0,VLOOKUP(D324,'03. Insumos'!A:F,4,0),"")</f>
        <v>78</v>
      </c>
      <c r="L324" s="737">
        <f t="shared" si="63"/>
        <v>0</v>
      </c>
      <c r="M324" s="738">
        <f t="shared" ca="1" si="51"/>
        <v>0</v>
      </c>
      <c r="N324" s="743">
        <f>SUMIF(D:D,N323,I:I)</f>
        <v>0</v>
      </c>
      <c r="O324" s="740"/>
      <c r="P324" s="743"/>
      <c r="Q324" s="743"/>
      <c r="R324" s="741"/>
      <c r="S324" s="743"/>
      <c r="T324" s="743"/>
      <c r="U324" s="743"/>
      <c r="V324" s="743"/>
      <c r="W324" s="743"/>
      <c r="X324" s="743"/>
      <c r="Y324" s="743"/>
      <c r="Z324" s="743"/>
    </row>
    <row r="325" spans="1:26" s="592" customFormat="1" ht="13.5" customHeight="1" x14ac:dyDescent="0.3">
      <c r="A325" s="478">
        <f t="shared" si="61"/>
        <v>3</v>
      </c>
      <c r="B325" s="390"/>
      <c r="C325" s="390" t="s">
        <v>275</v>
      </c>
      <c r="D325" s="390" t="s">
        <v>265</v>
      </c>
      <c r="E325" s="390"/>
      <c r="F325" s="323"/>
      <c r="G325" s="678"/>
      <c r="H325" s="324"/>
      <c r="I325" s="324"/>
      <c r="J325" s="333"/>
      <c r="K325" s="333"/>
      <c r="L325" s="333">
        <f>SUMIF(A326:A339,4,L326:L339)</f>
        <v>10199.189534883721</v>
      </c>
      <c r="M325" s="479">
        <f t="shared" ca="1" si="51"/>
        <v>1.810428339760408E-2</v>
      </c>
      <c r="O325" s="499">
        <f t="shared" ref="O325:O329" si="64">IF(I325&lt;&gt;0,I325*H325*K325,)</f>
        <v>0</v>
      </c>
      <c r="R325" s="348">
        <f t="shared" ref="R325:R329" si="65">IF(J325&lt;&gt;0,J325/1.03-K325,0)</f>
        <v>0</v>
      </c>
    </row>
    <row r="326" spans="1:26" s="18" customFormat="1" ht="13.5" customHeight="1" outlineLevel="1" x14ac:dyDescent="0.3">
      <c r="A326" s="290">
        <f t="shared" si="61"/>
        <v>4</v>
      </c>
      <c r="B326" s="45"/>
      <c r="C326" s="45" t="s">
        <v>364</v>
      </c>
      <c r="D326" s="45" t="s">
        <v>3556</v>
      </c>
      <c r="E326" s="347"/>
      <c r="F326" s="327"/>
      <c r="G326" s="327"/>
      <c r="H326" s="328"/>
      <c r="I326" s="328"/>
      <c r="J326" s="335"/>
      <c r="K326" s="335" t="str">
        <f>IF(A326=0,VLOOKUP(D326,'03. Insumos'!A:F,4,0),"")</f>
        <v/>
      </c>
      <c r="L326" s="335">
        <f>SUMIF(A327:A339,6,L327:L339)</f>
        <v>10199.189534883721</v>
      </c>
      <c r="M326" s="153">
        <f t="shared" ca="1" si="51"/>
        <v>1.810428339760408E-2</v>
      </c>
      <c r="O326" s="148">
        <f t="shared" si="64"/>
        <v>0</v>
      </c>
      <c r="R326" s="12">
        <f t="shared" si="65"/>
        <v>0</v>
      </c>
    </row>
    <row r="327" spans="1:26" s="18" customFormat="1" ht="13.5" customHeight="1" outlineLevel="1" x14ac:dyDescent="0.3">
      <c r="A327" s="18">
        <f t="shared" si="61"/>
        <v>6</v>
      </c>
      <c r="B327" s="606"/>
      <c r="C327" s="606" t="s">
        <v>278</v>
      </c>
      <c r="D327" s="606" t="s">
        <v>92</v>
      </c>
      <c r="E327" s="391"/>
      <c r="F327" s="325"/>
      <c r="G327" s="325" t="s">
        <v>73</v>
      </c>
      <c r="H327" s="326">
        <v>41.73</v>
      </c>
      <c r="I327" s="673"/>
      <c r="J327" s="334"/>
      <c r="K327" s="607"/>
      <c r="L327" s="334">
        <f>SUM(L328:L330)</f>
        <v>1555</v>
      </c>
      <c r="M327" s="598">
        <f t="shared" ca="1" si="51"/>
        <v>2.7602350742661538E-3</v>
      </c>
      <c r="O327" s="600">
        <f t="shared" si="64"/>
        <v>0</v>
      </c>
      <c r="R327" s="601">
        <f t="shared" si="65"/>
        <v>0</v>
      </c>
    </row>
    <row r="328" spans="1:26" s="51" customFormat="1" ht="13.5" customHeight="1" outlineLevel="1" x14ac:dyDescent="0.3">
      <c r="A328" s="13">
        <f t="shared" si="61"/>
        <v>0</v>
      </c>
      <c r="B328" s="49"/>
      <c r="C328" s="49"/>
      <c r="D328" s="370" t="s">
        <v>746</v>
      </c>
      <c r="E328" s="67" t="str">
        <f>VLOOKUP(D328,'03. Insumos'!A:D,2,0)</f>
        <v>Mão de obra - Execução de Contrapiso</v>
      </c>
      <c r="F328" s="68" t="s">
        <v>3809</v>
      </c>
      <c r="G328" s="68" t="str">
        <f>VLOOKUP(D328,'03. Insumos'!A:F,3,0)</f>
        <v>m²</v>
      </c>
      <c r="H328" s="69">
        <v>1</v>
      </c>
      <c r="I328" s="69">
        <f>H327</f>
        <v>41.73</v>
      </c>
      <c r="J328" s="70">
        <f>IFERROR(IF(K328&lt;&gt;0,K328*$K$5,0),0)</f>
        <v>20</v>
      </c>
      <c r="K328" s="70">
        <f>IF(A328=0,VLOOKUP(D328,'03. Insumos'!A:F,4,0),"")</f>
        <v>20</v>
      </c>
      <c r="L328" s="70">
        <f>H328*J328*I328</f>
        <v>834.59999999999991</v>
      </c>
      <c r="M328" s="355">
        <f t="shared" ca="1" si="51"/>
        <v>1.4814740790884448E-3</v>
      </c>
      <c r="O328" s="148">
        <f t="shared" si="64"/>
        <v>834.59999999999991</v>
      </c>
      <c r="R328" s="356">
        <f t="shared" si="65"/>
        <v>-0.58252427184466171</v>
      </c>
    </row>
    <row r="329" spans="1:26" s="51" customFormat="1" ht="13.5" customHeight="1" outlineLevel="1" x14ac:dyDescent="0.3">
      <c r="A329" s="13">
        <f t="shared" si="61"/>
        <v>0</v>
      </c>
      <c r="B329" s="49"/>
      <c r="C329" s="49"/>
      <c r="D329" s="370" t="s">
        <v>3433</v>
      </c>
      <c r="E329" s="67" t="str">
        <f>VLOOKUP(D329,'03. Insumos'!A:D,2,0)</f>
        <v>Argamassa multiuso 50kg (grandes Qtde, acima de 240)</v>
      </c>
      <c r="F329" s="68" t="s">
        <v>5218</v>
      </c>
      <c r="G329" s="68" t="str">
        <f>VLOOKUP(D329,'03. Insumos'!A:F,3,0)</f>
        <v>sc</v>
      </c>
      <c r="H329" s="69">
        <v>1</v>
      </c>
      <c r="I329" s="69">
        <f>ROUNDUP((H327/2.7)*2,0)</f>
        <v>31</v>
      </c>
      <c r="J329" s="70">
        <f>IFERROR(IF(K329&lt;&gt;0,K329*$K$5,0),0)</f>
        <v>15.5</v>
      </c>
      <c r="K329" s="70">
        <f>IF(A329=0,VLOOKUP(D329,'03. Insumos'!A:F,4,0),"")</f>
        <v>15.5</v>
      </c>
      <c r="L329" s="70">
        <f>H329*J329*I329</f>
        <v>480.5</v>
      </c>
      <c r="M329" s="355">
        <f t="shared" ca="1" si="51"/>
        <v>8.5292151330217797E-4</v>
      </c>
      <c r="O329" s="148">
        <f t="shared" si="64"/>
        <v>480.5</v>
      </c>
      <c r="R329" s="356">
        <f t="shared" si="65"/>
        <v>-0.45145631067961212</v>
      </c>
    </row>
    <row r="330" spans="1:26" s="51" customFormat="1" ht="13.5" customHeight="1" outlineLevel="1" x14ac:dyDescent="0.3">
      <c r="A330" s="13">
        <f t="shared" si="61"/>
        <v>0</v>
      </c>
      <c r="B330" s="49"/>
      <c r="C330" s="49"/>
      <c r="D330" s="370" t="s">
        <v>1915</v>
      </c>
      <c r="E330" s="67" t="str">
        <f>VLOOKUP(D330,'03. Insumos'!A:D,2,0)</f>
        <v>Bianco Vedacit</v>
      </c>
      <c r="F330" s="68" t="s">
        <v>5218</v>
      </c>
      <c r="G330" s="68" t="str">
        <f>VLOOKUP(D330,'03. Insumos'!A:F,3,0)</f>
        <v>Balde 18 L</v>
      </c>
      <c r="H330" s="69">
        <v>1</v>
      </c>
      <c r="I330" s="69">
        <f>ROUNDUP(((H327*0.4)/18),0)</f>
        <v>1</v>
      </c>
      <c r="J330" s="70">
        <f>IFERROR(IF(K330&lt;&gt;0,K330*$K$5,0),0)</f>
        <v>239.9</v>
      </c>
      <c r="K330" s="70">
        <f>IF(A330=0,VLOOKUP(D330,'03. Insumos'!A:F,4,0),"")</f>
        <v>239.9</v>
      </c>
      <c r="L330" s="70">
        <f>H330*J330*I330</f>
        <v>239.9</v>
      </c>
      <c r="M330" s="355">
        <f t="shared" ca="1" si="51"/>
        <v>4.258394818755307E-4</v>
      </c>
      <c r="O330" s="148"/>
      <c r="R330" s="356"/>
    </row>
    <row r="331" spans="1:26" s="18" customFormat="1" ht="13.5" customHeight="1" outlineLevel="1" x14ac:dyDescent="0.3">
      <c r="A331" s="18">
        <f t="shared" si="61"/>
        <v>6</v>
      </c>
      <c r="B331" s="606"/>
      <c r="C331" s="606" t="s">
        <v>300</v>
      </c>
      <c r="D331" s="606" t="s">
        <v>4124</v>
      </c>
      <c r="E331" s="391"/>
      <c r="F331" s="325"/>
      <c r="G331" s="325" t="s">
        <v>73</v>
      </c>
      <c r="H331" s="326">
        <f>((345.49-154.25)*0.3)+154.25</f>
        <v>211.62200000000001</v>
      </c>
      <c r="I331" s="326"/>
      <c r="J331" s="334"/>
      <c r="K331" s="607" t="str">
        <f>IF(A331=0,VLOOKUP(D331,'03. Insumos'!A:F,4,0),"")</f>
        <v/>
      </c>
      <c r="L331" s="334">
        <f>SUM(L332:L333)</f>
        <v>7724.05</v>
      </c>
      <c r="M331" s="598">
        <f t="shared" ca="1" si="51"/>
        <v>1.3710735514717354E-2</v>
      </c>
      <c r="N331" s="18">
        <f>L331/H331</f>
        <v>36.499277012786948</v>
      </c>
      <c r="O331" s="600">
        <f t="shared" ref="O331:O356" si="66">IF(I331&lt;&gt;0,I331*H331*K331,)</f>
        <v>0</v>
      </c>
      <c r="R331" s="601">
        <f t="shared" ref="R331:R356" si="67">IF(J331&lt;&gt;0,J331/1.03-K331,0)</f>
        <v>0</v>
      </c>
    </row>
    <row r="332" spans="1:26" s="51" customFormat="1" ht="13.5" customHeight="1" outlineLevel="1" x14ac:dyDescent="0.3">
      <c r="A332" s="13">
        <f t="shared" si="61"/>
        <v>0</v>
      </c>
      <c r="B332" s="49"/>
      <c r="C332" s="49"/>
      <c r="D332" s="370" t="s">
        <v>742</v>
      </c>
      <c r="E332" s="67" t="str">
        <f>VLOOKUP(D332,'03. Insumos'!A:D,2,0)</f>
        <v>Mão de obra - Execução de emboço interno</v>
      </c>
      <c r="F332" s="68" t="s">
        <v>3809</v>
      </c>
      <c r="G332" s="68" t="str">
        <f>VLOOKUP(D332,'03. Insumos'!A:F,3,0)</f>
        <v>m²</v>
      </c>
      <c r="H332" s="69">
        <v>1</v>
      </c>
      <c r="I332" s="69">
        <f>H331</f>
        <v>211.62200000000001</v>
      </c>
      <c r="J332" s="70">
        <f>IFERROR(IF(K332&lt;&gt;0,K332*$K$5,0),0)</f>
        <v>25</v>
      </c>
      <c r="K332" s="70">
        <f>IF(A332=0,VLOOKUP(D332,'03. Insumos'!A:F,4,0),"")</f>
        <v>25</v>
      </c>
      <c r="L332" s="70">
        <f>H332*J332*I332</f>
        <v>5290.55</v>
      </c>
      <c r="M332" s="355">
        <f t="shared" ca="1" si="51"/>
        <v>9.3911007537998709E-3</v>
      </c>
      <c r="O332" s="148">
        <f t="shared" si="66"/>
        <v>5290.55</v>
      </c>
      <c r="R332" s="356">
        <f t="shared" si="67"/>
        <v>-0.72815533980582714</v>
      </c>
    </row>
    <row r="333" spans="1:26" s="51" customFormat="1" ht="13.5" customHeight="1" outlineLevel="1" x14ac:dyDescent="0.3">
      <c r="A333" s="13">
        <f t="shared" si="61"/>
        <v>0</v>
      </c>
      <c r="B333" s="49"/>
      <c r="C333" s="49"/>
      <c r="D333" s="370" t="s">
        <v>3433</v>
      </c>
      <c r="E333" s="67" t="str">
        <f>VLOOKUP(D333,'03. Insumos'!A:D,2,0)</f>
        <v>Argamassa multiuso 50kg (grandes Qtde, acima de 240)</v>
      </c>
      <c r="F333" s="68" t="s">
        <v>5218</v>
      </c>
      <c r="G333" s="68" t="str">
        <f>VLOOKUP(D333,'03. Insumos'!A:F,3,0)</f>
        <v>sc</v>
      </c>
      <c r="H333" s="69">
        <v>1</v>
      </c>
      <c r="I333" s="69">
        <f>ROUNDUP((H331/2.7)*2,0)</f>
        <v>157</v>
      </c>
      <c r="J333" s="70">
        <f>IFERROR(IF(K333&lt;&gt;0,K333*$K$5,0),0)</f>
        <v>15.5</v>
      </c>
      <c r="K333" s="70">
        <f>IF(A333=0,VLOOKUP(D333,'03. Insumos'!A:F,4,0),"")</f>
        <v>15.5</v>
      </c>
      <c r="L333" s="70">
        <f>H333*J333*I333</f>
        <v>2433.5</v>
      </c>
      <c r="M333" s="355">
        <f t="shared" ref="M333:M429" ca="1" si="68">L333/$L$7</f>
        <v>4.3196347609174819E-3</v>
      </c>
      <c r="O333" s="148">
        <f t="shared" si="66"/>
        <v>2433.5</v>
      </c>
      <c r="R333" s="356">
        <f t="shared" si="67"/>
        <v>-0.45145631067961212</v>
      </c>
    </row>
    <row r="334" spans="1:26" s="59" customFormat="1" outlineLevel="1" x14ac:dyDescent="0.3">
      <c r="A334" s="290">
        <f>LEN(C334)</f>
        <v>6</v>
      </c>
      <c r="B334" s="606"/>
      <c r="C334" s="606" t="s">
        <v>1421</v>
      </c>
      <c r="D334" s="606" t="s">
        <v>5423</v>
      </c>
      <c r="E334" s="391"/>
      <c r="F334" s="325"/>
      <c r="G334" s="325" t="s">
        <v>74</v>
      </c>
      <c r="H334" s="326">
        <v>19.5</v>
      </c>
      <c r="I334" s="326" t="s">
        <v>2787</v>
      </c>
      <c r="J334" s="334"/>
      <c r="K334" s="607" t="str">
        <f>IF(A334=0,VLOOKUP(D334,'03. Insumos'!A:F,4,0),"")</f>
        <v/>
      </c>
      <c r="L334" s="334">
        <f>SUM(L335:L336)</f>
        <v>400.96511627906983</v>
      </c>
      <c r="M334" s="153">
        <f t="shared" ca="1" si="68"/>
        <v>7.117414646371031E-4</v>
      </c>
      <c r="O334" s="148" t="e">
        <f t="shared" si="66"/>
        <v>#VALUE!</v>
      </c>
      <c r="R334" s="12">
        <f t="shared" si="67"/>
        <v>0</v>
      </c>
    </row>
    <row r="335" spans="1:26" s="51" customFormat="1" ht="13.5" customHeight="1" outlineLevel="1" x14ac:dyDescent="0.3">
      <c r="A335" s="13">
        <f t="shared" ref="A335" si="69">LEN(C335)</f>
        <v>0</v>
      </c>
      <c r="B335" s="49"/>
      <c r="C335" s="49"/>
      <c r="D335" s="370" t="s">
        <v>5415</v>
      </c>
      <c r="E335" s="67" t="str">
        <f>VLOOKUP(D335,'03. Insumos'!A:D,2,0)</f>
        <v xml:space="preserve"> MO - Requadro de vão de porta, caixilho e etc.</v>
      </c>
      <c r="F335" s="68" t="s">
        <v>3809</v>
      </c>
      <c r="G335" s="68" t="str">
        <f>VLOOKUP(D335,'03. Insumos'!A:F,3,0)</f>
        <v>m</v>
      </c>
      <c r="H335" s="69">
        <v>1</v>
      </c>
      <c r="I335" s="69">
        <f>H334</f>
        <v>19.5</v>
      </c>
      <c r="J335" s="70">
        <f>IFERROR(IF(K335&lt;&gt;0,K335*$K$5,0),0)</f>
        <v>19.767441860465119</v>
      </c>
      <c r="K335" s="54">
        <f>IF(A335=0,VLOOKUP(D335,'03. Insumos'!A:F,4,0),"")</f>
        <v>19.767441860465119</v>
      </c>
      <c r="L335" s="70">
        <f>H335*J335*I335</f>
        <v>385.46511627906983</v>
      </c>
      <c r="M335" s="355">
        <f t="shared" ca="1" si="68"/>
        <v>6.84227867433807E-4</v>
      </c>
      <c r="O335" s="148">
        <f t="shared" si="66"/>
        <v>385.46511627906983</v>
      </c>
      <c r="R335" s="356">
        <f t="shared" si="67"/>
        <v>-0.575750733799957</v>
      </c>
    </row>
    <row r="336" spans="1:26" s="51" customFormat="1" ht="13.5" customHeight="1" outlineLevel="1" x14ac:dyDescent="0.3">
      <c r="A336" s="13">
        <f t="shared" si="61"/>
        <v>0</v>
      </c>
      <c r="B336" s="49"/>
      <c r="C336" s="49"/>
      <c r="D336" s="370" t="s">
        <v>3433</v>
      </c>
      <c r="E336" s="67" t="str">
        <f>VLOOKUP(D336,'03. Insumos'!A:D,2,0)</f>
        <v>Argamassa multiuso 50kg (grandes Qtde, acima de 240)</v>
      </c>
      <c r="F336" s="68" t="s">
        <v>5218</v>
      </c>
      <c r="G336" s="68" t="str">
        <f>VLOOKUP(D336,'03. Insumos'!A:F,3,0)</f>
        <v>sc</v>
      </c>
      <c r="H336" s="69">
        <v>1</v>
      </c>
      <c r="I336" s="69">
        <f>ROUNDUP((((H334*0.1)/2.7)),0)</f>
        <v>1</v>
      </c>
      <c r="J336" s="70">
        <f>IFERROR(IF(K336&lt;&gt;0,K336*$K$5,0),0)</f>
        <v>15.5</v>
      </c>
      <c r="K336" s="54">
        <f>IF(A336=0,VLOOKUP(D336,'03. Insumos'!A:F,4,0),"")</f>
        <v>15.5</v>
      </c>
      <c r="L336" s="70">
        <f>H336*J336*I336</f>
        <v>15.5</v>
      </c>
      <c r="M336" s="355">
        <f t="shared" ca="1" si="68"/>
        <v>2.7513597203296065E-5</v>
      </c>
      <c r="O336" s="148">
        <f t="shared" si="66"/>
        <v>15.5</v>
      </c>
      <c r="R336" s="356">
        <f t="shared" si="67"/>
        <v>-0.45145631067961212</v>
      </c>
    </row>
    <row r="337" spans="1:18" s="59" customFormat="1" outlineLevel="1" x14ac:dyDescent="0.3">
      <c r="A337" s="290">
        <f>LEN(C337)</f>
        <v>6</v>
      </c>
      <c r="B337" s="606"/>
      <c r="C337" s="606" t="s">
        <v>1422</v>
      </c>
      <c r="D337" s="606" t="s">
        <v>5424</v>
      </c>
      <c r="E337" s="391"/>
      <c r="F337" s="325"/>
      <c r="G337" s="325" t="s">
        <v>74</v>
      </c>
      <c r="H337" s="326">
        <v>25.48</v>
      </c>
      <c r="I337" s="326" t="s">
        <v>2787</v>
      </c>
      <c r="J337" s="334"/>
      <c r="K337" s="607" t="str">
        <f>IF(A337=0,VLOOKUP(D337,'03. Insumos'!A:F,4,0),"")</f>
        <v/>
      </c>
      <c r="L337" s="334">
        <f>SUM(L338:L339)</f>
        <v>519.17441860465124</v>
      </c>
      <c r="M337" s="153">
        <f t="shared" ca="1" si="68"/>
        <v>9.2157134398347055E-4</v>
      </c>
      <c r="O337" s="148" t="e">
        <f t="shared" si="66"/>
        <v>#VALUE!</v>
      </c>
      <c r="R337" s="12">
        <f t="shared" si="67"/>
        <v>0</v>
      </c>
    </row>
    <row r="338" spans="1:18" s="51" customFormat="1" ht="13.5" customHeight="1" outlineLevel="1" x14ac:dyDescent="0.3">
      <c r="A338" s="13">
        <f t="shared" ref="A338:A339" si="70">LEN(C338)</f>
        <v>0</v>
      </c>
      <c r="B338" s="49"/>
      <c r="C338" s="49"/>
      <c r="D338" s="370" t="s">
        <v>5415</v>
      </c>
      <c r="E338" s="67" t="str">
        <f>VLOOKUP(D338,'03. Insumos'!A:D,2,0)</f>
        <v xml:space="preserve"> MO - Requadro de vão de porta, caixilho e etc.</v>
      </c>
      <c r="F338" s="68" t="s">
        <v>3809</v>
      </c>
      <c r="G338" s="68" t="str">
        <f>VLOOKUP(D338,'03. Insumos'!A:F,3,0)</f>
        <v>m</v>
      </c>
      <c r="H338" s="69">
        <v>1</v>
      </c>
      <c r="I338" s="69">
        <f>H337</f>
        <v>25.48</v>
      </c>
      <c r="J338" s="70">
        <f>IFERROR(IF(K338&lt;&gt;0,K338*$K$5,0),0)</f>
        <v>19.767441860465119</v>
      </c>
      <c r="K338" s="54">
        <f>IF(A338=0,VLOOKUP(D338,'03. Insumos'!A:F,4,0),"")</f>
        <v>19.767441860465119</v>
      </c>
      <c r="L338" s="70">
        <f>H338*J338*I338</f>
        <v>503.67441860465124</v>
      </c>
      <c r="M338" s="355">
        <f t="shared" ca="1" si="68"/>
        <v>8.9405774678017445E-4</v>
      </c>
      <c r="O338" s="148">
        <f t="shared" si="66"/>
        <v>503.67441860465124</v>
      </c>
      <c r="R338" s="356">
        <f t="shared" si="67"/>
        <v>-0.575750733799957</v>
      </c>
    </row>
    <row r="339" spans="1:18" s="51" customFormat="1" ht="13.5" customHeight="1" outlineLevel="1" x14ac:dyDescent="0.3">
      <c r="A339" s="13">
        <f t="shared" si="70"/>
        <v>0</v>
      </c>
      <c r="B339" s="49"/>
      <c r="C339" s="49"/>
      <c r="D339" s="370" t="s">
        <v>3433</v>
      </c>
      <c r="E339" s="67" t="str">
        <f>VLOOKUP(D339,'03. Insumos'!A:D,2,0)</f>
        <v>Argamassa multiuso 50kg (grandes Qtde, acima de 240)</v>
      </c>
      <c r="F339" s="68" t="s">
        <v>5218</v>
      </c>
      <c r="G339" s="68" t="str">
        <f>VLOOKUP(D339,'03. Insumos'!A:F,3,0)</f>
        <v>sc</v>
      </c>
      <c r="H339" s="69">
        <v>1</v>
      </c>
      <c r="I339" s="69">
        <f>ROUNDUP((((H337*0.04)/2.7)),0)</f>
        <v>1</v>
      </c>
      <c r="J339" s="70">
        <f>IFERROR(IF(K339&lt;&gt;0,K339*$K$5,0),0)</f>
        <v>15.5</v>
      </c>
      <c r="K339" s="54">
        <f>IF(A339=0,VLOOKUP(D339,'03. Insumos'!A:F,4,0),"")</f>
        <v>15.5</v>
      </c>
      <c r="L339" s="70">
        <f>H339*J339*I339</f>
        <v>15.5</v>
      </c>
      <c r="M339" s="355">
        <f t="shared" ca="1" si="68"/>
        <v>2.7513597203296065E-5</v>
      </c>
      <c r="O339" s="148">
        <f t="shared" si="66"/>
        <v>15.5</v>
      </c>
      <c r="R339" s="356">
        <f t="shared" si="67"/>
        <v>-0.45145631067961212</v>
      </c>
    </row>
    <row r="340" spans="1:18" s="592" customFormat="1" ht="13.5" customHeight="1" x14ac:dyDescent="0.3">
      <c r="A340" s="478">
        <f t="shared" si="61"/>
        <v>3</v>
      </c>
      <c r="B340" s="390"/>
      <c r="C340" s="390" t="s">
        <v>301</v>
      </c>
      <c r="D340" s="390" t="s">
        <v>267</v>
      </c>
      <c r="E340" s="390"/>
      <c r="F340" s="323"/>
      <c r="G340" s="678"/>
      <c r="H340" s="324"/>
      <c r="I340" s="324"/>
      <c r="J340" s="333"/>
      <c r="K340" s="333"/>
      <c r="L340" s="333">
        <f>SUMIF(A341:A354,4,L341:L354)</f>
        <v>15405.5</v>
      </c>
      <c r="M340" s="479">
        <f t="shared" ca="1" si="68"/>
        <v>2.7345853013895326E-2</v>
      </c>
      <c r="O340" s="499">
        <f t="shared" si="66"/>
        <v>0</v>
      </c>
      <c r="R340" s="348">
        <f t="shared" si="67"/>
        <v>0</v>
      </c>
    </row>
    <row r="341" spans="1:18" s="18" customFormat="1" outlineLevel="1" x14ac:dyDescent="0.3">
      <c r="A341" s="290">
        <f t="shared" si="61"/>
        <v>4</v>
      </c>
      <c r="B341" s="45"/>
      <c r="C341" s="45" t="s">
        <v>302</v>
      </c>
      <c r="D341" s="45" t="s">
        <v>267</v>
      </c>
      <c r="E341" s="347"/>
      <c r="F341" s="327"/>
      <c r="G341" s="327"/>
      <c r="H341" s="328"/>
      <c r="I341" s="328"/>
      <c r="J341" s="335"/>
      <c r="K341" s="335" t="str">
        <f>IF(A341=0,VLOOKUP(D341,'03. Insumos'!A:F,4,0),"")</f>
        <v/>
      </c>
      <c r="L341" s="335">
        <f>SUMIF(A342:A354,6,L342:L354)</f>
        <v>15405.5</v>
      </c>
      <c r="M341" s="153">
        <f t="shared" ca="1" si="68"/>
        <v>2.7345853013895326E-2</v>
      </c>
      <c r="O341" s="148">
        <f t="shared" si="66"/>
        <v>0</v>
      </c>
      <c r="R341" s="12">
        <f t="shared" si="67"/>
        <v>0</v>
      </c>
    </row>
    <row r="342" spans="1:18" s="59" customFormat="1" outlineLevel="1" x14ac:dyDescent="0.3">
      <c r="A342" s="290">
        <f t="shared" si="61"/>
        <v>6</v>
      </c>
      <c r="B342" s="606"/>
      <c r="C342" s="606" t="s">
        <v>303</v>
      </c>
      <c r="D342" s="606" t="s">
        <v>3464</v>
      </c>
      <c r="E342" s="391"/>
      <c r="F342" s="325"/>
      <c r="G342" s="325" t="s">
        <v>73</v>
      </c>
      <c r="H342" s="326"/>
      <c r="I342" s="326" t="s">
        <v>2787</v>
      </c>
      <c r="J342" s="334"/>
      <c r="K342" s="607" t="str">
        <f>IF(A342=0,VLOOKUP(D342,'03. Insumos'!A:F,4,0),"")</f>
        <v/>
      </c>
      <c r="L342" s="334">
        <f>SUM(L343:L350)</f>
        <v>11005.5</v>
      </c>
      <c r="M342" s="153">
        <f t="shared" ca="1" si="68"/>
        <v>1.9535541549733859E-2</v>
      </c>
      <c r="O342" s="148" t="e">
        <f t="shared" si="66"/>
        <v>#VALUE!</v>
      </c>
      <c r="R342" s="12">
        <f t="shared" si="67"/>
        <v>0</v>
      </c>
    </row>
    <row r="343" spans="1:18" s="51" customFormat="1" outlineLevel="1" x14ac:dyDescent="0.3">
      <c r="A343" s="290">
        <f t="shared" si="61"/>
        <v>0</v>
      </c>
      <c r="B343" s="49"/>
      <c r="C343" s="49"/>
      <c r="D343" s="370" t="s">
        <v>204</v>
      </c>
      <c r="E343" s="67" t="str">
        <f>VLOOKUP(D343,'03. Insumos'!A:D,2,0)</f>
        <v>Forro de gesso drywall - ST MAT+MO</v>
      </c>
      <c r="F343" s="68" t="s">
        <v>3809</v>
      </c>
      <c r="G343" s="68" t="str">
        <f>VLOOKUP(D343,'03. Insumos'!A:F,3,0)</f>
        <v>m²</v>
      </c>
      <c r="H343" s="69">
        <v>1</v>
      </c>
      <c r="I343" s="69">
        <f>ROUNDUP((106.68*1.1),0)</f>
        <v>118</v>
      </c>
      <c r="J343" s="70">
        <f t="shared" ref="J343:J350" si="71">IFERROR(IF(K343&lt;&gt;0,K343*$K$5,0),0)</f>
        <v>86.25</v>
      </c>
      <c r="K343" s="54">
        <f>IF(A343=0,VLOOKUP(D343,'03. Insumos'!A:F,4,0),"")</f>
        <v>86.25</v>
      </c>
      <c r="L343" s="485">
        <f t="shared" ref="L343:L350" si="72">H343*J343*I343</f>
        <v>10177.5</v>
      </c>
      <c r="M343" s="153">
        <f t="shared" ca="1" si="68"/>
        <v>1.8065782937841657E-2</v>
      </c>
      <c r="O343" s="148">
        <f t="shared" si="66"/>
        <v>10177.5</v>
      </c>
      <c r="R343" s="12">
        <f t="shared" si="67"/>
        <v>-2.5121359223301027</v>
      </c>
    </row>
    <row r="344" spans="1:18" s="51" customFormat="1" hidden="1" outlineLevel="1" x14ac:dyDescent="0.3">
      <c r="A344" s="290">
        <f t="shared" si="61"/>
        <v>0</v>
      </c>
      <c r="B344" s="49"/>
      <c r="C344" s="49"/>
      <c r="D344" s="370" t="s">
        <v>5400</v>
      </c>
      <c r="E344" s="67" t="str">
        <f>VLOOKUP(D344,'03. Insumos'!A:D,2,0)</f>
        <v>MAT+MO -  Forro de gesso drywall RU</v>
      </c>
      <c r="F344" s="68" t="s">
        <v>3809</v>
      </c>
      <c r="G344" s="68" t="str">
        <f>VLOOKUP(D344,'03. Insumos'!A:F,3,0)</f>
        <v>m²</v>
      </c>
      <c r="H344" s="69"/>
      <c r="I344" s="69">
        <v>83</v>
      </c>
      <c r="J344" s="70">
        <f t="shared" si="71"/>
        <v>90</v>
      </c>
      <c r="K344" s="54">
        <f>IF(A344=0,VLOOKUP(D344,'03. Insumos'!A:F,4,0),"")</f>
        <v>90</v>
      </c>
      <c r="L344" s="485">
        <f t="shared" si="72"/>
        <v>0</v>
      </c>
      <c r="M344" s="153">
        <f t="shared" ca="1" si="68"/>
        <v>0</v>
      </c>
      <c r="O344" s="148">
        <f t="shared" si="66"/>
        <v>0</v>
      </c>
      <c r="R344" s="12">
        <f t="shared" si="67"/>
        <v>-2.6213592233009706</v>
      </c>
    </row>
    <row r="345" spans="1:18" s="51" customFormat="1" hidden="1" outlineLevel="1" x14ac:dyDescent="0.3">
      <c r="A345" s="290">
        <f t="shared" si="61"/>
        <v>0</v>
      </c>
      <c r="B345" s="49"/>
      <c r="C345" s="49"/>
      <c r="D345" s="370" t="s">
        <v>5395</v>
      </c>
      <c r="E345" s="67" t="str">
        <f>VLOOKUP(D345,'03. Insumos'!A:D,2,0)</f>
        <v>MAT + MO - Tabica Metálica</v>
      </c>
      <c r="F345" s="68" t="s">
        <v>3809</v>
      </c>
      <c r="G345" s="68" t="str">
        <f>VLOOKUP(D345,'03. Insumos'!A:F,3,0)</f>
        <v>m</v>
      </c>
      <c r="H345" s="69"/>
      <c r="I345" s="69">
        <v>103</v>
      </c>
      <c r="J345" s="70">
        <f t="shared" si="71"/>
        <v>10</v>
      </c>
      <c r="K345" s="54">
        <f>IF(A345=0,VLOOKUP(D345,'03. Insumos'!A:F,4,0),"")</f>
        <v>10</v>
      </c>
      <c r="L345" s="485">
        <f t="shared" si="72"/>
        <v>0</v>
      </c>
      <c r="M345" s="153">
        <f t="shared" ca="1" si="68"/>
        <v>0</v>
      </c>
      <c r="O345" s="148">
        <f t="shared" si="66"/>
        <v>0</v>
      </c>
      <c r="R345" s="12">
        <f t="shared" si="67"/>
        <v>-0.29126213592233086</v>
      </c>
    </row>
    <row r="346" spans="1:18" s="51" customFormat="1" hidden="1" outlineLevel="1" x14ac:dyDescent="0.3">
      <c r="A346" s="290">
        <f t="shared" si="61"/>
        <v>0</v>
      </c>
      <c r="B346" s="49"/>
      <c r="C346" s="49"/>
      <c r="D346" s="370" t="s">
        <v>5396</v>
      </c>
      <c r="E346" s="67" t="str">
        <f>VLOOKUP(D346,'03. Insumos'!A:D,2,0)</f>
        <v>MAT + MO - Tabica Gesso</v>
      </c>
      <c r="F346" s="68" t="s">
        <v>3809</v>
      </c>
      <c r="G346" s="68" t="str">
        <f>VLOOKUP(D346,'03. Insumos'!A:F,3,0)</f>
        <v>m</v>
      </c>
      <c r="H346" s="69"/>
      <c r="I346" s="69">
        <v>22</v>
      </c>
      <c r="J346" s="70">
        <f t="shared" si="71"/>
        <v>10</v>
      </c>
      <c r="K346" s="54">
        <f>IF(A346=0,VLOOKUP(D346,'03. Insumos'!A:F,4,0),"")</f>
        <v>10</v>
      </c>
      <c r="L346" s="485">
        <f t="shared" si="72"/>
        <v>0</v>
      </c>
      <c r="M346" s="153">
        <f t="shared" ca="1" si="68"/>
        <v>0</v>
      </c>
      <c r="O346" s="148">
        <f t="shared" si="66"/>
        <v>0</v>
      </c>
      <c r="R346" s="12">
        <f t="shared" si="67"/>
        <v>-0.29126213592233086</v>
      </c>
    </row>
    <row r="347" spans="1:18" s="51" customFormat="1" hidden="1" outlineLevel="1" x14ac:dyDescent="0.3">
      <c r="A347" s="290">
        <f t="shared" si="61"/>
        <v>0</v>
      </c>
      <c r="B347" s="49"/>
      <c r="C347" s="49"/>
      <c r="D347" s="370" t="s">
        <v>5397</v>
      </c>
      <c r="E347" s="67" t="str">
        <f>VLOOKUP(D347,'03. Insumos'!A:D,2,0)</f>
        <v>Sanca de Gesso Acartonado 2 FX - ST - MAT + MO</v>
      </c>
      <c r="F347" s="68" t="s">
        <v>3809</v>
      </c>
      <c r="G347" s="68" t="str">
        <f>VLOOKUP(D347,'03. Insumos'!A:F,3,0)</f>
        <v>m</v>
      </c>
      <c r="H347" s="69"/>
      <c r="I347" s="69">
        <v>60</v>
      </c>
      <c r="J347" s="70">
        <f t="shared" si="71"/>
        <v>46</v>
      </c>
      <c r="K347" s="54">
        <f>IF(A347=0,VLOOKUP(D347,'03. Insumos'!A:F,4,0),"")</f>
        <v>46</v>
      </c>
      <c r="L347" s="485">
        <f t="shared" si="72"/>
        <v>0</v>
      </c>
      <c r="M347" s="153">
        <f t="shared" ca="1" si="68"/>
        <v>0</v>
      </c>
      <c r="O347" s="148">
        <f t="shared" si="66"/>
        <v>0</v>
      </c>
      <c r="R347" s="12">
        <f t="shared" si="67"/>
        <v>-1.3398058252427205</v>
      </c>
    </row>
    <row r="348" spans="1:18" s="51" customFormat="1" hidden="1" outlineLevel="1" x14ac:dyDescent="0.3">
      <c r="A348" s="290">
        <f t="shared" si="61"/>
        <v>0</v>
      </c>
      <c r="B348" s="49"/>
      <c r="C348" s="49"/>
      <c r="D348" s="370" t="s">
        <v>5413</v>
      </c>
      <c r="E348" s="67" t="str">
        <f>VLOOKUP(D348,'03. Insumos'!A:D,2,0)</f>
        <v>MAT + MO - Sanca de Gesso Acartonado 2 FX - RU</v>
      </c>
      <c r="F348" s="68" t="s">
        <v>3809</v>
      </c>
      <c r="G348" s="68" t="str">
        <f>VLOOKUP(D348,'03. Insumos'!A:F,3,0)</f>
        <v>m</v>
      </c>
      <c r="H348" s="69"/>
      <c r="I348" s="69">
        <v>18</v>
      </c>
      <c r="J348" s="70">
        <f t="shared" si="71"/>
        <v>50</v>
      </c>
      <c r="K348" s="54">
        <f>IF(A348=0,VLOOKUP(D348,'03. Insumos'!A:F,4,0),"")</f>
        <v>50</v>
      </c>
      <c r="L348" s="485">
        <f t="shared" si="72"/>
        <v>0</v>
      </c>
      <c r="M348" s="153">
        <f t="shared" ca="1" si="68"/>
        <v>0</v>
      </c>
      <c r="O348" s="148">
        <f t="shared" si="66"/>
        <v>0</v>
      </c>
      <c r="R348" s="12">
        <f t="shared" si="67"/>
        <v>-1.4563106796116543</v>
      </c>
    </row>
    <row r="349" spans="1:18" s="51" customFormat="1" hidden="1" outlineLevel="1" x14ac:dyDescent="0.3">
      <c r="A349" s="290">
        <f t="shared" si="61"/>
        <v>0</v>
      </c>
      <c r="B349" s="49"/>
      <c r="C349" s="49"/>
      <c r="D349" s="370" t="s">
        <v>5398</v>
      </c>
      <c r="E349" s="67" t="str">
        <f>VLOOKUP(D349,'03. Insumos'!A:D,2,0)</f>
        <v>Reforços no forro - MAT + MO</v>
      </c>
      <c r="F349" s="68" t="s">
        <v>3809</v>
      </c>
      <c r="G349" s="68" t="str">
        <f>VLOOKUP(D349,'03. Insumos'!A:F,3,0)</f>
        <v>m</v>
      </c>
      <c r="H349" s="69"/>
      <c r="I349" s="69">
        <v>10</v>
      </c>
      <c r="J349" s="70">
        <f t="shared" si="71"/>
        <v>46</v>
      </c>
      <c r="K349" s="54">
        <f>IF(A349=0,VLOOKUP(D349,'03. Insumos'!A:F,4,0),"")</f>
        <v>46</v>
      </c>
      <c r="L349" s="485">
        <f t="shared" si="72"/>
        <v>0</v>
      </c>
      <c r="M349" s="153">
        <f t="shared" ca="1" si="68"/>
        <v>0</v>
      </c>
      <c r="O349" s="148">
        <f t="shared" si="66"/>
        <v>0</v>
      </c>
      <c r="R349" s="12">
        <f t="shared" si="67"/>
        <v>-1.3398058252427205</v>
      </c>
    </row>
    <row r="350" spans="1:18" s="51" customFormat="1" outlineLevel="1" x14ac:dyDescent="0.3">
      <c r="A350" s="290">
        <f t="shared" si="61"/>
        <v>0</v>
      </c>
      <c r="B350" s="49"/>
      <c r="C350" s="49"/>
      <c r="D350" s="370" t="s">
        <v>5399</v>
      </c>
      <c r="E350" s="67" t="str">
        <f>VLOOKUP(D350,'03. Insumos'!A:D,2,0)</f>
        <v>Abertura de furos para Luminária - MAT + MO</v>
      </c>
      <c r="F350" s="68" t="s">
        <v>3809</v>
      </c>
      <c r="G350" s="68" t="str">
        <f>VLOOKUP(D350,'03. Insumos'!A:F,3,0)</f>
        <v>unid</v>
      </c>
      <c r="H350" s="69">
        <v>1</v>
      </c>
      <c r="I350" s="69">
        <f>32+4</f>
        <v>36</v>
      </c>
      <c r="J350" s="70">
        <f t="shared" si="71"/>
        <v>23</v>
      </c>
      <c r="K350" s="54">
        <f>IF(A350=0,VLOOKUP(D350,'03. Insumos'!A:F,4,0),"")</f>
        <v>23</v>
      </c>
      <c r="L350" s="485">
        <f t="shared" si="72"/>
        <v>828</v>
      </c>
      <c r="M350" s="153">
        <f t="shared" ca="1" si="68"/>
        <v>1.4697586118922028E-3</v>
      </c>
      <c r="O350" s="148">
        <f t="shared" si="66"/>
        <v>828</v>
      </c>
      <c r="R350" s="12">
        <f t="shared" si="67"/>
        <v>-0.66990291262136026</v>
      </c>
    </row>
    <row r="351" spans="1:18" s="59" customFormat="1" outlineLevel="1" x14ac:dyDescent="0.3">
      <c r="A351" s="290">
        <f t="shared" si="61"/>
        <v>6</v>
      </c>
      <c r="B351" s="606"/>
      <c r="C351" s="606" t="s">
        <v>1297</v>
      </c>
      <c r="D351" s="606" t="s">
        <v>5411</v>
      </c>
      <c r="E351" s="391"/>
      <c r="F351" s="325"/>
      <c r="G351" s="325" t="s">
        <v>73</v>
      </c>
      <c r="H351" s="326"/>
      <c r="I351" s="326" t="s">
        <v>2787</v>
      </c>
      <c r="J351" s="334"/>
      <c r="K351" s="607" t="str">
        <f>IF(A351=0,VLOOKUP(D351,'03. Insumos'!A:F,4,0),"")</f>
        <v/>
      </c>
      <c r="L351" s="334">
        <f>SUM(L352:L354)</f>
        <v>4400</v>
      </c>
      <c r="M351" s="153">
        <f t="shared" ca="1" si="68"/>
        <v>7.8103114641614639E-3</v>
      </c>
      <c r="O351" s="148" t="e">
        <f t="shared" si="66"/>
        <v>#VALUE!</v>
      </c>
      <c r="R351" s="12">
        <f t="shared" si="67"/>
        <v>0</v>
      </c>
    </row>
    <row r="352" spans="1:18" s="59" customFormat="1" outlineLevel="1" x14ac:dyDescent="0.3">
      <c r="A352" s="290">
        <f t="shared" si="61"/>
        <v>0</v>
      </c>
      <c r="B352" s="606"/>
      <c r="C352" s="606"/>
      <c r="D352" s="370" t="s">
        <v>5401</v>
      </c>
      <c r="E352" s="67" t="str">
        <f>VLOOKUP(D352,'03. Insumos'!A:D,2,0)</f>
        <v>Tratamento Forro em Madeira em Lambri (Varanda) - MAT + MO</v>
      </c>
      <c r="F352" s="325" t="s">
        <v>5218</v>
      </c>
      <c r="G352" s="68" t="str">
        <f>VLOOKUP(D352,'03. Insumos'!A:F,3,0)</f>
        <v>m²</v>
      </c>
      <c r="H352" s="57">
        <v>1</v>
      </c>
      <c r="I352" s="57">
        <v>16</v>
      </c>
      <c r="J352" s="58">
        <f>IFERROR(IF(K352&lt;&gt;0,K352*$K$5,0),0)</f>
        <v>125</v>
      </c>
      <c r="K352" s="607">
        <f>IF(A352=0,VLOOKUP(D352,'03. Insumos'!A:F,4,0),"")</f>
        <v>125</v>
      </c>
      <c r="L352" s="334">
        <f>H352*J352*I352</f>
        <v>2000</v>
      </c>
      <c r="M352" s="153">
        <f t="shared" ca="1" si="68"/>
        <v>3.550141574618847E-3</v>
      </c>
      <c r="O352" s="148">
        <f t="shared" si="66"/>
        <v>2000</v>
      </c>
      <c r="R352" s="12">
        <f t="shared" si="67"/>
        <v>-3.6407766990291321</v>
      </c>
    </row>
    <row r="353" spans="1:18" s="51" customFormat="1" outlineLevel="1" x14ac:dyDescent="0.3">
      <c r="A353" s="290">
        <f t="shared" si="61"/>
        <v>0</v>
      </c>
      <c r="B353" s="49"/>
      <c r="C353" s="49"/>
      <c r="D353" s="370" t="s">
        <v>5402</v>
      </c>
      <c r="E353" s="67" t="str">
        <f>VLOOKUP(D353,'03. Insumos'!A:D,2,0)</f>
        <v>Recomposição de Forro em Madeira em Lambri (Varanda) - MAT + MO</v>
      </c>
      <c r="F353" s="68" t="s">
        <v>5218</v>
      </c>
      <c r="G353" s="68" t="str">
        <f>VLOOKUP(D353,'03. Insumos'!A:F,3,0)</f>
        <v>m²</v>
      </c>
      <c r="H353" s="69">
        <v>1</v>
      </c>
      <c r="I353" s="69">
        <v>4</v>
      </c>
      <c r="J353" s="70">
        <f>IFERROR(IF(K353&lt;&gt;0,K353*$K$5,0),0)</f>
        <v>600</v>
      </c>
      <c r="K353" s="54">
        <f>IF(A353=0,VLOOKUP(D353,'03. Insumos'!A:F,4,0),"")</f>
        <v>600</v>
      </c>
      <c r="L353" s="485">
        <f>H353*J353*I353</f>
        <v>2400</v>
      </c>
      <c r="M353" s="153">
        <f t="shared" ca="1" si="68"/>
        <v>4.2601698895426169E-3</v>
      </c>
      <c r="O353" s="148">
        <f t="shared" si="66"/>
        <v>2400</v>
      </c>
      <c r="R353" s="12">
        <f t="shared" si="67"/>
        <v>-17.475728155339766</v>
      </c>
    </row>
    <row r="354" spans="1:18" s="51" customFormat="1" hidden="1" outlineLevel="1" x14ac:dyDescent="0.3">
      <c r="A354" s="290">
        <f t="shared" si="61"/>
        <v>0</v>
      </c>
      <c r="B354" s="49"/>
      <c r="C354" s="49"/>
      <c r="D354" s="370"/>
      <c r="E354" s="67" t="e">
        <f>VLOOKUP(D354,'03. Insumos'!A:D,2,0)</f>
        <v>#N/A</v>
      </c>
      <c r="F354" s="68" t="s">
        <v>5218</v>
      </c>
      <c r="G354" s="68" t="e">
        <f>VLOOKUP(D354,'03. Insumos'!A:F,3,0)</f>
        <v>#N/A</v>
      </c>
      <c r="H354" s="69">
        <v>1</v>
      </c>
      <c r="I354" s="69">
        <v>6</v>
      </c>
      <c r="J354" s="70">
        <f>IFERROR(IF(K354&lt;&gt;0,K354*$K$5,0),0)</f>
        <v>0</v>
      </c>
      <c r="K354" s="54" t="e">
        <f>IF(A354=0,VLOOKUP(D354,'03. Insumos'!A:F,4,0),"")</f>
        <v>#N/A</v>
      </c>
      <c r="L354" s="485">
        <f>H354*J354*I354</f>
        <v>0</v>
      </c>
      <c r="M354" s="153">
        <f t="shared" ca="1" si="68"/>
        <v>0</v>
      </c>
      <c r="O354" s="148" t="e">
        <f t="shared" si="66"/>
        <v>#N/A</v>
      </c>
      <c r="R354" s="12">
        <f t="shared" si="67"/>
        <v>0</v>
      </c>
    </row>
    <row r="355" spans="1:18" s="18" customFormat="1" x14ac:dyDescent="0.3">
      <c r="A355" s="290">
        <f t="shared" si="61"/>
        <v>3</v>
      </c>
      <c r="B355" s="35"/>
      <c r="C355" s="390" t="s">
        <v>319</v>
      </c>
      <c r="D355" s="390" t="s">
        <v>335</v>
      </c>
      <c r="E355" s="390"/>
      <c r="F355" s="323"/>
      <c r="G355" s="678"/>
      <c r="H355" s="324"/>
      <c r="I355" s="324"/>
      <c r="J355" s="333"/>
      <c r="K355" s="333"/>
      <c r="L355" s="333">
        <f>SUMIF(A356:A442,4,L356:L446)</f>
        <v>33638.869514060003</v>
      </c>
      <c r="M355" s="153">
        <f t="shared" ca="1" si="68"/>
        <v>5.9711374592521453E-2</v>
      </c>
      <c r="O355" s="148">
        <f t="shared" si="66"/>
        <v>0</v>
      </c>
      <c r="R355" s="12">
        <f t="shared" si="67"/>
        <v>0</v>
      </c>
    </row>
    <row r="356" spans="1:18" s="493" customFormat="1" ht="13.5" customHeight="1" outlineLevel="1" x14ac:dyDescent="0.3">
      <c r="A356" s="290">
        <f t="shared" si="61"/>
        <v>4</v>
      </c>
      <c r="B356" s="45"/>
      <c r="C356" s="45" t="s">
        <v>320</v>
      </c>
      <c r="D356" s="45" t="s">
        <v>1507</v>
      </c>
      <c r="E356" s="347"/>
      <c r="F356" s="327"/>
      <c r="G356" s="327"/>
      <c r="H356" s="328"/>
      <c r="I356" s="328"/>
      <c r="J356" s="335"/>
      <c r="K356" s="335" t="str">
        <f>IF(A356=0,VLOOKUP(D356,'03. Insumos'!A:F,4,0),"")</f>
        <v/>
      </c>
      <c r="L356" s="335">
        <f>SUMIF(A356:A387,6,L356:L387)</f>
        <v>19804.692897100002</v>
      </c>
      <c r="M356" s="153">
        <f t="shared" ca="1" si="68"/>
        <v>3.5154731813276649E-2</v>
      </c>
      <c r="O356" s="512">
        <f t="shared" si="66"/>
        <v>0</v>
      </c>
      <c r="R356" s="487">
        <f t="shared" si="67"/>
        <v>0</v>
      </c>
    </row>
    <row r="357" spans="1:18" s="59" customFormat="1" ht="13.5" customHeight="1" outlineLevel="1" x14ac:dyDescent="0.3">
      <c r="A357" s="290">
        <f t="shared" si="61"/>
        <v>6</v>
      </c>
      <c r="B357" s="606"/>
      <c r="C357" s="606" t="s">
        <v>321</v>
      </c>
      <c r="D357" s="648" t="s">
        <v>5669</v>
      </c>
      <c r="E357" s="391"/>
      <c r="F357" s="325"/>
      <c r="G357" s="325" t="s">
        <v>73</v>
      </c>
      <c r="H357" s="326">
        <v>39.744999999999997</v>
      </c>
      <c r="I357" s="65">
        <f>ROUNDUP(((((36+24)*0.81)/1.54)*1.54),0)</f>
        <v>49</v>
      </c>
      <c r="J357" s="334"/>
      <c r="K357" s="607" t="str">
        <f>IF(A357=0,VLOOKUP(D357,'03. Insumos'!A:F,4,0),"")</f>
        <v/>
      </c>
      <c r="L357" s="334">
        <f>SUM(L358:L364)</f>
        <v>9646.7330620000012</v>
      </c>
      <c r="M357" s="153">
        <f t="shared" ca="1" si="68"/>
        <v>1.7123634051328187E-2</v>
      </c>
      <c r="O357" s="148" t="e">
        <f>IF(I357&lt;&gt;0,I357*H357*K357,)</f>
        <v>#VALUE!</v>
      </c>
      <c r="R357" s="12">
        <f>IF(J357&lt;&gt;0,J357/1.03-K357,0)</f>
        <v>0</v>
      </c>
    </row>
    <row r="358" spans="1:18" s="71" customFormat="1" ht="13.5" customHeight="1" outlineLevel="1" x14ac:dyDescent="0.3">
      <c r="A358" s="59">
        <f t="shared" si="61"/>
        <v>0</v>
      </c>
      <c r="B358" s="67"/>
      <c r="C358" s="67"/>
      <c r="D358" s="370" t="s">
        <v>5577</v>
      </c>
      <c r="E358" s="67" t="str">
        <f>VLOOKUP(D358,'03. Insumos'!A:D,2,0)</f>
        <v>MAT - Porcelnato York white 90 x 90</v>
      </c>
      <c r="F358" s="68" t="s">
        <v>5218</v>
      </c>
      <c r="G358" s="68" t="str">
        <f>VLOOKUP(D358,'03. Insumos'!A:F,3,0)</f>
        <v>m²</v>
      </c>
      <c r="H358" s="69">
        <f>1.23+0.1</f>
        <v>1.33</v>
      </c>
      <c r="I358" s="483">
        <f>H357</f>
        <v>39.744999999999997</v>
      </c>
      <c r="J358" s="70">
        <f t="shared" ref="J358:J364" si="73">IFERROR(IF(K358&lt;&gt;0,K358*$K$5,0),0)</f>
        <v>129</v>
      </c>
      <c r="K358" s="70">
        <f>IF(A358=0,VLOOKUP(D358,'03. Insumos'!A:F,4,0),"")</f>
        <v>129</v>
      </c>
      <c r="L358" s="70">
        <f t="shared" ref="L358:L364" si="74">H358*J358*I358</f>
        <v>6819.0496500000008</v>
      </c>
      <c r="M358" s="498">
        <f t="shared" ca="1" si="68"/>
        <v>1.210429583092755E-2</v>
      </c>
      <c r="O358" s="499">
        <f>IF(I358&lt;&gt;0,I358*H358*K358,)</f>
        <v>6819.0496499999999</v>
      </c>
      <c r="R358" s="500">
        <f>IF(J358&lt;&gt;0,J358/1.03-K358,0)</f>
        <v>-3.7572815533980588</v>
      </c>
    </row>
    <row r="359" spans="1:18" s="51" customFormat="1" ht="13.5" customHeight="1" outlineLevel="1" x14ac:dyDescent="0.3">
      <c r="A359" s="13">
        <f t="shared" si="61"/>
        <v>0</v>
      </c>
      <c r="B359" s="49"/>
      <c r="C359" s="49"/>
      <c r="D359" s="370" t="s">
        <v>4258</v>
      </c>
      <c r="E359" s="67" t="str">
        <f>VLOOKUP(D359,'03. Insumos'!A:D,2,0)</f>
        <v>Mão de obra - Assentamento grandes formatos (acima 60x60)</v>
      </c>
      <c r="F359" s="68" t="s">
        <v>3809</v>
      </c>
      <c r="G359" s="68" t="str">
        <f>VLOOKUP(D359,'03. Insumos'!A:F,3,0)</f>
        <v>m²</v>
      </c>
      <c r="H359" s="69">
        <v>1</v>
      </c>
      <c r="I359" s="483">
        <f>H357</f>
        <v>39.744999999999997</v>
      </c>
      <c r="J359" s="70">
        <f t="shared" si="73"/>
        <v>50</v>
      </c>
      <c r="K359" s="70">
        <f>IF(A359=0,VLOOKUP(D359,'03. Insumos'!A:F,4,0),"")</f>
        <v>50</v>
      </c>
      <c r="L359" s="70">
        <f t="shared" si="74"/>
        <v>1987.2499999999998</v>
      </c>
      <c r="M359" s="355">
        <f t="shared" ca="1" si="68"/>
        <v>3.5275094220806515E-3</v>
      </c>
      <c r="O359" s="148"/>
      <c r="R359" s="356"/>
    </row>
    <row r="360" spans="1:18" s="51" customFormat="1" ht="13.5" customHeight="1" outlineLevel="1" x14ac:dyDescent="0.3">
      <c r="A360" s="13">
        <v>0</v>
      </c>
      <c r="B360" s="49"/>
      <c r="C360" s="49"/>
      <c r="D360" s="370" t="s">
        <v>4716</v>
      </c>
      <c r="E360" s="67" t="str">
        <f>VLOOKUP(D360,'03. Insumos'!A:D,2,0)</f>
        <v>Argamassa AC III SUPERFLEX SC 20KG</v>
      </c>
      <c r="F360" s="68" t="s">
        <v>5218</v>
      </c>
      <c r="G360" s="68" t="str">
        <f>VLOOKUP(D360,'03. Insumos'!A:F,3,0)</f>
        <v>sc</v>
      </c>
      <c r="H360" s="69">
        <v>1</v>
      </c>
      <c r="I360" s="483">
        <f>ROUNDUP(((H357*8)/20),0)</f>
        <v>16</v>
      </c>
      <c r="J360" s="70">
        <f t="shared" si="73"/>
        <v>23.63</v>
      </c>
      <c r="K360" s="70">
        <f>IF(A360=0,VLOOKUP(D360,'03. Insumos'!A:F,4,0),"")</f>
        <v>23.63</v>
      </c>
      <c r="L360" s="70">
        <f t="shared" si="74"/>
        <v>378.08</v>
      </c>
      <c r="M360" s="355">
        <f t="shared" ca="1" si="68"/>
        <v>6.7111876326594682E-4</v>
      </c>
      <c r="O360" s="148"/>
      <c r="R360" s="356"/>
    </row>
    <row r="361" spans="1:18" s="51" customFormat="1" ht="13.5" customHeight="1" outlineLevel="1" x14ac:dyDescent="0.3">
      <c r="A361" s="13">
        <v>0</v>
      </c>
      <c r="B361" s="49"/>
      <c r="C361" s="49"/>
      <c r="D361" s="370" t="s">
        <v>4718</v>
      </c>
      <c r="E361" s="67" t="str">
        <f>VLOOKUP(D361,'03. Insumos'!A:D,2,0)</f>
        <v>Rejunte Portokoll P-Flex 20kg</v>
      </c>
      <c r="F361" s="68" t="s">
        <v>5218</v>
      </c>
      <c r="G361" s="68" t="str">
        <f>VLOOKUP(D361,'03. Insumos'!A:F,3,0)</f>
        <v>sc</v>
      </c>
      <c r="H361" s="69">
        <v>1</v>
      </c>
      <c r="I361" s="69">
        <f>ROUNDUP((H357/9),0)</f>
        <v>5</v>
      </c>
      <c r="J361" s="70">
        <f t="shared" si="73"/>
        <v>26.99</v>
      </c>
      <c r="K361" s="70">
        <f>IF(A361=0,VLOOKUP(D361,'03. Insumos'!A:F,4,0),"")</f>
        <v>26.99</v>
      </c>
      <c r="L361" s="70">
        <f t="shared" si="74"/>
        <v>134.94999999999999</v>
      </c>
      <c r="M361" s="355">
        <f t="shared" ca="1" si="68"/>
        <v>2.3954580274740669E-4</v>
      </c>
      <c r="O361" s="148"/>
      <c r="R361" s="356"/>
    </row>
    <row r="362" spans="1:18" s="59" customFormat="1" ht="13.5" customHeight="1" outlineLevel="1" x14ac:dyDescent="0.3">
      <c r="A362" s="13">
        <f>LEN(C362)</f>
        <v>0</v>
      </c>
      <c r="B362" s="55"/>
      <c r="C362" s="55"/>
      <c r="D362" s="370" t="s">
        <v>773</v>
      </c>
      <c r="E362" s="67" t="str">
        <f>VLOOKUP(D362,'03. Insumos'!A:D,2,0)</f>
        <v>Espaçador - Cunha</v>
      </c>
      <c r="F362" s="68" t="s">
        <v>5218</v>
      </c>
      <c r="G362" s="68" t="str">
        <f>VLOOKUP(D362,'03. Insumos'!A:F,3,0)</f>
        <v>50 pcs</v>
      </c>
      <c r="H362" s="69">
        <v>1</v>
      </c>
      <c r="I362" s="483">
        <f>I363/2</f>
        <v>3.1795999999999998</v>
      </c>
      <c r="J362" s="70">
        <f t="shared" si="73"/>
        <v>22.17</v>
      </c>
      <c r="K362" s="70">
        <f>IF(A362=0,VLOOKUP(D362,'03. Insumos'!A:F,4,0),"")</f>
        <v>22.17</v>
      </c>
      <c r="L362" s="70">
        <f t="shared" si="74"/>
        <v>70.491731999999999</v>
      </c>
      <c r="M362" s="355">
        <f t="shared" ca="1" si="68"/>
        <v>1.2512781422004487E-4</v>
      </c>
      <c r="O362" s="148">
        <f t="shared" ref="O362:O364" si="75">IF(I362&lt;&gt;0,I362*H362*K362,)</f>
        <v>70.491731999999999</v>
      </c>
      <c r="R362" s="356">
        <f>IF(J362&lt;&gt;0,J362/1.03-K362,0)</f>
        <v>-0.64572815533980688</v>
      </c>
    </row>
    <row r="363" spans="1:18" s="59" customFormat="1" ht="13.5" customHeight="1" outlineLevel="1" x14ac:dyDescent="0.3">
      <c r="A363" s="13">
        <f t="shared" ref="A363:A367" si="76">LEN(C363)</f>
        <v>0</v>
      </c>
      <c r="B363" s="55"/>
      <c r="C363" s="55"/>
      <c r="D363" s="370" t="s">
        <v>4260</v>
      </c>
      <c r="E363" s="67" t="str">
        <f>VLOOKUP(D363,'03. Insumos'!A:D,2,0)</f>
        <v>Espaçador - Nivelador</v>
      </c>
      <c r="F363" s="68" t="s">
        <v>5218</v>
      </c>
      <c r="G363" s="68" t="str">
        <f>VLOOKUP(D363,'03. Insumos'!A:F,3,0)</f>
        <v>50 pcs</v>
      </c>
      <c r="H363" s="69">
        <v>1</v>
      </c>
      <c r="I363" s="483">
        <f>(H357*8)/50</f>
        <v>6.3591999999999995</v>
      </c>
      <c r="J363" s="70">
        <f t="shared" si="73"/>
        <v>40.4</v>
      </c>
      <c r="K363" s="70">
        <f>IF(A363=0,VLOOKUP(D363,'03. Insumos'!A:F,4,0),"")</f>
        <v>40.4</v>
      </c>
      <c r="L363" s="70">
        <f t="shared" si="74"/>
        <v>256.91167999999999</v>
      </c>
      <c r="M363" s="355">
        <f t="shared" ca="1" si="68"/>
        <v>4.5603641808658667E-4</v>
      </c>
      <c r="O363" s="148">
        <f t="shared" si="75"/>
        <v>256.91167999999999</v>
      </c>
      <c r="R363" s="356">
        <f>IF(J363&lt;&gt;0,J363/1.03-K363,0)</f>
        <v>-1.1766990291262118</v>
      </c>
    </row>
    <row r="364" spans="1:18" s="59" customFormat="1" ht="13.5" hidden="1" customHeight="1" outlineLevel="1" x14ac:dyDescent="0.3">
      <c r="A364" s="13">
        <f t="shared" si="76"/>
        <v>0</v>
      </c>
      <c r="B364" s="55"/>
      <c r="C364" s="55"/>
      <c r="D364" s="140"/>
      <c r="E364" s="67" t="e">
        <f>VLOOKUP(D364,'03. Insumos'!A:D,2,0)</f>
        <v>#N/A</v>
      </c>
      <c r="F364" s="68" t="s">
        <v>2612</v>
      </c>
      <c r="G364" s="68" t="e">
        <f>VLOOKUP(D364,'03. Insumos'!A:F,3,0)</f>
        <v>#N/A</v>
      </c>
      <c r="H364" s="69"/>
      <c r="I364" s="483"/>
      <c r="J364" s="70">
        <f t="shared" si="73"/>
        <v>0</v>
      </c>
      <c r="K364" s="70" t="e">
        <f>IF(A364=0,VLOOKUP(D364,'03. Insumos'!A:F,4,0),"")</f>
        <v>#N/A</v>
      </c>
      <c r="L364" s="70">
        <f t="shared" si="74"/>
        <v>0</v>
      </c>
      <c r="M364" s="355">
        <f t="shared" ca="1" si="68"/>
        <v>0</v>
      </c>
      <c r="O364" s="148">
        <f t="shared" si="75"/>
        <v>0</v>
      </c>
      <c r="R364" s="356">
        <f>IF(J364&lt;&gt;0,J364/1.03-K364,0)</f>
        <v>0</v>
      </c>
    </row>
    <row r="365" spans="1:18" s="59" customFormat="1" ht="13.5" customHeight="1" outlineLevel="1" x14ac:dyDescent="0.3">
      <c r="A365" s="290">
        <f t="shared" si="76"/>
        <v>6</v>
      </c>
      <c r="B365" s="606"/>
      <c r="C365" s="606" t="s">
        <v>321</v>
      </c>
      <c r="D365" s="648" t="s">
        <v>5670</v>
      </c>
      <c r="E365" s="391"/>
      <c r="F365" s="325"/>
      <c r="G365" s="325" t="s">
        <v>73</v>
      </c>
      <c r="H365" s="326">
        <v>58.82</v>
      </c>
      <c r="I365" s="547" t="s">
        <v>2787</v>
      </c>
      <c r="J365" s="334"/>
      <c r="K365" s="607" t="str">
        <f>IF(A365=0,VLOOKUP(D365,'03. Insumos'!A:F,4,0),"")</f>
        <v/>
      </c>
      <c r="L365" s="334">
        <f>SUM(L366:L372)</f>
        <v>7834.7456319999992</v>
      </c>
      <c r="M365" s="153">
        <f t="shared" ca="1" si="68"/>
        <v>1.3907228097363306E-2</v>
      </c>
      <c r="N365" s="59">
        <f>L365/H365</f>
        <v>133.19866766405983</v>
      </c>
      <c r="O365" s="148" t="e">
        <f>IF(I365&lt;&gt;0,I365*H365*K365,)</f>
        <v>#VALUE!</v>
      </c>
      <c r="R365" s="12">
        <f>IF(J365&lt;&gt;0,J365/1.03-K365,0)</f>
        <v>0</v>
      </c>
    </row>
    <row r="366" spans="1:18" s="71" customFormat="1" ht="13.5" customHeight="1" outlineLevel="1" x14ac:dyDescent="0.3">
      <c r="A366" s="59">
        <f t="shared" si="76"/>
        <v>0</v>
      </c>
      <c r="B366" s="67"/>
      <c r="C366" s="67"/>
      <c r="D366" s="370" t="s">
        <v>5575</v>
      </c>
      <c r="E366" s="67" t="str">
        <f>VLOOKUP(D366,'03. Insumos'!A:D,2,0)</f>
        <v>MAT - Revestimento Eliane Metro White 10x20</v>
      </c>
      <c r="F366" s="68" t="s">
        <v>5218</v>
      </c>
      <c r="G366" s="68" t="str">
        <f>VLOOKUP(D366,'03. Insumos'!A:F,3,0)</f>
        <v>m²</v>
      </c>
      <c r="H366" s="69">
        <v>1</v>
      </c>
      <c r="I366" s="483">
        <f>H365</f>
        <v>58.82</v>
      </c>
      <c r="J366" s="70">
        <f t="shared" ref="J366:J372" si="77">IFERROR(IF(K366&lt;&gt;0,K366*$K$5,0),0)</f>
        <v>79</v>
      </c>
      <c r="K366" s="70">
        <f>IF(A366=0,VLOOKUP(D366,'03. Insumos'!A:F,4,0),"")</f>
        <v>79</v>
      </c>
      <c r="L366" s="70">
        <f t="shared" ref="L366:L372" si="78">H366*J366*I366</f>
        <v>4646.78</v>
      </c>
      <c r="M366" s="498">
        <f t="shared" ca="1" si="68"/>
        <v>8.2483634330536831E-3</v>
      </c>
      <c r="O366" s="499">
        <f>IF(I366&lt;&gt;0,I366*H366*K366,)</f>
        <v>4646.78</v>
      </c>
      <c r="R366" s="500">
        <f>IF(J366&lt;&gt;0,J366/1.03-K366,0)</f>
        <v>-2.3009708737864116</v>
      </c>
    </row>
    <row r="367" spans="1:18" s="51" customFormat="1" ht="13.5" customHeight="1" outlineLevel="1" x14ac:dyDescent="0.3">
      <c r="A367" s="13">
        <f t="shared" si="76"/>
        <v>0</v>
      </c>
      <c r="B367" s="49"/>
      <c r="C367" s="49"/>
      <c r="D367" s="370" t="s">
        <v>1703</v>
      </c>
      <c r="E367" s="67" t="str">
        <f>VLOOKUP(D367,'03. Insumos'!A:D,2,0)</f>
        <v>MO  - Execução cerâmica metro White 10 x 20</v>
      </c>
      <c r="F367" s="68" t="s">
        <v>3809</v>
      </c>
      <c r="G367" s="68" t="str">
        <f>VLOOKUP(D367,'03. Insumos'!A:F,3,0)</f>
        <v>m²</v>
      </c>
      <c r="H367" s="69">
        <v>1</v>
      </c>
      <c r="I367" s="483">
        <f>H365</f>
        <v>58.82</v>
      </c>
      <c r="J367" s="70">
        <f t="shared" si="77"/>
        <v>35</v>
      </c>
      <c r="K367" s="70">
        <f>IF(A367=0,VLOOKUP(D367,'03. Insumos'!A:F,4,0),"")</f>
        <v>35</v>
      </c>
      <c r="L367" s="70">
        <f t="shared" si="78"/>
        <v>2058.6999999999998</v>
      </c>
      <c r="M367" s="355">
        <f t="shared" ca="1" si="68"/>
        <v>3.6543382298339097E-3</v>
      </c>
      <c r="O367" s="148">
        <f>IF(I367&lt;&gt;0,I367*H367*K367,)</f>
        <v>2058.6999999999998</v>
      </c>
      <c r="R367" s="356"/>
    </row>
    <row r="368" spans="1:18" s="51" customFormat="1" ht="13.5" customHeight="1" outlineLevel="1" x14ac:dyDescent="0.3">
      <c r="A368" s="13">
        <v>0</v>
      </c>
      <c r="B368" s="49"/>
      <c r="C368" s="49"/>
      <c r="D368" s="370" t="s">
        <v>4716</v>
      </c>
      <c r="E368" s="67" t="str">
        <f>VLOOKUP(D368,'03. Insumos'!A:D,2,0)</f>
        <v>Argamassa AC III SUPERFLEX SC 20KG</v>
      </c>
      <c r="F368" s="68" t="s">
        <v>5218</v>
      </c>
      <c r="G368" s="68" t="str">
        <f>VLOOKUP(D368,'03. Insumos'!A:F,3,0)</f>
        <v>sc</v>
      </c>
      <c r="H368" s="69">
        <v>1</v>
      </c>
      <c r="I368" s="483">
        <f>ROUND((H365*8.5)/20,0)</f>
        <v>25</v>
      </c>
      <c r="J368" s="70">
        <f t="shared" si="77"/>
        <v>23.63</v>
      </c>
      <c r="K368" s="70">
        <f>IF(A368=0,VLOOKUP(D368,'03. Insumos'!A:F,4,0),"")</f>
        <v>23.63</v>
      </c>
      <c r="L368" s="70">
        <f t="shared" si="78"/>
        <v>590.75</v>
      </c>
      <c r="M368" s="355">
        <f t="shared" ca="1" si="68"/>
        <v>1.0486230676030419E-3</v>
      </c>
      <c r="O368" s="148">
        <f>IF(I368&lt;&gt;0,I368*H368*K368,)</f>
        <v>590.75</v>
      </c>
      <c r="R368" s="356"/>
    </row>
    <row r="369" spans="1:18" s="51" customFormat="1" ht="13.5" customHeight="1" outlineLevel="1" x14ac:dyDescent="0.3">
      <c r="A369" s="13">
        <v>0</v>
      </c>
      <c r="B369" s="49"/>
      <c r="C369" s="49"/>
      <c r="D369" s="370" t="s">
        <v>4718</v>
      </c>
      <c r="E369" s="67" t="str">
        <f>VLOOKUP(D369,'03. Insumos'!A:D,2,0)</f>
        <v>Rejunte Portokoll P-Flex 20kg</v>
      </c>
      <c r="F369" s="68" t="s">
        <v>5218</v>
      </c>
      <c r="G369" s="68" t="str">
        <f>VLOOKUP(D369,'03. Insumos'!A:F,3,0)</f>
        <v>sc</v>
      </c>
      <c r="H369" s="69">
        <v>1</v>
      </c>
      <c r="I369" s="69">
        <f>ROUNDUP((H365*0.43)/20,0)</f>
        <v>2</v>
      </c>
      <c r="J369" s="70">
        <f t="shared" si="77"/>
        <v>26.99</v>
      </c>
      <c r="K369" s="70">
        <f>IF(A369=0,VLOOKUP(D369,'03. Insumos'!A:F,4,0),"")</f>
        <v>26.99</v>
      </c>
      <c r="L369" s="70">
        <f t="shared" si="78"/>
        <v>53.98</v>
      </c>
      <c r="M369" s="355">
        <f t="shared" ca="1" si="68"/>
        <v>9.5818321098962682E-5</v>
      </c>
      <c r="O369" s="148">
        <f>IF(I369&lt;&gt;0,I369*H369*K369,)</f>
        <v>53.98</v>
      </c>
      <c r="R369" s="356"/>
    </row>
    <row r="370" spans="1:18" s="59" customFormat="1" ht="13.5" customHeight="1" outlineLevel="1" x14ac:dyDescent="0.3">
      <c r="A370" s="13">
        <f>LEN(C370)</f>
        <v>0</v>
      </c>
      <c r="B370" s="55"/>
      <c r="C370" s="55"/>
      <c r="D370" s="370" t="s">
        <v>773</v>
      </c>
      <c r="E370" s="67" t="str">
        <f>VLOOKUP(D370,'03. Insumos'!A:D,2,0)</f>
        <v>Espaçador - Cunha</v>
      </c>
      <c r="F370" s="68" t="s">
        <v>5218</v>
      </c>
      <c r="G370" s="68" t="str">
        <f>VLOOKUP(D370,'03. Insumos'!A:F,3,0)</f>
        <v>50 pcs</v>
      </c>
      <c r="H370" s="69">
        <v>1</v>
      </c>
      <c r="I370" s="483">
        <f>I371/2</f>
        <v>4.7056000000000004</v>
      </c>
      <c r="J370" s="70">
        <f t="shared" si="77"/>
        <v>22.17</v>
      </c>
      <c r="K370" s="70">
        <f>IF(A370=0,VLOOKUP(D370,'03. Insumos'!A:F,4,0),"")</f>
        <v>22.17</v>
      </c>
      <c r="L370" s="70">
        <f t="shared" si="78"/>
        <v>104.32315200000002</v>
      </c>
      <c r="M370" s="355">
        <f t="shared" ca="1" si="68"/>
        <v>1.851809795552407E-4</v>
      </c>
      <c r="O370" s="148">
        <f t="shared" ref="O370:O372" si="79">IF(I370&lt;&gt;0,I370*H370*K370,)</f>
        <v>104.32315200000002</v>
      </c>
      <c r="R370" s="356">
        <f>IF(J370&lt;&gt;0,J370/1.03-K370,0)</f>
        <v>-0.64572815533980688</v>
      </c>
    </row>
    <row r="371" spans="1:18" s="59" customFormat="1" ht="13.5" customHeight="1" outlineLevel="1" x14ac:dyDescent="0.3">
      <c r="A371" s="13">
        <f t="shared" ref="A371:A375" si="80">LEN(C371)</f>
        <v>0</v>
      </c>
      <c r="B371" s="55"/>
      <c r="C371" s="55"/>
      <c r="D371" s="370" t="s">
        <v>4260</v>
      </c>
      <c r="E371" s="67" t="str">
        <f>VLOOKUP(D371,'03. Insumos'!A:D,2,0)</f>
        <v>Espaçador - Nivelador</v>
      </c>
      <c r="F371" s="68" t="s">
        <v>5218</v>
      </c>
      <c r="G371" s="68" t="str">
        <f>VLOOKUP(D371,'03. Insumos'!A:F,3,0)</f>
        <v>50 pcs</v>
      </c>
      <c r="H371" s="69">
        <v>1</v>
      </c>
      <c r="I371" s="483">
        <f>(H365*8)/50</f>
        <v>9.4112000000000009</v>
      </c>
      <c r="J371" s="70">
        <f t="shared" si="77"/>
        <v>40.4</v>
      </c>
      <c r="K371" s="70">
        <f>IF(A371=0,VLOOKUP(D371,'03. Insumos'!A:F,4,0),"")</f>
        <v>40.4</v>
      </c>
      <c r="L371" s="70">
        <f t="shared" si="78"/>
        <v>380.21248000000003</v>
      </c>
      <c r="M371" s="355">
        <f t="shared" ca="1" si="68"/>
        <v>6.7490406621846847E-4</v>
      </c>
      <c r="O371" s="148">
        <f t="shared" si="79"/>
        <v>380.21248000000003</v>
      </c>
      <c r="R371" s="356">
        <f>IF(J371&lt;&gt;0,J371/1.03-K371,0)</f>
        <v>-1.1766990291262118</v>
      </c>
    </row>
    <row r="372" spans="1:18" s="59" customFormat="1" ht="13.5" hidden="1" customHeight="1" outlineLevel="1" x14ac:dyDescent="0.3">
      <c r="A372" s="13">
        <f t="shared" si="80"/>
        <v>0</v>
      </c>
      <c r="B372" s="55"/>
      <c r="C372" s="55"/>
      <c r="D372" s="140"/>
      <c r="E372" s="67" t="e">
        <f>VLOOKUP(D372,'03. Insumos'!A:D,2,0)</f>
        <v>#N/A</v>
      </c>
      <c r="F372" s="68" t="s">
        <v>2612</v>
      </c>
      <c r="G372" s="68" t="e">
        <f>VLOOKUP(D372,'03. Insumos'!A:F,3,0)</f>
        <v>#N/A</v>
      </c>
      <c r="H372" s="69"/>
      <c r="I372" s="483">
        <v>1</v>
      </c>
      <c r="J372" s="70">
        <f t="shared" si="77"/>
        <v>0</v>
      </c>
      <c r="K372" s="70" t="e">
        <f>IF(A372=0,VLOOKUP(D372,'03. Insumos'!A:F,4,0),"")</f>
        <v>#N/A</v>
      </c>
      <c r="L372" s="70">
        <f t="shared" si="78"/>
        <v>0</v>
      </c>
      <c r="M372" s="355">
        <f t="shared" ca="1" si="68"/>
        <v>0</v>
      </c>
      <c r="O372" s="148" t="e">
        <f t="shared" si="79"/>
        <v>#N/A</v>
      </c>
      <c r="R372" s="356">
        <f>IF(J372&lt;&gt;0,J372/1.03-K372,0)</f>
        <v>0</v>
      </c>
    </row>
    <row r="373" spans="1:18" s="59" customFormat="1" ht="13.5" customHeight="1" outlineLevel="1" x14ac:dyDescent="0.3">
      <c r="A373" s="290">
        <f t="shared" si="80"/>
        <v>6</v>
      </c>
      <c r="B373" s="606"/>
      <c r="C373" s="606" t="s">
        <v>321</v>
      </c>
      <c r="D373" s="606" t="s">
        <v>5671</v>
      </c>
      <c r="E373" s="391"/>
      <c r="F373" s="325"/>
      <c r="G373" s="325" t="s">
        <v>73</v>
      </c>
      <c r="H373" s="326">
        <v>14.077875000000001</v>
      </c>
      <c r="I373" s="547"/>
      <c r="J373" s="334"/>
      <c r="K373" s="607" t="str">
        <f>IF(A373=0,VLOOKUP(D373,'03. Insumos'!A:F,4,0),"")</f>
        <v/>
      </c>
      <c r="L373" s="334">
        <f>SUM(L374:L380)</f>
        <v>2323.2142031000003</v>
      </c>
      <c r="M373" s="153">
        <f t="shared" ca="1" si="68"/>
        <v>4.1238696645851522E-3</v>
      </c>
      <c r="O373" s="148">
        <f>IF(I373&lt;&gt;0,I373*H373*K373,)</f>
        <v>0</v>
      </c>
      <c r="R373" s="12">
        <f>IF(J373&lt;&gt;0,J373/1.03-K373,0)</f>
        <v>0</v>
      </c>
    </row>
    <row r="374" spans="1:18" s="71" customFormat="1" ht="13.5" customHeight="1" outlineLevel="1" x14ac:dyDescent="0.3">
      <c r="A374" s="59">
        <f t="shared" si="80"/>
        <v>0</v>
      </c>
      <c r="B374" s="67"/>
      <c r="C374" s="67"/>
      <c r="D374" s="370" t="s">
        <v>5576</v>
      </c>
      <c r="E374" s="67" t="str">
        <f>VLOOKUP(D374,'03. Insumos'!A:D,2,0)</f>
        <v>MAT - Porcelanato Absolut Prosecco Decortilles 60 x 60</v>
      </c>
      <c r="F374" s="68" t="s">
        <v>5218</v>
      </c>
      <c r="G374" s="68" t="str">
        <f>VLOOKUP(D374,'03. Insumos'!A:F,3,0)</f>
        <v>m²</v>
      </c>
      <c r="H374" s="69">
        <v>1.2</v>
      </c>
      <c r="I374" s="483">
        <f>H373</f>
        <v>14.077875000000001</v>
      </c>
      <c r="J374" s="70">
        <f t="shared" ref="J374:J380" si="81">IFERROR(IF(K374&lt;&gt;0,K374*$K$5,0),0)</f>
        <v>79</v>
      </c>
      <c r="K374" s="70">
        <f>IF(A374=0,VLOOKUP(D374,'03. Insumos'!A:F,4,0),"")</f>
        <v>79</v>
      </c>
      <c r="L374" s="70">
        <f t="shared" ref="L374:L380" si="82">H374*J374*I374</f>
        <v>1334.5825500000001</v>
      </c>
      <c r="M374" s="498">
        <f t="shared" ca="1" si="68"/>
        <v>2.3689784977579181E-3</v>
      </c>
      <c r="O374" s="499">
        <f>IF(I374&lt;&gt;0,I374*H374*K374,)</f>
        <v>1334.5825500000001</v>
      </c>
      <c r="R374" s="500">
        <f>IF(J374&lt;&gt;0,J374/1.03-K374,0)</f>
        <v>-2.3009708737864116</v>
      </c>
    </row>
    <row r="375" spans="1:18" s="51" customFormat="1" ht="13.5" customHeight="1" outlineLevel="1" x14ac:dyDescent="0.3">
      <c r="A375" s="13">
        <f t="shared" si="80"/>
        <v>0</v>
      </c>
      <c r="B375" s="49"/>
      <c r="C375" s="49"/>
      <c r="D375" s="370" t="s">
        <v>4258</v>
      </c>
      <c r="E375" s="67" t="str">
        <f>VLOOKUP(D375,'03. Insumos'!A:D,2,0)</f>
        <v>Mão de obra - Assentamento grandes formatos (acima 60x60)</v>
      </c>
      <c r="F375" s="68" t="s">
        <v>3809</v>
      </c>
      <c r="G375" s="68" t="str">
        <f>VLOOKUP(D375,'03. Insumos'!A:F,3,0)</f>
        <v>m²</v>
      </c>
      <c r="H375" s="69">
        <v>1</v>
      </c>
      <c r="I375" s="483">
        <f>H373</f>
        <v>14.077875000000001</v>
      </c>
      <c r="J375" s="70">
        <f t="shared" si="81"/>
        <v>50</v>
      </c>
      <c r="K375" s="70">
        <f>IF(A375=0,VLOOKUP(D375,'03. Insumos'!A:F,4,0),"")</f>
        <v>50</v>
      </c>
      <c r="L375" s="70">
        <f t="shared" si="82"/>
        <v>703.89375000000007</v>
      </c>
      <c r="M375" s="355">
        <f t="shared" ca="1" si="68"/>
        <v>1.2494612329946827E-3</v>
      </c>
      <c r="O375" s="148">
        <f>IF(I375&lt;&gt;0,I375*H375*K375,)</f>
        <v>703.89375000000007</v>
      </c>
      <c r="R375" s="356"/>
    </row>
    <row r="376" spans="1:18" s="51" customFormat="1" ht="13.5" customHeight="1" outlineLevel="1" x14ac:dyDescent="0.3">
      <c r="A376" s="13">
        <v>0</v>
      </c>
      <c r="B376" s="49"/>
      <c r="C376" s="49"/>
      <c r="D376" s="370" t="s">
        <v>4716</v>
      </c>
      <c r="E376" s="67" t="str">
        <f>VLOOKUP(D376,'03. Insumos'!A:D,2,0)</f>
        <v>Argamassa AC III SUPERFLEX SC 20KG</v>
      </c>
      <c r="F376" s="68" t="s">
        <v>5218</v>
      </c>
      <c r="G376" s="68" t="str">
        <f>VLOOKUP(D376,'03. Insumos'!A:F,3,0)</f>
        <v>sc</v>
      </c>
      <c r="H376" s="69">
        <v>1</v>
      </c>
      <c r="I376" s="483">
        <f>ROUND((H373*8.5)/20,0)</f>
        <v>6</v>
      </c>
      <c r="J376" s="70">
        <f t="shared" si="81"/>
        <v>23.63</v>
      </c>
      <c r="K376" s="70">
        <f>IF(A376=0,VLOOKUP(D376,'03. Insumos'!A:F,4,0),"")</f>
        <v>23.63</v>
      </c>
      <c r="L376" s="70">
        <f t="shared" si="82"/>
        <v>141.78</v>
      </c>
      <c r="M376" s="355">
        <f t="shared" ca="1" si="68"/>
        <v>2.5166953622473008E-4</v>
      </c>
      <c r="O376" s="148">
        <f>IF(I376&lt;&gt;0,I376*H376*K376,)</f>
        <v>141.78</v>
      </c>
      <c r="R376" s="356"/>
    </row>
    <row r="377" spans="1:18" s="51" customFormat="1" ht="13.5" customHeight="1" outlineLevel="1" x14ac:dyDescent="0.3">
      <c r="A377" s="13">
        <v>0</v>
      </c>
      <c r="B377" s="49"/>
      <c r="C377" s="49"/>
      <c r="D377" s="370" t="s">
        <v>4718</v>
      </c>
      <c r="E377" s="67" t="str">
        <f>VLOOKUP(D377,'03. Insumos'!A:D,2,0)</f>
        <v>Rejunte Portokoll P-Flex 20kg</v>
      </c>
      <c r="F377" s="68" t="s">
        <v>5218</v>
      </c>
      <c r="G377" s="68" t="str">
        <f>VLOOKUP(D377,'03. Insumos'!A:F,3,0)</f>
        <v>sc</v>
      </c>
      <c r="H377" s="69">
        <v>1</v>
      </c>
      <c r="I377" s="69">
        <f>ROUNDUP((H373*0.43)/20,0)</f>
        <v>1</v>
      </c>
      <c r="J377" s="70">
        <f t="shared" si="81"/>
        <v>26.99</v>
      </c>
      <c r="K377" s="70">
        <f>IF(A377=0,VLOOKUP(D377,'03. Insumos'!A:F,4,0),"")</f>
        <v>26.99</v>
      </c>
      <c r="L377" s="70">
        <f t="shared" si="82"/>
        <v>26.99</v>
      </c>
      <c r="M377" s="355">
        <f t="shared" ca="1" si="68"/>
        <v>4.7909160549481341E-5</v>
      </c>
      <c r="O377" s="148">
        <f>IF(I377&lt;&gt;0,I377*H377*K377,)</f>
        <v>26.99</v>
      </c>
      <c r="R377" s="356"/>
    </row>
    <row r="378" spans="1:18" s="59" customFormat="1" ht="13.5" customHeight="1" outlineLevel="1" x14ac:dyDescent="0.3">
      <c r="A378" s="13">
        <f>LEN(C378)</f>
        <v>0</v>
      </c>
      <c r="B378" s="55"/>
      <c r="C378" s="55"/>
      <c r="D378" s="370" t="s">
        <v>773</v>
      </c>
      <c r="E378" s="67" t="str">
        <f>VLOOKUP(D378,'03. Insumos'!A:D,2,0)</f>
        <v>Espaçador - Cunha</v>
      </c>
      <c r="F378" s="68" t="s">
        <v>5218</v>
      </c>
      <c r="G378" s="68" t="str">
        <f>VLOOKUP(D378,'03. Insumos'!A:F,3,0)</f>
        <v>50 pcs</v>
      </c>
      <c r="H378" s="69">
        <v>1</v>
      </c>
      <c r="I378" s="483">
        <f>I379/2</f>
        <v>1.1262300000000001</v>
      </c>
      <c r="J378" s="70">
        <f t="shared" si="81"/>
        <v>22.17</v>
      </c>
      <c r="K378" s="70">
        <f>IF(A378=0,VLOOKUP(D378,'03. Insumos'!A:F,4,0),"")</f>
        <v>22.17</v>
      </c>
      <c r="L378" s="70">
        <f t="shared" si="82"/>
        <v>24.968519100000002</v>
      </c>
      <c r="M378" s="355">
        <f t="shared" ca="1" si="68"/>
        <v>4.4320888856787384E-5</v>
      </c>
      <c r="O378" s="148">
        <f t="shared" ref="O378:O380" si="83">IF(I378&lt;&gt;0,I378*H378*K378,)</f>
        <v>24.968519100000002</v>
      </c>
      <c r="R378" s="356">
        <f>IF(J378&lt;&gt;0,J378/1.03-K378,0)</f>
        <v>-0.64572815533980688</v>
      </c>
    </row>
    <row r="379" spans="1:18" s="59" customFormat="1" ht="13.5" customHeight="1" outlineLevel="1" x14ac:dyDescent="0.3">
      <c r="A379" s="13">
        <f t="shared" ref="A379:A391" si="84">LEN(C379)</f>
        <v>0</v>
      </c>
      <c r="B379" s="55"/>
      <c r="C379" s="55"/>
      <c r="D379" s="370" t="s">
        <v>4260</v>
      </c>
      <c r="E379" s="67" t="str">
        <f>VLOOKUP(D379,'03. Insumos'!A:D,2,0)</f>
        <v>Espaçador - Nivelador</v>
      </c>
      <c r="F379" s="68" t="s">
        <v>5218</v>
      </c>
      <c r="G379" s="68" t="str">
        <f>VLOOKUP(D379,'03. Insumos'!A:F,3,0)</f>
        <v>50 pcs</v>
      </c>
      <c r="H379" s="69">
        <v>1</v>
      </c>
      <c r="I379" s="483">
        <f>(H373*8)/50</f>
        <v>2.2524600000000001</v>
      </c>
      <c r="J379" s="70">
        <f t="shared" si="81"/>
        <v>40.4</v>
      </c>
      <c r="K379" s="70">
        <f>IF(A379=0,VLOOKUP(D379,'03. Insumos'!A:F,4,0),"")</f>
        <v>40.4</v>
      </c>
      <c r="L379" s="70">
        <f t="shared" si="82"/>
        <v>90.999384000000006</v>
      </c>
      <c r="M379" s="355">
        <f t="shared" ca="1" si="68"/>
        <v>1.6153034820155256E-4</v>
      </c>
      <c r="O379" s="148">
        <f t="shared" si="83"/>
        <v>90.999384000000006</v>
      </c>
      <c r="R379" s="356">
        <f>IF(J379&lt;&gt;0,J379/1.03-K379,0)</f>
        <v>-1.1766990291262118</v>
      </c>
    </row>
    <row r="380" spans="1:18" s="59" customFormat="1" ht="13.5" hidden="1" customHeight="1" outlineLevel="1" x14ac:dyDescent="0.3">
      <c r="A380" s="13">
        <f t="shared" si="84"/>
        <v>0</v>
      </c>
      <c r="B380" s="55"/>
      <c r="C380" s="55"/>
      <c r="D380" s="140" t="s">
        <v>4104</v>
      </c>
      <c r="E380" s="67" t="str">
        <f>VLOOKUP(D380,'03. Insumos'!A:D,2,0)</f>
        <v>Frete Revestimentos</v>
      </c>
      <c r="F380" s="68" t="s">
        <v>2612</v>
      </c>
      <c r="G380" s="68" t="str">
        <f>VLOOKUP(D380,'03. Insumos'!A:F,3,0)</f>
        <v>vb</v>
      </c>
      <c r="H380" s="69"/>
      <c r="I380" s="483">
        <v>1</v>
      </c>
      <c r="J380" s="70">
        <f t="shared" si="81"/>
        <v>8850</v>
      </c>
      <c r="K380" s="70">
        <f>IF(A380=0,VLOOKUP(D380,'03. Insumos'!A:F,4,0),"")</f>
        <v>8850</v>
      </c>
      <c r="L380" s="70">
        <f t="shared" si="82"/>
        <v>0</v>
      </c>
      <c r="M380" s="355">
        <f t="shared" ca="1" si="68"/>
        <v>0</v>
      </c>
      <c r="O380" s="148">
        <f t="shared" si="83"/>
        <v>0</v>
      </c>
      <c r="R380" s="356">
        <f>IF(J380&lt;&gt;0,J380/1.03-K380,0)</f>
        <v>-257.76699029126212</v>
      </c>
    </row>
    <row r="381" spans="1:18" s="51" customFormat="1" ht="13.5" hidden="1" customHeight="1" outlineLevel="1" x14ac:dyDescent="0.3">
      <c r="A381" s="13">
        <f t="shared" si="84"/>
        <v>6</v>
      </c>
      <c r="B381" s="606"/>
      <c r="C381" s="606" t="s">
        <v>321</v>
      </c>
      <c r="D381" s="648" t="s">
        <v>5163</v>
      </c>
      <c r="E381" s="391"/>
      <c r="F381" s="325"/>
      <c r="G381" s="325" t="s">
        <v>73</v>
      </c>
      <c r="H381" s="326"/>
      <c r="I381" s="547"/>
      <c r="J381" s="334"/>
      <c r="K381" s="607"/>
      <c r="L381" s="334">
        <f>SUM(L382:L387)</f>
        <v>0</v>
      </c>
      <c r="M381" s="355">
        <f t="shared" ca="1" si="68"/>
        <v>0</v>
      </c>
      <c r="O381" s="148"/>
      <c r="R381" s="356"/>
    </row>
    <row r="382" spans="1:18" s="51" customFormat="1" ht="13.5" hidden="1" customHeight="1" outlineLevel="1" x14ac:dyDescent="0.3">
      <c r="A382" s="13">
        <f t="shared" si="84"/>
        <v>0</v>
      </c>
      <c r="B382" s="49"/>
      <c r="C382" s="49"/>
      <c r="D382" s="140" t="s">
        <v>4694</v>
      </c>
      <c r="E382" s="67" t="str">
        <f>VLOOKUP(D382,'03. Insumos'!A:D,2,0)</f>
        <v>Porcelanato Portobello Superquadra Concreto Natural Ret. 90x90cm</v>
      </c>
      <c r="F382" s="68" t="s">
        <v>2613</v>
      </c>
      <c r="G382" s="68" t="str">
        <f>VLOOKUP(D382,'03. Insumos'!A:F,3,0)</f>
        <v>m²</v>
      </c>
      <c r="H382" s="69"/>
      <c r="I382" s="627">
        <f>H381</f>
        <v>0</v>
      </c>
      <c r="J382" s="70">
        <f t="shared" ref="J382:J387" si="85">IFERROR(IF(K382&lt;&gt;0,K382*$K$5,0),0)</f>
        <v>159.99</v>
      </c>
      <c r="K382" s="70">
        <f>IF(A382=0,VLOOKUP(D382,'03. Insumos'!A:F,4,0),"")</f>
        <v>159.99</v>
      </c>
      <c r="L382" s="70">
        <f t="shared" ref="L382:L387" si="86">H382*J382*I382</f>
        <v>0</v>
      </c>
      <c r="M382" s="355">
        <f t="shared" ca="1" si="68"/>
        <v>0</v>
      </c>
      <c r="O382" s="148"/>
      <c r="R382" s="356"/>
    </row>
    <row r="383" spans="1:18" s="51" customFormat="1" ht="13.5" hidden="1" customHeight="1" outlineLevel="1" x14ac:dyDescent="0.3">
      <c r="A383" s="13">
        <f t="shared" si="84"/>
        <v>0</v>
      </c>
      <c r="B383" s="49"/>
      <c r="C383" s="49"/>
      <c r="D383" s="140" t="s">
        <v>4258</v>
      </c>
      <c r="E383" s="67" t="str">
        <f>VLOOKUP(D383,'03. Insumos'!A:D,2,0)</f>
        <v>Mão de obra - Assentamento grandes formatos (acima 60x60)</v>
      </c>
      <c r="F383" s="68" t="s">
        <v>2607</v>
      </c>
      <c r="G383" s="68" t="str">
        <f>VLOOKUP(D383,'03. Insumos'!A:F,3,0)</f>
        <v>m²</v>
      </c>
      <c r="H383" s="69"/>
      <c r="I383" s="627">
        <f>H381</f>
        <v>0</v>
      </c>
      <c r="J383" s="70">
        <f t="shared" si="85"/>
        <v>50</v>
      </c>
      <c r="K383" s="70">
        <f>IF(A383=0,VLOOKUP(D383,'03. Insumos'!A:F,4,0),"")</f>
        <v>50</v>
      </c>
      <c r="L383" s="70">
        <f t="shared" si="86"/>
        <v>0</v>
      </c>
      <c r="M383" s="355">
        <f t="shared" ca="1" si="68"/>
        <v>0</v>
      </c>
      <c r="O383" s="148"/>
      <c r="R383" s="356"/>
    </row>
    <row r="384" spans="1:18" s="51" customFormat="1" ht="13.5" hidden="1" customHeight="1" outlineLevel="1" x14ac:dyDescent="0.3">
      <c r="A384" s="13">
        <f t="shared" si="84"/>
        <v>0</v>
      </c>
      <c r="B384" s="49"/>
      <c r="C384" s="49"/>
      <c r="D384" s="140" t="s">
        <v>4716</v>
      </c>
      <c r="E384" s="67" t="str">
        <f>VLOOKUP(D384,'03. Insumos'!A:D,2,0)</f>
        <v>Argamassa AC III SUPERFLEX SC 20KG</v>
      </c>
      <c r="F384" s="68" t="s">
        <v>2613</v>
      </c>
      <c r="G384" s="68" t="str">
        <f>VLOOKUP(D384,'03. Insumos'!A:F,3,0)</f>
        <v>sc</v>
      </c>
      <c r="H384" s="69"/>
      <c r="I384" s="627">
        <f>(H381/3)</f>
        <v>0</v>
      </c>
      <c r="J384" s="70">
        <f t="shared" si="85"/>
        <v>23.63</v>
      </c>
      <c r="K384" s="70">
        <f>IF(A384=0,VLOOKUP(D384,'03. Insumos'!A:F,4,0),"")</f>
        <v>23.63</v>
      </c>
      <c r="L384" s="70">
        <f t="shared" si="86"/>
        <v>0</v>
      </c>
      <c r="M384" s="355">
        <f t="shared" ca="1" si="68"/>
        <v>0</v>
      </c>
      <c r="O384" s="148"/>
      <c r="R384" s="356"/>
    </row>
    <row r="385" spans="1:18" s="51" customFormat="1" ht="13.5" hidden="1" customHeight="1" outlineLevel="1" x14ac:dyDescent="0.3">
      <c r="A385" s="13">
        <f t="shared" si="84"/>
        <v>0</v>
      </c>
      <c r="B385" s="49"/>
      <c r="C385" s="49"/>
      <c r="D385" s="140" t="s">
        <v>4718</v>
      </c>
      <c r="E385" s="67" t="str">
        <f>VLOOKUP(D385,'03. Insumos'!A:D,2,0)</f>
        <v>Rejunte Portokoll P-Flex 20kg</v>
      </c>
      <c r="F385" s="68" t="s">
        <v>2607</v>
      </c>
      <c r="G385" s="68" t="str">
        <f>VLOOKUP(D385,'03. Insumos'!A:F,3,0)</f>
        <v>sc</v>
      </c>
      <c r="H385" s="69"/>
      <c r="I385" s="627">
        <f>(0.06*H381)</f>
        <v>0</v>
      </c>
      <c r="J385" s="70">
        <f t="shared" si="85"/>
        <v>26.99</v>
      </c>
      <c r="K385" s="70">
        <f>IF(A385=0,VLOOKUP(D385,'03. Insumos'!A:F,4,0),"")</f>
        <v>26.99</v>
      </c>
      <c r="L385" s="70">
        <f t="shared" si="86"/>
        <v>0</v>
      </c>
      <c r="M385" s="355">
        <f t="shared" ca="1" si="68"/>
        <v>0</v>
      </c>
      <c r="O385" s="148"/>
      <c r="R385" s="356"/>
    </row>
    <row r="386" spans="1:18" s="51" customFormat="1" ht="13.5" hidden="1" customHeight="1" outlineLevel="1" x14ac:dyDescent="0.3">
      <c r="A386" s="13">
        <f t="shared" si="84"/>
        <v>0</v>
      </c>
      <c r="B386" s="49"/>
      <c r="C386" s="49"/>
      <c r="D386" s="140" t="s">
        <v>773</v>
      </c>
      <c r="E386" s="67" t="str">
        <f>VLOOKUP(D386,'03. Insumos'!A:D,2,0)</f>
        <v>Espaçador - Cunha</v>
      </c>
      <c r="F386" s="68" t="s">
        <v>2607</v>
      </c>
      <c r="G386" s="68" t="str">
        <f>VLOOKUP(D386,'03. Insumos'!A:F,3,0)</f>
        <v>50 pcs</v>
      </c>
      <c r="H386" s="69"/>
      <c r="I386" s="627">
        <f>(H381*30)/20</f>
        <v>0</v>
      </c>
      <c r="J386" s="70">
        <f t="shared" si="85"/>
        <v>22.17</v>
      </c>
      <c r="K386" s="70">
        <f>IF(A386=0,VLOOKUP(D386,'03. Insumos'!A:F,4,0),"")</f>
        <v>22.17</v>
      </c>
      <c r="L386" s="70">
        <f t="shared" si="86"/>
        <v>0</v>
      </c>
      <c r="M386" s="355">
        <f t="shared" ca="1" si="68"/>
        <v>0</v>
      </c>
      <c r="O386" s="148"/>
      <c r="R386" s="356"/>
    </row>
    <row r="387" spans="1:18" s="51" customFormat="1" ht="13.5" hidden="1" customHeight="1" outlineLevel="1" x14ac:dyDescent="0.3">
      <c r="A387" s="13">
        <f t="shared" si="84"/>
        <v>0</v>
      </c>
      <c r="B387" s="49"/>
      <c r="C387" s="49"/>
      <c r="D387" s="140" t="s">
        <v>4260</v>
      </c>
      <c r="E387" s="67" t="str">
        <f>VLOOKUP(D387,'03. Insumos'!A:D,2,0)</f>
        <v>Espaçador - Nivelador</v>
      </c>
      <c r="F387" s="68" t="s">
        <v>2612</v>
      </c>
      <c r="G387" s="68" t="str">
        <f>VLOOKUP(D387,'03. Insumos'!A:F,3,0)</f>
        <v>50 pcs</v>
      </c>
      <c r="H387" s="69"/>
      <c r="I387" s="627">
        <f>I386</f>
        <v>0</v>
      </c>
      <c r="J387" s="70">
        <f t="shared" si="85"/>
        <v>40.4</v>
      </c>
      <c r="K387" s="70">
        <f>IF(A387=0,VLOOKUP(D387,'03. Insumos'!A:F,4,0),"")</f>
        <v>40.4</v>
      </c>
      <c r="L387" s="70">
        <f t="shared" si="86"/>
        <v>0</v>
      </c>
      <c r="M387" s="355">
        <f t="shared" ca="1" si="68"/>
        <v>0</v>
      </c>
      <c r="O387" s="148"/>
      <c r="R387" s="356"/>
    </row>
    <row r="388" spans="1:18" s="51" customFormat="1" ht="13.5" customHeight="1" outlineLevel="1" x14ac:dyDescent="0.3">
      <c r="A388" s="290">
        <f t="shared" si="84"/>
        <v>4</v>
      </c>
      <c r="B388" s="45"/>
      <c r="C388" s="45" t="s">
        <v>1508</v>
      </c>
      <c r="D388" s="45" t="s">
        <v>1509</v>
      </c>
      <c r="E388" s="347"/>
      <c r="F388" s="327"/>
      <c r="G388" s="328"/>
      <c r="H388" s="328"/>
      <c r="I388" s="548"/>
      <c r="J388" s="335"/>
      <c r="K388" s="335"/>
      <c r="L388" s="335">
        <f>SUMIF(A389:A419,6,L389:L436)</f>
        <v>7857.576616960001</v>
      </c>
      <c r="M388" s="153">
        <f t="shared" ca="1" si="68"/>
        <v>1.3947754711811306E-2</v>
      </c>
      <c r="O388" s="148"/>
      <c r="R388" s="12"/>
    </row>
    <row r="389" spans="1:18" s="59" customFormat="1" ht="13.5" hidden="1" customHeight="1" outlineLevel="1" x14ac:dyDescent="0.3">
      <c r="A389" s="290">
        <f t="shared" si="84"/>
        <v>6</v>
      </c>
      <c r="B389" s="606"/>
      <c r="C389" s="606" t="s">
        <v>1310</v>
      </c>
      <c r="D389" s="648" t="s">
        <v>5403</v>
      </c>
      <c r="E389" s="391"/>
      <c r="F389" s="325"/>
      <c r="G389" s="325" t="s">
        <v>73</v>
      </c>
      <c r="H389" s="326">
        <v>75.010000000000005</v>
      </c>
      <c r="I389" s="547"/>
      <c r="J389" s="334"/>
      <c r="K389" s="607" t="str">
        <f>IF(A389=0,VLOOKUP(D389,'03. Insumos'!A:F,4,0),"")</f>
        <v/>
      </c>
      <c r="L389" s="334">
        <f>SUM(L390:L396)</f>
        <v>0</v>
      </c>
      <c r="M389" s="153">
        <f t="shared" ca="1" si="68"/>
        <v>0</v>
      </c>
      <c r="O389" s="148">
        <f>IF(I389&lt;&gt;0,I389*H389*K389,)</f>
        <v>0</v>
      </c>
      <c r="R389" s="12">
        <f>IF(J389&lt;&gt;0,J389/1.03-K389,0)</f>
        <v>0</v>
      </c>
    </row>
    <row r="390" spans="1:18" s="71" customFormat="1" ht="13.5" hidden="1" customHeight="1" outlineLevel="1" x14ac:dyDescent="0.3">
      <c r="A390" s="59">
        <f t="shared" si="84"/>
        <v>0</v>
      </c>
      <c r="B390" s="67"/>
      <c r="C390" s="67"/>
      <c r="D390" s="370"/>
      <c r="E390" s="67" t="e">
        <f>VLOOKUP(D390,'03. Insumos'!A:D,2,0)</f>
        <v>#N/A</v>
      </c>
      <c r="F390" s="68" t="s">
        <v>5218</v>
      </c>
      <c r="G390" s="68" t="e">
        <f>VLOOKUP(D390,'03. Insumos'!A:F,3,0)</f>
        <v>#N/A</v>
      </c>
      <c r="H390" s="69">
        <f>(((1.2*0.2)/(0.26*1.06))*192)/100</f>
        <v>1.6719883889695211</v>
      </c>
      <c r="I390" s="483">
        <f>H389</f>
        <v>75.010000000000005</v>
      </c>
      <c r="J390" s="70">
        <f t="shared" ref="J390:J396" si="87">IFERROR(IF(K390&lt;&gt;0,K390*$K$5,0),0)</f>
        <v>0</v>
      </c>
      <c r="K390" s="70" t="e">
        <f>IF(A390=0,VLOOKUP(D390,'03. Insumos'!A:F,4,0),"")</f>
        <v>#N/A</v>
      </c>
      <c r="L390" s="70">
        <f t="shared" ref="L390:L396" si="88">H390*J390*I390</f>
        <v>0</v>
      </c>
      <c r="M390" s="498">
        <f t="shared" ca="1" si="68"/>
        <v>0</v>
      </c>
      <c r="O390" s="499" t="e">
        <f>IF(I390&lt;&gt;0,I390*H390*K390,)</f>
        <v>#N/A</v>
      </c>
      <c r="R390" s="500">
        <f>IF(J390&lt;&gt;0,J390/1.03-K390,0)</f>
        <v>0</v>
      </c>
    </row>
    <row r="391" spans="1:18" s="51" customFormat="1" ht="13.5" hidden="1" customHeight="1" outlineLevel="1" x14ac:dyDescent="0.3">
      <c r="A391" s="13">
        <f t="shared" si="84"/>
        <v>0</v>
      </c>
      <c r="B391" s="49"/>
      <c r="C391" s="49"/>
      <c r="D391" s="370" t="s">
        <v>4258</v>
      </c>
      <c r="E391" s="67" t="str">
        <f>VLOOKUP(D391,'03. Insumos'!A:D,2,0)</f>
        <v>Mão de obra - Assentamento grandes formatos (acima 60x60)</v>
      </c>
      <c r="F391" s="68" t="s">
        <v>3809</v>
      </c>
      <c r="G391" s="68" t="str">
        <f>VLOOKUP(D391,'03. Insumos'!A:F,3,0)</f>
        <v>m²</v>
      </c>
      <c r="H391" s="69"/>
      <c r="I391" s="483">
        <f>H389</f>
        <v>75.010000000000005</v>
      </c>
      <c r="J391" s="70">
        <f t="shared" si="87"/>
        <v>50</v>
      </c>
      <c r="K391" s="70">
        <f>IF(A391=0,VLOOKUP(D391,'03. Insumos'!A:F,4,0),"")</f>
        <v>50</v>
      </c>
      <c r="L391" s="70">
        <f t="shared" si="88"/>
        <v>0</v>
      </c>
      <c r="M391" s="355">
        <f t="shared" ca="1" si="68"/>
        <v>0</v>
      </c>
      <c r="O391" s="148"/>
      <c r="R391" s="356"/>
    </row>
    <row r="392" spans="1:18" s="51" customFormat="1" ht="13.5" hidden="1" customHeight="1" outlineLevel="1" x14ac:dyDescent="0.3">
      <c r="A392" s="13">
        <v>0</v>
      </c>
      <c r="B392" s="49"/>
      <c r="C392" s="49"/>
      <c r="D392" s="370" t="s">
        <v>4068</v>
      </c>
      <c r="E392" s="67" t="str">
        <f>VLOOKUP(D392,'03. Insumos'!A:D,2,0)</f>
        <v>Argamassa colante 20kg ACIII Branco 20kg</v>
      </c>
      <c r="F392" s="68" t="s">
        <v>5218</v>
      </c>
      <c r="G392" s="68" t="str">
        <f>VLOOKUP(D392,'03. Insumos'!A:F,3,0)</f>
        <v>sc</v>
      </c>
      <c r="H392" s="69"/>
      <c r="I392" s="483">
        <f>ROUNDUP(((H389*8)/20),0)</f>
        <v>31</v>
      </c>
      <c r="J392" s="70">
        <f t="shared" si="87"/>
        <v>47</v>
      </c>
      <c r="K392" s="70">
        <f>IF(A392=0,VLOOKUP(D392,'03. Insumos'!A:F,4,0),"")</f>
        <v>47</v>
      </c>
      <c r="L392" s="70">
        <f t="shared" si="88"/>
        <v>0</v>
      </c>
      <c r="M392" s="355">
        <f t="shared" ca="1" si="68"/>
        <v>0</v>
      </c>
      <c r="O392" s="148"/>
      <c r="R392" s="356"/>
    </row>
    <row r="393" spans="1:18" s="51" customFormat="1" ht="13.5" hidden="1" customHeight="1" outlineLevel="1" x14ac:dyDescent="0.3">
      <c r="A393" s="13">
        <v>0</v>
      </c>
      <c r="B393" s="49"/>
      <c r="C393" s="49"/>
      <c r="D393" s="370" t="s">
        <v>5392</v>
      </c>
      <c r="E393" s="67" t="str">
        <f>VLOOKUP(D393,'03. Insumos'!A:D,2,0)</f>
        <v>Rejunte Aditivado Flexível TIPO II 5 kg</v>
      </c>
      <c r="F393" s="68" t="s">
        <v>5218</v>
      </c>
      <c r="G393" s="68" t="str">
        <f>VLOOKUP(D393,'03. Insumos'!A:F,3,0)</f>
        <v>sc</v>
      </c>
      <c r="H393" s="69"/>
      <c r="I393" s="69">
        <f>ROUNDUP((H389*0.31)/20,0)</f>
        <v>2</v>
      </c>
      <c r="J393" s="70">
        <f t="shared" si="87"/>
        <v>36.26</v>
      </c>
      <c r="K393" s="70">
        <f>IF(A393=0,VLOOKUP(D393,'03. Insumos'!A:F,4,0),"")</f>
        <v>36.26</v>
      </c>
      <c r="L393" s="70">
        <f t="shared" si="88"/>
        <v>0</v>
      </c>
      <c r="M393" s="355">
        <f t="shared" ca="1" si="68"/>
        <v>0</v>
      </c>
      <c r="O393" s="148"/>
      <c r="R393" s="356"/>
    </row>
    <row r="394" spans="1:18" s="59" customFormat="1" ht="13.5" hidden="1" customHeight="1" outlineLevel="1" x14ac:dyDescent="0.3">
      <c r="A394" s="13">
        <f>LEN(C394)</f>
        <v>0</v>
      </c>
      <c r="B394" s="55"/>
      <c r="C394" s="55"/>
      <c r="D394" s="370" t="s">
        <v>773</v>
      </c>
      <c r="E394" s="67" t="str">
        <f>VLOOKUP(D394,'03. Insumos'!A:D,2,0)</f>
        <v>Espaçador - Cunha</v>
      </c>
      <c r="F394" s="68" t="s">
        <v>5218</v>
      </c>
      <c r="G394" s="68" t="str">
        <f>VLOOKUP(D394,'03. Insumos'!A:F,3,0)</f>
        <v>50 pcs</v>
      </c>
      <c r="H394" s="69"/>
      <c r="I394" s="483">
        <f>I395/2</f>
        <v>6.0008000000000008</v>
      </c>
      <c r="J394" s="70">
        <f t="shared" si="87"/>
        <v>22.17</v>
      </c>
      <c r="K394" s="70">
        <f>IF(A394=0,VLOOKUP(D394,'03. Insumos'!A:F,4,0),"")</f>
        <v>22.17</v>
      </c>
      <c r="L394" s="70">
        <f t="shared" si="88"/>
        <v>0</v>
      </c>
      <c r="M394" s="355">
        <f t="shared" ca="1" si="68"/>
        <v>0</v>
      </c>
      <c r="O394" s="148">
        <f t="shared" ref="O394:O396" si="89">IF(I394&lt;&gt;0,I394*H394*K394,)</f>
        <v>0</v>
      </c>
      <c r="R394" s="356">
        <f>IF(J394&lt;&gt;0,J394/1.03-K394,0)</f>
        <v>-0.64572815533980688</v>
      </c>
    </row>
    <row r="395" spans="1:18" s="59" customFormat="1" ht="13.5" hidden="1" customHeight="1" outlineLevel="1" x14ac:dyDescent="0.3">
      <c r="A395" s="13">
        <f t="shared" ref="A395:A399" si="90">LEN(C395)</f>
        <v>0</v>
      </c>
      <c r="B395" s="55"/>
      <c r="C395" s="55"/>
      <c r="D395" s="370" t="s">
        <v>4260</v>
      </c>
      <c r="E395" s="67" t="str">
        <f>VLOOKUP(D395,'03. Insumos'!A:D,2,0)</f>
        <v>Espaçador - Nivelador</v>
      </c>
      <c r="F395" s="68" t="s">
        <v>5218</v>
      </c>
      <c r="G395" s="68" t="str">
        <f>VLOOKUP(D395,'03. Insumos'!A:F,3,0)</f>
        <v>50 pcs</v>
      </c>
      <c r="H395" s="69"/>
      <c r="I395" s="483">
        <f>(H389*8)/50</f>
        <v>12.001600000000002</v>
      </c>
      <c r="J395" s="70">
        <f t="shared" si="87"/>
        <v>40.4</v>
      </c>
      <c r="K395" s="70">
        <f>IF(A395=0,VLOOKUP(D395,'03. Insumos'!A:F,4,0),"")</f>
        <v>40.4</v>
      </c>
      <c r="L395" s="70">
        <f t="shared" si="88"/>
        <v>0</v>
      </c>
      <c r="M395" s="355">
        <f t="shared" ca="1" si="68"/>
        <v>0</v>
      </c>
      <c r="O395" s="148">
        <f t="shared" si="89"/>
        <v>0</v>
      </c>
      <c r="R395" s="356">
        <f>IF(J395&lt;&gt;0,J395/1.03-K395,0)</f>
        <v>-1.1766990291262118</v>
      </c>
    </row>
    <row r="396" spans="1:18" s="59" customFormat="1" ht="13.5" hidden="1" customHeight="1" outlineLevel="1" x14ac:dyDescent="0.3">
      <c r="A396" s="13">
        <f t="shared" si="90"/>
        <v>0</v>
      </c>
      <c r="B396" s="55"/>
      <c r="C396" s="55"/>
      <c r="D396" s="140"/>
      <c r="E396" s="67" t="e">
        <f>VLOOKUP(D396,'03. Insumos'!A:D,2,0)</f>
        <v>#N/A</v>
      </c>
      <c r="F396" s="68" t="s">
        <v>2612</v>
      </c>
      <c r="G396" s="68" t="e">
        <f>VLOOKUP(D396,'03. Insumos'!A:F,3,0)</f>
        <v>#N/A</v>
      </c>
      <c r="H396" s="69"/>
      <c r="I396" s="483"/>
      <c r="J396" s="70">
        <f t="shared" si="87"/>
        <v>0</v>
      </c>
      <c r="K396" s="70" t="e">
        <f>IF(A396=0,VLOOKUP(D396,'03. Insumos'!A:F,4,0),"")</f>
        <v>#N/A</v>
      </c>
      <c r="L396" s="70">
        <f t="shared" si="88"/>
        <v>0</v>
      </c>
      <c r="M396" s="355">
        <f t="shared" ca="1" si="68"/>
        <v>0</v>
      </c>
      <c r="O396" s="148">
        <f t="shared" si="89"/>
        <v>0</v>
      </c>
      <c r="R396" s="356">
        <f>IF(J396&lt;&gt;0,J396/1.03-K396,0)</f>
        <v>0</v>
      </c>
    </row>
    <row r="397" spans="1:18" s="59" customFormat="1" ht="13.5" customHeight="1" outlineLevel="1" x14ac:dyDescent="0.3">
      <c r="A397" s="290">
        <f t="shared" si="90"/>
        <v>6</v>
      </c>
      <c r="B397" s="606"/>
      <c r="C397" s="606" t="s">
        <v>1310</v>
      </c>
      <c r="D397" s="648" t="s">
        <v>5669</v>
      </c>
      <c r="E397" s="391"/>
      <c r="F397" s="325"/>
      <c r="G397" s="325" t="s">
        <v>73</v>
      </c>
      <c r="H397" s="326">
        <v>27.63</v>
      </c>
      <c r="I397" s="65">
        <f>ROUNDUP(((((15+11+6+11+6)*0.81)/1.54)*1.54),0)</f>
        <v>40</v>
      </c>
      <c r="J397" s="334"/>
      <c r="K397" s="607" t="str">
        <f>IF(A397=0,VLOOKUP(D397,'03. Insumos'!A:F,4,0),"")</f>
        <v/>
      </c>
      <c r="L397" s="334">
        <f>SUM(L398:L404)</f>
        <v>7444.2733880000005</v>
      </c>
      <c r="M397" s="153">
        <f t="shared" ca="1" si="68"/>
        <v>1.321411222378375E-2</v>
      </c>
      <c r="O397" s="148" t="e">
        <f>IF(I397&lt;&gt;0,I397*H397*K397,)</f>
        <v>#VALUE!</v>
      </c>
      <c r="R397" s="12">
        <f>IF(J397&lt;&gt;0,J397/1.03-K397,0)</f>
        <v>0</v>
      </c>
    </row>
    <row r="398" spans="1:18" s="71" customFormat="1" ht="13.5" customHeight="1" outlineLevel="1" x14ac:dyDescent="0.3">
      <c r="A398" s="59">
        <f t="shared" si="90"/>
        <v>0</v>
      </c>
      <c r="B398" s="67"/>
      <c r="C398" s="67"/>
      <c r="D398" s="370" t="s">
        <v>5577</v>
      </c>
      <c r="E398" s="67" t="str">
        <f>VLOOKUP(D398,'03. Insumos'!A:D,2,0)</f>
        <v>MAT - Porcelnato York white 90 x 90</v>
      </c>
      <c r="F398" s="68" t="s">
        <v>5218</v>
      </c>
      <c r="G398" s="68" t="str">
        <f>VLOOKUP(D398,'03. Insumos'!A:F,3,0)</f>
        <v>m²</v>
      </c>
      <c r="H398" s="69">
        <f>1.45+0.1</f>
        <v>1.55</v>
      </c>
      <c r="I398" s="483">
        <f>H397</f>
        <v>27.63</v>
      </c>
      <c r="J398" s="70">
        <f t="shared" ref="J398:J404" si="91">IFERROR(IF(K398&lt;&gt;0,K398*$K$5,0),0)</f>
        <v>129</v>
      </c>
      <c r="K398" s="70">
        <f>IF(A398=0,VLOOKUP(D398,'03. Insumos'!A:F,4,0),"")</f>
        <v>129</v>
      </c>
      <c r="L398" s="70">
        <f t="shared" ref="L398:L404" si="92">H398*J398*I398</f>
        <v>5524.6185000000005</v>
      </c>
      <c r="M398" s="498">
        <f t="shared" ca="1" si="68"/>
        <v>9.8065889103792075E-3</v>
      </c>
      <c r="O398" s="499">
        <f>IF(I398&lt;&gt;0,I398*H398*K398,)</f>
        <v>5524.6185000000005</v>
      </c>
      <c r="R398" s="500">
        <f>IF(J398&lt;&gt;0,J398/1.03-K398,0)</f>
        <v>-3.7572815533980588</v>
      </c>
    </row>
    <row r="399" spans="1:18" s="51" customFormat="1" ht="13.5" customHeight="1" outlineLevel="1" x14ac:dyDescent="0.3">
      <c r="A399" s="13">
        <f t="shared" si="90"/>
        <v>0</v>
      </c>
      <c r="B399" s="49"/>
      <c r="C399" s="49"/>
      <c r="D399" s="370" t="s">
        <v>4258</v>
      </c>
      <c r="E399" s="67" t="str">
        <f>VLOOKUP(D399,'03. Insumos'!A:D,2,0)</f>
        <v>Mão de obra - Assentamento grandes formatos (acima 60x60)</v>
      </c>
      <c r="F399" s="68" t="s">
        <v>3809</v>
      </c>
      <c r="G399" s="68" t="str">
        <f>VLOOKUP(D399,'03. Insumos'!A:F,3,0)</f>
        <v>m²</v>
      </c>
      <c r="H399" s="69">
        <v>1</v>
      </c>
      <c r="I399" s="483">
        <f>H397</f>
        <v>27.63</v>
      </c>
      <c r="J399" s="70">
        <f t="shared" si="91"/>
        <v>50</v>
      </c>
      <c r="K399" s="70">
        <f>IF(A399=0,VLOOKUP(D399,'03. Insumos'!A:F,4,0),"")</f>
        <v>50</v>
      </c>
      <c r="L399" s="70">
        <f t="shared" si="92"/>
        <v>1381.5</v>
      </c>
      <c r="M399" s="355">
        <f t="shared" ca="1" si="68"/>
        <v>2.4522602926679688E-3</v>
      </c>
      <c r="O399" s="148">
        <f>IF(I399&lt;&gt;0,I399*H399*K399,)</f>
        <v>1381.5</v>
      </c>
      <c r="R399" s="356"/>
    </row>
    <row r="400" spans="1:18" s="51" customFormat="1" ht="13.5" customHeight="1" outlineLevel="1" x14ac:dyDescent="0.3">
      <c r="A400" s="13">
        <v>0</v>
      </c>
      <c r="B400" s="49"/>
      <c r="C400" s="49"/>
      <c r="D400" s="370" t="s">
        <v>4716</v>
      </c>
      <c r="E400" s="67" t="str">
        <f>VLOOKUP(D400,'03. Insumos'!A:D,2,0)</f>
        <v>Argamassa AC III SUPERFLEX SC 20KG</v>
      </c>
      <c r="F400" s="68" t="s">
        <v>5218</v>
      </c>
      <c r="G400" s="68" t="str">
        <f>VLOOKUP(D400,'03. Insumos'!A:F,3,0)</f>
        <v>sc</v>
      </c>
      <c r="H400" s="69">
        <v>1</v>
      </c>
      <c r="I400" s="483">
        <f>ROUND((H397*8.5)/20,0)</f>
        <v>12</v>
      </c>
      <c r="J400" s="70">
        <f t="shared" si="91"/>
        <v>23.63</v>
      </c>
      <c r="K400" s="70">
        <f>IF(A400=0,VLOOKUP(D400,'03. Insumos'!A:F,4,0),"")</f>
        <v>23.63</v>
      </c>
      <c r="L400" s="70">
        <f t="shared" si="92"/>
        <v>283.56</v>
      </c>
      <c r="M400" s="355">
        <f t="shared" ca="1" si="68"/>
        <v>5.0333907244946017E-4</v>
      </c>
      <c r="O400" s="148">
        <f>IF(I400&lt;&gt;0,I400*H400*K400,)</f>
        <v>283.56</v>
      </c>
      <c r="R400" s="356"/>
    </row>
    <row r="401" spans="1:18" s="51" customFormat="1" ht="13.5" customHeight="1" outlineLevel="1" x14ac:dyDescent="0.3">
      <c r="A401" s="13">
        <v>0</v>
      </c>
      <c r="B401" s="49"/>
      <c r="C401" s="49"/>
      <c r="D401" s="370" t="s">
        <v>4718</v>
      </c>
      <c r="E401" s="67" t="str">
        <f>VLOOKUP(D401,'03. Insumos'!A:D,2,0)</f>
        <v>Rejunte Portokoll P-Flex 20kg</v>
      </c>
      <c r="F401" s="68" t="s">
        <v>5218</v>
      </c>
      <c r="G401" s="68" t="str">
        <f>VLOOKUP(D401,'03. Insumos'!A:F,3,0)</f>
        <v>sc</v>
      </c>
      <c r="H401" s="69">
        <v>1</v>
      </c>
      <c r="I401" s="69">
        <f>ROUNDUP((H397*0.43)/20,0)</f>
        <v>1</v>
      </c>
      <c r="J401" s="70">
        <f t="shared" si="91"/>
        <v>26.99</v>
      </c>
      <c r="K401" s="70">
        <f>IF(A401=0,VLOOKUP(D401,'03. Insumos'!A:F,4,0),"")</f>
        <v>26.99</v>
      </c>
      <c r="L401" s="70">
        <f t="shared" si="92"/>
        <v>26.99</v>
      </c>
      <c r="M401" s="355">
        <f t="shared" ca="1" si="68"/>
        <v>4.7909160549481341E-5</v>
      </c>
      <c r="O401" s="148">
        <f>IF(I401&lt;&gt;0,I401*H401*K401,)</f>
        <v>26.99</v>
      </c>
      <c r="R401" s="356"/>
    </row>
    <row r="402" spans="1:18" s="59" customFormat="1" ht="13.5" customHeight="1" outlineLevel="1" x14ac:dyDescent="0.3">
      <c r="A402" s="13">
        <f>LEN(C402)</f>
        <v>0</v>
      </c>
      <c r="B402" s="55"/>
      <c r="C402" s="55"/>
      <c r="D402" s="370" t="s">
        <v>773</v>
      </c>
      <c r="E402" s="67" t="str">
        <f>VLOOKUP(D402,'03. Insumos'!A:D,2,0)</f>
        <v>Espaçador - Cunha</v>
      </c>
      <c r="F402" s="68" t="s">
        <v>5218</v>
      </c>
      <c r="G402" s="68" t="str">
        <f>VLOOKUP(D402,'03. Insumos'!A:F,3,0)</f>
        <v>50 pcs</v>
      </c>
      <c r="H402" s="69">
        <v>1</v>
      </c>
      <c r="I402" s="483">
        <f>I403/2</f>
        <v>2.2103999999999999</v>
      </c>
      <c r="J402" s="70">
        <f t="shared" si="91"/>
        <v>22.17</v>
      </c>
      <c r="K402" s="70">
        <f>IF(A402=0,VLOOKUP(D402,'03. Insumos'!A:F,4,0),"")</f>
        <v>22.17</v>
      </c>
      <c r="L402" s="70">
        <f t="shared" si="92"/>
        <v>49.004567999999999</v>
      </c>
      <c r="M402" s="355">
        <f t="shared" ca="1" si="68"/>
        <v>8.6986577101518181E-5</v>
      </c>
      <c r="O402" s="148">
        <f t="shared" ref="O402:O404" si="93">IF(I402&lt;&gt;0,I402*H402*K402,)</f>
        <v>49.004567999999999</v>
      </c>
      <c r="R402" s="356">
        <f>IF(J402&lt;&gt;0,J402/1.03-K402,0)</f>
        <v>-0.64572815533980688</v>
      </c>
    </row>
    <row r="403" spans="1:18" s="59" customFormat="1" ht="13.5" customHeight="1" outlineLevel="1" x14ac:dyDescent="0.3">
      <c r="A403" s="13">
        <f t="shared" ref="A403:A407" si="94">LEN(C403)</f>
        <v>0</v>
      </c>
      <c r="B403" s="55"/>
      <c r="C403" s="55"/>
      <c r="D403" s="370" t="s">
        <v>4260</v>
      </c>
      <c r="E403" s="67" t="str">
        <f>VLOOKUP(D403,'03. Insumos'!A:D,2,0)</f>
        <v>Espaçador - Nivelador</v>
      </c>
      <c r="F403" s="68" t="s">
        <v>5218</v>
      </c>
      <c r="G403" s="68" t="str">
        <f>VLOOKUP(D403,'03. Insumos'!A:F,3,0)</f>
        <v>50 pcs</v>
      </c>
      <c r="H403" s="69">
        <v>1</v>
      </c>
      <c r="I403" s="483">
        <f>(H397*8)/50</f>
        <v>4.4207999999999998</v>
      </c>
      <c r="J403" s="70">
        <f t="shared" si="91"/>
        <v>40.4</v>
      </c>
      <c r="K403" s="70">
        <f>IF(A403=0,VLOOKUP(D403,'03. Insumos'!A:F,4,0),"")</f>
        <v>40.4</v>
      </c>
      <c r="L403" s="70">
        <f t="shared" si="92"/>
        <v>178.60031999999998</v>
      </c>
      <c r="M403" s="355">
        <f t="shared" ca="1" si="68"/>
        <v>3.1702821063611496E-4</v>
      </c>
      <c r="O403" s="148">
        <f t="shared" si="93"/>
        <v>178.60031999999998</v>
      </c>
      <c r="R403" s="356">
        <f>IF(J403&lt;&gt;0,J403/1.03-K403,0)</f>
        <v>-1.1766990291262118</v>
      </c>
    </row>
    <row r="404" spans="1:18" s="59" customFormat="1" ht="13.5" hidden="1" customHeight="1" outlineLevel="1" x14ac:dyDescent="0.3">
      <c r="A404" s="13">
        <f t="shared" si="94"/>
        <v>0</v>
      </c>
      <c r="B404" s="55"/>
      <c r="C404" s="55"/>
      <c r="D404" s="140"/>
      <c r="E404" s="67" t="e">
        <f>VLOOKUP(D404,'03. Insumos'!A:D,2,0)</f>
        <v>#N/A</v>
      </c>
      <c r="F404" s="68" t="s">
        <v>2612</v>
      </c>
      <c r="G404" s="68" t="e">
        <f>VLOOKUP(D404,'03. Insumos'!A:F,3,0)</f>
        <v>#N/A</v>
      </c>
      <c r="H404" s="69"/>
      <c r="I404" s="483">
        <v>1</v>
      </c>
      <c r="J404" s="70">
        <f t="shared" si="91"/>
        <v>0</v>
      </c>
      <c r="K404" s="70" t="e">
        <f>IF(A404=0,VLOOKUP(D404,'03. Insumos'!A:F,4,0),"")</f>
        <v>#N/A</v>
      </c>
      <c r="L404" s="70">
        <f t="shared" si="92"/>
        <v>0</v>
      </c>
      <c r="M404" s="355">
        <f t="shared" ca="1" si="68"/>
        <v>0</v>
      </c>
      <c r="O404" s="148" t="e">
        <f t="shared" si="93"/>
        <v>#N/A</v>
      </c>
      <c r="R404" s="356">
        <f>IF(J404&lt;&gt;0,J404/1.03-K404,0)</f>
        <v>0</v>
      </c>
    </row>
    <row r="405" spans="1:18" s="59" customFormat="1" ht="13.5" hidden="1" customHeight="1" outlineLevel="1" x14ac:dyDescent="0.3">
      <c r="A405" s="290">
        <f t="shared" si="94"/>
        <v>6</v>
      </c>
      <c r="B405" s="606"/>
      <c r="C405" s="606" t="s">
        <v>1312</v>
      </c>
      <c r="D405" s="606" t="s">
        <v>5674</v>
      </c>
      <c r="E405" s="391"/>
      <c r="F405" s="325"/>
      <c r="G405" s="325" t="s">
        <v>73</v>
      </c>
      <c r="H405" s="326">
        <v>19.350000000000001</v>
      </c>
      <c r="I405" s="547" t="s">
        <v>2787</v>
      </c>
      <c r="J405" s="334"/>
      <c r="K405" s="607" t="str">
        <f>IF(A405=0,VLOOKUP(D405,'03. Insumos'!A:F,4,0),"")</f>
        <v/>
      </c>
      <c r="L405" s="334">
        <f>SUM(L406:L412)</f>
        <v>0</v>
      </c>
      <c r="M405" s="153">
        <f t="shared" ca="1" si="68"/>
        <v>0</v>
      </c>
      <c r="O405" s="148" t="e">
        <f>IF(I405&lt;&gt;0,I405*H405*K405,)</f>
        <v>#VALUE!</v>
      </c>
      <c r="R405" s="12">
        <f>IF(J405&lt;&gt;0,J405/1.03-K405,0)</f>
        <v>0</v>
      </c>
    </row>
    <row r="406" spans="1:18" s="71" customFormat="1" ht="13.5" hidden="1" customHeight="1" outlineLevel="1" x14ac:dyDescent="0.3">
      <c r="A406" s="59">
        <f t="shared" si="94"/>
        <v>0</v>
      </c>
      <c r="B406" s="67"/>
      <c r="C406" s="67"/>
      <c r="D406" s="370" t="s">
        <v>5574</v>
      </c>
      <c r="E406" s="67" t="str">
        <f>VLOOKUP(D406,'03. Insumos'!A:D,2,0)</f>
        <v>MAT - Porcelnato Pietra di firenze Portobello 90 x 90 Off White</v>
      </c>
      <c r="F406" s="68" t="s">
        <v>5218</v>
      </c>
      <c r="G406" s="68" t="str">
        <f>VLOOKUP(D406,'03. Insumos'!A:F,3,0)</f>
        <v>m²</v>
      </c>
      <c r="H406" s="69"/>
      <c r="I406" s="483">
        <f>H405*1.18</f>
        <v>22.833000000000002</v>
      </c>
      <c r="J406" s="70">
        <f t="shared" ref="J406:J412" si="95">IFERROR(IF(K406&lt;&gt;0,K406*$K$5,0),0)</f>
        <v>179.9</v>
      </c>
      <c r="K406" s="70">
        <f>IF(A406=0,VLOOKUP(D406,'03. Insumos'!A:F,4,0),"")</f>
        <v>179.9</v>
      </c>
      <c r="L406" s="70">
        <f t="shared" ref="L406:L412" si="96">H406*J406*I406</f>
        <v>0</v>
      </c>
      <c r="M406" s="498">
        <f t="shared" ca="1" si="68"/>
        <v>0</v>
      </c>
      <c r="O406" s="499">
        <f>IF(I406&lt;&gt;0,I406*H406*K406,)</f>
        <v>0</v>
      </c>
      <c r="R406" s="500">
        <f>IF(J406&lt;&gt;0,J406/1.03-K406,0)</f>
        <v>-5.239805825242712</v>
      </c>
    </row>
    <row r="407" spans="1:18" s="51" customFormat="1" ht="13.5" hidden="1" customHeight="1" outlineLevel="1" x14ac:dyDescent="0.3">
      <c r="A407" s="13">
        <f t="shared" si="94"/>
        <v>0</v>
      </c>
      <c r="B407" s="49"/>
      <c r="C407" s="49"/>
      <c r="D407" s="370" t="s">
        <v>4258</v>
      </c>
      <c r="E407" s="67" t="str">
        <f>VLOOKUP(D407,'03. Insumos'!A:D,2,0)</f>
        <v>Mão de obra - Assentamento grandes formatos (acima 60x60)</v>
      </c>
      <c r="F407" s="68" t="s">
        <v>3809</v>
      </c>
      <c r="G407" s="68" t="str">
        <f>VLOOKUP(D407,'03. Insumos'!A:F,3,0)</f>
        <v>m²</v>
      </c>
      <c r="H407" s="69"/>
      <c r="I407" s="483">
        <f>H405</f>
        <v>19.350000000000001</v>
      </c>
      <c r="J407" s="70">
        <f t="shared" si="95"/>
        <v>50</v>
      </c>
      <c r="K407" s="70">
        <f>IF(A407=0,VLOOKUP(D407,'03. Insumos'!A:F,4,0),"")</f>
        <v>50</v>
      </c>
      <c r="L407" s="70">
        <f t="shared" si="96"/>
        <v>0</v>
      </c>
      <c r="M407" s="355">
        <f t="shared" ca="1" si="68"/>
        <v>0</v>
      </c>
      <c r="O407" s="148">
        <f>IF(I407&lt;&gt;0,I407*H407*K407,)</f>
        <v>0</v>
      </c>
      <c r="R407" s="356"/>
    </row>
    <row r="408" spans="1:18" s="51" customFormat="1" ht="13.5" hidden="1" customHeight="1" outlineLevel="1" x14ac:dyDescent="0.3">
      <c r="A408" s="13">
        <v>0</v>
      </c>
      <c r="B408" s="49"/>
      <c r="C408" s="49"/>
      <c r="D408" s="370" t="s">
        <v>4716</v>
      </c>
      <c r="E408" s="67" t="str">
        <f>VLOOKUP(D408,'03. Insumos'!A:D,2,0)</f>
        <v>Argamassa AC III SUPERFLEX SC 20KG</v>
      </c>
      <c r="F408" s="68" t="s">
        <v>5218</v>
      </c>
      <c r="G408" s="68" t="str">
        <f>VLOOKUP(D408,'03. Insumos'!A:F,3,0)</f>
        <v>sc</v>
      </c>
      <c r="H408" s="69"/>
      <c r="I408" s="483">
        <f>ROUND((H405*8.5)/20,0)</f>
        <v>8</v>
      </c>
      <c r="J408" s="70">
        <f t="shared" si="95"/>
        <v>23.63</v>
      </c>
      <c r="K408" s="70">
        <f>IF(A408=0,VLOOKUP(D408,'03. Insumos'!A:F,4,0),"")</f>
        <v>23.63</v>
      </c>
      <c r="L408" s="70">
        <f t="shared" si="96"/>
        <v>0</v>
      </c>
      <c r="M408" s="355">
        <f t="shared" ca="1" si="68"/>
        <v>0</v>
      </c>
      <c r="O408" s="148">
        <f>IF(I408&lt;&gt;0,I408*H408*K408,)</f>
        <v>0</v>
      </c>
      <c r="R408" s="356"/>
    </row>
    <row r="409" spans="1:18" s="51" customFormat="1" ht="13.5" hidden="1" customHeight="1" outlineLevel="1" x14ac:dyDescent="0.3">
      <c r="A409" s="13">
        <v>0</v>
      </c>
      <c r="B409" s="49"/>
      <c r="C409" s="49"/>
      <c r="D409" s="370" t="s">
        <v>4718</v>
      </c>
      <c r="E409" s="67" t="str">
        <f>VLOOKUP(D409,'03. Insumos'!A:D,2,0)</f>
        <v>Rejunte Portokoll P-Flex 20kg</v>
      </c>
      <c r="F409" s="68" t="s">
        <v>5218</v>
      </c>
      <c r="G409" s="68" t="str">
        <f>VLOOKUP(D409,'03. Insumos'!A:F,3,0)</f>
        <v>sc</v>
      </c>
      <c r="H409" s="69"/>
      <c r="I409" s="69">
        <f>ROUNDUP((H405*0.43)/20,0)</f>
        <v>1</v>
      </c>
      <c r="J409" s="70">
        <f t="shared" si="95"/>
        <v>26.99</v>
      </c>
      <c r="K409" s="70">
        <f>IF(A409=0,VLOOKUP(D409,'03. Insumos'!A:F,4,0),"")</f>
        <v>26.99</v>
      </c>
      <c r="L409" s="70">
        <f t="shared" si="96"/>
        <v>0</v>
      </c>
      <c r="M409" s="355">
        <f t="shared" ca="1" si="68"/>
        <v>0</v>
      </c>
      <c r="O409" s="148">
        <f>IF(I409&lt;&gt;0,I409*H409*K409,)</f>
        <v>0</v>
      </c>
      <c r="R409" s="356"/>
    </row>
    <row r="410" spans="1:18" s="59" customFormat="1" ht="13.5" hidden="1" customHeight="1" outlineLevel="1" x14ac:dyDescent="0.3">
      <c r="A410" s="13">
        <f>LEN(C410)</f>
        <v>0</v>
      </c>
      <c r="B410" s="55"/>
      <c r="C410" s="55"/>
      <c r="D410" s="370" t="s">
        <v>773</v>
      </c>
      <c r="E410" s="67" t="str">
        <f>VLOOKUP(D410,'03. Insumos'!A:D,2,0)</f>
        <v>Espaçador - Cunha</v>
      </c>
      <c r="F410" s="68" t="s">
        <v>5218</v>
      </c>
      <c r="G410" s="68" t="str">
        <f>VLOOKUP(D410,'03. Insumos'!A:F,3,0)</f>
        <v>50 pcs</v>
      </c>
      <c r="H410" s="69"/>
      <c r="I410" s="483">
        <f>I411/2</f>
        <v>1.548</v>
      </c>
      <c r="J410" s="70">
        <f t="shared" si="95"/>
        <v>22.17</v>
      </c>
      <c r="K410" s="70">
        <f>IF(A410=0,VLOOKUP(D410,'03. Insumos'!A:F,4,0),"")</f>
        <v>22.17</v>
      </c>
      <c r="L410" s="70">
        <f t="shared" si="96"/>
        <v>0</v>
      </c>
      <c r="M410" s="355">
        <f t="shared" ca="1" si="68"/>
        <v>0</v>
      </c>
      <c r="O410" s="148">
        <f t="shared" ref="O410:O412" si="97">IF(I410&lt;&gt;0,I410*H410*K410,)</f>
        <v>0</v>
      </c>
      <c r="R410" s="356">
        <f>IF(J410&lt;&gt;0,J410/1.03-K410,0)</f>
        <v>-0.64572815533980688</v>
      </c>
    </row>
    <row r="411" spans="1:18" s="59" customFormat="1" ht="13.5" hidden="1" customHeight="1" outlineLevel="1" x14ac:dyDescent="0.3">
      <c r="A411" s="13">
        <f t="shared" ref="A411:A415" si="98">LEN(C411)</f>
        <v>0</v>
      </c>
      <c r="B411" s="55"/>
      <c r="C411" s="55"/>
      <c r="D411" s="370" t="s">
        <v>4260</v>
      </c>
      <c r="E411" s="67" t="str">
        <f>VLOOKUP(D411,'03. Insumos'!A:D,2,0)</f>
        <v>Espaçador - Nivelador</v>
      </c>
      <c r="F411" s="68" t="s">
        <v>5218</v>
      </c>
      <c r="G411" s="68" t="str">
        <f>VLOOKUP(D411,'03. Insumos'!A:F,3,0)</f>
        <v>50 pcs</v>
      </c>
      <c r="H411" s="69"/>
      <c r="I411" s="483">
        <f>(H405*8)/50</f>
        <v>3.0960000000000001</v>
      </c>
      <c r="J411" s="70">
        <f t="shared" si="95"/>
        <v>40.4</v>
      </c>
      <c r="K411" s="70">
        <f>IF(A411=0,VLOOKUP(D411,'03. Insumos'!A:F,4,0),"")</f>
        <v>40.4</v>
      </c>
      <c r="L411" s="70">
        <f t="shared" si="96"/>
        <v>0</v>
      </c>
      <c r="M411" s="355">
        <f t="shared" ca="1" si="68"/>
        <v>0</v>
      </c>
      <c r="O411" s="148">
        <f t="shared" si="97"/>
        <v>0</v>
      </c>
      <c r="R411" s="356">
        <f>IF(J411&lt;&gt;0,J411/1.03-K411,0)</f>
        <v>-1.1766990291262118</v>
      </c>
    </row>
    <row r="412" spans="1:18" s="59" customFormat="1" ht="13.5" hidden="1" customHeight="1" outlineLevel="1" x14ac:dyDescent="0.3">
      <c r="A412" s="13">
        <f t="shared" si="98"/>
        <v>0</v>
      </c>
      <c r="B412" s="55"/>
      <c r="C412" s="55"/>
      <c r="D412" s="140" t="s">
        <v>4104</v>
      </c>
      <c r="E412" s="67" t="str">
        <f>VLOOKUP(D412,'03. Insumos'!A:D,2,0)</f>
        <v>Frete Revestimentos</v>
      </c>
      <c r="F412" s="68" t="s">
        <v>2612</v>
      </c>
      <c r="G412" s="68" t="str">
        <f>VLOOKUP(D412,'03. Insumos'!A:F,3,0)</f>
        <v>vb</v>
      </c>
      <c r="H412" s="69"/>
      <c r="I412" s="483">
        <v>1</v>
      </c>
      <c r="J412" s="70">
        <f t="shared" si="95"/>
        <v>8850</v>
      </c>
      <c r="K412" s="70">
        <f>IF(A412=0,VLOOKUP(D412,'03. Insumos'!A:F,4,0),"")</f>
        <v>8850</v>
      </c>
      <c r="L412" s="70">
        <f t="shared" si="96"/>
        <v>0</v>
      </c>
      <c r="M412" s="355">
        <f t="shared" ca="1" si="68"/>
        <v>0</v>
      </c>
      <c r="O412" s="148">
        <f t="shared" si="97"/>
        <v>0</v>
      </c>
      <c r="R412" s="356">
        <f>IF(J412&lt;&gt;0,J412/1.03-K412,0)</f>
        <v>-257.76699029126212</v>
      </c>
    </row>
    <row r="413" spans="1:18" s="59" customFormat="1" ht="13.5" customHeight="1" outlineLevel="1" x14ac:dyDescent="0.3">
      <c r="A413" s="290">
        <f t="shared" si="98"/>
        <v>6</v>
      </c>
      <c r="B413" s="606"/>
      <c r="C413" s="606" t="s">
        <v>1311</v>
      </c>
      <c r="D413" s="606" t="s">
        <v>5671</v>
      </c>
      <c r="E413" s="391"/>
      <c r="F413" s="325"/>
      <c r="G413" s="325" t="s">
        <v>73</v>
      </c>
      <c r="H413" s="326">
        <v>2.0521000000000003</v>
      </c>
      <c r="I413" s="764">
        <f>((((8)*0.36)/1.44)*1.44)</f>
        <v>2.88</v>
      </c>
      <c r="J413" s="334"/>
      <c r="K413" s="607" t="str">
        <f>IF(A413=0,VLOOKUP(D413,'03. Insumos'!A:F,4,0),"")</f>
        <v/>
      </c>
      <c r="L413" s="334">
        <f>SUM(L414:L420)</f>
        <v>413.30322896000007</v>
      </c>
      <c r="M413" s="153">
        <f t="shared" ca="1" si="68"/>
        <v>7.336424880275543E-4</v>
      </c>
      <c r="O413" s="148" t="e">
        <f>IF(I413&lt;&gt;0,I413*H413*K413,)</f>
        <v>#VALUE!</v>
      </c>
      <c r="R413" s="12">
        <f>IF(J413&lt;&gt;0,J413/1.03-K413,0)</f>
        <v>0</v>
      </c>
    </row>
    <row r="414" spans="1:18" s="71" customFormat="1" ht="13.5" customHeight="1" outlineLevel="1" x14ac:dyDescent="0.3">
      <c r="A414" s="59">
        <f t="shared" si="98"/>
        <v>0</v>
      </c>
      <c r="B414" s="67"/>
      <c r="C414" s="67"/>
      <c r="D414" s="370" t="s">
        <v>5576</v>
      </c>
      <c r="E414" s="67" t="str">
        <f>VLOOKUP(D414,'03. Insumos'!A:D,2,0)</f>
        <v>MAT - Porcelanato Absolut Prosecco Decortilles 60 x 60</v>
      </c>
      <c r="F414" s="68" t="s">
        <v>5218</v>
      </c>
      <c r="G414" s="68" t="str">
        <f>VLOOKUP(D414,'03. Insumos'!A:F,3,0)</f>
        <v>m²</v>
      </c>
      <c r="H414" s="69">
        <f>1.4+0.1</f>
        <v>1.5</v>
      </c>
      <c r="I414" s="483">
        <f>H413</f>
        <v>2.0521000000000003</v>
      </c>
      <c r="J414" s="70">
        <f t="shared" ref="J414:J420" si="99">IFERROR(IF(K414&lt;&gt;0,K414*$K$5,0),0)</f>
        <v>79</v>
      </c>
      <c r="K414" s="70">
        <f>IF(A414=0,VLOOKUP(D414,'03. Insumos'!A:F,4,0),"")</f>
        <v>79</v>
      </c>
      <c r="L414" s="70">
        <f t="shared" ref="L414:L420" si="100">H414*J414*I414</f>
        <v>243.17385000000004</v>
      </c>
      <c r="M414" s="498">
        <f t="shared" ca="1" si="68"/>
        <v>4.3165079737256376E-4</v>
      </c>
      <c r="O414" s="499">
        <f>IF(I414&lt;&gt;0,I414*H414*K414,)</f>
        <v>243.17385000000004</v>
      </c>
      <c r="R414" s="500">
        <f>IF(J414&lt;&gt;0,J414/1.03-K414,0)</f>
        <v>-2.3009708737864116</v>
      </c>
    </row>
    <row r="415" spans="1:18" s="51" customFormat="1" ht="13.5" customHeight="1" outlineLevel="1" x14ac:dyDescent="0.3">
      <c r="A415" s="13">
        <f t="shared" si="98"/>
        <v>0</v>
      </c>
      <c r="B415" s="49"/>
      <c r="C415" s="49"/>
      <c r="D415" s="370" t="s">
        <v>4258</v>
      </c>
      <c r="E415" s="67" t="str">
        <f>VLOOKUP(D415,'03. Insumos'!A:D,2,0)</f>
        <v>Mão de obra - Assentamento grandes formatos (acima 60x60)</v>
      </c>
      <c r="F415" s="68" t="s">
        <v>3809</v>
      </c>
      <c r="G415" s="68" t="str">
        <f>VLOOKUP(D415,'03. Insumos'!A:F,3,0)</f>
        <v>m²</v>
      </c>
      <c r="H415" s="69">
        <v>1</v>
      </c>
      <c r="I415" s="483">
        <f>H413</f>
        <v>2.0521000000000003</v>
      </c>
      <c r="J415" s="70">
        <f t="shared" si="99"/>
        <v>50</v>
      </c>
      <c r="K415" s="70">
        <f>IF(A415=0,VLOOKUP(D415,'03. Insumos'!A:F,4,0),"")</f>
        <v>50</v>
      </c>
      <c r="L415" s="70">
        <f t="shared" si="100"/>
        <v>102.60500000000002</v>
      </c>
      <c r="M415" s="355">
        <f t="shared" ca="1" si="68"/>
        <v>1.8213113813188344E-4</v>
      </c>
      <c r="O415" s="148">
        <f>IF(I415&lt;&gt;0,I415*H415*K415,)</f>
        <v>102.60500000000002</v>
      </c>
      <c r="R415" s="356"/>
    </row>
    <row r="416" spans="1:18" s="51" customFormat="1" ht="13.5" customHeight="1" outlineLevel="1" x14ac:dyDescent="0.3">
      <c r="A416" s="13">
        <v>0</v>
      </c>
      <c r="B416" s="49"/>
      <c r="C416" s="49"/>
      <c r="D416" s="370" t="s">
        <v>4716</v>
      </c>
      <c r="E416" s="67" t="str">
        <f>VLOOKUP(D416,'03. Insumos'!A:D,2,0)</f>
        <v>Argamassa AC III SUPERFLEX SC 20KG</v>
      </c>
      <c r="F416" s="68" t="s">
        <v>5218</v>
      </c>
      <c r="G416" s="68" t="str">
        <f>VLOOKUP(D416,'03. Insumos'!A:F,3,0)</f>
        <v>sc</v>
      </c>
      <c r="H416" s="69">
        <v>1</v>
      </c>
      <c r="I416" s="483">
        <f>ROUND((H413*8.5)/20,0)</f>
        <v>1</v>
      </c>
      <c r="J416" s="70">
        <f t="shared" si="99"/>
        <v>23.63</v>
      </c>
      <c r="K416" s="70">
        <f>IF(A416=0,VLOOKUP(D416,'03. Insumos'!A:F,4,0),"")</f>
        <v>23.63</v>
      </c>
      <c r="L416" s="70">
        <f t="shared" si="100"/>
        <v>23.63</v>
      </c>
      <c r="M416" s="355">
        <f t="shared" ca="1" si="68"/>
        <v>4.1944922704121676E-5</v>
      </c>
      <c r="O416" s="148">
        <f>IF(I416&lt;&gt;0,I416*H416*K416,)</f>
        <v>23.63</v>
      </c>
      <c r="R416" s="356"/>
    </row>
    <row r="417" spans="1:18" s="51" customFormat="1" ht="13.5" customHeight="1" outlineLevel="1" x14ac:dyDescent="0.3">
      <c r="A417" s="13">
        <v>0</v>
      </c>
      <c r="B417" s="49"/>
      <c r="C417" s="49"/>
      <c r="D417" s="370" t="s">
        <v>4718</v>
      </c>
      <c r="E417" s="67" t="str">
        <f>VLOOKUP(D417,'03. Insumos'!A:D,2,0)</f>
        <v>Rejunte Portokoll P-Flex 20kg</v>
      </c>
      <c r="F417" s="68" t="s">
        <v>5218</v>
      </c>
      <c r="G417" s="68" t="str">
        <f>VLOOKUP(D417,'03. Insumos'!A:F,3,0)</f>
        <v>sc</v>
      </c>
      <c r="H417" s="69">
        <v>1</v>
      </c>
      <c r="I417" s="69">
        <f>ROUNDUP((H413*0.43)/20,0)</f>
        <v>1</v>
      </c>
      <c r="J417" s="70">
        <f t="shared" si="99"/>
        <v>26.99</v>
      </c>
      <c r="K417" s="70">
        <f>IF(A417=0,VLOOKUP(D417,'03. Insumos'!A:F,4,0),"")</f>
        <v>26.99</v>
      </c>
      <c r="L417" s="70">
        <f t="shared" si="100"/>
        <v>26.99</v>
      </c>
      <c r="M417" s="355">
        <f t="shared" ca="1" si="68"/>
        <v>4.7909160549481341E-5</v>
      </c>
      <c r="O417" s="148">
        <f>IF(I417&lt;&gt;0,I417*H417*K417,)</f>
        <v>26.99</v>
      </c>
      <c r="R417" s="356"/>
    </row>
    <row r="418" spans="1:18" s="59" customFormat="1" ht="13.5" customHeight="1" outlineLevel="1" x14ac:dyDescent="0.3">
      <c r="A418" s="13">
        <f>LEN(C418)</f>
        <v>0</v>
      </c>
      <c r="B418" s="55"/>
      <c r="C418" s="55"/>
      <c r="D418" s="370" t="s">
        <v>773</v>
      </c>
      <c r="E418" s="67" t="str">
        <f>VLOOKUP(D418,'03. Insumos'!A:D,2,0)</f>
        <v>Espaçador - Cunha</v>
      </c>
      <c r="F418" s="68" t="s">
        <v>5218</v>
      </c>
      <c r="G418" s="68" t="str">
        <f>VLOOKUP(D418,'03. Insumos'!A:F,3,0)</f>
        <v>50 pcs</v>
      </c>
      <c r="H418" s="69">
        <v>1</v>
      </c>
      <c r="I418" s="483">
        <f>I419/2</f>
        <v>0.16416800000000001</v>
      </c>
      <c r="J418" s="70">
        <f t="shared" si="99"/>
        <v>22.17</v>
      </c>
      <c r="K418" s="70">
        <f>IF(A418=0,VLOOKUP(D418,'03. Insumos'!A:F,4,0),"")</f>
        <v>22.17</v>
      </c>
      <c r="L418" s="70">
        <f t="shared" si="100"/>
        <v>3.6396045600000004</v>
      </c>
      <c r="M418" s="355">
        <f t="shared" ca="1" si="68"/>
        <v>6.460555731814169E-6</v>
      </c>
      <c r="O418" s="148">
        <f t="shared" ref="O418:O420" si="101">IF(I418&lt;&gt;0,I418*H418*K418,)</f>
        <v>3.6396045600000004</v>
      </c>
      <c r="R418" s="356">
        <f>IF(J418&lt;&gt;0,J418/1.03-K418,0)</f>
        <v>-0.64572815533980688</v>
      </c>
    </row>
    <row r="419" spans="1:18" s="59" customFormat="1" ht="13.5" customHeight="1" outlineLevel="1" x14ac:dyDescent="0.3">
      <c r="A419" s="13">
        <f t="shared" ref="A419:A423" si="102">LEN(C419)</f>
        <v>0</v>
      </c>
      <c r="B419" s="55"/>
      <c r="C419" s="55"/>
      <c r="D419" s="370" t="s">
        <v>4260</v>
      </c>
      <c r="E419" s="67" t="str">
        <f>VLOOKUP(D419,'03. Insumos'!A:D,2,0)</f>
        <v>Espaçador - Nivelador</v>
      </c>
      <c r="F419" s="68" t="s">
        <v>5218</v>
      </c>
      <c r="G419" s="68" t="str">
        <f>VLOOKUP(D419,'03. Insumos'!A:F,3,0)</f>
        <v>50 pcs</v>
      </c>
      <c r="H419" s="69">
        <v>1</v>
      </c>
      <c r="I419" s="483">
        <f>(H413*8)/50</f>
        <v>0.32833600000000002</v>
      </c>
      <c r="J419" s="70">
        <f t="shared" si="99"/>
        <v>40.4</v>
      </c>
      <c r="K419" s="70">
        <f>IF(A419=0,VLOOKUP(D419,'03. Insumos'!A:F,4,0),"")</f>
        <v>40.4</v>
      </c>
      <c r="L419" s="70">
        <f t="shared" si="100"/>
        <v>13.2647744</v>
      </c>
      <c r="M419" s="355">
        <f t="shared" ca="1" si="68"/>
        <v>2.3545913537689888E-5</v>
      </c>
      <c r="O419" s="148">
        <f t="shared" si="101"/>
        <v>13.2647744</v>
      </c>
      <c r="R419" s="356">
        <f>IF(J419&lt;&gt;0,J419/1.03-K419,0)</f>
        <v>-1.1766990291262118</v>
      </c>
    </row>
    <row r="420" spans="1:18" s="59" customFormat="1" ht="13.5" hidden="1" customHeight="1" outlineLevel="1" x14ac:dyDescent="0.3">
      <c r="A420" s="13">
        <f t="shared" si="102"/>
        <v>0</v>
      </c>
      <c r="B420" s="55"/>
      <c r="C420" s="55"/>
      <c r="D420" s="140" t="s">
        <v>4104</v>
      </c>
      <c r="E420" s="67" t="str">
        <f>VLOOKUP(D420,'03. Insumos'!A:D,2,0)</f>
        <v>Frete Revestimentos</v>
      </c>
      <c r="F420" s="68" t="s">
        <v>2612</v>
      </c>
      <c r="G420" s="68" t="str">
        <f>VLOOKUP(D420,'03. Insumos'!A:F,3,0)</f>
        <v>vb</v>
      </c>
      <c r="H420" s="69"/>
      <c r="I420" s="483">
        <v>1</v>
      </c>
      <c r="J420" s="70">
        <f t="shared" si="99"/>
        <v>8850</v>
      </c>
      <c r="K420" s="70">
        <f>IF(A420=0,VLOOKUP(D420,'03. Insumos'!A:F,4,0),"")</f>
        <v>8850</v>
      </c>
      <c r="L420" s="70">
        <f t="shared" si="100"/>
        <v>0</v>
      </c>
      <c r="M420" s="355">
        <f t="shared" ca="1" si="68"/>
        <v>0</v>
      </c>
      <c r="O420" s="148">
        <f t="shared" si="101"/>
        <v>0</v>
      </c>
      <c r="R420" s="356">
        <f>IF(J420&lt;&gt;0,J420/1.03-K420,0)</f>
        <v>-257.76699029126212</v>
      </c>
    </row>
    <row r="421" spans="1:18" s="59" customFormat="1" ht="13.5" hidden="1" customHeight="1" outlineLevel="1" x14ac:dyDescent="0.3">
      <c r="A421" s="290">
        <f t="shared" si="102"/>
        <v>6</v>
      </c>
      <c r="B421" s="606"/>
      <c r="C421" s="606" t="s">
        <v>1310</v>
      </c>
      <c r="D421" s="606" t="s">
        <v>5676</v>
      </c>
      <c r="E421" s="391"/>
      <c r="F421" s="325"/>
      <c r="G421" s="325" t="s">
        <v>73</v>
      </c>
      <c r="H421" s="69"/>
      <c r="I421" s="547" t="s">
        <v>2787</v>
      </c>
      <c r="J421" s="334"/>
      <c r="K421" s="607" t="str">
        <f>IF(A421=0,VLOOKUP(D421,'03. Insumos'!A:F,4,0),"")</f>
        <v/>
      </c>
      <c r="L421" s="334">
        <f>SUM(L422:L428)</f>
        <v>0</v>
      </c>
      <c r="M421" s="153">
        <f t="shared" ca="1" si="68"/>
        <v>0</v>
      </c>
      <c r="O421" s="148" t="e">
        <f>IF(I421&lt;&gt;0,I421*H421*K421,)</f>
        <v>#VALUE!</v>
      </c>
      <c r="R421" s="12">
        <f>IF(J421&lt;&gt;0,J421/1.03-K421,0)</f>
        <v>0</v>
      </c>
    </row>
    <row r="422" spans="1:18" s="71" customFormat="1" ht="13.5" hidden="1" customHeight="1" outlineLevel="1" x14ac:dyDescent="0.3">
      <c r="A422" s="59">
        <f t="shared" si="102"/>
        <v>0</v>
      </c>
      <c r="B422" s="67"/>
      <c r="C422" s="67"/>
      <c r="D422" s="140" t="s">
        <v>5161</v>
      </c>
      <c r="E422" s="67" t="str">
        <f>VLOOKUP(D422,'03. Insumos'!A:D,2,0)</f>
        <v>PORCELANATO RETIFICADO NATURAL, LINHA LIVING, COR FOGGY BIANCO, 80X80CM, FABR. PORTOBELLO</v>
      </c>
      <c r="F422" s="68" t="s">
        <v>2612</v>
      </c>
      <c r="G422" s="68" t="str">
        <f>VLOOKUP(D422,'03. Insumos'!A:F,3,0)</f>
        <v>m²</v>
      </c>
      <c r="H422" s="69"/>
      <c r="I422" s="483">
        <f>H421</f>
        <v>0</v>
      </c>
      <c r="J422" s="70">
        <f t="shared" ref="J422:J428" si="103">IFERROR(IF(K422&lt;&gt;0,K422*$K$5,0),0)</f>
        <v>124.99</v>
      </c>
      <c r="K422" s="70">
        <f>IF(A422=0,VLOOKUP(D422,'03. Insumos'!A:F,4,0),"")</f>
        <v>124.99</v>
      </c>
      <c r="L422" s="70">
        <f t="shared" ref="L422:L428" si="104">H422*J422*I422</f>
        <v>0</v>
      </c>
      <c r="M422" s="498">
        <f t="shared" ca="1" si="68"/>
        <v>0</v>
      </c>
      <c r="O422" s="499">
        <f>IF(I422&lt;&gt;0,I422*H422*K422,)</f>
        <v>0</v>
      </c>
      <c r="R422" s="500">
        <f>IF(J422&lt;&gt;0,J422/1.03-K422,0)</f>
        <v>-3.6404854368932007</v>
      </c>
    </row>
    <row r="423" spans="1:18" s="51" customFormat="1" ht="13.5" hidden="1" customHeight="1" outlineLevel="1" x14ac:dyDescent="0.3">
      <c r="A423" s="13">
        <f t="shared" si="102"/>
        <v>0</v>
      </c>
      <c r="B423" s="49"/>
      <c r="C423" s="49"/>
      <c r="D423" s="140" t="s">
        <v>4258</v>
      </c>
      <c r="E423" s="67" t="str">
        <f>VLOOKUP(D423,'03. Insumos'!A:D,2,0)</f>
        <v>Mão de obra - Assentamento grandes formatos (acima 60x60)</v>
      </c>
      <c r="F423" s="68" t="s">
        <v>2612</v>
      </c>
      <c r="G423" s="68" t="str">
        <f>VLOOKUP(D423,'03. Insumos'!A:F,3,0)</f>
        <v>m²</v>
      </c>
      <c r="H423" s="69"/>
      <c r="I423" s="483">
        <f>H421</f>
        <v>0</v>
      </c>
      <c r="J423" s="70">
        <f t="shared" si="103"/>
        <v>50</v>
      </c>
      <c r="K423" s="70">
        <f>IF(A423=0,VLOOKUP(D423,'03. Insumos'!A:F,4,0),"")</f>
        <v>50</v>
      </c>
      <c r="L423" s="70">
        <f t="shared" si="104"/>
        <v>0</v>
      </c>
      <c r="M423" s="355">
        <f t="shared" ca="1" si="68"/>
        <v>0</v>
      </c>
      <c r="O423" s="148">
        <f>IF(I423&lt;&gt;0,I423*H423*K423,)</f>
        <v>0</v>
      </c>
      <c r="R423" s="356"/>
    </row>
    <row r="424" spans="1:18" s="51" customFormat="1" ht="13.5" hidden="1" customHeight="1" outlineLevel="1" x14ac:dyDescent="0.3">
      <c r="A424" s="13">
        <v>0</v>
      </c>
      <c r="B424" s="49"/>
      <c r="C424" s="49"/>
      <c r="D424" s="140" t="s">
        <v>4716</v>
      </c>
      <c r="E424" s="67" t="str">
        <f>VLOOKUP(D424,'03. Insumos'!A:D,2,0)</f>
        <v>Argamassa AC III SUPERFLEX SC 20KG</v>
      </c>
      <c r="F424" s="68" t="s">
        <v>2612</v>
      </c>
      <c r="G424" s="68" t="str">
        <f>VLOOKUP(D424,'03. Insumos'!A:F,3,0)</f>
        <v>sc</v>
      </c>
      <c r="H424" s="69"/>
      <c r="I424" s="483">
        <f>ROUND((H421*8.5)/20,0)</f>
        <v>0</v>
      </c>
      <c r="J424" s="70">
        <f t="shared" si="103"/>
        <v>23.63</v>
      </c>
      <c r="K424" s="70">
        <f>IF(A424=0,VLOOKUP(D424,'03. Insumos'!A:F,4,0),"")</f>
        <v>23.63</v>
      </c>
      <c r="L424" s="70">
        <f t="shared" si="104"/>
        <v>0</v>
      </c>
      <c r="M424" s="355">
        <f t="shared" ca="1" si="68"/>
        <v>0</v>
      </c>
      <c r="O424" s="148">
        <f>IF(I424&lt;&gt;0,I424*H424*K424,)</f>
        <v>0</v>
      </c>
      <c r="R424" s="356"/>
    </row>
    <row r="425" spans="1:18" s="51" customFormat="1" ht="13.5" hidden="1" customHeight="1" outlineLevel="1" x14ac:dyDescent="0.3">
      <c r="A425" s="13">
        <v>0</v>
      </c>
      <c r="B425" s="49"/>
      <c r="C425" s="49"/>
      <c r="D425" s="140" t="s">
        <v>4718</v>
      </c>
      <c r="E425" s="67" t="str">
        <f>VLOOKUP(D425,'03. Insumos'!A:D,2,0)</f>
        <v>Rejunte Portokoll P-Flex 20kg</v>
      </c>
      <c r="F425" s="68" t="s">
        <v>2607</v>
      </c>
      <c r="G425" s="68" t="str">
        <f>VLOOKUP(D425,'03. Insumos'!A:F,3,0)</f>
        <v>sc</v>
      </c>
      <c r="H425" s="69"/>
      <c r="I425" s="69">
        <f>ROUNDUP((H421*0.2),0)</f>
        <v>0</v>
      </c>
      <c r="J425" s="70">
        <f t="shared" si="103"/>
        <v>26.99</v>
      </c>
      <c r="K425" s="70">
        <f>IF(A425=0,VLOOKUP(D425,'03. Insumos'!A:F,4,0),"")</f>
        <v>26.99</v>
      </c>
      <c r="L425" s="70">
        <f t="shared" si="104"/>
        <v>0</v>
      </c>
      <c r="M425" s="355">
        <f t="shared" ca="1" si="68"/>
        <v>0</v>
      </c>
      <c r="O425" s="148">
        <f>IF(I425&lt;&gt;0,I425*H425*K425,)</f>
        <v>0</v>
      </c>
      <c r="R425" s="356"/>
    </row>
    <row r="426" spans="1:18" s="59" customFormat="1" ht="13.5" hidden="1" customHeight="1" outlineLevel="1" x14ac:dyDescent="0.3">
      <c r="A426" s="13">
        <f>LEN(C426)</f>
        <v>0</v>
      </c>
      <c r="B426" s="55"/>
      <c r="C426" s="55"/>
      <c r="D426" s="140" t="s">
        <v>773</v>
      </c>
      <c r="E426" s="67" t="str">
        <f>VLOOKUP(D426,'03. Insumos'!A:D,2,0)</f>
        <v>Espaçador - Cunha</v>
      </c>
      <c r="F426" s="68" t="s">
        <v>2612</v>
      </c>
      <c r="G426" s="68" t="str">
        <f>VLOOKUP(D426,'03. Insumos'!A:F,3,0)</f>
        <v>50 pcs</v>
      </c>
      <c r="H426" s="69"/>
      <c r="I426" s="483">
        <f>I427/2</f>
        <v>0</v>
      </c>
      <c r="J426" s="70">
        <f t="shared" si="103"/>
        <v>22.17</v>
      </c>
      <c r="K426" s="70">
        <f>IF(A426=0,VLOOKUP(D426,'03. Insumos'!A:F,4,0),"")</f>
        <v>22.17</v>
      </c>
      <c r="L426" s="70">
        <f t="shared" si="104"/>
        <v>0</v>
      </c>
      <c r="M426" s="355">
        <f t="shared" ca="1" si="68"/>
        <v>0</v>
      </c>
      <c r="O426" s="148">
        <f t="shared" ref="O426:O428" si="105">IF(I426&lt;&gt;0,I426*H426*K426,)</f>
        <v>0</v>
      </c>
      <c r="R426" s="356">
        <f>IF(J426&lt;&gt;0,J426/1.03-K426,0)</f>
        <v>-0.64572815533980688</v>
      </c>
    </row>
    <row r="427" spans="1:18" s="59" customFormat="1" ht="13.5" hidden="1" customHeight="1" outlineLevel="1" x14ac:dyDescent="0.3">
      <c r="A427" s="13">
        <f t="shared" ref="A427:A431" si="106">LEN(C427)</f>
        <v>0</v>
      </c>
      <c r="B427" s="55"/>
      <c r="C427" s="55"/>
      <c r="D427" s="140" t="s">
        <v>4260</v>
      </c>
      <c r="E427" s="67" t="str">
        <f>VLOOKUP(D427,'03. Insumos'!A:D,2,0)</f>
        <v>Espaçador - Nivelador</v>
      </c>
      <c r="F427" s="68" t="s">
        <v>2612</v>
      </c>
      <c r="G427" s="68" t="str">
        <f>VLOOKUP(D427,'03. Insumos'!A:F,3,0)</f>
        <v>50 pcs</v>
      </c>
      <c r="H427" s="69"/>
      <c r="I427" s="483">
        <f>(H421*8)/50</f>
        <v>0</v>
      </c>
      <c r="J427" s="70">
        <f t="shared" si="103"/>
        <v>40.4</v>
      </c>
      <c r="K427" s="70">
        <f>IF(A427=0,VLOOKUP(D427,'03. Insumos'!A:F,4,0),"")</f>
        <v>40.4</v>
      </c>
      <c r="L427" s="70">
        <f t="shared" si="104"/>
        <v>0</v>
      </c>
      <c r="M427" s="355">
        <f t="shared" ca="1" si="68"/>
        <v>0</v>
      </c>
      <c r="O427" s="148">
        <f t="shared" si="105"/>
        <v>0</v>
      </c>
      <c r="R427" s="356">
        <f>IF(J427&lt;&gt;0,J427/1.03-K427,0)</f>
        <v>-1.1766990291262118</v>
      </c>
    </row>
    <row r="428" spans="1:18" s="59" customFormat="1" ht="13.5" hidden="1" customHeight="1" outlineLevel="1" x14ac:dyDescent="0.3">
      <c r="A428" s="13">
        <f t="shared" si="106"/>
        <v>0</v>
      </c>
      <c r="B428" s="55"/>
      <c r="C428" s="55"/>
      <c r="D428" s="140" t="s">
        <v>4104</v>
      </c>
      <c r="E428" s="67" t="str">
        <f>VLOOKUP(D428,'03. Insumos'!A:D,2,0)</f>
        <v>Frete Revestimentos</v>
      </c>
      <c r="F428" s="68" t="s">
        <v>2612</v>
      </c>
      <c r="G428" s="68" t="str">
        <f>VLOOKUP(D428,'03. Insumos'!A:F,3,0)</f>
        <v>vb</v>
      </c>
      <c r="H428" s="69"/>
      <c r="I428" s="483">
        <v>1</v>
      </c>
      <c r="J428" s="70">
        <f t="shared" si="103"/>
        <v>8850</v>
      </c>
      <c r="K428" s="70">
        <f>IF(A428=0,VLOOKUP(D428,'03. Insumos'!A:F,4,0),"")</f>
        <v>8850</v>
      </c>
      <c r="L428" s="70">
        <f t="shared" si="104"/>
        <v>0</v>
      </c>
      <c r="M428" s="355">
        <f t="shared" ca="1" si="68"/>
        <v>0</v>
      </c>
      <c r="O428" s="148">
        <f t="shared" si="105"/>
        <v>0</v>
      </c>
      <c r="R428" s="356">
        <f>IF(J428&lt;&gt;0,J428/1.03-K428,0)</f>
        <v>-257.76699029126212</v>
      </c>
    </row>
    <row r="429" spans="1:18" s="59" customFormat="1" ht="13.5" hidden="1" customHeight="1" outlineLevel="1" x14ac:dyDescent="0.3">
      <c r="A429" s="290">
        <f t="shared" si="106"/>
        <v>6</v>
      </c>
      <c r="B429" s="606"/>
      <c r="C429" s="606" t="s">
        <v>1310</v>
      </c>
      <c r="D429" s="606"/>
      <c r="E429" s="391"/>
      <c r="F429" s="325"/>
      <c r="G429" s="325" t="s">
        <v>73</v>
      </c>
      <c r="H429" s="595"/>
      <c r="I429" s="547"/>
      <c r="J429" s="334"/>
      <c r="K429" s="607" t="str">
        <f>IF(A429=0,VLOOKUP(D429,'03. Insumos'!A:F,4,0),"")</f>
        <v/>
      </c>
      <c r="L429" s="334">
        <f>SUM(L430:L436)</f>
        <v>0</v>
      </c>
      <c r="M429" s="153">
        <f t="shared" ca="1" si="68"/>
        <v>0</v>
      </c>
      <c r="O429" s="148">
        <f>IF(I429&lt;&gt;0,I429*H429*K429,)</f>
        <v>0</v>
      </c>
      <c r="R429" s="12">
        <f>IF(J429&lt;&gt;0,J429/1.03-K429,0)</f>
        <v>0</v>
      </c>
    </row>
    <row r="430" spans="1:18" s="71" customFormat="1" ht="13.5" hidden="1" customHeight="1" outlineLevel="1" x14ac:dyDescent="0.3">
      <c r="A430" s="59">
        <f t="shared" si="106"/>
        <v>0</v>
      </c>
      <c r="B430" s="67"/>
      <c r="C430" s="67"/>
      <c r="D430" s="370" t="s">
        <v>5162</v>
      </c>
      <c r="E430" s="67" t="str">
        <f>VLOOKUP(D430,'03. Insumos'!A:D,2,0)</f>
        <v>PORCELANATO, ACAB. ACETINADO, LINHA MUNARI, COR BRANCO, 90X90CM, FABR. ELIANE</v>
      </c>
      <c r="F430" s="68" t="s">
        <v>5218</v>
      </c>
      <c r="G430" s="68" t="str">
        <f>VLOOKUP(D430,'03. Insumos'!A:F,3,0)</f>
        <v>m²</v>
      </c>
      <c r="H430" s="69"/>
      <c r="I430" s="483">
        <f>H429</f>
        <v>0</v>
      </c>
      <c r="J430" s="70">
        <f t="shared" ref="J430:J436" si="107">IFERROR(IF(K430&lt;&gt;0,K430*$K$5,0),0)</f>
        <v>119</v>
      </c>
      <c r="K430" s="70">
        <f>IF(A430=0,VLOOKUP(D430,'03. Insumos'!A:F,4,0),"")</f>
        <v>119</v>
      </c>
      <c r="L430" s="70">
        <f t="shared" ref="L430:L436" si="108">H430*J430*I430</f>
        <v>0</v>
      </c>
      <c r="M430" s="498">
        <f t="shared" ref="M430:M511" ca="1" si="109">L430/$L$7</f>
        <v>0</v>
      </c>
      <c r="O430" s="499">
        <f>IF(I430&lt;&gt;0,I430*H430*K430,)</f>
        <v>0</v>
      </c>
      <c r="R430" s="500">
        <f>IF(J430&lt;&gt;0,J430/1.03-K430,0)</f>
        <v>-3.4660194174757351</v>
      </c>
    </row>
    <row r="431" spans="1:18" s="51" customFormat="1" ht="13.5" hidden="1" customHeight="1" outlineLevel="1" x14ac:dyDescent="0.3">
      <c r="A431" s="13">
        <f t="shared" si="106"/>
        <v>0</v>
      </c>
      <c r="B431" s="49"/>
      <c r="C431" s="49"/>
      <c r="D431" s="370" t="s">
        <v>4258</v>
      </c>
      <c r="E431" s="67" t="str">
        <f>VLOOKUP(D431,'03. Insumos'!A:D,2,0)</f>
        <v>Mão de obra - Assentamento grandes formatos (acima 60x60)</v>
      </c>
      <c r="F431" s="68" t="s">
        <v>3809</v>
      </c>
      <c r="G431" s="68" t="str">
        <f>VLOOKUP(D431,'03. Insumos'!A:F,3,0)</f>
        <v>m²</v>
      </c>
      <c r="H431" s="69"/>
      <c r="I431" s="483">
        <f>H429</f>
        <v>0</v>
      </c>
      <c r="J431" s="70">
        <f t="shared" si="107"/>
        <v>50</v>
      </c>
      <c r="K431" s="70">
        <f>IF(A431=0,VLOOKUP(D431,'03. Insumos'!A:F,4,0),"")</f>
        <v>50</v>
      </c>
      <c r="L431" s="70">
        <f t="shared" si="108"/>
        <v>0</v>
      </c>
      <c r="M431" s="355">
        <f t="shared" ca="1" si="109"/>
        <v>0</v>
      </c>
      <c r="O431" s="148">
        <f>IF(I431&lt;&gt;0,I431*H431*K431,)</f>
        <v>0</v>
      </c>
      <c r="R431" s="356"/>
    </row>
    <row r="432" spans="1:18" s="51" customFormat="1" ht="13.5" hidden="1" customHeight="1" outlineLevel="1" x14ac:dyDescent="0.3">
      <c r="A432" s="13">
        <v>0</v>
      </c>
      <c r="B432" s="49"/>
      <c r="C432" s="49"/>
      <c r="D432" s="370" t="s">
        <v>5195</v>
      </c>
      <c r="E432" s="67" t="str">
        <f>VLOOKUP(D432,'03. Insumos'!A:D,2,0)</f>
        <v>Argamassa ACIII AC III SUPERFLEX SC 20KG</v>
      </c>
      <c r="F432" s="68" t="s">
        <v>5218</v>
      </c>
      <c r="G432" s="68" t="str">
        <f>VLOOKUP(D432,'03. Insumos'!A:F,3,0)</f>
        <v>sc</v>
      </c>
      <c r="H432" s="69"/>
      <c r="I432" s="483">
        <f>ROUNDUP((H429*8)/20,0)</f>
        <v>0</v>
      </c>
      <c r="J432" s="70">
        <f t="shared" si="107"/>
        <v>20.55</v>
      </c>
      <c r="K432" s="70">
        <f>IF(A432=0,VLOOKUP(D432,'03. Insumos'!A:F,4,0),"")</f>
        <v>20.55</v>
      </c>
      <c r="L432" s="70">
        <f t="shared" si="108"/>
        <v>0</v>
      </c>
      <c r="M432" s="355">
        <f t="shared" ca="1" si="109"/>
        <v>0</v>
      </c>
      <c r="O432" s="148">
        <f>IF(I432&lt;&gt;0,I432*H432*K432,)</f>
        <v>0</v>
      </c>
      <c r="R432" s="356"/>
    </row>
    <row r="433" spans="1:18" s="51" customFormat="1" ht="13.5" hidden="1" customHeight="1" outlineLevel="1" x14ac:dyDescent="0.3">
      <c r="A433" s="13">
        <v>0</v>
      </c>
      <c r="B433" s="49"/>
      <c r="C433" s="49"/>
      <c r="D433" s="370" t="s">
        <v>5196</v>
      </c>
      <c r="E433" s="67" t="str">
        <f>VLOOKUP(D433,'03. Insumos'!A:D,2,0)</f>
        <v>Rejunte P Flex  20kg</v>
      </c>
      <c r="F433" s="68" t="s">
        <v>5218</v>
      </c>
      <c r="G433" s="68" t="str">
        <f>VLOOKUP(D433,'03. Insumos'!A:F,3,0)</f>
        <v>sc</v>
      </c>
      <c r="H433" s="69"/>
      <c r="I433" s="69">
        <f>ROUNDUP((H429*0.31)/20,0)</f>
        <v>0</v>
      </c>
      <c r="J433" s="70">
        <f t="shared" si="107"/>
        <v>44.44</v>
      </c>
      <c r="K433" s="70">
        <f>IF(A433=0,VLOOKUP(D433,'03. Insumos'!A:F,4,0),"")</f>
        <v>44.44</v>
      </c>
      <c r="L433" s="70">
        <f t="shared" si="108"/>
        <v>0</v>
      </c>
      <c r="M433" s="355">
        <f t="shared" ca="1" si="109"/>
        <v>0</v>
      </c>
      <c r="O433" s="148">
        <f>IF(I433&lt;&gt;0,I433*H433*K433,)</f>
        <v>0</v>
      </c>
      <c r="R433" s="356"/>
    </row>
    <row r="434" spans="1:18" s="59" customFormat="1" ht="13.5" hidden="1" customHeight="1" outlineLevel="1" x14ac:dyDescent="0.3">
      <c r="A434" s="13">
        <f>LEN(C434)</f>
        <v>0</v>
      </c>
      <c r="B434" s="55"/>
      <c r="C434" s="55"/>
      <c r="D434" s="370" t="s">
        <v>773</v>
      </c>
      <c r="E434" s="67" t="str">
        <f>VLOOKUP(D434,'03. Insumos'!A:D,2,0)</f>
        <v>Espaçador - Cunha</v>
      </c>
      <c r="F434" s="68" t="s">
        <v>5218</v>
      </c>
      <c r="G434" s="68" t="str">
        <f>VLOOKUP(D434,'03. Insumos'!A:F,3,0)</f>
        <v>50 pcs</v>
      </c>
      <c r="H434" s="69"/>
      <c r="I434" s="483">
        <f>I435/2</f>
        <v>0</v>
      </c>
      <c r="J434" s="70">
        <f t="shared" si="107"/>
        <v>22.17</v>
      </c>
      <c r="K434" s="70">
        <f>IF(A434=0,VLOOKUP(D434,'03. Insumos'!A:F,4,0),"")</f>
        <v>22.17</v>
      </c>
      <c r="L434" s="70">
        <f t="shared" si="108"/>
        <v>0</v>
      </c>
      <c r="M434" s="355">
        <f t="shared" ca="1" si="109"/>
        <v>0</v>
      </c>
      <c r="O434" s="148">
        <f t="shared" ref="O434:O436" si="110">IF(I434&lt;&gt;0,I434*H434*K434,)</f>
        <v>0</v>
      </c>
      <c r="R434" s="356">
        <f>IF(J434&lt;&gt;0,J434/1.03-K434,0)</f>
        <v>-0.64572815533980688</v>
      </c>
    </row>
    <row r="435" spans="1:18" s="59" customFormat="1" ht="13.5" hidden="1" customHeight="1" outlineLevel="1" x14ac:dyDescent="0.3">
      <c r="A435" s="13">
        <f t="shared" ref="A435:A436" si="111">LEN(C435)</f>
        <v>0</v>
      </c>
      <c r="B435" s="55"/>
      <c r="C435" s="55"/>
      <c r="D435" s="370" t="s">
        <v>4260</v>
      </c>
      <c r="E435" s="67" t="str">
        <f>VLOOKUP(D435,'03. Insumos'!A:D,2,0)</f>
        <v>Espaçador - Nivelador</v>
      </c>
      <c r="F435" s="68" t="s">
        <v>5218</v>
      </c>
      <c r="G435" s="68" t="str">
        <f>VLOOKUP(D435,'03. Insumos'!A:F,3,0)</f>
        <v>50 pcs</v>
      </c>
      <c r="H435" s="69"/>
      <c r="I435" s="483">
        <f>(H429*8)/50</f>
        <v>0</v>
      </c>
      <c r="J435" s="70">
        <f t="shared" si="107"/>
        <v>40.4</v>
      </c>
      <c r="K435" s="70">
        <f>IF(A435=0,VLOOKUP(D435,'03. Insumos'!A:F,4,0),"")</f>
        <v>40.4</v>
      </c>
      <c r="L435" s="70">
        <f t="shared" si="108"/>
        <v>0</v>
      </c>
      <c r="M435" s="355">
        <f t="shared" ca="1" si="109"/>
        <v>0</v>
      </c>
      <c r="O435" s="148">
        <f t="shared" si="110"/>
        <v>0</v>
      </c>
      <c r="R435" s="356">
        <f>IF(J435&lt;&gt;0,J435/1.03-K435,0)</f>
        <v>-1.1766990291262118</v>
      </c>
    </row>
    <row r="436" spans="1:18" s="59" customFormat="1" ht="13.5" hidden="1" customHeight="1" outlineLevel="1" x14ac:dyDescent="0.3">
      <c r="A436" s="13">
        <f t="shared" si="111"/>
        <v>0</v>
      </c>
      <c r="B436" s="55"/>
      <c r="C436" s="55"/>
      <c r="D436" s="140" t="s">
        <v>4104</v>
      </c>
      <c r="E436" s="67" t="str">
        <f>VLOOKUP(D436,'03. Insumos'!A:D,2,0)</f>
        <v>Frete Revestimentos</v>
      </c>
      <c r="F436" s="68" t="s">
        <v>2612</v>
      </c>
      <c r="G436" s="68" t="str">
        <f>VLOOKUP(D436,'03. Insumos'!A:F,3,0)</f>
        <v>vb</v>
      </c>
      <c r="H436" s="69"/>
      <c r="I436" s="483"/>
      <c r="J436" s="70">
        <f t="shared" si="107"/>
        <v>8850</v>
      </c>
      <c r="K436" s="70">
        <f>IF(A436=0,VLOOKUP(D436,'03. Insumos'!A:F,4,0),"")</f>
        <v>8850</v>
      </c>
      <c r="L436" s="70">
        <f t="shared" si="108"/>
        <v>0</v>
      </c>
      <c r="M436" s="355">
        <f t="shared" ca="1" si="109"/>
        <v>0</v>
      </c>
      <c r="O436" s="148">
        <f t="shared" si="110"/>
        <v>0</v>
      </c>
      <c r="R436" s="356">
        <f>IF(J436&lt;&gt;0,J436/1.03-K436,0)</f>
        <v>-257.76699029126212</v>
      </c>
    </row>
    <row r="437" spans="1:18" s="51" customFormat="1" ht="13.5" customHeight="1" outlineLevel="1" x14ac:dyDescent="0.3">
      <c r="A437" s="290">
        <f>LEN(C437)</f>
        <v>4</v>
      </c>
      <c r="B437" s="45"/>
      <c r="C437" s="45" t="s">
        <v>2747</v>
      </c>
      <c r="D437" s="45" t="s">
        <v>2756</v>
      </c>
      <c r="E437" s="347"/>
      <c r="F437" s="327"/>
      <c r="G437" s="680"/>
      <c r="H437" s="328"/>
      <c r="I437" s="548"/>
      <c r="J437" s="335"/>
      <c r="K437" s="335"/>
      <c r="L437" s="335">
        <f>SUMIF(A438:A446,6,L438:L446)</f>
        <v>5976.6</v>
      </c>
      <c r="M437" s="153">
        <f t="shared" ca="1" si="109"/>
        <v>1.0608888067433502E-2</v>
      </c>
      <c r="O437" s="148"/>
      <c r="R437" s="12"/>
    </row>
    <row r="438" spans="1:18" s="51" customFormat="1" ht="13.5" customHeight="1" outlineLevel="1" x14ac:dyDescent="0.3">
      <c r="A438" s="290">
        <v>6</v>
      </c>
      <c r="B438" s="391"/>
      <c r="C438" s="391" t="s">
        <v>2748</v>
      </c>
      <c r="D438" s="606" t="s">
        <v>5405</v>
      </c>
      <c r="E438" s="391"/>
      <c r="F438" s="325"/>
      <c r="G438" s="325" t="s">
        <v>74</v>
      </c>
      <c r="H438" s="326">
        <f>ROUNDUP(25.48/2,0)*2</f>
        <v>26</v>
      </c>
      <c r="I438" s="326"/>
      <c r="J438" s="334"/>
      <c r="K438" s="334" t="str">
        <f>IF(A438=0,VLOOKUP(D438,'03. Insumos'!A:F,4,0),"")</f>
        <v/>
      </c>
      <c r="L438" s="334">
        <f>SUM(L439:L442)</f>
        <v>2443.6</v>
      </c>
      <c r="M438" s="153">
        <f t="shared" ca="1" si="109"/>
        <v>4.3375629758693069E-3</v>
      </c>
      <c r="O438" s="148"/>
      <c r="R438" s="12"/>
    </row>
    <row r="439" spans="1:18" s="51" customFormat="1" ht="13.5" customHeight="1" outlineLevel="1" x14ac:dyDescent="0.3">
      <c r="A439" s="290">
        <v>0</v>
      </c>
      <c r="B439" s="49"/>
      <c r="C439" s="49"/>
      <c r="D439" s="370" t="s">
        <v>5476</v>
      </c>
      <c r="E439" s="67" t="str">
        <f>VLOOKUP(D439,'03. Insumos'!A:D,2,0)</f>
        <v>MAT - RODAPÉ INVERTIDO, COM ACABAMENTO EM PERFIL DE ALUMÍNIO BRANCO 2x2cm</v>
      </c>
      <c r="F439" s="68" t="s">
        <v>3809</v>
      </c>
      <c r="G439" s="68" t="str">
        <f>VLOOKUP(D439,'03. Insumos'!A:F,3,0)</f>
        <v>m</v>
      </c>
      <c r="H439" s="69">
        <v>1</v>
      </c>
      <c r="I439" s="627">
        <f>H438</f>
        <v>26</v>
      </c>
      <c r="J439" s="70">
        <f>IFERROR(IF(K439&lt;&gt;0,K439*$K$5,0),0)</f>
        <v>38.849999999999994</v>
      </c>
      <c r="K439" s="70">
        <f>IF(A439=0,VLOOKUP(D439,'03. Insumos'!A:F,4,0),"")</f>
        <v>38.849999999999994</v>
      </c>
      <c r="L439" s="70">
        <f>H439*J439*I439</f>
        <v>1010.0999999999999</v>
      </c>
      <c r="M439" s="153">
        <f t="shared" ca="1" si="109"/>
        <v>1.7929990022612485E-3</v>
      </c>
      <c r="O439" s="148"/>
      <c r="R439" s="12"/>
    </row>
    <row r="440" spans="1:18" s="51" customFormat="1" ht="13.5" customHeight="1" outlineLevel="1" x14ac:dyDescent="0.3">
      <c r="A440" s="290">
        <v>0</v>
      </c>
      <c r="B440" s="49"/>
      <c r="C440" s="49"/>
      <c r="D440" s="370" t="s">
        <v>5393</v>
      </c>
      <c r="E440" s="67" t="str">
        <f>VLOOKUP(D440,'03. Insumos'!A:D,2,0)</f>
        <v>MO - RODAPÉ INVERTIDO, COM ACABAMENTO EM PERFIL DE ALUMÍNIO BRANCO 2x2cm</v>
      </c>
      <c r="F440" s="68" t="s">
        <v>3809</v>
      </c>
      <c r="G440" s="68" t="str">
        <f>VLOOKUP(D440,'03. Insumos'!A:F,3,0)</f>
        <v>m</v>
      </c>
      <c r="H440" s="69">
        <v>1</v>
      </c>
      <c r="I440" s="627">
        <f>H438</f>
        <v>26</v>
      </c>
      <c r="J440" s="70">
        <f>IFERROR(IF(K440&lt;&gt;0,K440*$K$5,0),0)</f>
        <v>35</v>
      </c>
      <c r="K440" s="70">
        <f>IF(A440=0,VLOOKUP(D440,'03. Insumos'!A:F,4,0),"")</f>
        <v>35</v>
      </c>
      <c r="L440" s="70">
        <f>H440*J440*I440</f>
        <v>910</v>
      </c>
      <c r="M440" s="153">
        <f t="shared" ca="1" si="109"/>
        <v>1.6153144164515753E-3</v>
      </c>
      <c r="O440" s="148"/>
      <c r="R440" s="12"/>
    </row>
    <row r="441" spans="1:18" s="51" customFormat="1" ht="13.5" customHeight="1" outlineLevel="1" x14ac:dyDescent="0.3">
      <c r="A441" s="290">
        <v>0</v>
      </c>
      <c r="B441" s="49"/>
      <c r="C441" s="49"/>
      <c r="D441" s="370" t="s">
        <v>4311</v>
      </c>
      <c r="E441" s="67" t="str">
        <f>VLOOKUP(D441,'03. Insumos'!A:D,2,0)</f>
        <v>Silicone estrutural</v>
      </c>
      <c r="F441" s="68" t="s">
        <v>5218</v>
      </c>
      <c r="G441" s="68" t="str">
        <f>VLOOKUP(D441,'03. Insumos'!A:F,3,0)</f>
        <v>unid</v>
      </c>
      <c r="H441" s="69">
        <f>ROUNDUP((((H438*0.04*0.01)/0.3)/0.6),0)</f>
        <v>1</v>
      </c>
      <c r="I441" s="69">
        <v>15</v>
      </c>
      <c r="J441" s="70">
        <f>IFERROR(IF(K441&lt;&gt;0,K441*$K$5,0),0)</f>
        <v>34.9</v>
      </c>
      <c r="K441" s="70">
        <f>IF(A441=0,VLOOKUP(D441,'03. Insumos'!A:F,4,0),"")</f>
        <v>34.9</v>
      </c>
      <c r="L441" s="70">
        <f>H441*J441*I441</f>
        <v>523.5</v>
      </c>
      <c r="M441" s="153">
        <f t="shared" ca="1" si="109"/>
        <v>9.2924955715648321E-4</v>
      </c>
      <c r="O441" s="148"/>
      <c r="R441" s="12"/>
    </row>
    <row r="442" spans="1:18" s="51" customFormat="1" ht="13.5" hidden="1" customHeight="1" outlineLevel="1" x14ac:dyDescent="0.3">
      <c r="A442" s="290">
        <v>0</v>
      </c>
      <c r="B442" s="49"/>
      <c r="C442" s="49"/>
      <c r="D442" s="140"/>
      <c r="E442" s="67" t="e">
        <f>VLOOKUP(D442,'03. Insumos'!A:D,2,0)</f>
        <v>#N/A</v>
      </c>
      <c r="F442" s="68" t="s">
        <v>2607</v>
      </c>
      <c r="G442" s="68" t="e">
        <f>VLOOKUP(D442,'03. Insumos'!A:F,3,0)</f>
        <v>#N/A</v>
      </c>
      <c r="H442" s="69"/>
      <c r="I442" s="483">
        <f>ROUNDUP((H438*0.07),0)</f>
        <v>2</v>
      </c>
      <c r="J442" s="70">
        <f>IFERROR(IF(K442&lt;&gt;0,K442*$K$5,0),0)</f>
        <v>0</v>
      </c>
      <c r="K442" s="70" t="e">
        <f>IF(A442=0,VLOOKUP(D442,'03. Insumos'!A:F,4,0),"")</f>
        <v>#N/A</v>
      </c>
      <c r="L442" s="70">
        <f>H442*J442*I442</f>
        <v>0</v>
      </c>
      <c r="M442" s="153">
        <f t="shared" ca="1" si="109"/>
        <v>0</v>
      </c>
      <c r="O442" s="148"/>
      <c r="R442" s="12"/>
    </row>
    <row r="443" spans="1:18" s="51" customFormat="1" ht="13.5" customHeight="1" outlineLevel="1" x14ac:dyDescent="0.3">
      <c r="A443" s="290">
        <v>6</v>
      </c>
      <c r="B443" s="391"/>
      <c r="C443" s="391" t="s">
        <v>2757</v>
      </c>
      <c r="D443" s="606" t="s">
        <v>5489</v>
      </c>
      <c r="E443" s="391"/>
      <c r="F443" s="325"/>
      <c r="G443" s="325" t="s">
        <v>74</v>
      </c>
      <c r="H443" s="326">
        <f>ROUNDUP(56.07/2.4,0)*3</f>
        <v>72</v>
      </c>
      <c r="I443" s="326"/>
      <c r="J443" s="334"/>
      <c r="K443" s="334" t="str">
        <f>IF(A443=0,VLOOKUP(D443,'03. Insumos'!A:F,4,0),"")</f>
        <v/>
      </c>
      <c r="L443" s="334">
        <f>SUM(L444:L446)</f>
        <v>3533</v>
      </c>
      <c r="M443" s="153">
        <f t="shared" ca="1" si="109"/>
        <v>6.2713250915641932E-3</v>
      </c>
      <c r="O443" s="148"/>
      <c r="R443" s="12"/>
    </row>
    <row r="444" spans="1:18" s="51" customFormat="1" ht="13.5" customHeight="1" outlineLevel="1" x14ac:dyDescent="0.3">
      <c r="A444" s="290">
        <v>0</v>
      </c>
      <c r="B444" s="49"/>
      <c r="C444" s="49"/>
      <c r="D444" s="370" t="s">
        <v>2105</v>
      </c>
      <c r="E444" s="67" t="str">
        <f>VLOOKUP(D444,'03. Insumos'!A:D,2,0)</f>
        <v>MAT + MO - Rodapé Santa Luzia branco - 2,40 x 0,15 m</v>
      </c>
      <c r="F444" s="68" t="s">
        <v>3809</v>
      </c>
      <c r="G444" s="68" t="str">
        <f>VLOOKUP(D444,'03. Insumos'!A:F,3,0)</f>
        <v>m</v>
      </c>
      <c r="H444" s="69">
        <v>1</v>
      </c>
      <c r="I444" s="627">
        <f>H443</f>
        <v>72</v>
      </c>
      <c r="J444" s="70">
        <f>IFERROR(IF(K444&lt;&gt;0,K444*$K$5,0),0)</f>
        <v>49.069444444444443</v>
      </c>
      <c r="K444" s="70">
        <f>IF(A444=0,VLOOKUP(D444,'03. Insumos'!A:F,4,0),"")</f>
        <v>49.069444444444443</v>
      </c>
      <c r="L444" s="70">
        <f>H444*J444*I444</f>
        <v>3533</v>
      </c>
      <c r="M444" s="153">
        <f t="shared" ca="1" si="109"/>
        <v>6.2713250915641932E-3</v>
      </c>
      <c r="O444" s="148"/>
      <c r="R444" s="12"/>
    </row>
    <row r="445" spans="1:18" s="51" customFormat="1" ht="13.5" hidden="1" customHeight="1" outlineLevel="1" x14ac:dyDescent="0.3">
      <c r="A445" s="290">
        <v>0</v>
      </c>
      <c r="B445" s="49"/>
      <c r="C445" s="49"/>
      <c r="D445" s="370" t="s">
        <v>4709</v>
      </c>
      <c r="E445" s="67" t="str">
        <f>VLOOKUP(D445,'03. Insumos'!A:D,2,0)</f>
        <v>Mão de obra - execução de rodapé</v>
      </c>
      <c r="F445" s="68" t="s">
        <v>5218</v>
      </c>
      <c r="G445" s="68" t="str">
        <f>VLOOKUP(D445,'03. Insumos'!A:F,3,0)</f>
        <v>m</v>
      </c>
      <c r="H445" s="69"/>
      <c r="I445" s="627">
        <f>H443</f>
        <v>72</v>
      </c>
      <c r="J445" s="70">
        <f>IFERROR(IF(K445&lt;&gt;0,K445*$K$5,0),0)</f>
        <v>35</v>
      </c>
      <c r="K445" s="70">
        <f>IF(A445=0,VLOOKUP(D445,'03. Insumos'!A:F,4,0),"")</f>
        <v>35</v>
      </c>
      <c r="L445" s="70">
        <f>H445*J445*I445</f>
        <v>0</v>
      </c>
      <c r="M445" s="153">
        <f t="shared" ca="1" si="109"/>
        <v>0</v>
      </c>
      <c r="O445" s="148"/>
      <c r="R445" s="12"/>
    </row>
    <row r="446" spans="1:18" s="51" customFormat="1" ht="13.5" hidden="1" customHeight="1" outlineLevel="1" x14ac:dyDescent="0.3">
      <c r="A446" s="290">
        <v>0</v>
      </c>
      <c r="B446" s="49"/>
      <c r="C446" s="49"/>
      <c r="D446" s="370" t="s">
        <v>4713</v>
      </c>
      <c r="E446" s="67" t="str">
        <f>VLOOKUP(D446,'03. Insumos'!A:D,2,0)</f>
        <v>Cola para Rodapes Santa Luzia 1Kg</v>
      </c>
      <c r="F446" s="68" t="s">
        <v>5218</v>
      </c>
      <c r="G446" s="68" t="str">
        <f>VLOOKUP(D446,'03. Insumos'!A:F,3,0)</f>
        <v>Kg</v>
      </c>
      <c r="H446" s="69"/>
      <c r="I446" s="483">
        <v>5</v>
      </c>
      <c r="J446" s="70">
        <f>IFERROR(IF(K446&lt;&gt;0,K446*$K$5,0),0)</f>
        <v>56.99</v>
      </c>
      <c r="K446" s="70">
        <f>IF(A446=0,VLOOKUP(D446,'03. Insumos'!A:F,4,0),"")</f>
        <v>56.99</v>
      </c>
      <c r="L446" s="70">
        <f>H446*J446*I446</f>
        <v>0</v>
      </c>
      <c r="M446" s="153">
        <f t="shared" ca="1" si="109"/>
        <v>0</v>
      </c>
      <c r="O446" s="148"/>
      <c r="R446" s="12"/>
    </row>
    <row r="447" spans="1:18" s="18" customFormat="1" ht="13.5" customHeight="1" x14ac:dyDescent="0.3">
      <c r="A447" s="290">
        <f t="shared" ref="A447:A467" si="112">LEN(C447)</f>
        <v>3</v>
      </c>
      <c r="B447" s="35"/>
      <c r="C447" s="390" t="s">
        <v>324</v>
      </c>
      <c r="D447" s="390" t="s">
        <v>336</v>
      </c>
      <c r="E447" s="390"/>
      <c r="F447" s="323"/>
      <c r="G447" s="678"/>
      <c r="H447" s="324"/>
      <c r="I447" s="324"/>
      <c r="J447" s="333"/>
      <c r="K447" s="333"/>
      <c r="L447" s="333">
        <f>SUMIF(A448:A469,4,L448:L469)</f>
        <v>26453.02</v>
      </c>
      <c r="M447" s="153">
        <f t="shared" ca="1" si="109"/>
        <v>4.695598303811193E-2</v>
      </c>
      <c r="O447" s="148">
        <f>IF(I447&lt;&gt;0,I447*H447*K447,)</f>
        <v>0</v>
      </c>
      <c r="R447" s="12">
        <f>IF(J447&lt;&gt;0,J447/1.03-K447,0)</f>
        <v>0</v>
      </c>
    </row>
    <row r="448" spans="1:18" s="493" customFormat="1" ht="13.5" customHeight="1" outlineLevel="1" x14ac:dyDescent="0.3">
      <c r="A448" s="290">
        <f t="shared" si="112"/>
        <v>4</v>
      </c>
      <c r="B448" s="45"/>
      <c r="C448" s="45" t="s">
        <v>325</v>
      </c>
      <c r="D448" s="45" t="s">
        <v>336</v>
      </c>
      <c r="E448" s="347"/>
      <c r="F448" s="327"/>
      <c r="G448" s="327"/>
      <c r="H448" s="328"/>
      <c r="I448" s="548"/>
      <c r="J448" s="335"/>
      <c r="K448" s="335" t="str">
        <f>IF(A448=0,VLOOKUP(D448,'03. Insumos'!A:F,4,0),"")</f>
        <v/>
      </c>
      <c r="L448" s="335">
        <f>SUMIF(A449:A469,6,L449:L469)</f>
        <v>26453.02</v>
      </c>
      <c r="M448" s="153">
        <f t="shared" ca="1" si="109"/>
        <v>4.695598303811193E-2</v>
      </c>
      <c r="O448" s="512">
        <f>IF(I448&lt;&gt;0,I448*H448*K448,)</f>
        <v>0</v>
      </c>
      <c r="R448" s="487">
        <f>IF(J448&lt;&gt;0,J448/1.03-K448,0)</f>
        <v>0</v>
      </c>
    </row>
    <row r="449" spans="1:18" s="59" customFormat="1" ht="13.5" customHeight="1" outlineLevel="1" x14ac:dyDescent="0.3">
      <c r="A449" s="290">
        <f t="shared" si="112"/>
        <v>6</v>
      </c>
      <c r="B449" s="391"/>
      <c r="C449" s="489" t="s">
        <v>326</v>
      </c>
      <c r="D449" s="606" t="s">
        <v>4834</v>
      </c>
      <c r="E449" s="391"/>
      <c r="F449" s="325"/>
      <c r="G449" s="325"/>
      <c r="H449" s="326"/>
      <c r="I449" s="547"/>
      <c r="J449" s="334"/>
      <c r="K449" s="334" t="str">
        <f>IF(A449=0,VLOOKUP(D449,'03. Insumos'!A:F,4,0),"")</f>
        <v/>
      </c>
      <c r="L449" s="334">
        <f>SUM(L450:L466)</f>
        <v>22133.02</v>
      </c>
      <c r="M449" s="153">
        <f t="shared" ca="1" si="109"/>
        <v>3.9287677236935221E-2</v>
      </c>
      <c r="O449" s="148">
        <f>IF(I449&lt;&gt;0,I449*H449*K449,)</f>
        <v>0</v>
      </c>
      <c r="R449" s="12">
        <f>24335.19/L449</f>
        <v>1.0994970410725693</v>
      </c>
    </row>
    <row r="450" spans="1:18" s="59" customFormat="1" ht="72.599999999999994" outlineLevel="1" x14ac:dyDescent="0.3">
      <c r="A450" s="290">
        <f>LEN(C450)</f>
        <v>0</v>
      </c>
      <c r="B450" s="55"/>
      <c r="C450" s="494"/>
      <c r="D450" s="748" t="s">
        <v>5477</v>
      </c>
      <c r="E450" s="706" t="str">
        <f>VLOOKUP(D450,'03. Insumos'!A:D,2,0)</f>
        <v>Bancada em linear c/ área molhada e seca, duas ilhargas de 4cm, recorte para cooktop, cuba de embutir e monocomando de mesa. Frontispício de 10cm e acabamento em meia esquadria. Dimensões: 161cm x 60cm x 4cm de saia (bancada molhada) + 210cm x 60cm x 4cm de saia (bancada seca) + 138.5x60x10cm (bancada refeições); Ilhargas com H=90cm; Frontispício de 511cm x 10cm x2cm + 138.5cm x 3.5cm x 2cm. Acabamento em Quartzo White</v>
      </c>
      <c r="F450" s="669" t="s">
        <v>5218</v>
      </c>
      <c r="G450" s="669" t="str">
        <f>VLOOKUP(D450,'03. Insumos'!A:F,3,0)</f>
        <v>VB</v>
      </c>
      <c r="H450" s="631">
        <v>1</v>
      </c>
      <c r="I450" s="631">
        <v>1</v>
      </c>
      <c r="J450" s="632">
        <f t="shared" ref="J450:J466" si="113">IFERROR(IF(K450&lt;&gt;0,K450*$K$5,0),0)</f>
        <v>8842.7900000000009</v>
      </c>
      <c r="K450" s="632">
        <f>IF(A450=0,VLOOKUP(D450,'03. Insumos'!A:F,4,0),"")</f>
        <v>8842.7900000000009</v>
      </c>
      <c r="L450" s="632">
        <f t="shared" ref="L450:L466" si="114">H450*J450*I450</f>
        <v>8842.7900000000009</v>
      </c>
      <c r="M450" s="153">
        <f t="shared" ca="1" si="109"/>
        <v>1.56965782073119E-2</v>
      </c>
      <c r="O450" s="148"/>
      <c r="R450" s="12"/>
    </row>
    <row r="451" spans="1:18" s="59" customFormat="1" ht="24.6" outlineLevel="1" x14ac:dyDescent="0.3">
      <c r="A451" s="290">
        <f>LEN(C451)</f>
        <v>0</v>
      </c>
      <c r="B451" s="55"/>
      <c r="C451" s="494"/>
      <c r="D451" s="748" t="s">
        <v>5478</v>
      </c>
      <c r="E451" s="706" t="str">
        <f>VLOOKUP(D451,'03. Insumos'!A:D,2,0)</f>
        <v>Peitoril para janela com pingadeira e balanço de 2cm. Dimensões: 74.50cm x 32cm x 2cm. Acabamento em Mármore Branco Intermediário</v>
      </c>
      <c r="F451" s="669" t="s">
        <v>5218</v>
      </c>
      <c r="G451" s="669" t="str">
        <f>VLOOKUP(D451,'03. Insumos'!A:F,3,0)</f>
        <v>VB</v>
      </c>
      <c r="H451" s="631">
        <v>1</v>
      </c>
      <c r="I451" s="631">
        <v>1</v>
      </c>
      <c r="J451" s="632">
        <f t="shared" si="113"/>
        <v>521</v>
      </c>
      <c r="K451" s="632">
        <f>IF(A451=0,VLOOKUP(D451,'03. Insumos'!A:F,4,0),"")</f>
        <v>521</v>
      </c>
      <c r="L451" s="632">
        <f t="shared" si="114"/>
        <v>521</v>
      </c>
      <c r="M451" s="153">
        <f t="shared" ca="1" si="109"/>
        <v>9.2481188018820964E-4</v>
      </c>
      <c r="O451" s="148"/>
      <c r="R451" s="12"/>
    </row>
    <row r="452" spans="1:18" s="478" customFormat="1" outlineLevel="1" x14ac:dyDescent="0.3">
      <c r="A452" s="290">
        <f>LEN(C452)</f>
        <v>0</v>
      </c>
      <c r="B452" s="494"/>
      <c r="C452" s="494"/>
      <c r="D452" s="748" t="s">
        <v>5479</v>
      </c>
      <c r="E452" s="706" t="str">
        <f>VLOOKUP(D452,'03. Insumos'!A:D,2,0)</f>
        <v>Soleira em Mármore branco intermediário - Dimensões: 74cm x 14cm</v>
      </c>
      <c r="F452" s="669" t="s">
        <v>5218</v>
      </c>
      <c r="G452" s="669" t="str">
        <f>VLOOKUP(D452,'03. Insumos'!A:F,3,0)</f>
        <v>VB</v>
      </c>
      <c r="H452" s="631">
        <v>1</v>
      </c>
      <c r="I452" s="631">
        <v>1</v>
      </c>
      <c r="J452" s="538">
        <f t="shared" si="113"/>
        <v>138.6</v>
      </c>
      <c r="K452" s="538">
        <f>IF(A452=0,VLOOKUP(D452,'03. Insumos'!A:F,4,0),"")</f>
        <v>138.6</v>
      </c>
      <c r="L452" s="538">
        <f t="shared" si="114"/>
        <v>138.6</v>
      </c>
      <c r="M452" s="153">
        <f t="shared" ca="1" si="109"/>
        <v>2.4602481112108611E-4</v>
      </c>
      <c r="O452" s="512"/>
      <c r="R452" s="487"/>
    </row>
    <row r="453" spans="1:18" s="59" customFormat="1" ht="36.6" outlineLevel="1" x14ac:dyDescent="0.3">
      <c r="A453" s="290">
        <f t="shared" ref="A453:A457" si="115">LEN(C453)</f>
        <v>0</v>
      </c>
      <c r="B453" s="55"/>
      <c r="C453" s="494"/>
      <c r="D453" s="748" t="s">
        <v>5480</v>
      </c>
      <c r="E453" s="706" t="str">
        <f>VLOOKUP(D453,'03. Insumos'!A:D,2,0)</f>
        <v>Requadro para Porta de correr P13. Todos os encontros em meia esquadria. Dimensões: 15cm x 210cm x 2cm (x2un) x 15cm x 80cm x 2cm (1un). Acabamento em Quartzo White</v>
      </c>
      <c r="F453" s="669" t="s">
        <v>5218</v>
      </c>
      <c r="G453" s="669" t="str">
        <f>VLOOKUP(D453,'03. Insumos'!A:F,3,0)</f>
        <v>VB</v>
      </c>
      <c r="H453" s="631">
        <v>1</v>
      </c>
      <c r="I453" s="631">
        <v>1</v>
      </c>
      <c r="J453" s="632">
        <f t="shared" si="113"/>
        <v>1050</v>
      </c>
      <c r="K453" s="632">
        <f>IF(A453=0,VLOOKUP(D453,'03. Insumos'!A:F,4,0),"")</f>
        <v>1050</v>
      </c>
      <c r="L453" s="632">
        <f t="shared" si="114"/>
        <v>1050</v>
      </c>
      <c r="M453" s="153">
        <f t="shared" ca="1" si="109"/>
        <v>1.8638243266748946E-3</v>
      </c>
      <c r="O453" s="148"/>
      <c r="R453" s="12"/>
    </row>
    <row r="454" spans="1:18" s="59" customFormat="1" ht="36.6" outlineLevel="1" x14ac:dyDescent="0.3">
      <c r="A454" s="290">
        <f t="shared" si="115"/>
        <v>0</v>
      </c>
      <c r="B454" s="55"/>
      <c r="C454" s="494"/>
      <c r="D454" s="748" t="s">
        <v>5481</v>
      </c>
      <c r="E454" s="706" t="str">
        <f>VLOOKUP(D454,'03. Insumos'!A:D,2,0)</f>
        <v>Bancada com área molhada, frontispício de 30cm e recorte para tanque de embutir. Acabamento em meia esquadria. Dimensões: 60cm x 196.25cm x 4cm. Acabamento em Granito Itaunas</v>
      </c>
      <c r="F454" s="669" t="s">
        <v>5218</v>
      </c>
      <c r="G454" s="669" t="str">
        <f>VLOOKUP(D454,'03. Insumos'!A:F,3,0)</f>
        <v>VB</v>
      </c>
      <c r="H454" s="631">
        <v>1</v>
      </c>
      <c r="I454" s="631">
        <v>1</v>
      </c>
      <c r="J454" s="632">
        <f t="shared" si="113"/>
        <v>1222.9000000000001</v>
      </c>
      <c r="K454" s="632">
        <f>IF(A454=0,VLOOKUP(D454,'03. Insumos'!A:F,4,0),"")</f>
        <v>1222.9000000000001</v>
      </c>
      <c r="L454" s="632">
        <f t="shared" si="114"/>
        <v>1222.9000000000001</v>
      </c>
      <c r="M454" s="153">
        <f t="shared" ca="1" si="109"/>
        <v>2.170734065800694E-3</v>
      </c>
      <c r="O454" s="148"/>
      <c r="R454" s="12"/>
    </row>
    <row r="455" spans="1:18" s="478" customFormat="1" ht="24.6" outlineLevel="1" x14ac:dyDescent="0.3">
      <c r="A455" s="290">
        <f t="shared" si="115"/>
        <v>0</v>
      </c>
      <c r="B455" s="494"/>
      <c r="C455" s="494"/>
      <c r="D455" s="748" t="s">
        <v>5490</v>
      </c>
      <c r="E455" s="706" t="str">
        <f>VLOOKUP(D455,'03. Insumos'!A:D,2,0)</f>
        <v>Peitoril para janela com pingadeira e balanço de 2cm. Dimensões: 196.25cm x 19cm x 2cm. Acabamento em Granito Aqualux</v>
      </c>
      <c r="F455" s="669" t="s">
        <v>5218</v>
      </c>
      <c r="G455" s="669" t="str">
        <f>VLOOKUP(D455,'03. Insumos'!A:F,3,0)</f>
        <v>VB</v>
      </c>
      <c r="H455" s="631">
        <v>1</v>
      </c>
      <c r="I455" s="631">
        <v>1</v>
      </c>
      <c r="J455" s="538">
        <f t="shared" si="113"/>
        <v>236.4</v>
      </c>
      <c r="K455" s="538">
        <f>IF(A455=0,VLOOKUP(D455,'03. Insumos'!A:F,4,0),"")</f>
        <v>236.4</v>
      </c>
      <c r="L455" s="538">
        <f t="shared" si="114"/>
        <v>236.4</v>
      </c>
      <c r="M455" s="153">
        <f t="shared" ca="1" si="109"/>
        <v>4.1962673411994776E-4</v>
      </c>
      <c r="O455" s="512"/>
      <c r="R455" s="487"/>
    </row>
    <row r="456" spans="1:18" s="478" customFormat="1" outlineLevel="1" x14ac:dyDescent="0.3">
      <c r="A456" s="290">
        <f t="shared" si="115"/>
        <v>0</v>
      </c>
      <c r="B456" s="494"/>
      <c r="C456" s="494"/>
      <c r="D456" s="748" t="s">
        <v>5491</v>
      </c>
      <c r="E456" s="706" t="str">
        <f>VLOOKUP(D456,'03. Insumos'!A:D,2,0)</f>
        <v>Tento simples em Nanoprime Dimensões: 120cm x 2cm x 10cm</v>
      </c>
      <c r="F456" s="669" t="s">
        <v>5218</v>
      </c>
      <c r="G456" s="669" t="str">
        <f>VLOOKUP(D456,'03. Insumos'!A:F,3,0)</f>
        <v>VB</v>
      </c>
      <c r="H456" s="631">
        <v>1</v>
      </c>
      <c r="I456" s="631">
        <v>1</v>
      </c>
      <c r="J456" s="538">
        <f t="shared" si="113"/>
        <v>184.8</v>
      </c>
      <c r="K456" s="538">
        <f>IF(A456=0,VLOOKUP(D456,'03. Insumos'!A:F,4,0),"")</f>
        <v>184.8</v>
      </c>
      <c r="L456" s="538">
        <f t="shared" si="114"/>
        <v>184.8</v>
      </c>
      <c r="M456" s="153">
        <f t="shared" ca="1" si="109"/>
        <v>3.280330814947815E-4</v>
      </c>
      <c r="O456" s="512"/>
      <c r="R456" s="487"/>
    </row>
    <row r="457" spans="1:18" s="59" customFormat="1" ht="24.6" outlineLevel="1" x14ac:dyDescent="0.3">
      <c r="A457" s="290">
        <f t="shared" si="115"/>
        <v>0</v>
      </c>
      <c r="B457" s="55"/>
      <c r="C457" s="494"/>
      <c r="D457" s="748" t="s">
        <v>5492</v>
      </c>
      <c r="E457" s="706" t="str">
        <f>VLOOKUP(D457,'03. Insumos'!A:D,2,0)</f>
        <v xml:space="preserve">Peitoril para janela com pingadeira e balanço de 2cm. Dimensões: 74.5cm x 19cm x 2cm. Acabamento em Mármore Branco Intermediário </v>
      </c>
      <c r="F457" s="669" t="s">
        <v>5218</v>
      </c>
      <c r="G457" s="669" t="str">
        <f>VLOOKUP(D457,'03. Insumos'!A:F,3,0)</f>
        <v>VB</v>
      </c>
      <c r="H457" s="631">
        <v>1</v>
      </c>
      <c r="I457" s="631">
        <v>1</v>
      </c>
      <c r="J457" s="632">
        <f t="shared" si="113"/>
        <v>60</v>
      </c>
      <c r="K457" s="632">
        <f>IF(A457=0,VLOOKUP(D457,'03. Insumos'!A:F,4,0),"")</f>
        <v>60</v>
      </c>
      <c r="L457" s="632">
        <f t="shared" si="114"/>
        <v>60</v>
      </c>
      <c r="M457" s="153">
        <f t="shared" ca="1" si="109"/>
        <v>1.0650424723856542E-4</v>
      </c>
      <c r="O457" s="148"/>
      <c r="R457" s="12"/>
    </row>
    <row r="458" spans="1:18" s="59" customFormat="1" ht="24.6" outlineLevel="1" x14ac:dyDescent="0.3">
      <c r="A458" s="290">
        <f>LEN(C458)</f>
        <v>0</v>
      </c>
      <c r="B458" s="55"/>
      <c r="C458" s="494"/>
      <c r="D458" s="748" t="s">
        <v>5493</v>
      </c>
      <c r="E458" s="706" t="str">
        <f>VLOOKUP(D458,'03. Insumos'!A:D,2,0)</f>
        <v>Soleira da porta de correr em pedra similar ao piso da varanda ,80 x ,15 em Bege Bahia</v>
      </c>
      <c r="F458" s="669" t="s">
        <v>5218</v>
      </c>
      <c r="G458" s="669" t="str">
        <f>VLOOKUP(D458,'03. Insumos'!A:F,3,0)</f>
        <v>VB</v>
      </c>
      <c r="H458" s="631">
        <v>1</v>
      </c>
      <c r="I458" s="631">
        <v>1</v>
      </c>
      <c r="J458" s="632">
        <f>IFERROR(IF(K458&lt;&gt;0,K458*$K$5,0),0)</f>
        <v>60</v>
      </c>
      <c r="K458" s="632">
        <f>IF(A458=0,VLOOKUP(D458,'03. Insumos'!A:F,4,0),"")</f>
        <v>60</v>
      </c>
      <c r="L458" s="632">
        <f>H458*J458*I458</f>
        <v>60</v>
      </c>
      <c r="M458" s="153">
        <f t="shared" ca="1" si="109"/>
        <v>1.0650424723856542E-4</v>
      </c>
      <c r="O458" s="148"/>
      <c r="R458" s="12"/>
    </row>
    <row r="459" spans="1:18" s="59" customFormat="1" ht="24.6" outlineLevel="1" x14ac:dyDescent="0.3">
      <c r="A459" s="290">
        <f>LEN(C459)</f>
        <v>0</v>
      </c>
      <c r="B459" s="55"/>
      <c r="C459" s="494"/>
      <c r="D459" s="748" t="s">
        <v>5494</v>
      </c>
      <c r="E459" s="706" t="str">
        <f>VLOOKUP(D459,'03. Insumos'!A:D,2,0)</f>
        <v>Bancada, saia de 5 cm. Dimensões: da Bancada 140cm x 55cm x 2cm. Acabamento Nano Prime</v>
      </c>
      <c r="F459" s="669" t="s">
        <v>5218</v>
      </c>
      <c r="G459" s="669" t="str">
        <f>VLOOKUP(D459,'03. Insumos'!A:F,3,0)</f>
        <v>VB</v>
      </c>
      <c r="H459" s="631">
        <v>1</v>
      </c>
      <c r="I459" s="631">
        <v>1</v>
      </c>
      <c r="J459" s="632">
        <f t="shared" si="113"/>
        <v>1707.55</v>
      </c>
      <c r="K459" s="632">
        <f>IF(A459=0,VLOOKUP(D459,'03. Insumos'!A:F,4,0),"")</f>
        <v>1707.55</v>
      </c>
      <c r="L459" s="632">
        <f t="shared" si="114"/>
        <v>1707.55</v>
      </c>
      <c r="M459" s="153">
        <f t="shared" ca="1" si="109"/>
        <v>3.0310221228702062E-3</v>
      </c>
      <c r="O459" s="148"/>
      <c r="R459" s="12"/>
    </row>
    <row r="460" spans="1:18" s="478" customFormat="1" ht="36.6" outlineLevel="1" x14ac:dyDescent="0.3">
      <c r="A460" s="290">
        <f>LEN(C460)</f>
        <v>0</v>
      </c>
      <c r="B460" s="494"/>
      <c r="C460" s="494"/>
      <c r="D460" s="748" t="s">
        <v>5495</v>
      </c>
      <c r="E460" s="706" t="str">
        <f>VLOOKUP(D460,'03. Insumos'!A:D,2,0)</f>
        <v>Tento triplo em formato de L, acabamento meia esquadria. Dimensões: 96cm x 2cm x 4cm + 96cm x 2cm x 6cm + 96m x 2cm x 6cm e 47cm x 2cm x 4cm + 47cm x 2cm x 4cm + 47m x 2cm x 4cm Acabamento em Mármore Nanoprime</v>
      </c>
      <c r="F460" s="669" t="s">
        <v>5218</v>
      </c>
      <c r="G460" s="669" t="str">
        <f>VLOOKUP(D460,'03. Insumos'!A:F,3,0)</f>
        <v>VB</v>
      </c>
      <c r="H460" s="631">
        <v>1</v>
      </c>
      <c r="I460" s="631">
        <v>1</v>
      </c>
      <c r="J460" s="538">
        <f t="shared" si="113"/>
        <v>314.59999999999997</v>
      </c>
      <c r="K460" s="538">
        <f>IF(A460=0,VLOOKUP(D460,'03. Insumos'!A:F,4,0),"")</f>
        <v>314.59999999999997</v>
      </c>
      <c r="L460" s="538">
        <f t="shared" si="114"/>
        <v>314.59999999999997</v>
      </c>
      <c r="M460" s="153">
        <f t="shared" ca="1" si="109"/>
        <v>5.584372696875446E-4</v>
      </c>
      <c r="O460" s="512"/>
      <c r="R460" s="487"/>
    </row>
    <row r="461" spans="1:18" s="59" customFormat="1" ht="24.6" outlineLevel="1" x14ac:dyDescent="0.3">
      <c r="A461" s="290">
        <f t="shared" si="112"/>
        <v>0</v>
      </c>
      <c r="B461" s="55"/>
      <c r="C461" s="494"/>
      <c r="D461" s="748" t="s">
        <v>5496</v>
      </c>
      <c r="E461" s="706" t="str">
        <f>VLOOKUP(D461,'03. Insumos'!A:D,2,0)</f>
        <v>Peitoril para janela com pingadeira e balanço de 2cm. Dimensões: 74cm x 19cm x 2cm. Acabamento em Mármore Branco Intermediário</v>
      </c>
      <c r="F461" s="669" t="s">
        <v>5218</v>
      </c>
      <c r="G461" s="669" t="str">
        <f>VLOOKUP(D461,'03. Insumos'!A:F,3,0)</f>
        <v>VB</v>
      </c>
      <c r="H461" s="631">
        <v>1</v>
      </c>
      <c r="I461" s="631">
        <v>1</v>
      </c>
      <c r="J461" s="632">
        <f t="shared" si="113"/>
        <v>88.8</v>
      </c>
      <c r="K461" s="632">
        <f>IF(A461=0,VLOOKUP(D461,'03. Insumos'!A:F,4,0),"")</f>
        <v>88.8</v>
      </c>
      <c r="L461" s="632">
        <f t="shared" si="114"/>
        <v>88.8</v>
      </c>
      <c r="M461" s="153">
        <f t="shared" ca="1" si="109"/>
        <v>1.5762628591307681E-4</v>
      </c>
      <c r="O461" s="148"/>
      <c r="R461" s="12"/>
    </row>
    <row r="462" spans="1:18" s="59" customFormat="1" ht="36.6" outlineLevel="1" x14ac:dyDescent="0.3">
      <c r="A462" s="290">
        <f t="shared" si="112"/>
        <v>0</v>
      </c>
      <c r="B462" s="55"/>
      <c r="C462" s="494"/>
      <c r="D462" s="748" t="s">
        <v>5497</v>
      </c>
      <c r="E462" s="706" t="str">
        <f>VLOOKUP(D462,'03. Insumos'!A:D,2,0)</f>
        <v>Bancada 80cm x 55cm x 2cm com 3 furos para torneira e 1 furo para cuba de embutir. Saia com acabamento meia esquadria 1,35 x 0,20. Acabamento em Nanoprime</v>
      </c>
      <c r="F462" s="669" t="s">
        <v>5218</v>
      </c>
      <c r="G462" s="669" t="str">
        <f>VLOOKUP(D462,'03. Insumos'!A:F,3,0)</f>
        <v>VB</v>
      </c>
      <c r="H462" s="631">
        <v>1</v>
      </c>
      <c r="I462" s="631">
        <v>1</v>
      </c>
      <c r="J462" s="632">
        <f t="shared" si="113"/>
        <v>1223.0999999999999</v>
      </c>
      <c r="K462" s="632">
        <f>IF(A462=0,VLOOKUP(D462,'03. Insumos'!A:F,4,0),"")</f>
        <v>1223.0999999999999</v>
      </c>
      <c r="L462" s="632">
        <f t="shared" si="114"/>
        <v>1223.0999999999999</v>
      </c>
      <c r="M462" s="153">
        <f t="shared" ca="1" si="109"/>
        <v>2.1710890799581557E-3</v>
      </c>
      <c r="O462" s="148"/>
      <c r="R462" s="12"/>
    </row>
    <row r="463" spans="1:18" s="478" customFormat="1" ht="24.6" outlineLevel="1" x14ac:dyDescent="0.3">
      <c r="A463" s="290">
        <f t="shared" si="112"/>
        <v>0</v>
      </c>
      <c r="B463" s="494"/>
      <c r="C463" s="494"/>
      <c r="D463" s="748" t="s">
        <v>5498</v>
      </c>
      <c r="E463" s="706" t="str">
        <f>VLOOKUP(D463,'03. Insumos'!A:D,2,0)</f>
        <v>Tento triplo em Nanoprime (Aprovação mediante amostra). Dimensões: 160cm x 2cm x 6cm + 160cm x 2cm x 4cm + 160cm x 2cm x 4cm</v>
      </c>
      <c r="F463" s="669" t="s">
        <v>5218</v>
      </c>
      <c r="G463" s="669" t="str">
        <f>VLOOKUP(D463,'03. Insumos'!A:F,3,0)</f>
        <v>VB</v>
      </c>
      <c r="H463" s="631">
        <v>1</v>
      </c>
      <c r="I463" s="631">
        <v>1</v>
      </c>
      <c r="J463" s="538">
        <f t="shared" si="113"/>
        <v>302.72000000000003</v>
      </c>
      <c r="K463" s="538">
        <f>IF(A463=0,VLOOKUP(D463,'03. Insumos'!A:F,4,0),"")</f>
        <v>302.72000000000003</v>
      </c>
      <c r="L463" s="538">
        <f t="shared" si="114"/>
        <v>302.72000000000003</v>
      </c>
      <c r="M463" s="153">
        <f t="shared" ca="1" si="109"/>
        <v>5.373494287343087E-4</v>
      </c>
      <c r="O463" s="512"/>
      <c r="R463" s="487"/>
    </row>
    <row r="464" spans="1:18" s="478" customFormat="1" ht="36.6" outlineLevel="1" x14ac:dyDescent="0.3">
      <c r="A464" s="290">
        <f t="shared" si="112"/>
        <v>0</v>
      </c>
      <c r="B464" s="494"/>
      <c r="C464" s="494"/>
      <c r="D464" s="748" t="s">
        <v>5499</v>
      </c>
      <c r="E464" s="706" t="str">
        <f>VLOOKUP(D464,'03. Insumos'!A:D,2,0)</f>
        <v>Peitoril para janela com pingadeira e balanço de 2cm. Dimensões: 57cm x 24.5cm x 2cm. Acabamento em
Mármore Branco Intermediário. Acabamento em Nanoprime</v>
      </c>
      <c r="F464" s="669" t="s">
        <v>5218</v>
      </c>
      <c r="G464" s="669" t="str">
        <f>VLOOKUP(D464,'03. Insumos'!A:F,3,0)</f>
        <v>VB</v>
      </c>
      <c r="H464" s="631">
        <v>1</v>
      </c>
      <c r="I464" s="631">
        <v>1</v>
      </c>
      <c r="J464" s="538">
        <f t="shared" si="113"/>
        <v>156.75</v>
      </c>
      <c r="K464" s="538">
        <f>IF(A464=0,VLOOKUP(D464,'03. Insumos'!A:F,4,0),"")</f>
        <v>156.75</v>
      </c>
      <c r="L464" s="538">
        <f t="shared" si="114"/>
        <v>156.75</v>
      </c>
      <c r="M464" s="153">
        <f t="shared" ca="1" si="109"/>
        <v>2.7824234591075213E-4</v>
      </c>
      <c r="O464" s="512"/>
      <c r="R464" s="487"/>
    </row>
    <row r="465" spans="1:18" s="478" customFormat="1" ht="36.6" outlineLevel="1" x14ac:dyDescent="0.3">
      <c r="A465" s="290">
        <f t="shared" si="112"/>
        <v>0</v>
      </c>
      <c r="B465" s="494"/>
      <c r="C465" s="494"/>
      <c r="D465" s="748" t="s">
        <v>5500</v>
      </c>
      <c r="E465" s="706" t="str">
        <f>VLOOKUP(D465,'03. Insumos'!A:D,2,0)</f>
        <v>Bancada em linear c/ área seca, duas ilhargas de 4cm. Frontispício de 10cm e acabamento em meia esquadria. Dimensões: 143cm x 60cm x 4cm; Ilhargas com H=90cm; Frontispício de 10cm.Acabamento em Quartzo White</v>
      </c>
      <c r="F465" s="669" t="s">
        <v>5218</v>
      </c>
      <c r="G465" s="669" t="str">
        <f>VLOOKUP(D465,'03. Insumos'!A:F,3,0)</f>
        <v>VB</v>
      </c>
      <c r="H465" s="631">
        <v>1</v>
      </c>
      <c r="I465" s="631">
        <v>1</v>
      </c>
      <c r="J465" s="538">
        <f t="shared" si="113"/>
        <v>4023.0100000000007</v>
      </c>
      <c r="K465" s="538">
        <f>IF(A465=0,VLOOKUP(D465,'03. Insumos'!A:F,4,0),"")</f>
        <v>4023.0100000000007</v>
      </c>
      <c r="L465" s="538">
        <f t="shared" si="114"/>
        <v>4023.0100000000007</v>
      </c>
      <c r="M465" s="153">
        <f t="shared" ca="1" si="109"/>
        <v>7.1411275280536856E-3</v>
      </c>
      <c r="O465" s="512"/>
      <c r="R465" s="487"/>
    </row>
    <row r="466" spans="1:18" s="478" customFormat="1" ht="13.5" customHeight="1" outlineLevel="1" x14ac:dyDescent="0.3">
      <c r="A466" s="290">
        <f t="shared" si="112"/>
        <v>0</v>
      </c>
      <c r="B466" s="494"/>
      <c r="C466" s="494"/>
      <c r="D466" s="748" t="s">
        <v>5198</v>
      </c>
      <c r="E466" s="67" t="str">
        <f>VLOOKUP(D466,'03. Insumos'!A:D,2,0)</f>
        <v>MO - Assentamento</v>
      </c>
      <c r="F466" s="669" t="s">
        <v>5218</v>
      </c>
      <c r="G466" s="669" t="str">
        <f>VLOOKUP(D466,'03. Insumos'!A:F,3,0)</f>
        <v>vb</v>
      </c>
      <c r="H466" s="631">
        <v>1</v>
      </c>
      <c r="I466" s="631">
        <v>1</v>
      </c>
      <c r="J466" s="538">
        <f t="shared" si="113"/>
        <v>2000</v>
      </c>
      <c r="K466" s="538">
        <f>IF(A466=0,VLOOKUP(D466,'03. Insumos'!A:F,4,0),"")</f>
        <v>2000</v>
      </c>
      <c r="L466" s="538">
        <f t="shared" si="114"/>
        <v>2000</v>
      </c>
      <c r="M466" s="153">
        <f t="shared" ca="1" si="109"/>
        <v>3.550141574618847E-3</v>
      </c>
      <c r="O466" s="512"/>
      <c r="R466" s="487"/>
    </row>
    <row r="467" spans="1:18" s="59" customFormat="1" ht="13.5" customHeight="1" outlineLevel="1" x14ac:dyDescent="0.3">
      <c r="A467" s="290">
        <f t="shared" si="112"/>
        <v>6</v>
      </c>
      <c r="B467" s="391"/>
      <c r="C467" s="489" t="s">
        <v>896</v>
      </c>
      <c r="D467" s="606" t="s">
        <v>5714</v>
      </c>
      <c r="E467" s="391"/>
      <c r="F467" s="325"/>
      <c r="G467" s="325"/>
      <c r="H467" s="326"/>
      <c r="I467" s="547"/>
      <c r="J467" s="334"/>
      <c r="K467" s="334" t="str">
        <f>IF(A467=0,VLOOKUP(D467,'03. Insumos'!A:F,4,0),"")</f>
        <v/>
      </c>
      <c r="L467" s="334">
        <f>SUM(L468:L469)</f>
        <v>4320</v>
      </c>
      <c r="M467" s="153">
        <f t="shared" ca="1" si="109"/>
        <v>7.6683058011767094E-3</v>
      </c>
      <c r="O467" s="148">
        <f>IF(I467&lt;&gt;0,I467*H467*K467,)</f>
        <v>0</v>
      </c>
      <c r="R467" s="12">
        <f>IF(J467&lt;&gt;0,J467/1.03-K467,0)</f>
        <v>0</v>
      </c>
    </row>
    <row r="468" spans="1:18" s="59" customFormat="1" outlineLevel="1" x14ac:dyDescent="0.3">
      <c r="A468" s="290">
        <f>LEN(C468)</f>
        <v>0</v>
      </c>
      <c r="B468" s="55"/>
      <c r="C468" s="494"/>
      <c r="D468" s="370" t="s">
        <v>5501</v>
      </c>
      <c r="E468" s="706" t="str">
        <f>VLOOKUP(D468,'03. Insumos'!A:D,2,0)</f>
        <v>MO + MAT - Polimento de Bege Bahia</v>
      </c>
      <c r="F468" s="68" t="s">
        <v>5218</v>
      </c>
      <c r="G468" s="68" t="str">
        <f>VLOOKUP(D468,'03. Insumos'!A:F,3,0)</f>
        <v>m²</v>
      </c>
      <c r="H468" s="69">
        <v>1</v>
      </c>
      <c r="I468" s="69">
        <v>28</v>
      </c>
      <c r="J468" s="70">
        <f t="shared" ref="J468:J469" si="116">IFERROR(IF(K468&lt;&gt;0,K468*$K$5,0),0)</f>
        <v>65</v>
      </c>
      <c r="K468" s="70">
        <f>IF(A468=0,VLOOKUP(D468,'03. Insumos'!A:F,4,0),"")</f>
        <v>65</v>
      </c>
      <c r="L468" s="70">
        <f t="shared" ref="L468:L469" si="117">H468*J468*I468</f>
        <v>1820</v>
      </c>
      <c r="M468" s="153">
        <f t="shared" ca="1" si="109"/>
        <v>3.2306288329031507E-3</v>
      </c>
      <c r="O468" s="148"/>
      <c r="R468" s="12"/>
    </row>
    <row r="469" spans="1:18" s="59" customFormat="1" outlineLevel="1" x14ac:dyDescent="0.3">
      <c r="A469" s="290">
        <f>LEN(C469)</f>
        <v>0</v>
      </c>
      <c r="B469" s="55"/>
      <c r="C469" s="494"/>
      <c r="D469" s="370" t="s">
        <v>5502</v>
      </c>
      <c r="E469" s="706" t="str">
        <f>VLOOKUP(D469,'03. Insumos'!A:D,2,0)</f>
        <v>MO + MAT - Recomposição de marmore em Bege Bahia</v>
      </c>
      <c r="F469" s="68" t="s">
        <v>5218</v>
      </c>
      <c r="G469" s="68" t="str">
        <f>VLOOKUP(D469,'03. Insumos'!A:F,3,0)</f>
        <v>m²</v>
      </c>
      <c r="H469" s="69">
        <v>1</v>
      </c>
      <c r="I469" s="69">
        <v>5</v>
      </c>
      <c r="J469" s="70">
        <f t="shared" si="116"/>
        <v>500</v>
      </c>
      <c r="K469" s="70">
        <f>IF(A469=0,VLOOKUP(D469,'03. Insumos'!A:F,4,0),"")</f>
        <v>500</v>
      </c>
      <c r="L469" s="70">
        <f t="shared" si="117"/>
        <v>2500</v>
      </c>
      <c r="M469" s="153">
        <f t="shared" ca="1" si="109"/>
        <v>4.4376769682735592E-3</v>
      </c>
      <c r="O469" s="148"/>
      <c r="R469" s="12"/>
    </row>
    <row r="470" spans="1:18" s="18" customFormat="1" x14ac:dyDescent="0.3">
      <c r="A470" s="290">
        <f t="shared" ref="A470:A540" si="118">LEN(C470)</f>
        <v>3</v>
      </c>
      <c r="B470" s="35"/>
      <c r="C470" s="390" t="s">
        <v>84</v>
      </c>
      <c r="D470" s="390" t="s">
        <v>4640</v>
      </c>
      <c r="E470" s="390"/>
      <c r="F470" s="323"/>
      <c r="G470" s="678"/>
      <c r="H470" s="324"/>
      <c r="I470" s="324"/>
      <c r="J470" s="333"/>
      <c r="K470" s="333"/>
      <c r="L470" s="333">
        <f>SUMIF(A471:A514,4,L471:L514)</f>
        <v>80599.720499999996</v>
      </c>
      <c r="M470" s="153">
        <f t="shared" ca="1" si="109"/>
        <v>0.14307020932485448</v>
      </c>
      <c r="O470" s="148">
        <f>IF(I470&lt;&gt;0,I470*H470*K470,)</f>
        <v>0</v>
      </c>
      <c r="R470" s="12">
        <f>IF(J470&lt;&gt;0,J470/1.03-K470,0)</f>
        <v>0</v>
      </c>
    </row>
    <row r="471" spans="1:18" s="18" customFormat="1" ht="13.5" customHeight="1" outlineLevel="1" x14ac:dyDescent="0.3">
      <c r="A471" s="290">
        <f t="shared" si="118"/>
        <v>4</v>
      </c>
      <c r="B471" s="45"/>
      <c r="C471" s="45" t="s">
        <v>327</v>
      </c>
      <c r="D471" s="45" t="s">
        <v>3089</v>
      </c>
      <c r="E471" s="347"/>
      <c r="F471" s="327"/>
      <c r="G471" s="327"/>
      <c r="H471" s="328"/>
      <c r="I471" s="548"/>
      <c r="J471" s="335"/>
      <c r="K471" s="335" t="str">
        <f>IF(A471=0,VLOOKUP(D471,'03. Insumos'!A:F,4,0),"")</f>
        <v/>
      </c>
      <c r="L471" s="335">
        <f>SUMIF(A472:A514,"&gt;="&amp;6,L472:L514)</f>
        <v>80599.720499999996</v>
      </c>
      <c r="M471" s="153">
        <f t="shared" ca="1" si="109"/>
        <v>0.14307020932485448</v>
      </c>
      <c r="O471" s="148">
        <f>IF(I471&lt;&gt;0,I471*H471*K471,)</f>
        <v>0</v>
      </c>
      <c r="R471" s="12">
        <f>IF(J471&lt;&gt;0,J471/1.03-K471,0)</f>
        <v>0</v>
      </c>
    </row>
    <row r="472" spans="1:18" s="59" customFormat="1" ht="13.5" customHeight="1" outlineLevel="1" x14ac:dyDescent="0.3">
      <c r="A472" s="290">
        <f t="shared" si="118"/>
        <v>6</v>
      </c>
      <c r="B472" s="391"/>
      <c r="C472" s="391" t="s">
        <v>280</v>
      </c>
      <c r="D472" s="606" t="s">
        <v>4966</v>
      </c>
      <c r="E472" s="391"/>
      <c r="F472" s="325"/>
      <c r="G472" s="325"/>
      <c r="H472" s="326"/>
      <c r="I472" s="547"/>
      <c r="J472" s="334"/>
      <c r="K472" s="334" t="str">
        <f>IF(A472=0,VLOOKUP(D472,'03. Insumos'!A:F,4,0),"")</f>
        <v/>
      </c>
      <c r="L472" s="334">
        <f>SUMIF(A473:A488,0,L473:L488)</f>
        <v>11894.04</v>
      </c>
      <c r="M472" s="153">
        <f t="shared" ca="1" si="109"/>
        <v>2.1112762947089778E-2</v>
      </c>
      <c r="O472" s="148">
        <f>IF(I472&lt;&gt;0,I472*H472*K472,)</f>
        <v>0</v>
      </c>
      <c r="R472" s="12">
        <f>IF(J472&lt;&gt;0,J472/1.03-K472,0)</f>
        <v>0</v>
      </c>
    </row>
    <row r="473" spans="1:18" s="539" customFormat="1" ht="24" outlineLevel="1" x14ac:dyDescent="0.3">
      <c r="A473" s="535">
        <f t="shared" si="118"/>
        <v>0</v>
      </c>
      <c r="B473" s="537"/>
      <c r="C473" s="537"/>
      <c r="D473" s="707" t="s">
        <v>5503</v>
      </c>
      <c r="E473" s="668" t="str">
        <f>VLOOKUP(D473,'03. Insumos'!A:D,2,0)</f>
        <v>P06 - QTO. SUÍTE / QTO ALICE / QTO 01 - Porta de abrir em madeira lisa com acabamento em pintura branca</v>
      </c>
      <c r="F473" s="670" t="s">
        <v>5218</v>
      </c>
      <c r="G473" s="669" t="str">
        <f>VLOOKUP(D473,'03. Insumos'!A:F,3,0)</f>
        <v>unid</v>
      </c>
      <c r="H473" s="631">
        <v>1</v>
      </c>
      <c r="I473" s="631">
        <v>3</v>
      </c>
      <c r="J473" s="632">
        <f t="shared" ref="J473" si="119">IFERROR(IF(K473&lt;&gt;0,K473*$K$5,0),0)</f>
        <v>1475.7</v>
      </c>
      <c r="K473" s="538">
        <f>IF(A473=0,VLOOKUP(D473,'03. Insumos'!A:F,4,0),"")</f>
        <v>1475.7</v>
      </c>
      <c r="L473" s="538">
        <f>H473*J473*I473</f>
        <v>4427.1000000000004</v>
      </c>
      <c r="M473" s="536">
        <f t="shared" ca="1" si="109"/>
        <v>7.8584158824975495E-3</v>
      </c>
      <c r="O473" s="540">
        <f>IF(I473&lt;&gt;0,I473*H473*K473,)</f>
        <v>4427.1000000000004</v>
      </c>
      <c r="R473" s="541">
        <f>IF(J473&lt;&gt;0,J473/1.03-K473,0)</f>
        <v>-42.981553398058395</v>
      </c>
    </row>
    <row r="474" spans="1:18" s="486" customFormat="1" ht="24.6" outlineLevel="1" x14ac:dyDescent="0.3">
      <c r="A474" s="290">
        <f>LEN(C474)</f>
        <v>0</v>
      </c>
      <c r="B474" s="480"/>
      <c r="C474" s="480"/>
      <c r="D474" s="707" t="s">
        <v>5504</v>
      </c>
      <c r="E474" s="706" t="str">
        <f>VLOOKUP(D474,'03. Insumos'!A:D,2,0)</f>
        <v>P08 - BANHO SOCIAL BANHO MASTER - Porta de abrir em madeira lisa com acabamento em pintura branca</v>
      </c>
      <c r="F474" s="670" t="s">
        <v>5218</v>
      </c>
      <c r="G474" s="68" t="str">
        <f>VLOOKUP(D474,'03. Insumos'!A:F,3,0)</f>
        <v>unid</v>
      </c>
      <c r="H474" s="631">
        <v>1</v>
      </c>
      <c r="I474" s="631">
        <v>2</v>
      </c>
      <c r="J474" s="70">
        <f>IFERROR(IF(K474&lt;&gt;0,K474*$K$5,0),0)</f>
        <v>1471.88</v>
      </c>
      <c r="K474" s="485">
        <f>IF(A474=0,VLOOKUP(D474,'03. Insumos'!A:F,4,0),"")</f>
        <v>1471.88</v>
      </c>
      <c r="L474" s="485">
        <f>H474*J474*I474</f>
        <v>2943.76</v>
      </c>
      <c r="M474" s="153">
        <f t="shared" ca="1" si="109"/>
        <v>5.2253823808499893E-3</v>
      </c>
      <c r="O474" s="512">
        <f>IF(I474&lt;&gt;0,I474*H474*K474,)</f>
        <v>2943.76</v>
      </c>
      <c r="R474" s="487">
        <f>IF(J474&lt;&gt;0,J474/1.03-K474,0)</f>
        <v>-42.870291262135879</v>
      </c>
    </row>
    <row r="475" spans="1:18" s="486" customFormat="1" ht="24.6" outlineLevel="1" x14ac:dyDescent="0.3">
      <c r="A475" s="290">
        <f t="shared" ref="A475" si="120">LEN(C475)</f>
        <v>0</v>
      </c>
      <c r="B475" s="480"/>
      <c r="C475" s="480"/>
      <c r="D475" s="707" t="s">
        <v>5505</v>
      </c>
      <c r="E475" s="706" t="str">
        <f>VLOOKUP(D475,'03. Insumos'!A:D,2,0)</f>
        <v>P09 - HALL SERVIÇO / QUARTO DE SERVIÇO - Porta de abrir em madeira lisa com acabamento em pintura branca</v>
      </c>
      <c r="F475" s="670" t="s">
        <v>5218</v>
      </c>
      <c r="G475" s="68" t="str">
        <f>VLOOKUP(D475,'03. Insumos'!A:F,3,0)</f>
        <v>unid</v>
      </c>
      <c r="H475" s="631">
        <v>1</v>
      </c>
      <c r="I475" s="631">
        <v>2</v>
      </c>
      <c r="J475" s="70">
        <f t="shared" ref="J475" si="121">IFERROR(IF(K475&lt;&gt;0,K475*$K$5,0),0)</f>
        <v>1525.65</v>
      </c>
      <c r="K475" s="485">
        <f>IF(A475=0,VLOOKUP(D475,'03. Insumos'!A:F,4,0),"")</f>
        <v>1525.65</v>
      </c>
      <c r="L475" s="485">
        <f t="shared" ref="L475" si="122">H475*J475*I475</f>
        <v>3051.3</v>
      </c>
      <c r="M475" s="153">
        <f t="shared" ca="1" si="109"/>
        <v>5.4162734933172448E-3</v>
      </c>
      <c r="O475" s="512"/>
      <c r="R475" s="487"/>
    </row>
    <row r="476" spans="1:18" s="539" customFormat="1" ht="24" outlineLevel="1" x14ac:dyDescent="0.3">
      <c r="A476" s="535">
        <f>LEN(C476)</f>
        <v>0</v>
      </c>
      <c r="B476" s="537"/>
      <c r="C476" s="537"/>
      <c r="D476" s="707" t="s">
        <v>5506</v>
      </c>
      <c r="E476" s="668" t="str">
        <f>VLOOKUP(D476,'03. Insumos'!A:D,2,0)</f>
        <v xml:space="preserve">P11 - BANHO SOCIAL / BANHO MASTER - Porta de abrir em madeira lisa com acabamento em pintura branca </v>
      </c>
      <c r="F476" s="670" t="s">
        <v>5218</v>
      </c>
      <c r="G476" s="669" t="str">
        <f>VLOOKUP(D476,'03. Insumos'!A:F,3,0)</f>
        <v>unid</v>
      </c>
      <c r="H476" s="631">
        <v>1</v>
      </c>
      <c r="I476" s="631">
        <v>1</v>
      </c>
      <c r="J476" s="632">
        <f>IFERROR(IF(K476&lt;&gt;0,K476*$K$5,0),0)</f>
        <v>1471.88</v>
      </c>
      <c r="K476" s="538">
        <f>IF(A476=0,VLOOKUP(D476,'03. Insumos'!A:F,4,0),"")</f>
        <v>1471.88</v>
      </c>
      <c r="L476" s="538">
        <f>H476*J476*I476</f>
        <v>1471.88</v>
      </c>
      <c r="M476" s="536">
        <f t="shared" ca="1" si="109"/>
        <v>2.6126911904249947E-3</v>
      </c>
      <c r="O476" s="540"/>
      <c r="R476" s="541"/>
    </row>
    <row r="477" spans="1:18" s="539" customFormat="1" hidden="1" outlineLevel="1" x14ac:dyDescent="0.3">
      <c r="A477" s="535">
        <f t="shared" ref="A477" si="123">LEN(C477)</f>
        <v>0</v>
      </c>
      <c r="B477" s="537"/>
      <c r="C477" s="537"/>
      <c r="D477" s="707"/>
      <c r="E477" s="668" t="e">
        <f>VLOOKUP(D477,'03. Insumos'!A:D,2,0)</f>
        <v>#N/A</v>
      </c>
      <c r="F477" s="670" t="s">
        <v>5218</v>
      </c>
      <c r="G477" s="669" t="e">
        <f>VLOOKUP(D477,'03. Insumos'!A:F,3,0)</f>
        <v>#N/A</v>
      </c>
      <c r="H477" s="631">
        <v>1</v>
      </c>
      <c r="I477" s="631"/>
      <c r="J477" s="632">
        <f t="shared" ref="J477" si="124">IFERROR(IF(K477&lt;&gt;0,K477*$K$5,0),0)</f>
        <v>0</v>
      </c>
      <c r="K477" s="538" t="e">
        <f>IF(A477=0,VLOOKUP(D477,'03. Insumos'!A:F,4,0),"")</f>
        <v>#N/A</v>
      </c>
      <c r="L477" s="538">
        <f>H477*J477*I477</f>
        <v>0</v>
      </c>
      <c r="M477" s="536">
        <f t="shared" ca="1" si="109"/>
        <v>0</v>
      </c>
      <c r="O477" s="540">
        <f>IF(I477&lt;&gt;0,I477*H477*K477,)</f>
        <v>0</v>
      </c>
      <c r="R477" s="541">
        <f>IF(J477&lt;&gt;0,J477/1.03-K477,0)</f>
        <v>0</v>
      </c>
    </row>
    <row r="478" spans="1:18" s="486" customFormat="1" hidden="1" outlineLevel="1" x14ac:dyDescent="0.3">
      <c r="A478" s="290">
        <f>LEN(C478)</f>
        <v>0</v>
      </c>
      <c r="B478" s="480"/>
      <c r="C478" s="480"/>
      <c r="D478" s="707"/>
      <c r="E478" s="706" t="e">
        <f>VLOOKUP(D478,'03. Insumos'!A:D,2,0)</f>
        <v>#N/A</v>
      </c>
      <c r="F478" s="670" t="s">
        <v>5218</v>
      </c>
      <c r="G478" s="68" t="e">
        <f>VLOOKUP(D478,'03. Insumos'!A:F,3,0)</f>
        <v>#N/A</v>
      </c>
      <c r="H478" s="631">
        <v>1</v>
      </c>
      <c r="I478" s="631"/>
      <c r="J478" s="70">
        <f>IFERROR(IF(K478&lt;&gt;0,K478*$K$5,0),0)</f>
        <v>0</v>
      </c>
      <c r="K478" s="485" t="e">
        <f>IF(A478=0,VLOOKUP(D478,'03. Insumos'!A:F,4,0),"")</f>
        <v>#N/A</v>
      </c>
      <c r="L478" s="485">
        <f>H478*J478*I478</f>
        <v>0</v>
      </c>
      <c r="M478" s="153">
        <f t="shared" ca="1" si="109"/>
        <v>0</v>
      </c>
      <c r="O478" s="512">
        <f>IF(I478&lt;&gt;0,I478*H478*K478,)</f>
        <v>0</v>
      </c>
      <c r="R478" s="487">
        <f>IF(J478&lt;&gt;0,J478/1.03-K478,0)</f>
        <v>0</v>
      </c>
    </row>
    <row r="479" spans="1:18" s="486" customFormat="1" hidden="1" outlineLevel="1" x14ac:dyDescent="0.3">
      <c r="A479" s="290">
        <f t="shared" ref="A479" si="125">LEN(C479)</f>
        <v>0</v>
      </c>
      <c r="B479" s="480"/>
      <c r="C479" s="480"/>
      <c r="D479" s="707"/>
      <c r="E479" s="706" t="e">
        <f>VLOOKUP(D479,'03. Insumos'!A:D,2,0)</f>
        <v>#N/A</v>
      </c>
      <c r="F479" s="670" t="s">
        <v>5218</v>
      </c>
      <c r="G479" s="68" t="e">
        <f>VLOOKUP(D479,'03. Insumos'!A:F,3,0)</f>
        <v>#N/A</v>
      </c>
      <c r="H479" s="631">
        <v>1</v>
      </c>
      <c r="I479" s="631"/>
      <c r="J479" s="70">
        <f t="shared" ref="J479" si="126">IFERROR(IF(K479&lt;&gt;0,K479*$K$5,0),0)</f>
        <v>0</v>
      </c>
      <c r="K479" s="485" t="e">
        <f>IF(A479=0,VLOOKUP(D479,'03. Insumos'!A:F,4,0),"")</f>
        <v>#N/A</v>
      </c>
      <c r="L479" s="485">
        <f t="shared" ref="L479" si="127">H479*J479*I479</f>
        <v>0</v>
      </c>
      <c r="M479" s="153">
        <f t="shared" ca="1" si="109"/>
        <v>0</v>
      </c>
      <c r="O479" s="512"/>
      <c r="R479" s="487"/>
    </row>
    <row r="480" spans="1:18" s="539" customFormat="1" hidden="1" outlineLevel="1" x14ac:dyDescent="0.3">
      <c r="A480" s="535">
        <f>LEN(C480)</f>
        <v>0</v>
      </c>
      <c r="B480" s="537"/>
      <c r="C480" s="537"/>
      <c r="D480" s="707"/>
      <c r="E480" s="668" t="e">
        <f>VLOOKUP(D480,'03. Insumos'!A:D,2,0)</f>
        <v>#N/A</v>
      </c>
      <c r="F480" s="670" t="s">
        <v>5218</v>
      </c>
      <c r="G480" s="669" t="e">
        <f>VLOOKUP(D480,'03. Insumos'!A:F,3,0)</f>
        <v>#N/A</v>
      </c>
      <c r="H480" s="631">
        <v>1</v>
      </c>
      <c r="I480" s="631"/>
      <c r="J480" s="632">
        <f>IFERROR(IF(K480&lt;&gt;0,K480*$K$5,0),0)</f>
        <v>0</v>
      </c>
      <c r="K480" s="538" t="e">
        <f>IF(A480=0,VLOOKUP(D480,'03. Insumos'!A:F,4,0),"")</f>
        <v>#N/A</v>
      </c>
      <c r="L480" s="538">
        <f>H480*J480*I480</f>
        <v>0</v>
      </c>
      <c r="M480" s="536">
        <f t="shared" ca="1" si="109"/>
        <v>0</v>
      </c>
      <c r="O480" s="540"/>
      <c r="R480" s="541"/>
    </row>
    <row r="481" spans="1:18" s="539" customFormat="1" hidden="1" outlineLevel="1" x14ac:dyDescent="0.3">
      <c r="A481" s="535">
        <f t="shared" si="118"/>
        <v>0</v>
      </c>
      <c r="B481" s="537"/>
      <c r="C481" s="537"/>
      <c r="D481" s="707"/>
      <c r="E481" s="668" t="e">
        <f>VLOOKUP(D481,'03. Insumos'!A:D,2,0)</f>
        <v>#N/A</v>
      </c>
      <c r="F481" s="670" t="s">
        <v>5218</v>
      </c>
      <c r="G481" s="669" t="e">
        <f>VLOOKUP(D481,'03. Insumos'!A:F,3,0)</f>
        <v>#N/A</v>
      </c>
      <c r="H481" s="631">
        <v>1</v>
      </c>
      <c r="I481" s="631"/>
      <c r="J481" s="632">
        <f t="shared" ref="J481" si="128">IFERROR(IF(K481&lt;&gt;0,K481*$K$5,0),0)</f>
        <v>0</v>
      </c>
      <c r="K481" s="538" t="e">
        <f>IF(A481=0,VLOOKUP(D481,'03. Insumos'!A:F,4,0),"")</f>
        <v>#N/A</v>
      </c>
      <c r="L481" s="538">
        <f>H481*J481*I481</f>
        <v>0</v>
      </c>
      <c r="M481" s="536">
        <f t="shared" ca="1" si="109"/>
        <v>0</v>
      </c>
      <c r="O481" s="540">
        <f>IF(I481&lt;&gt;0,I481*H481*K481,)</f>
        <v>0</v>
      </c>
      <c r="R481" s="541">
        <f>IF(J481&lt;&gt;0,J481/1.03-K481,0)</f>
        <v>0</v>
      </c>
    </row>
    <row r="482" spans="1:18" s="486" customFormat="1" hidden="1" outlineLevel="1" x14ac:dyDescent="0.3">
      <c r="A482" s="290">
        <f>LEN(C482)</f>
        <v>0</v>
      </c>
      <c r="B482" s="480"/>
      <c r="C482" s="480"/>
      <c r="D482" s="707"/>
      <c r="E482" s="706" t="e">
        <f>VLOOKUP(D482,'03. Insumos'!A:D,2,0)</f>
        <v>#N/A</v>
      </c>
      <c r="F482" s="670" t="s">
        <v>5218</v>
      </c>
      <c r="G482" s="68" t="e">
        <f>VLOOKUP(D482,'03. Insumos'!A:F,3,0)</f>
        <v>#N/A</v>
      </c>
      <c r="H482" s="631">
        <v>1</v>
      </c>
      <c r="I482" s="631"/>
      <c r="J482" s="70">
        <f>IFERROR(IF(K482&lt;&gt;0,K482*$K$5,0),0)</f>
        <v>0</v>
      </c>
      <c r="K482" s="485" t="e">
        <f>IF(A482=0,VLOOKUP(D482,'03. Insumos'!A:F,4,0),"")</f>
        <v>#N/A</v>
      </c>
      <c r="L482" s="485">
        <f>H482*J482*I482</f>
        <v>0</v>
      </c>
      <c r="M482" s="153">
        <f t="shared" ca="1" si="109"/>
        <v>0</v>
      </c>
      <c r="O482" s="512">
        <f>IF(I482&lt;&gt;0,I482*H482*K482,)</f>
        <v>0</v>
      </c>
      <c r="R482" s="487">
        <f>IF(J482&lt;&gt;0,J482/1.03-K482,0)</f>
        <v>0</v>
      </c>
    </row>
    <row r="483" spans="1:18" s="486" customFormat="1" hidden="1" outlineLevel="1" x14ac:dyDescent="0.3">
      <c r="A483" s="290">
        <f t="shared" ref="A483" si="129">LEN(C483)</f>
        <v>0</v>
      </c>
      <c r="B483" s="480"/>
      <c r="C483" s="480"/>
      <c r="D483" s="707"/>
      <c r="E483" s="706" t="e">
        <f>VLOOKUP(D483,'03. Insumos'!A:D,2,0)</f>
        <v>#N/A</v>
      </c>
      <c r="F483" s="670" t="s">
        <v>5218</v>
      </c>
      <c r="G483" s="68" t="e">
        <f>VLOOKUP(D483,'03. Insumos'!A:F,3,0)</f>
        <v>#N/A</v>
      </c>
      <c r="H483" s="631">
        <v>1</v>
      </c>
      <c r="I483" s="631"/>
      <c r="J483" s="70">
        <f t="shared" ref="J483" si="130">IFERROR(IF(K483&lt;&gt;0,K483*$K$5,0),0)</f>
        <v>0</v>
      </c>
      <c r="K483" s="485" t="e">
        <f>IF(A483=0,VLOOKUP(D483,'03. Insumos'!A:F,4,0),"")</f>
        <v>#N/A</v>
      </c>
      <c r="L483" s="485">
        <f t="shared" ref="L483" si="131">H483*J483*I483</f>
        <v>0</v>
      </c>
      <c r="M483" s="153">
        <f t="shared" ca="1" si="109"/>
        <v>0</v>
      </c>
      <c r="O483" s="512"/>
      <c r="R483" s="487"/>
    </row>
    <row r="484" spans="1:18" s="539" customFormat="1" hidden="1" outlineLevel="1" x14ac:dyDescent="0.3">
      <c r="A484" s="535">
        <f>LEN(C484)</f>
        <v>0</v>
      </c>
      <c r="B484" s="537"/>
      <c r="C484" s="537"/>
      <c r="D484" s="707"/>
      <c r="E484" s="668" t="e">
        <f>VLOOKUP(D484,'03. Insumos'!A:D,2,0)</f>
        <v>#N/A</v>
      </c>
      <c r="F484" s="670" t="s">
        <v>5218</v>
      </c>
      <c r="G484" s="669" t="e">
        <f>VLOOKUP(D484,'03. Insumos'!A:F,3,0)</f>
        <v>#N/A</v>
      </c>
      <c r="H484" s="631">
        <v>1</v>
      </c>
      <c r="I484" s="631"/>
      <c r="J484" s="632">
        <f>IFERROR(IF(K484&lt;&gt;0,K484*$K$5,0),0)</f>
        <v>0</v>
      </c>
      <c r="K484" s="538" t="e">
        <f>IF(A484=0,VLOOKUP(D484,'03. Insumos'!A:F,4,0),"")</f>
        <v>#N/A</v>
      </c>
      <c r="L484" s="538">
        <f>H484*J484*I484</f>
        <v>0</v>
      </c>
      <c r="M484" s="536">
        <f t="shared" ca="1" si="109"/>
        <v>0</v>
      </c>
      <c r="O484" s="540"/>
      <c r="R484" s="541"/>
    </row>
    <row r="485" spans="1:18" s="539" customFormat="1" hidden="1" outlineLevel="1" x14ac:dyDescent="0.3">
      <c r="A485" s="535">
        <f t="shared" ref="A485" si="132">LEN(C485)</f>
        <v>0</v>
      </c>
      <c r="B485" s="537"/>
      <c r="C485" s="537"/>
      <c r="D485" s="707"/>
      <c r="E485" s="668" t="e">
        <f>VLOOKUP(D485,'03. Insumos'!A:D,2,0)</f>
        <v>#N/A</v>
      </c>
      <c r="F485" s="670" t="s">
        <v>5218</v>
      </c>
      <c r="G485" s="669" t="e">
        <f>VLOOKUP(D485,'03. Insumos'!A:F,3,0)</f>
        <v>#N/A</v>
      </c>
      <c r="H485" s="631">
        <v>1</v>
      </c>
      <c r="I485" s="631"/>
      <c r="J485" s="632">
        <f t="shared" ref="J485" si="133">IFERROR(IF(K485&lt;&gt;0,K485*$K$5,0),0)</f>
        <v>0</v>
      </c>
      <c r="K485" s="538" t="e">
        <f>IF(A485=0,VLOOKUP(D485,'03. Insumos'!A:F,4,0),"")</f>
        <v>#N/A</v>
      </c>
      <c r="L485" s="538">
        <f>H485*J485*I485</f>
        <v>0</v>
      </c>
      <c r="M485" s="536">
        <f t="shared" ca="1" si="109"/>
        <v>0</v>
      </c>
      <c r="O485" s="540">
        <f>IF(I485&lt;&gt;0,I485*H485*K485,)</f>
        <v>0</v>
      </c>
      <c r="R485" s="541">
        <f>IF(J485&lt;&gt;0,J485/1.03-K485,0)</f>
        <v>0</v>
      </c>
    </row>
    <row r="486" spans="1:18" s="486" customFormat="1" hidden="1" outlineLevel="1" x14ac:dyDescent="0.3">
      <c r="A486" s="290">
        <f>LEN(C486)</f>
        <v>0</v>
      </c>
      <c r="B486" s="480"/>
      <c r="C486" s="480"/>
      <c r="D486" s="707"/>
      <c r="E486" s="706" t="e">
        <f>VLOOKUP(D486,'03. Insumos'!A:D,2,0)</f>
        <v>#N/A</v>
      </c>
      <c r="F486" s="670" t="s">
        <v>5218</v>
      </c>
      <c r="G486" s="68" t="e">
        <f>VLOOKUP(D486,'03. Insumos'!A:F,3,0)</f>
        <v>#N/A</v>
      </c>
      <c r="H486" s="631">
        <v>1</v>
      </c>
      <c r="I486" s="631"/>
      <c r="J486" s="70">
        <f>IFERROR(IF(K486&lt;&gt;0,K486*$K$5,0),0)</f>
        <v>0</v>
      </c>
      <c r="K486" s="485" t="e">
        <f>IF(A486=0,VLOOKUP(D486,'03. Insumos'!A:F,4,0),"")</f>
        <v>#N/A</v>
      </c>
      <c r="L486" s="485">
        <f>H486*J486*I486</f>
        <v>0</v>
      </c>
      <c r="M486" s="153">
        <f t="shared" ca="1" si="109"/>
        <v>0</v>
      </c>
      <c r="O486" s="512">
        <f>IF(I486&lt;&gt;0,I486*H486*K486,)</f>
        <v>0</v>
      </c>
      <c r="R486" s="487">
        <f>IF(J486&lt;&gt;0,J486/1.03-K486,0)</f>
        <v>0</v>
      </c>
    </row>
    <row r="487" spans="1:18" s="486" customFormat="1" hidden="1" outlineLevel="1" x14ac:dyDescent="0.3">
      <c r="A487" s="290">
        <f t="shared" ref="A487" si="134">LEN(C487)</f>
        <v>0</v>
      </c>
      <c r="B487" s="480"/>
      <c r="C487" s="480"/>
      <c r="D487" s="707"/>
      <c r="E487" s="706" t="e">
        <f>VLOOKUP(D487,'03. Insumos'!A:D,2,0)</f>
        <v>#N/A</v>
      </c>
      <c r="F487" s="670" t="s">
        <v>5218</v>
      </c>
      <c r="G487" s="68" t="e">
        <f>VLOOKUP(D487,'03. Insumos'!A:F,3,0)</f>
        <v>#N/A</v>
      </c>
      <c r="H487" s="631">
        <v>1</v>
      </c>
      <c r="I487" s="631"/>
      <c r="J487" s="70">
        <f t="shared" ref="J487" si="135">IFERROR(IF(K487&lt;&gt;0,K487*$K$5,0),0)</f>
        <v>0</v>
      </c>
      <c r="K487" s="485" t="e">
        <f>IF(A487=0,VLOOKUP(D487,'03. Insumos'!A:F,4,0),"")</f>
        <v>#N/A</v>
      </c>
      <c r="L487" s="485">
        <f t="shared" ref="L487" si="136">H487*J487*I487</f>
        <v>0</v>
      </c>
      <c r="M487" s="153">
        <f t="shared" ca="1" si="109"/>
        <v>0</v>
      </c>
      <c r="O487" s="512"/>
      <c r="R487" s="487"/>
    </row>
    <row r="488" spans="1:18" s="539" customFormat="1" hidden="1" outlineLevel="1" x14ac:dyDescent="0.3">
      <c r="A488" s="535">
        <f>LEN(C488)</f>
        <v>0</v>
      </c>
      <c r="B488" s="537"/>
      <c r="C488" s="537"/>
      <c r="D488" s="707"/>
      <c r="E488" s="668" t="e">
        <f>VLOOKUP(D488,'03. Insumos'!A:D,2,0)</f>
        <v>#N/A</v>
      </c>
      <c r="F488" s="670" t="s">
        <v>5218</v>
      </c>
      <c r="G488" s="669" t="e">
        <f>VLOOKUP(D488,'03. Insumos'!A:F,3,0)</f>
        <v>#N/A</v>
      </c>
      <c r="H488" s="631">
        <v>1</v>
      </c>
      <c r="I488" s="631"/>
      <c r="J488" s="632">
        <f>IFERROR(IF(K488&lt;&gt;0,K488*$K$5,0),0)</f>
        <v>0</v>
      </c>
      <c r="K488" s="538" t="e">
        <f>IF(A488=0,VLOOKUP(D488,'03. Insumos'!A:F,4,0),"")</f>
        <v>#N/A</v>
      </c>
      <c r="L488" s="538">
        <f>H488*J488*I488</f>
        <v>0</v>
      </c>
      <c r="M488" s="536">
        <f t="shared" ca="1" si="109"/>
        <v>0</v>
      </c>
      <c r="O488" s="540"/>
      <c r="R488" s="541"/>
    </row>
    <row r="489" spans="1:18" s="51" customFormat="1" hidden="1" outlineLevel="1" x14ac:dyDescent="0.3">
      <c r="A489" s="290">
        <f t="shared" si="118"/>
        <v>6</v>
      </c>
      <c r="B489" s="630"/>
      <c r="C489" s="391" t="s">
        <v>366</v>
      </c>
      <c r="D489" s="391" t="s">
        <v>4774</v>
      </c>
      <c r="E489" s="593"/>
      <c r="F489" s="594"/>
      <c r="G489" s="594"/>
      <c r="H489" s="595"/>
      <c r="I489" s="596"/>
      <c r="J489" s="597"/>
      <c r="K489" s="597"/>
      <c r="L489" s="334">
        <f>SUMIF(A490:A492,0,L490:L492)</f>
        <v>0</v>
      </c>
      <c r="M489" s="153">
        <f t="shared" ca="1" si="109"/>
        <v>0</v>
      </c>
      <c r="O489" s="148"/>
      <c r="R489" s="12"/>
    </row>
    <row r="490" spans="1:18" s="51" customFormat="1" hidden="1" outlineLevel="1" x14ac:dyDescent="0.3">
      <c r="A490" s="290">
        <f t="shared" si="118"/>
        <v>0</v>
      </c>
      <c r="B490" s="49"/>
      <c r="C490" s="49"/>
      <c r="D490" s="344" t="s">
        <v>4923</v>
      </c>
      <c r="E490" s="67" t="str">
        <f>VLOOKUP(D490,'03. Insumos'!A:D,2,0)</f>
        <v>Ferragens para esquadriass de madeira (fechadura + drobradiça)</v>
      </c>
      <c r="F490" s="670" t="s">
        <v>5218</v>
      </c>
      <c r="G490" s="68" t="str">
        <f>VLOOKUP(D490,'03. Insumos'!A:F,3,0)</f>
        <v>CJ</v>
      </c>
      <c r="H490" s="69"/>
      <c r="I490" s="57">
        <v>1</v>
      </c>
      <c r="J490" s="70">
        <f>IFERROR(IF(K490&lt;&gt;0,K490*$K$5,0),0)</f>
        <v>330</v>
      </c>
      <c r="K490" s="70">
        <f>IF(A490=0,VLOOKUP(D490,'03. Insumos'!A:F,4,0),"")</f>
        <v>330</v>
      </c>
      <c r="L490" s="538">
        <f>H490*J490*I490</f>
        <v>0</v>
      </c>
      <c r="M490" s="153">
        <f t="shared" ca="1" si="109"/>
        <v>0</v>
      </c>
      <c r="O490" s="148"/>
      <c r="R490" s="12"/>
    </row>
    <row r="491" spans="1:18" s="51" customFormat="1" hidden="1" outlineLevel="1" x14ac:dyDescent="0.3">
      <c r="A491" s="290">
        <f t="shared" si="118"/>
        <v>0</v>
      </c>
      <c r="B491" s="49"/>
      <c r="C491" s="49"/>
      <c r="D491" s="140"/>
      <c r="E491" s="67" t="e">
        <f>VLOOKUP(D491,'03. Insumos'!A:D,2,0)</f>
        <v>#N/A</v>
      </c>
      <c r="F491" s="68"/>
      <c r="G491" s="68" t="e">
        <f>VLOOKUP(D491,'03. Insumos'!A:F,3,0)</f>
        <v>#N/A</v>
      </c>
      <c r="H491" s="69"/>
      <c r="I491" s="69"/>
      <c r="J491" s="70">
        <f>IFERROR(IF(K491&lt;&gt;0,K491*$K$5,0),0)</f>
        <v>0</v>
      </c>
      <c r="K491" s="70" t="e">
        <f>IF(A491=0,VLOOKUP(D491,'03. Insumos'!A:F,4,0),"")</f>
        <v>#N/A</v>
      </c>
      <c r="L491" s="70">
        <f>H491*J491*I491</f>
        <v>0</v>
      </c>
      <c r="M491" s="153">
        <f t="shared" ca="1" si="109"/>
        <v>0</v>
      </c>
      <c r="O491" s="148"/>
      <c r="R491" s="12"/>
    </row>
    <row r="492" spans="1:18" s="51" customFormat="1" hidden="1" outlineLevel="1" x14ac:dyDescent="0.3">
      <c r="A492" s="290">
        <f>LEN(C492)</f>
        <v>0</v>
      </c>
      <c r="B492" s="49"/>
      <c r="C492" s="49"/>
      <c r="D492" s="140"/>
      <c r="E492" s="67" t="e">
        <f>VLOOKUP(D492,'03. Insumos'!A:D,2,0)</f>
        <v>#N/A</v>
      </c>
      <c r="F492" s="68"/>
      <c r="G492" s="68" t="e">
        <f>VLOOKUP(D492,'03. Insumos'!A:F,3,0)</f>
        <v>#N/A</v>
      </c>
      <c r="H492" s="69"/>
      <c r="I492" s="69"/>
      <c r="J492" s="70">
        <f>IFERROR(IF(K492&lt;&gt;0,K492*$K$5,0),0)</f>
        <v>0</v>
      </c>
      <c r="K492" s="70" t="e">
        <f>IF(A492=0,VLOOKUP(D492,'03. Insumos'!A:F,4,0),"")</f>
        <v>#N/A</v>
      </c>
      <c r="L492" s="70">
        <f>H492*J492*I492</f>
        <v>0</v>
      </c>
      <c r="M492" s="153">
        <f t="shared" ca="1" si="109"/>
        <v>0</v>
      </c>
      <c r="O492" s="148"/>
      <c r="R492" s="12"/>
    </row>
    <row r="493" spans="1:18" s="486" customFormat="1" outlineLevel="1" x14ac:dyDescent="0.3">
      <c r="A493" s="290">
        <f t="shared" si="118"/>
        <v>6</v>
      </c>
      <c r="B493" s="391"/>
      <c r="C493" s="391" t="s">
        <v>365</v>
      </c>
      <c r="D493" s="391" t="s">
        <v>5024</v>
      </c>
      <c r="E493" s="391"/>
      <c r="F493" s="325"/>
      <c r="G493" s="671"/>
      <c r="H493" s="326"/>
      <c r="I493" s="547"/>
      <c r="J493" s="334"/>
      <c r="K493" s="334"/>
      <c r="L493" s="334">
        <f>SUMIF(A494:A514,0,L494:L514)</f>
        <v>68705.680500000002</v>
      </c>
      <c r="M493" s="153">
        <f t="shared" ca="1" si="109"/>
        <v>0.12195744637776472</v>
      </c>
      <c r="O493" s="512"/>
      <c r="R493" s="487"/>
    </row>
    <row r="494" spans="1:18" s="539" customFormat="1" ht="35.25" customHeight="1" outlineLevel="1" x14ac:dyDescent="0.3">
      <c r="A494" s="535">
        <f t="shared" si="118"/>
        <v>0</v>
      </c>
      <c r="B494" s="537"/>
      <c r="C494" s="750"/>
      <c r="D494" s="748" t="s">
        <v>5507</v>
      </c>
      <c r="E494" s="668" t="str">
        <f>VLOOKUP(D494,'03. Insumos'!A:D,2,0)</f>
        <v>P02 - SALA DE ESTAR/ VARANDA - Esquadria com 04 Portas de correr em esquadria de alumínio na cor marrom e vidro incolor. Considerar linha existente para execução  - 6 mm</v>
      </c>
      <c r="F494" s="670" t="s">
        <v>5218</v>
      </c>
      <c r="G494" s="669" t="str">
        <f>VLOOKUP(D494,'03. Insumos'!A:F,3,0)</f>
        <v>vb</v>
      </c>
      <c r="H494" s="631">
        <v>1</v>
      </c>
      <c r="I494" s="751">
        <v>1</v>
      </c>
      <c r="J494" s="632">
        <f t="shared" ref="J494:J513" si="137">IFERROR(IF(K494&lt;&gt;0,K494*$K$5,0),0)</f>
        <v>18558</v>
      </c>
      <c r="K494" s="538">
        <f>IF(A494=0,VLOOKUP(D494,'03. Insumos'!A:F,4,0),"")</f>
        <v>18558</v>
      </c>
      <c r="L494" s="538">
        <f t="shared" ref="L494:L514" si="138">H494*J494*I494</f>
        <v>18558</v>
      </c>
      <c r="M494" s="536">
        <f t="shared" ca="1" si="109"/>
        <v>3.2941763670888281E-2</v>
      </c>
      <c r="O494" s="540"/>
      <c r="R494" s="541"/>
    </row>
    <row r="495" spans="1:18" s="539" customFormat="1" ht="24" outlineLevel="1" x14ac:dyDescent="0.3">
      <c r="A495" s="535">
        <f t="shared" si="118"/>
        <v>0</v>
      </c>
      <c r="B495" s="537"/>
      <c r="C495" s="750"/>
      <c r="D495" s="748" t="s">
        <v>5508</v>
      </c>
      <c r="E495" s="668" t="str">
        <f>VLOOKUP(D495,'03. Insumos'!A:D,2,0)</f>
        <v>P07 - QTO. SUÍTE /  VARANDA - Esquadria com 02 Portas de correr  na cor marrom e vidro incolor - 6 mm</v>
      </c>
      <c r="F495" s="670" t="s">
        <v>5218</v>
      </c>
      <c r="G495" s="669" t="str">
        <f>VLOOKUP(D495,'03. Insumos'!A:F,3,0)</f>
        <v>vb</v>
      </c>
      <c r="H495" s="631">
        <v>1</v>
      </c>
      <c r="I495" s="751">
        <v>1</v>
      </c>
      <c r="J495" s="632">
        <f t="shared" si="137"/>
        <v>3680.9999999999995</v>
      </c>
      <c r="K495" s="538">
        <f>IF(A495=0,VLOOKUP(D495,'03. Insumos'!A:F,4,0),"")</f>
        <v>3680.9999999999995</v>
      </c>
      <c r="L495" s="538">
        <f t="shared" si="138"/>
        <v>3680.9999999999995</v>
      </c>
      <c r="M495" s="536">
        <f t="shared" ca="1" si="109"/>
        <v>6.5340355680859876E-3</v>
      </c>
      <c r="O495" s="540"/>
      <c r="R495" s="541"/>
    </row>
    <row r="496" spans="1:18" s="539" customFormat="1" ht="29.25" customHeight="1" outlineLevel="1" x14ac:dyDescent="0.3">
      <c r="A496" s="535">
        <f t="shared" si="118"/>
        <v>0</v>
      </c>
      <c r="B496" s="537"/>
      <c r="C496" s="750"/>
      <c r="D496" s="748" t="s">
        <v>5509</v>
      </c>
      <c r="E496" s="668" t="str">
        <f>VLOOKUP(D496,'03. Insumos'!A:D,2,0)</f>
        <v>P10 - ÁREA SERVIÇO - Porta de correr em blindex leitoso branco e ferragens pretas - 6 mm</v>
      </c>
      <c r="F496" s="670" t="s">
        <v>5218</v>
      </c>
      <c r="G496" s="669" t="str">
        <f>VLOOKUP(D496,'03. Insumos'!A:F,3,0)</f>
        <v>vb</v>
      </c>
      <c r="H496" s="631">
        <v>1</v>
      </c>
      <c r="I496" s="751">
        <v>1</v>
      </c>
      <c r="J496" s="632">
        <f t="shared" si="137"/>
        <v>2238.6</v>
      </c>
      <c r="K496" s="538">
        <f>IF(A496=0,VLOOKUP(D496,'03. Insumos'!A:F,4,0),"")</f>
        <v>2238.6</v>
      </c>
      <c r="L496" s="538">
        <f t="shared" si="138"/>
        <v>2238.6</v>
      </c>
      <c r="M496" s="536">
        <f t="shared" ca="1" si="109"/>
        <v>3.9736734644708754E-3</v>
      </c>
      <c r="O496" s="540"/>
      <c r="R496" s="541"/>
    </row>
    <row r="497" spans="1:18" s="539" customFormat="1" ht="24" customHeight="1" outlineLevel="1" x14ac:dyDescent="0.3">
      <c r="A497" s="535">
        <f t="shared" si="118"/>
        <v>0</v>
      </c>
      <c r="B497" s="537"/>
      <c r="C497" s="750"/>
      <c r="D497" s="748" t="s">
        <v>5510</v>
      </c>
      <c r="E497" s="668" t="str">
        <f>VLOOKUP(D497,'03. Insumos'!A:D,2,0)</f>
        <v>J1 - BANHO MASTER - Janela nova tipo báscula em vidro incolor - 6 mm</v>
      </c>
      <c r="F497" s="670" t="s">
        <v>5218</v>
      </c>
      <c r="G497" s="669" t="str">
        <f>VLOOKUP(D497,'03. Insumos'!A:F,3,0)</f>
        <v>vb</v>
      </c>
      <c r="H497" s="631">
        <v>1</v>
      </c>
      <c r="I497" s="751">
        <v>1</v>
      </c>
      <c r="J497" s="632">
        <f t="shared" si="137"/>
        <v>760.50000000000011</v>
      </c>
      <c r="K497" s="538">
        <f>IF(A497=0,VLOOKUP(D497,'03. Insumos'!A:F,4,0),"")</f>
        <v>760.50000000000011</v>
      </c>
      <c r="L497" s="538">
        <f t="shared" si="138"/>
        <v>760.50000000000011</v>
      </c>
      <c r="M497" s="536">
        <f t="shared" ca="1" si="109"/>
        <v>1.3499413337488169E-3</v>
      </c>
      <c r="O497" s="540"/>
      <c r="R497" s="541"/>
    </row>
    <row r="498" spans="1:18" s="539" customFormat="1" ht="24.75" customHeight="1" outlineLevel="1" x14ac:dyDescent="0.3">
      <c r="A498" s="535">
        <f t="shared" si="118"/>
        <v>0</v>
      </c>
      <c r="B498" s="537"/>
      <c r="C498" s="750"/>
      <c r="D498" s="748" t="s">
        <v>5511</v>
      </c>
      <c r="E498" s="668" t="str">
        <f>VLOOKUP(D498,'03. Insumos'!A:D,2,0)</f>
        <v>J2 - BANHO MASTER - Janela nova tipo báscula em vidro incolor - 6 mm</v>
      </c>
      <c r="F498" s="670" t="s">
        <v>5218</v>
      </c>
      <c r="G498" s="669" t="str">
        <f>VLOOKUP(D498,'03. Insumos'!A:F,3,0)</f>
        <v>vb</v>
      </c>
      <c r="H498" s="631">
        <v>1</v>
      </c>
      <c r="I498" s="751">
        <v>1</v>
      </c>
      <c r="J498" s="632">
        <f t="shared" si="137"/>
        <v>659.1</v>
      </c>
      <c r="K498" s="538">
        <f>IF(A498=0,VLOOKUP(D498,'03. Insumos'!A:F,4,0),"")</f>
        <v>659.1</v>
      </c>
      <c r="L498" s="538">
        <f t="shared" si="138"/>
        <v>659.1</v>
      </c>
      <c r="M498" s="536">
        <f t="shared" ca="1" si="109"/>
        <v>1.1699491559156411E-3</v>
      </c>
      <c r="O498" s="540"/>
      <c r="R498" s="541"/>
    </row>
    <row r="499" spans="1:18" s="539" customFormat="1" outlineLevel="1" x14ac:dyDescent="0.3">
      <c r="A499" s="535">
        <f t="shared" si="118"/>
        <v>0</v>
      </c>
      <c r="B499" s="537"/>
      <c r="C499" s="750"/>
      <c r="D499" s="748" t="s">
        <v>5512</v>
      </c>
      <c r="E499" s="668" t="str">
        <f>VLOOKUP(D499,'03. Insumos'!A:D,2,0)</f>
        <v>J3 - BANHO SOCIAL - Janela nova tipo báscula em vidro incolor - 6 mm</v>
      </c>
      <c r="F499" s="670" t="s">
        <v>5218</v>
      </c>
      <c r="G499" s="669" t="str">
        <f>VLOOKUP(D499,'03. Insumos'!A:F,3,0)</f>
        <v>vb</v>
      </c>
      <c r="H499" s="631">
        <v>1</v>
      </c>
      <c r="I499" s="751">
        <v>1</v>
      </c>
      <c r="J499" s="632">
        <f t="shared" si="137"/>
        <v>490.1</v>
      </c>
      <c r="K499" s="538">
        <f>IF(A499=0,VLOOKUP(D499,'03. Insumos'!A:F,4,0),"")</f>
        <v>490.1</v>
      </c>
      <c r="L499" s="538">
        <f t="shared" si="138"/>
        <v>490.1</v>
      </c>
      <c r="M499" s="536">
        <f t="shared" ca="1" si="109"/>
        <v>8.6996219286034852E-4</v>
      </c>
      <c r="O499" s="540"/>
      <c r="R499" s="541"/>
    </row>
    <row r="500" spans="1:18" s="539" customFormat="1" ht="36" outlineLevel="1" x14ac:dyDescent="0.3">
      <c r="A500" s="535">
        <f t="shared" si="118"/>
        <v>0</v>
      </c>
      <c r="B500" s="537"/>
      <c r="C500" s="750"/>
      <c r="D500" s="748" t="s">
        <v>5513</v>
      </c>
      <c r="E500" s="668" t="str">
        <f>VLOOKUP(D500,'03. Insumos'!A:D,2,0)</f>
        <v>J4 - QUARTO ALICE / QUARTO 01 - Janela nova em esquadria de alumínio branco com duas folhas de correr em vidro incolor  e persina embutida com acionamento manual - 6 mm</v>
      </c>
      <c r="F500" s="670" t="s">
        <v>5218</v>
      </c>
      <c r="G500" s="669" t="str">
        <f>VLOOKUP(D500,'03. Insumos'!A:F,3,0)</f>
        <v>vb</v>
      </c>
      <c r="H500" s="631">
        <v>1</v>
      </c>
      <c r="I500" s="751">
        <v>2</v>
      </c>
      <c r="J500" s="632">
        <f t="shared" si="137"/>
        <v>7581</v>
      </c>
      <c r="K500" s="538">
        <f>IF(A500=0,VLOOKUP(D500,'03. Insumos'!A:F,4,0),"")</f>
        <v>7581</v>
      </c>
      <c r="L500" s="538">
        <f t="shared" si="138"/>
        <v>15162</v>
      </c>
      <c r="M500" s="536">
        <f t="shared" ca="1" si="109"/>
        <v>2.6913623277185481E-2</v>
      </c>
      <c r="O500" s="540"/>
      <c r="R500" s="541"/>
    </row>
    <row r="501" spans="1:18" s="539" customFormat="1" ht="36" outlineLevel="1" x14ac:dyDescent="0.3">
      <c r="A501" s="535">
        <f t="shared" si="118"/>
        <v>0</v>
      </c>
      <c r="B501" s="537"/>
      <c r="C501" s="750"/>
      <c r="D501" s="748" t="s">
        <v>5514</v>
      </c>
      <c r="E501" s="668" t="str">
        <f>VLOOKUP(D501,'03. Insumos'!A:D,2,0)</f>
        <v>J5 - COZINHA - Janela nova em esquadria de alumínio branco com 1 báscula superior, 0.725m x 0.28m, e 1 folha fixa , 0.725m x 0.505m,com vidro incolor - 6 mm</v>
      </c>
      <c r="F501" s="670" t="s">
        <v>5218</v>
      </c>
      <c r="G501" s="669" t="str">
        <f>VLOOKUP(D501,'03. Insumos'!A:F,3,0)</f>
        <v>vb</v>
      </c>
      <c r="H501" s="631">
        <v>1</v>
      </c>
      <c r="I501" s="751">
        <v>1</v>
      </c>
      <c r="J501" s="632">
        <f t="shared" si="137"/>
        <v>739.86249999999995</v>
      </c>
      <c r="K501" s="538">
        <f>IF(A501=0,VLOOKUP(D501,'03. Insumos'!A:F,4,0),"")</f>
        <v>739.86249999999995</v>
      </c>
      <c r="L501" s="538">
        <f t="shared" si="138"/>
        <v>739.86249999999995</v>
      </c>
      <c r="M501" s="536">
        <f t="shared" ca="1" si="109"/>
        <v>1.3133083103757182E-3</v>
      </c>
      <c r="O501" s="540"/>
      <c r="R501" s="541"/>
    </row>
    <row r="502" spans="1:18" s="539" customFormat="1" ht="36" outlineLevel="1" x14ac:dyDescent="0.3">
      <c r="A502" s="535">
        <f t="shared" si="118"/>
        <v>0</v>
      </c>
      <c r="B502" s="537"/>
      <c r="C502" s="750"/>
      <c r="D502" s="748" t="s">
        <v>5515</v>
      </c>
      <c r="E502" s="668" t="str">
        <f>VLOOKUP(D502,'03. Insumos'!A:D,2,0)</f>
        <v>J6 - ÁREA SERVIÇO - Janela nova em esquadria de alumínio branco com 2 básculas superiores, 2 folhas de correr + 2 básculas (permanentemente abertas - considerar altura da báscula com 35cm) - 6 mm</v>
      </c>
      <c r="F502" s="670" t="s">
        <v>5218</v>
      </c>
      <c r="G502" s="669" t="str">
        <f>VLOOKUP(D502,'03. Insumos'!A:F,3,0)</f>
        <v>vb</v>
      </c>
      <c r="H502" s="631">
        <v>1</v>
      </c>
      <c r="I502" s="751">
        <v>1</v>
      </c>
      <c r="J502" s="632">
        <f t="shared" si="137"/>
        <v>4197.8755000000001</v>
      </c>
      <c r="K502" s="538">
        <f>IF(A502=0,VLOOKUP(D502,'03. Insumos'!A:F,4,0),"")</f>
        <v>4197.8755000000001</v>
      </c>
      <c r="L502" s="538">
        <f t="shared" si="138"/>
        <v>4197.8755000000001</v>
      </c>
      <c r="M502" s="536">
        <f t="shared" ca="1" si="109"/>
        <v>7.4515261688119401E-3</v>
      </c>
      <c r="O502" s="540"/>
      <c r="R502" s="541"/>
    </row>
    <row r="503" spans="1:18" s="539" customFormat="1" ht="24" outlineLevel="1" x14ac:dyDescent="0.3">
      <c r="A503" s="535">
        <f t="shared" si="118"/>
        <v>0</v>
      </c>
      <c r="B503" s="537"/>
      <c r="C503" s="750"/>
      <c r="D503" s="748" t="s">
        <v>5516</v>
      </c>
      <c r="E503" s="668" t="str">
        <f>VLOOKUP(D503,'03. Insumos'!A:D,2,0)</f>
        <v>J7 - BANHO SERVIÇO - Janela nova tipo báscula em vidro incolor e ferragens brancas - 6 mm</v>
      </c>
      <c r="F503" s="670" t="s">
        <v>5218</v>
      </c>
      <c r="G503" s="669" t="str">
        <f>VLOOKUP(D503,'03. Insumos'!A:F,3,0)</f>
        <v>vb</v>
      </c>
      <c r="H503" s="631">
        <v>1</v>
      </c>
      <c r="I503" s="751">
        <v>1</v>
      </c>
      <c r="J503" s="632">
        <f t="shared" si="137"/>
        <v>779.64250000000004</v>
      </c>
      <c r="K503" s="538">
        <f>IF(A503=0,VLOOKUP(D503,'03. Insumos'!A:F,4,0),"")</f>
        <v>779.64250000000004</v>
      </c>
      <c r="L503" s="538">
        <f t="shared" si="138"/>
        <v>779.64250000000004</v>
      </c>
      <c r="M503" s="536">
        <f t="shared" ca="1" si="109"/>
        <v>1.3839206262948873E-3</v>
      </c>
      <c r="O503" s="540"/>
      <c r="R503" s="541"/>
    </row>
    <row r="504" spans="1:18" s="539" customFormat="1" outlineLevel="1" x14ac:dyDescent="0.3">
      <c r="A504" s="535">
        <f t="shared" si="118"/>
        <v>0</v>
      </c>
      <c r="B504" s="537"/>
      <c r="C504" s="750"/>
      <c r="D504" s="748" t="s">
        <v>5517</v>
      </c>
      <c r="E504" s="668" t="str">
        <f>VLOOKUP(D504,'03. Insumos'!A:D,2,0)</f>
        <v>E1 - SALA DE ESTAR - ESPELHO</v>
      </c>
      <c r="F504" s="670" t="s">
        <v>5218</v>
      </c>
      <c r="G504" s="669" t="str">
        <f>VLOOKUP(D504,'03. Insumos'!A:F,3,0)</f>
        <v>vb</v>
      </c>
      <c r="H504" s="631">
        <v>1</v>
      </c>
      <c r="I504" s="751">
        <v>1</v>
      </c>
      <c r="J504" s="632">
        <f t="shared" si="137"/>
        <v>3510</v>
      </c>
      <c r="K504" s="538">
        <f>IF(A504=0,VLOOKUP(D504,'03. Insumos'!A:F,4,0),"")</f>
        <v>3510</v>
      </c>
      <c r="L504" s="538">
        <f t="shared" si="138"/>
        <v>3510</v>
      </c>
      <c r="M504" s="536">
        <f t="shared" ca="1" si="109"/>
        <v>6.2304984634560766E-3</v>
      </c>
      <c r="O504" s="540"/>
      <c r="R504" s="541"/>
    </row>
    <row r="505" spans="1:18" s="539" customFormat="1" outlineLevel="1" x14ac:dyDescent="0.3">
      <c r="A505" s="535">
        <f t="shared" si="118"/>
        <v>0</v>
      </c>
      <c r="B505" s="537"/>
      <c r="C505" s="750"/>
      <c r="D505" s="748" t="s">
        <v>5518</v>
      </c>
      <c r="E505" s="668" t="str">
        <f>VLOOKUP(D505,'03. Insumos'!A:D,2,0)</f>
        <v>E2 - LAVABO - Espelho com 90cm de diâmetro (excluso marcenaria)</v>
      </c>
      <c r="F505" s="670" t="s">
        <v>5218</v>
      </c>
      <c r="G505" s="669" t="str">
        <f>VLOOKUP(D505,'03. Insumos'!A:F,3,0)</f>
        <v>vb</v>
      </c>
      <c r="H505" s="631">
        <v>1</v>
      </c>
      <c r="I505" s="751">
        <v>1</v>
      </c>
      <c r="J505" s="632">
        <f t="shared" si="137"/>
        <v>513</v>
      </c>
      <c r="K505" s="538">
        <f>IF(A505=0,VLOOKUP(D505,'03. Insumos'!A:F,4,0),"")</f>
        <v>513</v>
      </c>
      <c r="L505" s="538">
        <f t="shared" si="138"/>
        <v>513</v>
      </c>
      <c r="M505" s="536">
        <f t="shared" ca="1" si="109"/>
        <v>9.1061131388973427E-4</v>
      </c>
      <c r="O505" s="540"/>
      <c r="R505" s="541"/>
    </row>
    <row r="506" spans="1:18" s="539" customFormat="1" outlineLevel="1" x14ac:dyDescent="0.3">
      <c r="A506" s="535">
        <f t="shared" si="118"/>
        <v>0</v>
      </c>
      <c r="B506" s="537"/>
      <c r="C506" s="750"/>
      <c r="D506" s="748" t="s">
        <v>5519</v>
      </c>
      <c r="E506" s="668" t="str">
        <f>VLOOKUP(D506,'03. Insumos'!A:D,2,0)</f>
        <v xml:space="preserve">E3 - BANHEIRO 1 - ESPELHO </v>
      </c>
      <c r="F506" s="670" t="s">
        <v>5218</v>
      </c>
      <c r="G506" s="669" t="str">
        <f>VLOOKUP(D506,'03. Insumos'!A:F,3,0)</f>
        <v>vb</v>
      </c>
      <c r="H506" s="631">
        <v>1</v>
      </c>
      <c r="I506" s="751">
        <v>1</v>
      </c>
      <c r="J506" s="632">
        <f t="shared" si="137"/>
        <v>849</v>
      </c>
      <c r="K506" s="538">
        <f>IF(A506=0,VLOOKUP(D506,'03. Insumos'!A:F,4,0),"")</f>
        <v>849</v>
      </c>
      <c r="L506" s="538">
        <f t="shared" si="138"/>
        <v>849</v>
      </c>
      <c r="M506" s="536">
        <f t="shared" ca="1" si="109"/>
        <v>1.5070350984257006E-3</v>
      </c>
      <c r="O506" s="540"/>
      <c r="R506" s="541"/>
    </row>
    <row r="507" spans="1:18" s="539" customFormat="1" outlineLevel="1" x14ac:dyDescent="0.3">
      <c r="A507" s="535">
        <f t="shared" si="118"/>
        <v>0</v>
      </c>
      <c r="B507" s="537"/>
      <c r="C507" s="750"/>
      <c r="D507" s="748" t="s">
        <v>5520</v>
      </c>
      <c r="E507" s="668" t="str">
        <f>VLOOKUP(D507,'03. Insumos'!A:D,2,0)</f>
        <v>E4 - BANHEIRO MASTER - ESPELHO</v>
      </c>
      <c r="F507" s="670" t="s">
        <v>5218</v>
      </c>
      <c r="G507" s="669" t="str">
        <f>VLOOKUP(D507,'03. Insumos'!A:F,3,0)</f>
        <v>vb</v>
      </c>
      <c r="H507" s="631">
        <v>1</v>
      </c>
      <c r="I507" s="751">
        <v>1</v>
      </c>
      <c r="J507" s="632">
        <f t="shared" si="137"/>
        <v>789</v>
      </c>
      <c r="K507" s="538">
        <f>IF(A507=0,VLOOKUP(D507,'03. Insumos'!A:F,4,0),"")</f>
        <v>789</v>
      </c>
      <c r="L507" s="538">
        <f t="shared" si="138"/>
        <v>789</v>
      </c>
      <c r="M507" s="536">
        <f t="shared" ca="1" si="109"/>
        <v>1.4005308511871352E-3</v>
      </c>
      <c r="O507" s="540"/>
      <c r="R507" s="541"/>
    </row>
    <row r="508" spans="1:18" s="539" customFormat="1" outlineLevel="1" x14ac:dyDescent="0.3">
      <c r="A508" s="535">
        <f t="shared" si="118"/>
        <v>0</v>
      </c>
      <c r="B508" s="537"/>
      <c r="C508" s="750"/>
      <c r="D508" s="748" t="s">
        <v>5521</v>
      </c>
      <c r="E508" s="668" t="str">
        <f>VLOOKUP(D508,'03. Insumos'!A:D,2,0)</f>
        <v>E5 - BANHEIRO DE SERVIÇO - ESPELHO</v>
      </c>
      <c r="F508" s="670" t="s">
        <v>5218</v>
      </c>
      <c r="G508" s="669" t="str">
        <f>VLOOKUP(D508,'03. Insumos'!A:F,3,0)</f>
        <v>vb</v>
      </c>
      <c r="H508" s="631">
        <v>1</v>
      </c>
      <c r="I508" s="751">
        <v>1</v>
      </c>
      <c r="J508" s="632">
        <f t="shared" si="137"/>
        <v>228</v>
      </c>
      <c r="K508" s="538">
        <f>IF(A508=0,VLOOKUP(D508,'03. Insumos'!A:F,4,0),"")</f>
        <v>228</v>
      </c>
      <c r="L508" s="538">
        <f t="shared" si="138"/>
        <v>228</v>
      </c>
      <c r="M508" s="536">
        <f t="shared" ca="1" si="109"/>
        <v>4.0471613950654857E-4</v>
      </c>
      <c r="O508" s="540"/>
      <c r="R508" s="541"/>
    </row>
    <row r="509" spans="1:18" s="539" customFormat="1" ht="36" outlineLevel="1" x14ac:dyDescent="0.3">
      <c r="A509" s="535">
        <f t="shared" si="118"/>
        <v>0</v>
      </c>
      <c r="B509" s="537"/>
      <c r="C509" s="750"/>
      <c r="D509" s="707" t="s">
        <v>5522</v>
      </c>
      <c r="E509" s="668" t="str">
        <f>VLOOKUP(D509,'03. Insumos'!A:D,2,0)</f>
        <v>B1 - Banheiro 1 - Box com 1 folha fixa, 1 folha de correr.  Dimensões: 70cm x 200cm + 80cm
x200cm</v>
      </c>
      <c r="F509" s="670" t="s">
        <v>5218</v>
      </c>
      <c r="G509" s="669" t="str">
        <f>VLOOKUP(D509,'03. Insumos'!A:F,3,0)</f>
        <v>vb</v>
      </c>
      <c r="H509" s="631">
        <v>1</v>
      </c>
      <c r="I509" s="751">
        <v>1</v>
      </c>
      <c r="J509" s="632">
        <f t="shared" si="137"/>
        <v>3850</v>
      </c>
      <c r="K509" s="538">
        <f>IF(A509=0,VLOOKUP(D509,'03. Insumos'!A:F,4,0),"")</f>
        <v>3850</v>
      </c>
      <c r="L509" s="538">
        <f t="shared" si="138"/>
        <v>3850</v>
      </c>
      <c r="M509" s="536">
        <f t="shared" ca="1" si="109"/>
        <v>6.8340225311412806E-3</v>
      </c>
      <c r="O509" s="540"/>
      <c r="R509" s="541"/>
    </row>
    <row r="510" spans="1:18" s="539" customFormat="1" ht="24" outlineLevel="1" x14ac:dyDescent="0.3">
      <c r="A510" s="535">
        <f t="shared" si="118"/>
        <v>0</v>
      </c>
      <c r="B510" s="537"/>
      <c r="C510" s="750"/>
      <c r="D510" s="707" t="s">
        <v>5523</v>
      </c>
      <c r="E510" s="668" t="str">
        <f>VLOOKUP(D510,'03. Insumos'!A:D,2,0)</f>
        <v>B2 - BANHEIRO MASTER - Box com 2 folhas fixa, 1 folha de correr. Ferragens cromadas. Dimensões: 30cm x 200cm (2un) + 60cm x200cm</v>
      </c>
      <c r="F510" s="670" t="s">
        <v>5218</v>
      </c>
      <c r="G510" s="669" t="str">
        <f>VLOOKUP(D510,'03. Insumos'!A:F,3,0)</f>
        <v>vb</v>
      </c>
      <c r="H510" s="631">
        <v>1</v>
      </c>
      <c r="I510" s="751">
        <v>1</v>
      </c>
      <c r="J510" s="632">
        <f t="shared" si="137"/>
        <v>3600</v>
      </c>
      <c r="K510" s="538">
        <f>IF(A510=0,VLOOKUP(D510,'03. Insumos'!A:F,4,0),"")</f>
        <v>3600</v>
      </c>
      <c r="L510" s="538">
        <f t="shared" si="138"/>
        <v>3600</v>
      </c>
      <c r="M510" s="536">
        <f t="shared" ca="1" si="109"/>
        <v>6.390254834313925E-3</v>
      </c>
      <c r="O510" s="540"/>
      <c r="R510" s="541"/>
    </row>
    <row r="511" spans="1:18" s="539" customFormat="1" ht="24" outlineLevel="1" x14ac:dyDescent="0.3">
      <c r="A511" s="535">
        <f t="shared" si="118"/>
        <v>0</v>
      </c>
      <c r="B511" s="537"/>
      <c r="C511" s="750"/>
      <c r="D511" s="707" t="s">
        <v>5524</v>
      </c>
      <c r="E511" s="668" t="str">
        <f>VLOOKUP(D511,'03. Insumos'!A:D,2,0)</f>
        <v>B3 - BANHEIRO DE SERVIÇO - Box com 1 folha fixa, 1 folha de abrir.  Dimensões: 60cm x 200cm + 60cm x200cm</v>
      </c>
      <c r="F511" s="670" t="s">
        <v>5218</v>
      </c>
      <c r="G511" s="669" t="str">
        <f>VLOOKUP(D511,'03. Insumos'!A:F,3,0)</f>
        <v>vb</v>
      </c>
      <c r="H511" s="631">
        <v>1</v>
      </c>
      <c r="I511" s="751">
        <v>1</v>
      </c>
      <c r="J511" s="632">
        <f t="shared" si="137"/>
        <v>3600</v>
      </c>
      <c r="K511" s="538">
        <f>IF(A511=0,VLOOKUP(D511,'03. Insumos'!A:F,4,0),"")</f>
        <v>3600</v>
      </c>
      <c r="L511" s="538">
        <f t="shared" si="138"/>
        <v>3600</v>
      </c>
      <c r="M511" s="536">
        <f t="shared" ca="1" si="109"/>
        <v>6.390254834313925E-3</v>
      </c>
      <c r="O511" s="540"/>
      <c r="R511" s="541"/>
    </row>
    <row r="512" spans="1:18" s="539" customFormat="1" outlineLevel="1" x14ac:dyDescent="0.3">
      <c r="A512" s="535">
        <f t="shared" si="118"/>
        <v>0</v>
      </c>
      <c r="B512" s="537"/>
      <c r="C512" s="750"/>
      <c r="D512" s="707" t="s">
        <v>5578</v>
      </c>
      <c r="E512" s="670" t="str">
        <f>VLOOKUP(D512,'03. Insumos'!A:D,2,0)</f>
        <v xml:space="preserve">MAT + MO - Troca do Vidro da Varanda em  Laminado incolor de 8mm </v>
      </c>
      <c r="F512" s="670" t="s">
        <v>5218</v>
      </c>
      <c r="G512" s="669" t="str">
        <f>VLOOKUP(D512,'03. Insumos'!A:F,3,0)</f>
        <v>vb</v>
      </c>
      <c r="H512" s="631">
        <v>1</v>
      </c>
      <c r="I512" s="751">
        <v>1</v>
      </c>
      <c r="J512" s="632">
        <f t="shared" si="137"/>
        <v>4500</v>
      </c>
      <c r="K512" s="538">
        <f>IF(A512=0,VLOOKUP(D512,'03. Insumos'!A:F,4,0),"")</f>
        <v>4500</v>
      </c>
      <c r="L512" s="538">
        <f t="shared" si="138"/>
        <v>4500</v>
      </c>
      <c r="M512" s="536">
        <f t="shared" ref="M512:M617" ca="1" si="139">L512/$L$7</f>
        <v>7.9878185428924053E-3</v>
      </c>
      <c r="O512" s="540"/>
      <c r="R512" s="541"/>
    </row>
    <row r="513" spans="1:20" s="486" customFormat="1" hidden="1" outlineLevel="1" x14ac:dyDescent="0.3">
      <c r="A513" s="290">
        <f t="shared" si="118"/>
        <v>0</v>
      </c>
      <c r="B513" s="480"/>
      <c r="C513" s="494"/>
      <c r="D513" s="140"/>
      <c r="E513" s="67" t="e">
        <f>VLOOKUP(D513,'03. Insumos'!A:D,2,0)</f>
        <v>#N/A</v>
      </c>
      <c r="F513" s="670" t="s">
        <v>5218</v>
      </c>
      <c r="G513" s="68" t="e">
        <f>VLOOKUP(D513,'03. Insumos'!A:F,3,0)</f>
        <v>#N/A</v>
      </c>
      <c r="H513" s="69"/>
      <c r="I513" s="483"/>
      <c r="J513" s="70">
        <f t="shared" si="137"/>
        <v>0</v>
      </c>
      <c r="K513" s="485" t="e">
        <f>IF(A513=0,VLOOKUP(D513,'03. Insumos'!A:F,4,0),"")</f>
        <v>#N/A</v>
      </c>
      <c r="L513" s="485">
        <f t="shared" si="138"/>
        <v>0</v>
      </c>
      <c r="M513" s="153">
        <f t="shared" ca="1" si="139"/>
        <v>0</v>
      </c>
      <c r="O513" s="512"/>
      <c r="R513" s="487"/>
    </row>
    <row r="514" spans="1:20" s="486" customFormat="1" hidden="1" outlineLevel="1" x14ac:dyDescent="0.3">
      <c r="A514" s="290">
        <f t="shared" si="118"/>
        <v>0</v>
      </c>
      <c r="B514" s="480"/>
      <c r="C514" s="494"/>
      <c r="D514" s="140"/>
      <c r="E514" s="67" t="e">
        <f>VLOOKUP(D514,'03. Insumos'!A:D,2,0)</f>
        <v>#N/A</v>
      </c>
      <c r="F514" s="670" t="s">
        <v>5218</v>
      </c>
      <c r="G514" s="68" t="e">
        <f>VLOOKUP(D514,'03. Insumos'!A:F,3,0)</f>
        <v>#N/A</v>
      </c>
      <c r="H514" s="69"/>
      <c r="I514" s="483">
        <f>SUM(I494:I498)</f>
        <v>5</v>
      </c>
      <c r="J514" s="70"/>
      <c r="K514" s="485" t="e">
        <f>IF(A514=0,VLOOKUP(D514,'03. Insumos'!A:F,4,0),"")</f>
        <v>#N/A</v>
      </c>
      <c r="L514" s="485">
        <f t="shared" si="138"/>
        <v>0</v>
      </c>
      <c r="M514" s="153">
        <f t="shared" ca="1" si="139"/>
        <v>0</v>
      </c>
      <c r="O514" s="512"/>
      <c r="R514" s="487"/>
    </row>
    <row r="515" spans="1:20" s="18" customFormat="1" hidden="1" x14ac:dyDescent="0.3">
      <c r="A515" s="290">
        <f t="shared" si="118"/>
        <v>3</v>
      </c>
      <c r="B515" s="35"/>
      <c r="C515" s="390" t="s">
        <v>328</v>
      </c>
      <c r="D515" s="390" t="s">
        <v>3001</v>
      </c>
      <c r="E515" s="390"/>
      <c r="F515" s="323"/>
      <c r="G515" s="323"/>
      <c r="H515" s="324"/>
      <c r="I515" s="324"/>
      <c r="J515" s="333"/>
      <c r="K515" s="333"/>
      <c r="L515" s="333">
        <f>SUMIF(A516:A520,4,L516:L520)</f>
        <v>0</v>
      </c>
      <c r="M515" s="153">
        <f t="shared" ca="1" si="139"/>
        <v>0</v>
      </c>
      <c r="O515" s="148">
        <f t="shared" ref="O515:O536" si="140">IF(I515&lt;&gt;0,I515*H515*K515,)</f>
        <v>0</v>
      </c>
      <c r="R515" s="12">
        <f t="shared" ref="R515:R536" si="141">IF(J515&lt;&gt;0,J515/1.03-K515,0)</f>
        <v>0</v>
      </c>
    </row>
    <row r="516" spans="1:20" s="18" customFormat="1" hidden="1" outlineLevel="1" x14ac:dyDescent="0.3">
      <c r="A516" s="290">
        <f t="shared" si="118"/>
        <v>4</v>
      </c>
      <c r="B516" s="45"/>
      <c r="C516" s="327" t="s">
        <v>329</v>
      </c>
      <c r="D516" s="327" t="s">
        <v>3001</v>
      </c>
      <c r="E516" s="327"/>
      <c r="F516" s="327"/>
      <c r="G516" s="327"/>
      <c r="H516" s="328"/>
      <c r="I516" s="548"/>
      <c r="J516" s="335"/>
      <c r="K516" s="335" t="str">
        <f>IF(A516=0,VLOOKUP(D516,'03. Insumos'!A:F,4,0),"")</f>
        <v/>
      </c>
      <c r="L516" s="335">
        <f>SUMIF(A517:A520,6,L517:L520)</f>
        <v>0</v>
      </c>
      <c r="M516" s="153">
        <f t="shared" ca="1" si="139"/>
        <v>0</v>
      </c>
      <c r="O516" s="148">
        <f t="shared" si="140"/>
        <v>0</v>
      </c>
      <c r="R516" s="12">
        <f t="shared" si="141"/>
        <v>0</v>
      </c>
    </row>
    <row r="517" spans="1:20" s="478" customFormat="1" hidden="1" outlineLevel="1" x14ac:dyDescent="0.3">
      <c r="A517" s="290">
        <f t="shared" si="118"/>
        <v>6</v>
      </c>
      <c r="B517" s="489"/>
      <c r="C517" s="391" t="s">
        <v>330</v>
      </c>
      <c r="D517" s="606" t="s">
        <v>4974</v>
      </c>
      <c r="E517" s="391"/>
      <c r="F517" s="490"/>
      <c r="G517" s="490"/>
      <c r="H517" s="491"/>
      <c r="I517" s="549"/>
      <c r="J517" s="492"/>
      <c r="K517" s="492" t="str">
        <f>IF(A517=0,VLOOKUP(D517,'03. Insumos'!A:F,4,0),"")</f>
        <v/>
      </c>
      <c r="L517" s="492">
        <f>SUMIF(A518,0,L518)</f>
        <v>0</v>
      </c>
      <c r="M517" s="153">
        <f t="shared" ca="1" si="139"/>
        <v>0</v>
      </c>
      <c r="O517" s="512">
        <f t="shared" si="140"/>
        <v>0</v>
      </c>
      <c r="R517" s="487">
        <f t="shared" si="141"/>
        <v>0</v>
      </c>
    </row>
    <row r="518" spans="1:20" s="532" customFormat="1" hidden="1" outlineLevel="1" x14ac:dyDescent="0.3">
      <c r="A518" s="290">
        <f t="shared" si="118"/>
        <v>0</v>
      </c>
      <c r="B518" s="530"/>
      <c r="C518" s="30"/>
      <c r="D518" s="140" t="s">
        <v>4887</v>
      </c>
      <c r="E518" s="30" t="str">
        <f>VLOOKUP(D518,'03. Insumos'!A:D,2,0)</f>
        <v>Verba para acréscimo de telhado - estimativa</v>
      </c>
      <c r="F518" s="531" t="s">
        <v>2599</v>
      </c>
      <c r="G518" s="482" t="str">
        <f>VLOOKUP(D518,'03. Insumos'!A:F,3,0)</f>
        <v>m²</v>
      </c>
      <c r="H518" s="483">
        <f>G517</f>
        <v>0</v>
      </c>
      <c r="I518" s="483">
        <v>1</v>
      </c>
      <c r="J518" s="519">
        <f>IFERROR(IF(K518&lt;&gt;0,K518*$K$5,0),0)</f>
        <v>400</v>
      </c>
      <c r="K518" s="519">
        <f>IF(A518=0,VLOOKUP(D518,'03. Insumos'!A:F,4,0),"")</f>
        <v>400</v>
      </c>
      <c r="L518" s="519">
        <f>H518*J518*I518</f>
        <v>0</v>
      </c>
      <c r="M518" s="520">
        <f t="shared" ca="1" si="139"/>
        <v>0</v>
      </c>
      <c r="O518" s="512">
        <f t="shared" si="140"/>
        <v>0</v>
      </c>
      <c r="R518" s="487">
        <f t="shared" si="141"/>
        <v>-11.650485436893234</v>
      </c>
    </row>
    <row r="519" spans="1:20" s="478" customFormat="1" hidden="1" outlineLevel="1" x14ac:dyDescent="0.3">
      <c r="A519" s="290">
        <f t="shared" si="118"/>
        <v>6</v>
      </c>
      <c r="B519" s="489"/>
      <c r="C519" s="391" t="s">
        <v>330</v>
      </c>
      <c r="D519" s="606" t="s">
        <v>4976</v>
      </c>
      <c r="E519" s="391"/>
      <c r="F519" s="490"/>
      <c r="G519" s="490"/>
      <c r="H519" s="491"/>
      <c r="I519" s="549"/>
      <c r="J519" s="492"/>
      <c r="K519" s="492" t="str">
        <f>IF(A519=0,VLOOKUP(D519,'03. Insumos'!A:F,4,0),"")</f>
        <v/>
      </c>
      <c r="L519" s="492">
        <f>SUMIF(A520,0,L520)</f>
        <v>0</v>
      </c>
      <c r="M519" s="153">
        <f t="shared" ca="1" si="139"/>
        <v>0</v>
      </c>
      <c r="O519" s="512">
        <f t="shared" si="140"/>
        <v>0</v>
      </c>
      <c r="R519" s="487">
        <f t="shared" si="141"/>
        <v>0</v>
      </c>
    </row>
    <row r="520" spans="1:20" s="532" customFormat="1" hidden="1" outlineLevel="1" x14ac:dyDescent="0.3">
      <c r="A520" s="290">
        <f t="shared" si="118"/>
        <v>0</v>
      </c>
      <c r="B520" s="530"/>
      <c r="C520" s="30"/>
      <c r="D520" s="140"/>
      <c r="E520" s="30" t="e">
        <f>VLOOKUP(D520,'03. Insumos'!A:D,2,0)</f>
        <v>#N/A</v>
      </c>
      <c r="F520" s="531" t="s">
        <v>2599</v>
      </c>
      <c r="G520" s="482" t="e">
        <f>VLOOKUP(D520,'03. Insumos'!A:F,3,0)</f>
        <v>#N/A</v>
      </c>
      <c r="H520" s="483"/>
      <c r="I520" s="484"/>
      <c r="J520" s="519">
        <f>IFERROR(IF(K520&lt;&gt;0,K520*$K$5,0),0)</f>
        <v>0</v>
      </c>
      <c r="K520" s="519" t="e">
        <f>IF(A520=0,VLOOKUP(D520,'03. Insumos'!A:F,4,0),"")</f>
        <v>#N/A</v>
      </c>
      <c r="L520" s="519">
        <f>H520*J520*I520</f>
        <v>0</v>
      </c>
      <c r="M520" s="520">
        <f t="shared" ca="1" si="139"/>
        <v>0</v>
      </c>
      <c r="O520" s="512">
        <f t="shared" si="140"/>
        <v>0</v>
      </c>
      <c r="R520" s="487">
        <f t="shared" si="141"/>
        <v>0</v>
      </c>
    </row>
    <row r="521" spans="1:20" s="18" customFormat="1" hidden="1" collapsed="1" x14ac:dyDescent="0.3">
      <c r="A521" s="290">
        <f t="shared" si="118"/>
        <v>3</v>
      </c>
      <c r="B521" s="35"/>
      <c r="C521" s="390" t="s">
        <v>346</v>
      </c>
      <c r="D521" s="390" t="s">
        <v>337</v>
      </c>
      <c r="E521" s="390"/>
      <c r="F521" s="323"/>
      <c r="G521" s="323"/>
      <c r="H521" s="324"/>
      <c r="I521" s="324"/>
      <c r="J521" s="333"/>
      <c r="K521" s="333"/>
      <c r="L521" s="333">
        <f>SUMIF(A522:A524,4,L522:L524)</f>
        <v>0</v>
      </c>
      <c r="M521" s="153">
        <f t="shared" ca="1" si="139"/>
        <v>0</v>
      </c>
      <c r="O521" s="148">
        <f t="shared" si="140"/>
        <v>0</v>
      </c>
      <c r="R521" s="12">
        <f t="shared" si="141"/>
        <v>0</v>
      </c>
    </row>
    <row r="522" spans="1:20" s="18" customFormat="1" hidden="1" outlineLevel="1" x14ac:dyDescent="0.3">
      <c r="A522" s="290">
        <f t="shared" si="118"/>
        <v>4</v>
      </c>
      <c r="B522" s="45"/>
      <c r="C522" s="45" t="s">
        <v>367</v>
      </c>
      <c r="D522" s="45" t="s">
        <v>349</v>
      </c>
      <c r="E522" s="347"/>
      <c r="F522" s="327"/>
      <c r="G522" s="327"/>
      <c r="H522" s="328"/>
      <c r="I522" s="548"/>
      <c r="J522" s="335"/>
      <c r="K522" s="335" t="str">
        <f>IF(A522=0,VLOOKUP(D522,'03. Insumos'!A:F,4,0),"")</f>
        <v/>
      </c>
      <c r="L522" s="335">
        <f>SUMIF(A523:A524,6,L523:L524)</f>
        <v>0</v>
      </c>
      <c r="M522" s="153">
        <f t="shared" ca="1" si="139"/>
        <v>0</v>
      </c>
      <c r="O522" s="148">
        <f t="shared" si="140"/>
        <v>0</v>
      </c>
      <c r="R522" s="12">
        <f t="shared" si="141"/>
        <v>0</v>
      </c>
    </row>
    <row r="523" spans="1:20" s="59" customFormat="1" ht="13.5" hidden="1" customHeight="1" outlineLevel="1" x14ac:dyDescent="0.3">
      <c r="A523" s="290">
        <f t="shared" si="118"/>
        <v>6</v>
      </c>
      <c r="B523" s="391"/>
      <c r="C523" s="391" t="s">
        <v>368</v>
      </c>
      <c r="D523" s="391" t="s">
        <v>1351</v>
      </c>
      <c r="E523" s="391"/>
      <c r="F523" s="325"/>
      <c r="G523" s="325" t="s">
        <v>241</v>
      </c>
      <c r="H523" s="326"/>
      <c r="I523" s="547"/>
      <c r="J523" s="334"/>
      <c r="K523" s="334"/>
      <c r="L523" s="334">
        <f>SUM(L524:L524)</f>
        <v>0</v>
      </c>
      <c r="M523" s="153">
        <f t="shared" ca="1" si="139"/>
        <v>0</v>
      </c>
      <c r="O523" s="148">
        <f t="shared" si="140"/>
        <v>0</v>
      </c>
      <c r="R523" s="12">
        <f t="shared" si="141"/>
        <v>0</v>
      </c>
    </row>
    <row r="524" spans="1:20" s="51" customFormat="1" ht="13.5" hidden="1" customHeight="1" outlineLevel="1" x14ac:dyDescent="0.3">
      <c r="A524" s="290">
        <f t="shared" si="118"/>
        <v>0</v>
      </c>
      <c r="B524" s="49"/>
      <c r="C524" s="49"/>
      <c r="D524" s="140" t="s">
        <v>3097</v>
      </c>
      <c r="E524" s="67" t="str">
        <f>VLOOKUP(D524,'03. Insumos'!A:D,2,0)</f>
        <v>Inspeção nos elevadores</v>
      </c>
      <c r="F524" s="68"/>
      <c r="G524" s="68" t="str">
        <f>VLOOKUP(D524,'03. Insumos'!A:F,3,0)</f>
        <v>Vb</v>
      </c>
      <c r="H524" s="69">
        <v>1</v>
      </c>
      <c r="I524" s="141"/>
      <c r="J524" s="70">
        <f>IFERROR(IF(K524&lt;&gt;0,K524*$K$5,0),0)</f>
        <v>0</v>
      </c>
      <c r="K524" s="70">
        <f>IF(A524=0,VLOOKUP(D524,'03. Insumos'!A:F,4,0),"")</f>
        <v>0</v>
      </c>
      <c r="L524" s="485">
        <f>H524*J524*I524</f>
        <v>0</v>
      </c>
      <c r="M524" s="153">
        <f t="shared" ca="1" si="139"/>
        <v>0</v>
      </c>
      <c r="O524" s="148">
        <f t="shared" si="140"/>
        <v>0</v>
      </c>
      <c r="R524" s="12">
        <f t="shared" si="141"/>
        <v>0</v>
      </c>
    </row>
    <row r="525" spans="1:20" s="18" customFormat="1" collapsed="1" x14ac:dyDescent="0.3">
      <c r="A525" s="290">
        <f t="shared" si="118"/>
        <v>3</v>
      </c>
      <c r="B525" s="35"/>
      <c r="C525" s="390" t="s">
        <v>347</v>
      </c>
      <c r="D525" s="390" t="s">
        <v>85</v>
      </c>
      <c r="E525" s="390"/>
      <c r="F525" s="323"/>
      <c r="G525" s="678"/>
      <c r="H525" s="324"/>
      <c r="I525" s="324"/>
      <c r="J525" s="333"/>
      <c r="K525" s="333"/>
      <c r="L525" s="333">
        <f>SUMIF(A526:A540,4,L526:L540)</f>
        <v>31365.004000000001</v>
      </c>
      <c r="M525" s="153">
        <f t="shared" ca="1" si="139"/>
        <v>5.5675102344243221E-2</v>
      </c>
      <c r="O525" s="148">
        <f t="shared" si="140"/>
        <v>0</v>
      </c>
      <c r="R525" s="12">
        <f t="shared" si="141"/>
        <v>0</v>
      </c>
    </row>
    <row r="526" spans="1:20" s="18" customFormat="1" ht="1.5" customHeight="1" x14ac:dyDescent="0.3">
      <c r="A526" s="290">
        <f t="shared" si="118"/>
        <v>0</v>
      </c>
      <c r="B526" s="63"/>
      <c r="C526" s="63"/>
      <c r="D526" s="63"/>
      <c r="E526" s="391"/>
      <c r="F526" s="325"/>
      <c r="G526" s="325"/>
      <c r="H526" s="326"/>
      <c r="I526" s="547"/>
      <c r="J526" s="334">
        <f>IFERROR(IF(K526&lt;&gt;0,K526*$K$5,0),0)</f>
        <v>0</v>
      </c>
      <c r="K526" s="334" t="e">
        <f>IF(A526=0,VLOOKUP(D526,'03. Insumos'!A:F,4,0),"")</f>
        <v>#N/A</v>
      </c>
      <c r="L526" s="334"/>
      <c r="M526" s="153">
        <f t="shared" ca="1" si="139"/>
        <v>0</v>
      </c>
      <c r="O526" s="148">
        <f t="shared" si="140"/>
        <v>0</v>
      </c>
      <c r="R526" s="12">
        <f t="shared" si="141"/>
        <v>0</v>
      </c>
    </row>
    <row r="527" spans="1:20" s="493" customFormat="1" ht="13.5" customHeight="1" outlineLevel="1" x14ac:dyDescent="0.3">
      <c r="A527" s="290">
        <f t="shared" si="118"/>
        <v>4</v>
      </c>
      <c r="B527" s="488"/>
      <c r="C527" s="488" t="s">
        <v>369</v>
      </c>
      <c r="D527" s="606" t="s">
        <v>276</v>
      </c>
      <c r="E527" s="391"/>
      <c r="F527" s="490"/>
      <c r="G527" s="490"/>
      <c r="H527" s="491"/>
      <c r="I527" s="549"/>
      <c r="J527" s="492"/>
      <c r="K527" s="492" t="str">
        <f>IF(A527=0,VLOOKUP(D527,'03. Insumos'!A:F,4,0),"")</f>
        <v/>
      </c>
      <c r="L527" s="492">
        <f>SUMIF(A528:A542,6,L528:L542)</f>
        <v>31365.004000000001</v>
      </c>
      <c r="M527" s="153">
        <f t="shared" ca="1" si="139"/>
        <v>5.5675102344243221E-2</v>
      </c>
      <c r="O527" s="512">
        <f t="shared" si="140"/>
        <v>0</v>
      </c>
      <c r="R527" s="487">
        <f t="shared" si="141"/>
        <v>0</v>
      </c>
    </row>
    <row r="528" spans="1:20" s="478" customFormat="1" ht="13.5" customHeight="1" outlineLevel="1" x14ac:dyDescent="0.3">
      <c r="A528" s="290">
        <f t="shared" si="118"/>
        <v>6</v>
      </c>
      <c r="B528" s="489"/>
      <c r="C528" s="489" t="s">
        <v>370</v>
      </c>
      <c r="D528" s="606" t="s">
        <v>5484</v>
      </c>
      <c r="E528" s="391"/>
      <c r="F528" s="490"/>
      <c r="G528" s="490" t="s">
        <v>73</v>
      </c>
      <c r="H528" s="326"/>
      <c r="I528" s="549"/>
      <c r="J528" s="492"/>
      <c r="K528" s="492" t="str">
        <f>IF(A528=0,VLOOKUP(D528,'03. Insumos'!A:F,4,0),"")</f>
        <v/>
      </c>
      <c r="L528" s="492">
        <f>SUMIF(A529:A532,0,L529:L532)</f>
        <v>26416.5</v>
      </c>
      <c r="M528" s="153">
        <f t="shared" ca="1" si="139"/>
        <v>4.6891157452959388E-2</v>
      </c>
      <c r="O528" s="512">
        <f>IF(I528&lt;&gt;0,I528*H528*K528,)</f>
        <v>0</v>
      </c>
      <c r="R528" s="487">
        <f>IF(J528&lt;&gt;0,J528/1.03-K528,0)</f>
        <v>0</v>
      </c>
      <c r="T528" s="478" t="e">
        <f>L528/H528</f>
        <v>#DIV/0!</v>
      </c>
    </row>
    <row r="529" spans="1:20" s="759" customFormat="1" ht="27" customHeight="1" outlineLevel="1" x14ac:dyDescent="0.3">
      <c r="A529" s="752">
        <f t="shared" si="118"/>
        <v>0</v>
      </c>
      <c r="B529" s="753"/>
      <c r="C529" s="753"/>
      <c r="D529" s="754" t="s">
        <v>5181</v>
      </c>
      <c r="E529" s="706" t="str">
        <f>VLOOKUP(D529,'03. Insumos'!A:D,2,0)</f>
        <v>Massa e Tinta Acrílica, acabamento fosco, cor Branco Neve - MAT + MO</v>
      </c>
      <c r="F529" s="755" t="s">
        <v>3809</v>
      </c>
      <c r="G529" s="755" t="str">
        <f>VLOOKUP(D529,'03. Insumos'!A:F,3,0)</f>
        <v>m²</v>
      </c>
      <c r="H529" s="756">
        <v>1</v>
      </c>
      <c r="I529" s="756">
        <v>59.57</v>
      </c>
      <c r="J529" s="757">
        <f>IFERROR(IF(K529&lt;&gt;0,K529*$K$5,0),0)</f>
        <v>90</v>
      </c>
      <c r="K529" s="757">
        <f>IF(A529=0,VLOOKUP(D529,'03. Insumos'!A:F,4,0),"")</f>
        <v>90</v>
      </c>
      <c r="L529" s="757">
        <f>H529*J529*I529</f>
        <v>5361.3</v>
      </c>
      <c r="M529" s="758">
        <f t="shared" ca="1" si="139"/>
        <v>9.5166870120020133E-3</v>
      </c>
      <c r="O529" s="760"/>
      <c r="R529" s="761"/>
    </row>
    <row r="530" spans="1:20" s="759" customFormat="1" ht="27" customHeight="1" outlineLevel="1" x14ac:dyDescent="0.3">
      <c r="A530" s="752">
        <f t="shared" si="118"/>
        <v>0</v>
      </c>
      <c r="B530" s="753"/>
      <c r="C530" s="753"/>
      <c r="D530" s="754" t="s">
        <v>5180</v>
      </c>
      <c r="E530" s="706" t="str">
        <f>VLOOKUP(D530,'03. Insumos'!A:D,2,0)</f>
        <v>Massa e Tinta PVA, acabamento fosco, cor Branco Neve Fosco - MAT + MO</v>
      </c>
      <c r="F530" s="755" t="s">
        <v>3809</v>
      </c>
      <c r="G530" s="755" t="str">
        <f>VLOOKUP(D530,'03. Insumos'!A:F,3,0)</f>
        <v>m²</v>
      </c>
      <c r="H530" s="756">
        <v>1</v>
      </c>
      <c r="I530" s="756">
        <v>236.94</v>
      </c>
      <c r="J530" s="762">
        <f>IFERROR(IF(K530&lt;&gt;0,K530*$K$5,0),0)</f>
        <v>85</v>
      </c>
      <c r="K530" s="757">
        <f>IF(A530=0,VLOOKUP(D530,'03. Insumos'!A:F,4,0),"")</f>
        <v>85</v>
      </c>
      <c r="L530" s="757">
        <f>H530*J530*I530</f>
        <v>20139.900000000001</v>
      </c>
      <c r="M530" s="758">
        <f t="shared" ca="1" si="139"/>
        <v>3.5749748149333065E-2</v>
      </c>
      <c r="O530" s="760"/>
      <c r="R530" s="761"/>
    </row>
    <row r="531" spans="1:20" s="759" customFormat="1" ht="27" customHeight="1" outlineLevel="1" x14ac:dyDescent="0.3">
      <c r="A531" s="752">
        <f t="shared" si="118"/>
        <v>0</v>
      </c>
      <c r="B531" s="753"/>
      <c r="C531" s="753"/>
      <c r="D531" s="754" t="s">
        <v>5182</v>
      </c>
      <c r="E531" s="706" t="str">
        <f>VLOOKUP(D531,'03. Insumos'!A:D,2,0)</f>
        <v>MAT + MO - Pintura com tinta acrílica, acabamento fosco, cor Branco ( em laje )</v>
      </c>
      <c r="F531" s="755" t="s">
        <v>3809</v>
      </c>
      <c r="G531" s="755" t="str">
        <f>VLOOKUP(D531,'03. Insumos'!A:F,3,0)</f>
        <v>m²</v>
      </c>
      <c r="H531" s="756">
        <v>1</v>
      </c>
      <c r="I531" s="756">
        <v>10.17</v>
      </c>
      <c r="J531" s="762">
        <f>IFERROR(IF(K531&lt;&gt;0,K531*$K$5,0),0)</f>
        <v>90</v>
      </c>
      <c r="K531" s="757">
        <f>IF(A531=0,VLOOKUP(D531,'03. Insumos'!A:F,4,0),"")</f>
        <v>90</v>
      </c>
      <c r="L531" s="757">
        <f>H531*J531*I531</f>
        <v>915.3</v>
      </c>
      <c r="M531" s="758">
        <f t="shared" ca="1" si="139"/>
        <v>1.6247222916243153E-3</v>
      </c>
      <c r="O531" s="760"/>
      <c r="R531" s="761"/>
    </row>
    <row r="532" spans="1:20" s="486" customFormat="1" ht="13.5" hidden="1" customHeight="1" outlineLevel="1" x14ac:dyDescent="0.3">
      <c r="A532" s="290">
        <f t="shared" si="118"/>
        <v>0</v>
      </c>
      <c r="B532" s="480"/>
      <c r="C532" s="480"/>
      <c r="D532" s="370"/>
      <c r="E532" s="67" t="e">
        <f>VLOOKUP(D532,'03. Insumos'!A:D,2,0)</f>
        <v>#N/A</v>
      </c>
      <c r="F532" s="482" t="s">
        <v>3809</v>
      </c>
      <c r="G532" s="482" t="e">
        <f>VLOOKUP(D532,'03. Insumos'!A:F,3,0)</f>
        <v>#N/A</v>
      </c>
      <c r="H532" s="483">
        <v>1</v>
      </c>
      <c r="I532" s="483">
        <v>18.68</v>
      </c>
      <c r="J532" s="70">
        <f>IFERROR(IF(K532&lt;&gt;0,K532*$K$5,0),0)</f>
        <v>0</v>
      </c>
      <c r="K532" s="485" t="e">
        <f>IF(A532=0,VLOOKUP(D532,'03. Insumos'!A:F,4,0),"")</f>
        <v>#N/A</v>
      </c>
      <c r="L532" s="485">
        <f>H532*J532*I532</f>
        <v>0</v>
      </c>
      <c r="M532" s="153">
        <f t="shared" ca="1" si="139"/>
        <v>0</v>
      </c>
      <c r="O532" s="512"/>
      <c r="R532" s="487"/>
    </row>
    <row r="533" spans="1:20" s="478" customFormat="1" ht="13.5" customHeight="1" outlineLevel="1" x14ac:dyDescent="0.3">
      <c r="A533" s="290">
        <f t="shared" si="118"/>
        <v>6</v>
      </c>
      <c r="B533" s="489"/>
      <c r="C533" s="489" t="s">
        <v>371</v>
      </c>
      <c r="D533" s="606" t="s">
        <v>5029</v>
      </c>
      <c r="E533" s="391"/>
      <c r="F533" s="490"/>
      <c r="G533" s="490" t="s">
        <v>73</v>
      </c>
      <c r="H533" s="326"/>
      <c r="I533" s="549"/>
      <c r="J533" s="334"/>
      <c r="K533" s="492" t="str">
        <f>IF(A533=0,VLOOKUP(D533,'03. Insumos'!A:F,4,0),"")</f>
        <v/>
      </c>
      <c r="L533" s="492">
        <f>SUMIF(A534:A535,0,L534:L535)</f>
        <v>4948.5039999999999</v>
      </c>
      <c r="M533" s="153">
        <f t="shared" ca="1" si="139"/>
        <v>8.7839448912838316E-3</v>
      </c>
      <c r="O533" s="512">
        <f>IF(I533&lt;&gt;0,I533*H533*K533,)</f>
        <v>0</v>
      </c>
      <c r="R533" s="487">
        <f>IF(J533&lt;&gt;0,J533/1.03-K533,0)</f>
        <v>0</v>
      </c>
      <c r="T533" s="478" t="e">
        <f>L533/H533</f>
        <v>#DIV/0!</v>
      </c>
    </row>
    <row r="534" spans="1:20" s="486" customFormat="1" ht="13.5" hidden="1" customHeight="1" outlineLevel="1" x14ac:dyDescent="0.3">
      <c r="A534" s="290">
        <f t="shared" si="118"/>
        <v>0</v>
      </c>
      <c r="B534" s="480"/>
      <c r="C534" s="480"/>
      <c r="D534" s="140"/>
      <c r="E534" s="67" t="e">
        <f>VLOOKUP(D534,'03. Insumos'!A:D,2,0)</f>
        <v>#N/A</v>
      </c>
      <c r="F534" s="482"/>
      <c r="G534" s="482" t="e">
        <f>VLOOKUP(D534,'03. Insumos'!A:F,3,0)</f>
        <v>#N/A</v>
      </c>
      <c r="H534" s="483"/>
      <c r="I534" s="483"/>
      <c r="J534" s="70">
        <f>IFERROR(IF(K534&lt;&gt;0,K534*$K$5,0),0)</f>
        <v>0</v>
      </c>
      <c r="K534" s="485" t="e">
        <f>IF(A534=0,VLOOKUP(D534,'03. Insumos'!A:F,4,0),"")</f>
        <v>#N/A</v>
      </c>
      <c r="L534" s="485">
        <f>H534*J534*I534</f>
        <v>0</v>
      </c>
      <c r="M534" s="153">
        <f t="shared" ca="1" si="139"/>
        <v>0</v>
      </c>
      <c r="O534" s="512"/>
      <c r="R534" s="487"/>
    </row>
    <row r="535" spans="1:20" s="486" customFormat="1" ht="13.5" customHeight="1" outlineLevel="1" x14ac:dyDescent="0.3">
      <c r="A535" s="290">
        <f t="shared" si="118"/>
        <v>0</v>
      </c>
      <c r="B535" s="480"/>
      <c r="C535" s="480"/>
      <c r="D535" s="370" t="s">
        <v>5179</v>
      </c>
      <c r="E535" s="67" t="str">
        <f>VLOOKUP(D535,'03. Insumos'!A:D,2,0)</f>
        <v>Parede em cimento queimado - MAT + MO (estimativa)</v>
      </c>
      <c r="F535" s="482" t="s">
        <v>5218</v>
      </c>
      <c r="G535" s="482" t="str">
        <f>VLOOKUP(D535,'03. Insumos'!A:F,3,0)</f>
        <v>m²</v>
      </c>
      <c r="H535" s="483">
        <v>1</v>
      </c>
      <c r="I535" s="483">
        <v>42.44</v>
      </c>
      <c r="J535" s="70">
        <f>IFERROR(IF(K535&lt;&gt;0,K535*$K$5,0),0)</f>
        <v>116.6</v>
      </c>
      <c r="K535" s="485">
        <f>IF(A535=0,VLOOKUP(D535,'03. Insumos'!A:F,4,0),"")</f>
        <v>116.6</v>
      </c>
      <c r="L535" s="485">
        <f>H535*J535*I535</f>
        <v>4948.5039999999999</v>
      </c>
      <c r="M535" s="153">
        <f t="shared" ca="1" si="139"/>
        <v>8.7839448912838316E-3</v>
      </c>
      <c r="O535" s="512"/>
      <c r="R535" s="487"/>
    </row>
    <row r="536" spans="1:20" s="478" customFormat="1" ht="13.5" hidden="1" customHeight="1" outlineLevel="1" x14ac:dyDescent="0.3">
      <c r="A536" s="290">
        <f t="shared" si="118"/>
        <v>6</v>
      </c>
      <c r="B536" s="489"/>
      <c r="C536" s="489" t="s">
        <v>1525</v>
      </c>
      <c r="D536" s="606" t="s">
        <v>4994</v>
      </c>
      <c r="E536" s="391"/>
      <c r="F536" s="490"/>
      <c r="G536" s="490" t="s">
        <v>73</v>
      </c>
      <c r="H536" s="326"/>
      <c r="I536" s="549" t="s">
        <v>2787</v>
      </c>
      <c r="J536" s="492"/>
      <c r="K536" s="492" t="str">
        <f>IF(A536=0,VLOOKUP(D536,'03. Insumos'!A:F,4,0),"")</f>
        <v/>
      </c>
      <c r="L536" s="492">
        <f>SUMIF(A537:A538,0,L537:L538)</f>
        <v>0</v>
      </c>
      <c r="M536" s="153">
        <f t="shared" ca="1" si="139"/>
        <v>0</v>
      </c>
      <c r="O536" s="512" t="e">
        <f t="shared" si="140"/>
        <v>#VALUE!</v>
      </c>
      <c r="R536" s="487">
        <f t="shared" si="141"/>
        <v>0</v>
      </c>
      <c r="T536" s="478" t="e">
        <f>L536/H536</f>
        <v>#DIV/0!</v>
      </c>
    </row>
    <row r="537" spans="1:20" s="478" customFormat="1" ht="12.75" hidden="1" customHeight="1" outlineLevel="1" x14ac:dyDescent="0.3">
      <c r="A537" s="290">
        <f t="shared" si="118"/>
        <v>0</v>
      </c>
      <c r="B537" s="494"/>
      <c r="C537" s="480"/>
      <c r="D537" s="370" t="s">
        <v>5180</v>
      </c>
      <c r="E537" s="67" t="str">
        <f>VLOOKUP(D537,'03. Insumos'!A:D,2,0)</f>
        <v>Massa e Tinta PVA, acabamento fosco, cor Branco Neve Fosco - MAT + MO</v>
      </c>
      <c r="F537" s="482" t="s">
        <v>3809</v>
      </c>
      <c r="G537" s="482" t="str">
        <f>VLOOKUP(D537,'03. Insumos'!A:F,3,0)</f>
        <v>m²</v>
      </c>
      <c r="H537" s="483"/>
      <c r="I537" s="483">
        <f>299.26+(98.73*0.15)</f>
        <v>314.06950000000001</v>
      </c>
      <c r="J537" s="485">
        <f>IFERROR(IF(K537&lt;&gt;0,K537*$K$5,0),0)</f>
        <v>85</v>
      </c>
      <c r="K537" s="485">
        <f>IF(A537=0,VLOOKUP(D537,'03. Insumos'!A:F,4,0),"")</f>
        <v>85</v>
      </c>
      <c r="L537" s="485">
        <f>H537*J537*I537</f>
        <v>0</v>
      </c>
      <c r="M537" s="153">
        <f t="shared" ca="1" si="139"/>
        <v>0</v>
      </c>
      <c r="O537" s="512"/>
      <c r="R537" s="487"/>
    </row>
    <row r="538" spans="1:20" s="478" customFormat="1" ht="12.75" hidden="1" customHeight="1" outlineLevel="1" x14ac:dyDescent="0.3">
      <c r="A538" s="290">
        <f t="shared" si="118"/>
        <v>0</v>
      </c>
      <c r="B538" s="494"/>
      <c r="C538" s="480"/>
      <c r="D538" s="370"/>
      <c r="E538" s="67" t="e">
        <f>VLOOKUP(D538,'03. Insumos'!A:D,2,0)</f>
        <v>#N/A</v>
      </c>
      <c r="F538" s="482" t="s">
        <v>5218</v>
      </c>
      <c r="G538" s="482" t="e">
        <f>VLOOKUP(D538,'03. Insumos'!A:F,3,0)</f>
        <v>#N/A</v>
      </c>
      <c r="H538" s="483"/>
      <c r="I538" s="483"/>
      <c r="J538" s="485">
        <f>IFERROR(IF(K538&lt;&gt;0,K538*$K$5,0),0)</f>
        <v>0</v>
      </c>
      <c r="K538" s="485" t="e">
        <f>IF(A538=0,VLOOKUP(D538,'03. Insumos'!A:F,4,0),"")</f>
        <v>#N/A</v>
      </c>
      <c r="L538" s="485">
        <f>H538*J538*I538</f>
        <v>0</v>
      </c>
      <c r="M538" s="153">
        <f t="shared" ca="1" si="139"/>
        <v>0</v>
      </c>
      <c r="O538" s="512"/>
      <c r="R538" s="487"/>
    </row>
    <row r="539" spans="1:20" s="51" customFormat="1" ht="12.75" hidden="1" customHeight="1" outlineLevel="1" x14ac:dyDescent="0.3">
      <c r="A539" s="290">
        <f t="shared" si="118"/>
        <v>6</v>
      </c>
      <c r="B539" s="630"/>
      <c r="C539" s="489" t="s">
        <v>372</v>
      </c>
      <c r="D539" s="606" t="s">
        <v>5184</v>
      </c>
      <c r="E539" s="391"/>
      <c r="F539" s="490"/>
      <c r="G539" s="325" t="s">
        <v>73</v>
      </c>
      <c r="H539" s="326"/>
      <c r="I539" s="547" t="s">
        <v>2787</v>
      </c>
      <c r="J539" s="334"/>
      <c r="K539" s="334" t="str">
        <f>IF(A539=0,VLOOKUP(D539,'03. Insumos'!A:F,4,0),"")</f>
        <v/>
      </c>
      <c r="L539" s="492">
        <f>SUMIF(A540,0,L540)</f>
        <v>0</v>
      </c>
      <c r="M539" s="153">
        <f t="shared" ca="1" si="139"/>
        <v>0</v>
      </c>
      <c r="O539" s="148" t="e">
        <f t="shared" ref="O539:O566" si="142">IF(I539&lt;&gt;0,I539*H539*K539,)</f>
        <v>#VALUE!</v>
      </c>
      <c r="R539" s="12">
        <f t="shared" ref="R539:R549" si="143">IF(J539&lt;&gt;0,J539/1.03-K539,0)</f>
        <v>0</v>
      </c>
    </row>
    <row r="540" spans="1:20" s="59" customFormat="1" ht="12.75" hidden="1" customHeight="1" outlineLevel="1" x14ac:dyDescent="0.3">
      <c r="A540" s="290">
        <f t="shared" si="118"/>
        <v>0</v>
      </c>
      <c r="B540" s="55"/>
      <c r="C540" s="480"/>
      <c r="D540" s="370" t="s">
        <v>5182</v>
      </c>
      <c r="E540" s="67" t="str">
        <f>VLOOKUP(D540,'03. Insumos'!A:D,2,0)</f>
        <v>MAT + MO - Pintura com tinta acrílica, acabamento fosco, cor Branco ( em laje )</v>
      </c>
      <c r="F540" s="482" t="s">
        <v>5218</v>
      </c>
      <c r="G540" s="68" t="str">
        <f>VLOOKUP(D540,'03. Insumos'!A:F,3,0)</f>
        <v>m²</v>
      </c>
      <c r="H540" s="483"/>
      <c r="I540" s="69"/>
      <c r="J540" s="70">
        <f>IFERROR(IF(K540&lt;&gt;0,K540*$K$5,0),0)</f>
        <v>90</v>
      </c>
      <c r="K540" s="70">
        <f>IF(A540=0,VLOOKUP(D540,'03. Insumos'!A:F,4,0),"")</f>
        <v>90</v>
      </c>
      <c r="L540" s="70">
        <f>H540*J540*I540</f>
        <v>0</v>
      </c>
      <c r="M540" s="153">
        <f t="shared" ca="1" si="139"/>
        <v>0</v>
      </c>
      <c r="O540" s="148">
        <f t="shared" si="142"/>
        <v>0</v>
      </c>
      <c r="R540" s="12">
        <f t="shared" si="143"/>
        <v>-2.6213592233009706</v>
      </c>
    </row>
    <row r="541" spans="1:20" s="51" customFormat="1" ht="12.75" hidden="1" customHeight="1" outlineLevel="1" x14ac:dyDescent="0.3">
      <c r="A541" s="290">
        <f t="shared" ref="A541:A607" si="144">LEN(C541)</f>
        <v>6</v>
      </c>
      <c r="B541" s="630"/>
      <c r="C541" s="489" t="s">
        <v>1527</v>
      </c>
      <c r="D541" s="606" t="s">
        <v>5316</v>
      </c>
      <c r="E541" s="391"/>
      <c r="F541" s="490"/>
      <c r="G541" s="325" t="s">
        <v>73</v>
      </c>
      <c r="H541" s="326"/>
      <c r="I541" s="547" t="s">
        <v>2787</v>
      </c>
      <c r="J541" s="334"/>
      <c r="K541" s="334" t="str">
        <f>IF(A541=0,VLOOKUP(D541,'03. Insumos'!A:F,4,0),"")</f>
        <v/>
      </c>
      <c r="L541" s="492">
        <f>SUMIF(A542,0,L542)</f>
        <v>0</v>
      </c>
      <c r="M541" s="153">
        <f t="shared" ca="1" si="139"/>
        <v>0</v>
      </c>
      <c r="O541" s="148" t="e">
        <f t="shared" si="142"/>
        <v>#VALUE!</v>
      </c>
      <c r="R541" s="12">
        <f t="shared" si="143"/>
        <v>0</v>
      </c>
    </row>
    <row r="542" spans="1:20" s="59" customFormat="1" ht="12.75" hidden="1" customHeight="1" outlineLevel="1" x14ac:dyDescent="0.3">
      <c r="A542" s="290">
        <f t="shared" si="144"/>
        <v>0</v>
      </c>
      <c r="B542" s="55"/>
      <c r="C542" s="480"/>
      <c r="D542" s="370" t="s">
        <v>5310</v>
      </c>
      <c r="E542" s="67" t="str">
        <f>VLOOKUP(D542,'03. Insumos'!A:D,2,0)</f>
        <v>MAT + MO - Pintura de Porta pintura esmalte acetinada, acabamento fosco, cor Forró (P267),fabricante Suvinil</v>
      </c>
      <c r="F542" s="482" t="s">
        <v>5218</v>
      </c>
      <c r="G542" s="68" t="str">
        <f>VLOOKUP(D542,'03. Insumos'!A:F,3,0)</f>
        <v>VB</v>
      </c>
      <c r="H542" s="483"/>
      <c r="I542" s="69"/>
      <c r="J542" s="70">
        <f>IFERROR(IF(K542&lt;&gt;0,K542*$K$5,0),0)</f>
        <v>575</v>
      </c>
      <c r="K542" s="70">
        <f>IF(A542=0,VLOOKUP(D542,'03. Insumos'!A:F,4,0),"")</f>
        <v>575</v>
      </c>
      <c r="L542" s="70">
        <f>H542*J542*I542</f>
        <v>0</v>
      </c>
      <c r="M542" s="153">
        <f t="shared" ca="1" si="139"/>
        <v>0</v>
      </c>
      <c r="O542" s="148">
        <f t="shared" si="142"/>
        <v>0</v>
      </c>
      <c r="R542" s="12">
        <f t="shared" si="143"/>
        <v>-16.747572815533999</v>
      </c>
    </row>
    <row r="543" spans="1:20" s="18" customFormat="1" ht="13.5" customHeight="1" x14ac:dyDescent="0.3">
      <c r="A543" s="290">
        <f t="shared" si="144"/>
        <v>3</v>
      </c>
      <c r="B543" s="35"/>
      <c r="C543" s="390" t="s">
        <v>350</v>
      </c>
      <c r="D543" s="390" t="s">
        <v>83</v>
      </c>
      <c r="E543" s="390"/>
      <c r="F543" s="323"/>
      <c r="G543" s="678"/>
      <c r="H543" s="324"/>
      <c r="I543" s="324"/>
      <c r="J543" s="333"/>
      <c r="K543" s="333"/>
      <c r="L543" s="333">
        <f>SUMIF(A544:A595,4,L544:L595)</f>
        <v>33640.078000000001</v>
      </c>
      <c r="M543" s="153">
        <f t="shared" ca="1" si="139"/>
        <v>5.971351974061042E-2</v>
      </c>
      <c r="O543" s="148">
        <f t="shared" si="142"/>
        <v>0</v>
      </c>
      <c r="R543" s="12">
        <f t="shared" si="143"/>
        <v>0</v>
      </c>
    </row>
    <row r="544" spans="1:20" s="18" customFormat="1" ht="13.5" customHeight="1" outlineLevel="1" x14ac:dyDescent="0.3">
      <c r="A544" s="290">
        <f t="shared" si="144"/>
        <v>4</v>
      </c>
      <c r="B544" s="45"/>
      <c r="C544" s="45" t="s">
        <v>373</v>
      </c>
      <c r="D544" s="45" t="s">
        <v>83</v>
      </c>
      <c r="E544" s="347"/>
      <c r="F544" s="327"/>
      <c r="G544" s="327"/>
      <c r="H544" s="328"/>
      <c r="I544" s="548"/>
      <c r="J544" s="335"/>
      <c r="K544" s="335" t="str">
        <f>IF(A544=0,VLOOKUP(D544,'03. Insumos'!A:F,4,0),"")</f>
        <v/>
      </c>
      <c r="L544" s="335">
        <f>SUMIF(A545:A595,6,L545:L595)</f>
        <v>33640.078000000001</v>
      </c>
      <c r="M544" s="153">
        <f t="shared" ca="1" si="139"/>
        <v>5.971351974061042E-2</v>
      </c>
      <c r="O544" s="148">
        <f t="shared" si="142"/>
        <v>0</v>
      </c>
      <c r="R544" s="12">
        <f t="shared" si="143"/>
        <v>0</v>
      </c>
    </row>
    <row r="545" spans="1:18" s="59" customFormat="1" ht="13.5" customHeight="1" outlineLevel="1" x14ac:dyDescent="0.3">
      <c r="A545" s="290">
        <f t="shared" si="144"/>
        <v>6</v>
      </c>
      <c r="B545" s="391"/>
      <c r="C545" s="391" t="s">
        <v>374</v>
      </c>
      <c r="D545" s="391" t="s">
        <v>83</v>
      </c>
      <c r="E545" s="391"/>
      <c r="F545" s="325"/>
      <c r="G545" s="325"/>
      <c r="H545" s="326"/>
      <c r="I545" s="547"/>
      <c r="J545" s="334"/>
      <c r="K545" s="334" t="str">
        <f>IF(A545=0,VLOOKUP(D545,'03. Insumos'!A:F,4,0),"")</f>
        <v/>
      </c>
      <c r="L545" s="334">
        <f>SUMIF(A546:A595,0,L546:L595)</f>
        <v>33640.078000000001</v>
      </c>
      <c r="M545" s="153">
        <f t="shared" ca="1" si="139"/>
        <v>5.971351974061042E-2</v>
      </c>
      <c r="O545" s="148">
        <f t="shared" si="142"/>
        <v>0</v>
      </c>
      <c r="R545" s="12">
        <f t="shared" si="143"/>
        <v>0</v>
      </c>
    </row>
    <row r="546" spans="1:18" s="486" customFormat="1" outlineLevel="1" x14ac:dyDescent="0.3">
      <c r="A546" s="290">
        <f t="shared" si="144"/>
        <v>0</v>
      </c>
      <c r="B546" s="480"/>
      <c r="C546" s="480"/>
      <c r="D546" s="370" t="s">
        <v>5525</v>
      </c>
      <c r="E546" s="67" t="str">
        <f>VLOOKUP(D546,'03. Insumos'!A:D,2,0)</f>
        <v>Acabamento para registro de gaveta até 1" e pressão 1/2" e 3/4" - 4900.C35.PQ</v>
      </c>
      <c r="F546" s="482" t="s">
        <v>5218</v>
      </c>
      <c r="G546" s="482" t="str">
        <f>VLOOKUP(D546,'03. Insumos'!A:F,3,0)</f>
        <v>unid</v>
      </c>
      <c r="H546" s="483">
        <v>1</v>
      </c>
      <c r="I546" s="483">
        <v>9</v>
      </c>
      <c r="J546" s="485">
        <f t="shared" ref="J546:J595" si="145">IFERROR(IF(K546&lt;&gt;0,K546*$K$5,0),0)</f>
        <v>29.580000000000002</v>
      </c>
      <c r="K546" s="485">
        <f>IF(A546=0,VLOOKUP(D546,'03. Insumos'!A:F,4,0),"")</f>
        <v>29.580000000000002</v>
      </c>
      <c r="L546" s="485">
        <f t="shared" ref="L546:L595" si="146">H546*J546*I546</f>
        <v>266.22000000000003</v>
      </c>
      <c r="M546" s="153">
        <f t="shared" ca="1" si="139"/>
        <v>4.7255934499751477E-4</v>
      </c>
      <c r="O546" s="512">
        <f t="shared" si="142"/>
        <v>266.22000000000003</v>
      </c>
      <c r="R546" s="487">
        <f t="shared" si="143"/>
        <v>-0.86155339805825193</v>
      </c>
    </row>
    <row r="547" spans="1:18" s="513" customFormat="1" outlineLevel="1" x14ac:dyDescent="0.3">
      <c r="A547" s="478">
        <f t="shared" si="144"/>
        <v>0</v>
      </c>
      <c r="B547" s="481"/>
      <c r="C547" s="481"/>
      <c r="D547" s="370" t="s">
        <v>5526</v>
      </c>
      <c r="E547" s="67" t="str">
        <f>VLOOKUP(D547,'03. Insumos'!A:D,2,0)</f>
        <v>Assento Plastico com Slowclose e Easy clean Izy/Ravena/Studio - Branco - AP.165.17</v>
      </c>
      <c r="F547" s="482" t="s">
        <v>5218</v>
      </c>
      <c r="G547" s="482" t="str">
        <f>VLOOKUP(D547,'03. Insumos'!A:F,3,0)</f>
        <v>unid</v>
      </c>
      <c r="H547" s="483">
        <v>1</v>
      </c>
      <c r="I547" s="483">
        <v>1</v>
      </c>
      <c r="J547" s="485">
        <f t="shared" si="145"/>
        <v>144.27000000000001</v>
      </c>
      <c r="K547" s="485">
        <f>IF(A547=0,VLOOKUP(D547,'03. Insumos'!A:F,4,0),"")</f>
        <v>144.27000000000001</v>
      </c>
      <c r="L547" s="485">
        <f t="shared" si="146"/>
        <v>144.27000000000001</v>
      </c>
      <c r="M547" s="479">
        <f t="shared" ca="1" si="139"/>
        <v>2.5608946248513058E-4</v>
      </c>
      <c r="O547" s="514">
        <f t="shared" si="142"/>
        <v>144.27000000000001</v>
      </c>
      <c r="R547" s="515">
        <f t="shared" si="143"/>
        <v>-4.2020388349514519</v>
      </c>
    </row>
    <row r="548" spans="1:18" s="486" customFormat="1" outlineLevel="1" x14ac:dyDescent="0.3">
      <c r="A548" s="290">
        <f t="shared" si="144"/>
        <v>0</v>
      </c>
      <c r="B548" s="480"/>
      <c r="C548" s="480"/>
      <c r="D548" s="370" t="s">
        <v>5527</v>
      </c>
      <c r="E548" s="67" t="str">
        <f>VLOOKUP(D548,'03. Insumos'!A:D,2,0)</f>
        <v>Assento Poliester com Slowclose AP.237.17</v>
      </c>
      <c r="F548" s="482" t="s">
        <v>5218</v>
      </c>
      <c r="G548" s="482" t="str">
        <f>VLOOKUP(D548,'03. Insumos'!A:F,3,0)</f>
        <v>unid</v>
      </c>
      <c r="H548" s="483">
        <v>1</v>
      </c>
      <c r="I548" s="483">
        <v>1</v>
      </c>
      <c r="J548" s="485">
        <f t="shared" si="145"/>
        <v>1098.5899999999999</v>
      </c>
      <c r="K548" s="485">
        <f>IF(A548=0,VLOOKUP(D548,'03. Insumos'!A:F,4,0),"")</f>
        <v>1098.5899999999999</v>
      </c>
      <c r="L548" s="485">
        <f t="shared" si="146"/>
        <v>1098.5899999999999</v>
      </c>
      <c r="M548" s="153">
        <f t="shared" ca="1" si="139"/>
        <v>1.9500750162302594E-3</v>
      </c>
      <c r="O548" s="512">
        <f t="shared" si="142"/>
        <v>1098.5899999999999</v>
      </c>
      <c r="R548" s="487">
        <f t="shared" si="143"/>
        <v>-31.997766990291211</v>
      </c>
    </row>
    <row r="549" spans="1:18" s="486" customFormat="1" outlineLevel="1" x14ac:dyDescent="0.3">
      <c r="A549" s="290">
        <f t="shared" si="144"/>
        <v>0</v>
      </c>
      <c r="B549" s="480"/>
      <c r="C549" s="480"/>
      <c r="D549" s="370" t="s">
        <v>5528</v>
      </c>
      <c r="E549" s="67" t="str">
        <f>VLOOKUP(D549,'03. Insumos'!A:D,2,0)</f>
        <v>Assento Termofixo SlowClose e Easy Clean Piano/ Quadra - Branco AP.336.17</v>
      </c>
      <c r="F549" s="482" t="s">
        <v>5218</v>
      </c>
      <c r="G549" s="482" t="str">
        <f>VLOOKUP(D549,'03. Insumos'!A:F,3,0)</f>
        <v>unid</v>
      </c>
      <c r="H549" s="483">
        <v>1</v>
      </c>
      <c r="I549" s="483">
        <v>2</v>
      </c>
      <c r="J549" s="485">
        <f t="shared" si="145"/>
        <v>477.74</v>
      </c>
      <c r="K549" s="485">
        <f>IF(A549=0,VLOOKUP(D549,'03. Insumos'!A:F,4,0),"")</f>
        <v>477.74</v>
      </c>
      <c r="L549" s="485">
        <f t="shared" si="146"/>
        <v>955.48</v>
      </c>
      <c r="M549" s="153">
        <f t="shared" ca="1" si="139"/>
        <v>1.6960446358584081E-3</v>
      </c>
      <c r="O549" s="512">
        <f t="shared" si="142"/>
        <v>955.48</v>
      </c>
      <c r="R549" s="487">
        <f t="shared" si="143"/>
        <v>-13.91475728155342</v>
      </c>
    </row>
    <row r="550" spans="1:18" s="486" customFormat="1" outlineLevel="1" x14ac:dyDescent="0.3">
      <c r="A550" s="290">
        <f t="shared" si="144"/>
        <v>0</v>
      </c>
      <c r="B550" s="480"/>
      <c r="C550" s="480"/>
      <c r="D550" s="370" t="s">
        <v>5529</v>
      </c>
      <c r="E550" s="67" t="str">
        <f>VLOOKUP(D550,'03. Insumos'!A:D,2,0)</f>
        <v>Bacia convencional Linha Piano, Branco –  Deca, Ref.: P.33.17 + Assento Termofixo</v>
      </c>
      <c r="F550" s="482" t="s">
        <v>5218</v>
      </c>
      <c r="G550" s="482" t="str">
        <f>VLOOKUP(D550,'03. Insumos'!A:F,3,0)</f>
        <v>unid</v>
      </c>
      <c r="H550" s="483">
        <v>1</v>
      </c>
      <c r="I550" s="483">
        <v>2</v>
      </c>
      <c r="J550" s="485">
        <f t="shared" si="145"/>
        <v>1047</v>
      </c>
      <c r="K550" s="485">
        <f>IF(A550=0,VLOOKUP(D550,'03. Insumos'!A:F,4,0),"")</f>
        <v>1047</v>
      </c>
      <c r="L550" s="485">
        <f t="shared" si="146"/>
        <v>2094</v>
      </c>
      <c r="M550" s="153">
        <f t="shared" ca="1" si="139"/>
        <v>3.7169982286259329E-3</v>
      </c>
      <c r="O550" s="512">
        <f t="shared" si="142"/>
        <v>2094</v>
      </c>
      <c r="R550" s="487"/>
    </row>
    <row r="551" spans="1:18" s="486" customFormat="1" outlineLevel="1" x14ac:dyDescent="0.3">
      <c r="A551" s="290">
        <f t="shared" si="144"/>
        <v>0</v>
      </c>
      <c r="B551" s="480"/>
      <c r="C551" s="480"/>
      <c r="D551" s="370" t="s">
        <v>5530</v>
      </c>
      <c r="E551" s="67" t="str">
        <f>VLOOKUP(D551,'03. Insumos'!A:D,2,0)</f>
        <v>Bacia Convencional Nuova Suspensa P.132.17</v>
      </c>
      <c r="F551" s="482" t="s">
        <v>5218</v>
      </c>
      <c r="G551" s="482" t="str">
        <f>VLOOKUP(D551,'03. Insumos'!A:F,3,0)</f>
        <v>unid</v>
      </c>
      <c r="H551" s="483">
        <v>1</v>
      </c>
      <c r="I551" s="483">
        <v>1</v>
      </c>
      <c r="J551" s="485">
        <f t="shared" si="145"/>
        <v>825.48</v>
      </c>
      <c r="K551" s="485">
        <f>IF(A551=0,VLOOKUP(D551,'03. Insumos'!A:F,4,0),"")</f>
        <v>825.48</v>
      </c>
      <c r="L551" s="485">
        <f t="shared" si="146"/>
        <v>825.48</v>
      </c>
      <c r="M551" s="153">
        <f t="shared" ca="1" si="139"/>
        <v>1.4652854335081829E-3</v>
      </c>
      <c r="O551" s="512">
        <f t="shared" si="142"/>
        <v>825.48</v>
      </c>
      <c r="R551" s="487"/>
    </row>
    <row r="552" spans="1:18" s="486" customFormat="1" outlineLevel="1" x14ac:dyDescent="0.3">
      <c r="A552" s="290">
        <f t="shared" si="144"/>
        <v>0</v>
      </c>
      <c r="B552" s="480"/>
      <c r="C552" s="480"/>
      <c r="D552" s="370" t="s">
        <v>5531</v>
      </c>
      <c r="E552" s="67" t="str">
        <f>VLOOKUP(D552,'03. Insumos'!A:D,2,0)</f>
        <v>Bell BCX 120 35 35 Aço inox</v>
      </c>
      <c r="F552" s="482" t="s">
        <v>5218</v>
      </c>
      <c r="G552" s="482" t="str">
        <f>VLOOKUP(D552,'03. Insumos'!A:F,3,0)</f>
        <v>unid</v>
      </c>
      <c r="H552" s="483">
        <v>1</v>
      </c>
      <c r="I552" s="483">
        <v>1</v>
      </c>
      <c r="J552" s="485">
        <f t="shared" si="145"/>
        <v>1750</v>
      </c>
      <c r="K552" s="485">
        <f>IF(A552=0,VLOOKUP(D552,'03. Insumos'!A:F,4,0),"")</f>
        <v>1750</v>
      </c>
      <c r="L552" s="485">
        <f t="shared" si="146"/>
        <v>1750</v>
      </c>
      <c r="M552" s="153">
        <f t="shared" ca="1" si="139"/>
        <v>3.1063738777914914E-3</v>
      </c>
      <c r="O552" s="512">
        <f t="shared" si="142"/>
        <v>1750</v>
      </c>
      <c r="R552" s="487"/>
    </row>
    <row r="553" spans="1:18" s="486" customFormat="1" outlineLevel="1" x14ac:dyDescent="0.3">
      <c r="A553" s="290">
        <f t="shared" si="144"/>
        <v>0</v>
      </c>
      <c r="B553" s="480"/>
      <c r="C553" s="480"/>
      <c r="D553" s="370" t="s">
        <v>5532</v>
      </c>
      <c r="E553" s="67" t="str">
        <f>VLOOKUP(D553,'03. Insumos'!A:D,2,0)</f>
        <v>Cabide Linha Clean, Cromado - Deca, Ref.: 2060.C.CLN</v>
      </c>
      <c r="F553" s="482" t="s">
        <v>5218</v>
      </c>
      <c r="G553" s="482" t="str">
        <f>VLOOKUP(D553,'03. Insumos'!A:F,3,0)</f>
        <v>unid</v>
      </c>
      <c r="H553" s="483">
        <v>1</v>
      </c>
      <c r="I553" s="483">
        <v>1</v>
      </c>
      <c r="J553" s="485">
        <f t="shared" si="145"/>
        <v>189.86</v>
      </c>
      <c r="K553" s="485">
        <f>IF(A553=0,VLOOKUP(D553,'03. Insumos'!A:F,4,0),"")</f>
        <v>189.86</v>
      </c>
      <c r="L553" s="485">
        <f t="shared" si="146"/>
        <v>189.86</v>
      </c>
      <c r="M553" s="153">
        <f t="shared" ca="1" si="139"/>
        <v>3.3701493967856717E-4</v>
      </c>
      <c r="O553" s="512">
        <f t="shared" si="142"/>
        <v>189.86</v>
      </c>
      <c r="R553" s="487"/>
    </row>
    <row r="554" spans="1:18" s="486" customFormat="1" outlineLevel="1" x14ac:dyDescent="0.3">
      <c r="A554" s="290">
        <f t="shared" si="144"/>
        <v>0</v>
      </c>
      <c r="B554" s="480"/>
      <c r="C554" s="480"/>
      <c r="D554" s="370" t="s">
        <v>5533</v>
      </c>
      <c r="E554" s="67" t="str">
        <f>VLOOKUP(D554,'03. Insumos'!A:D,2,0)</f>
        <v>Cabide Linha Disco, Cromado Deca, Ref . 2060.C.DSC (2un)</v>
      </c>
      <c r="F554" s="482" t="s">
        <v>5218</v>
      </c>
      <c r="G554" s="482" t="str">
        <f>VLOOKUP(D554,'03. Insumos'!A:F,3,0)</f>
        <v>unid</v>
      </c>
      <c r="H554" s="483">
        <v>1</v>
      </c>
      <c r="I554" s="483">
        <v>2</v>
      </c>
      <c r="J554" s="485">
        <f t="shared" si="145"/>
        <v>121.185</v>
      </c>
      <c r="K554" s="485">
        <f>IF(A554=0,VLOOKUP(D554,'03. Insumos'!A:F,4,0),"")</f>
        <v>121.185</v>
      </c>
      <c r="L554" s="485">
        <f t="shared" si="146"/>
        <v>242.37</v>
      </c>
      <c r="M554" s="153">
        <f t="shared" ca="1" si="139"/>
        <v>4.3022390672018497E-4</v>
      </c>
      <c r="O554" s="512">
        <f t="shared" si="142"/>
        <v>242.37</v>
      </c>
      <c r="R554" s="487">
        <f>IF(J554&lt;&gt;0,J554/1.03-K554,0)</f>
        <v>-3.5296601941747667</v>
      </c>
    </row>
    <row r="555" spans="1:18" s="486" customFormat="1" outlineLevel="1" x14ac:dyDescent="0.3">
      <c r="A555" s="290">
        <f t="shared" si="144"/>
        <v>0</v>
      </c>
      <c r="B555" s="480"/>
      <c r="C555" s="480"/>
      <c r="D555" s="370" t="s">
        <v>5534</v>
      </c>
      <c r="E555" s="67" t="str">
        <f>VLOOKUP(D555,'03. Insumos'!A:D,2,0)</f>
        <v>Canopla para Bacia com Saida Horizental - Branco Gelo - CH.01.17</v>
      </c>
      <c r="F555" s="482" t="s">
        <v>5218</v>
      </c>
      <c r="G555" s="482" t="str">
        <f>VLOOKUP(D555,'03. Insumos'!A:F,3,0)</f>
        <v>unid</v>
      </c>
      <c r="H555" s="483">
        <v>1</v>
      </c>
      <c r="I555" s="483">
        <v>1</v>
      </c>
      <c r="J555" s="485">
        <f t="shared" si="145"/>
        <v>34.53</v>
      </c>
      <c r="K555" s="485">
        <f>IF(A555=0,VLOOKUP(D555,'03. Insumos'!A:F,4,0),"")</f>
        <v>34.53</v>
      </c>
      <c r="L555" s="485">
        <f t="shared" si="146"/>
        <v>34.53</v>
      </c>
      <c r="M555" s="153">
        <f t="shared" ca="1" si="139"/>
        <v>6.12931942857944E-5</v>
      </c>
      <c r="O555" s="512">
        <f t="shared" si="142"/>
        <v>34.53</v>
      </c>
      <c r="R555" s="487">
        <f>IF(J555&lt;&gt;0,J555/1.03-K555,0)</f>
        <v>-1.0057281553398099</v>
      </c>
    </row>
    <row r="556" spans="1:18" s="51" customFormat="1" ht="13.5" customHeight="1" outlineLevel="1" x14ac:dyDescent="0.3">
      <c r="A556" s="290">
        <f t="shared" si="144"/>
        <v>0</v>
      </c>
      <c r="B556" s="49"/>
      <c r="C556" s="49"/>
      <c r="D556" s="370" t="s">
        <v>5535</v>
      </c>
      <c r="E556" s="67" t="str">
        <f>VLOOKUP(D556,'03. Insumos'!A:D,2,0)</f>
        <v>Chuveiro 1990.C.TET.QUA</v>
      </c>
      <c r="F556" s="482" t="s">
        <v>5218</v>
      </c>
      <c r="G556" s="68" t="str">
        <f>VLOOKUP(D556,'03. Insumos'!A:F,3,0)</f>
        <v>unid</v>
      </c>
      <c r="H556" s="483">
        <v>1</v>
      </c>
      <c r="I556" s="483">
        <v>1</v>
      </c>
      <c r="J556" s="70">
        <f t="shared" si="145"/>
        <v>1599</v>
      </c>
      <c r="K556" s="70">
        <f>IF(A556=0,VLOOKUP(D556,'03. Insumos'!A:F,4,0),"")</f>
        <v>1599</v>
      </c>
      <c r="L556" s="70">
        <f t="shared" si="146"/>
        <v>1599</v>
      </c>
      <c r="M556" s="153">
        <f t="shared" ca="1" si="139"/>
        <v>2.838338188907768E-3</v>
      </c>
      <c r="O556" s="148"/>
      <c r="R556" s="12"/>
    </row>
    <row r="557" spans="1:18" s="51" customFormat="1" ht="13.5" customHeight="1" outlineLevel="1" x14ac:dyDescent="0.3">
      <c r="A557" s="290">
        <f t="shared" si="144"/>
        <v>0</v>
      </c>
      <c r="B557" s="49"/>
      <c r="C557" s="49"/>
      <c r="D557" s="370" t="s">
        <v>5536</v>
      </c>
      <c r="E557" s="67" t="str">
        <f>VLOOKUP(D557,'03. Insumos'!A:D,2,0)</f>
        <v>Chuveiro de Teto Linha Max, Cromado – Deca, Ref.: 1977.C.CT</v>
      </c>
      <c r="F557" s="482" t="s">
        <v>5218</v>
      </c>
      <c r="G557" s="68" t="str">
        <f>VLOOKUP(D557,'03. Insumos'!A:F,3,0)</f>
        <v>unid</v>
      </c>
      <c r="H557" s="483">
        <v>1</v>
      </c>
      <c r="I557" s="483">
        <v>1</v>
      </c>
      <c r="J557" s="70">
        <f t="shared" si="145"/>
        <v>171.6</v>
      </c>
      <c r="K557" s="70">
        <f>IF(A557=0,VLOOKUP(D557,'03. Insumos'!A:F,4,0),"")</f>
        <v>171.6</v>
      </c>
      <c r="L557" s="70">
        <f t="shared" si="146"/>
        <v>171.6</v>
      </c>
      <c r="M557" s="153">
        <f t="shared" ca="1" si="139"/>
        <v>3.0460214710229709E-4</v>
      </c>
      <c r="O557" s="148"/>
      <c r="R557" s="12"/>
    </row>
    <row r="558" spans="1:18" s="51" customFormat="1" ht="13.5" customHeight="1" outlineLevel="1" x14ac:dyDescent="0.3">
      <c r="A558" s="290">
        <f t="shared" si="144"/>
        <v>0</v>
      </c>
      <c r="B558" s="49"/>
      <c r="C558" s="49"/>
      <c r="D558" s="370" t="s">
        <v>5537</v>
      </c>
      <c r="E558" s="67" t="str">
        <f>VLOOKUP(D558,'03. Insumos'!A:D,2,0)</f>
        <v>Cuba de Embutir Retangular Deca Branco – 2un Ref. L.1061.17</v>
      </c>
      <c r="F558" s="482" t="s">
        <v>5218</v>
      </c>
      <c r="G558" s="68" t="str">
        <f>VLOOKUP(D558,'03. Insumos'!A:F,3,0)</f>
        <v>unid</v>
      </c>
      <c r="H558" s="483">
        <v>1</v>
      </c>
      <c r="I558" s="483">
        <v>2</v>
      </c>
      <c r="J558" s="70">
        <f t="shared" si="145"/>
        <v>555.21</v>
      </c>
      <c r="K558" s="70">
        <f>IF(A558=0,VLOOKUP(D558,'03. Insumos'!A:F,4,0),"")</f>
        <v>555.21</v>
      </c>
      <c r="L558" s="70">
        <f t="shared" si="146"/>
        <v>1110.42</v>
      </c>
      <c r="M558" s="153">
        <f t="shared" ca="1" si="139"/>
        <v>1.9710741036441303E-3</v>
      </c>
      <c r="O558" s="148">
        <f>IF(I558&lt;&gt;0,I558*H558*K558,)</f>
        <v>1110.42</v>
      </c>
      <c r="R558" s="12">
        <f>IF(J558&lt;&gt;0,J558/1.03-K558,0)</f>
        <v>-16.171165048543685</v>
      </c>
    </row>
    <row r="559" spans="1:18" s="51" customFormat="1" ht="13.5" customHeight="1" outlineLevel="1" x14ac:dyDescent="0.3">
      <c r="A559" s="290">
        <f t="shared" si="144"/>
        <v>0</v>
      </c>
      <c r="B559" s="49"/>
      <c r="C559" s="49"/>
      <c r="D559" s="370" t="s">
        <v>5538</v>
      </c>
      <c r="E559" s="67" t="str">
        <f>VLOOKUP(D559,'03. Insumos'!A:D,2,0)</f>
        <v>CUBA DECA DE APOIO REDONDA BRANCA L.55.17</v>
      </c>
      <c r="F559" s="482" t="s">
        <v>5218</v>
      </c>
      <c r="G559" s="68" t="str">
        <f>VLOOKUP(D559,'03. Insumos'!A:F,3,0)</f>
        <v>unid</v>
      </c>
      <c r="H559" s="483">
        <v>1</v>
      </c>
      <c r="I559" s="483">
        <v>1</v>
      </c>
      <c r="J559" s="70">
        <f t="shared" si="145"/>
        <v>430.36</v>
      </c>
      <c r="K559" s="70">
        <f>IF(A559=0,VLOOKUP(D559,'03. Insumos'!A:F,4,0),"")</f>
        <v>430.36</v>
      </c>
      <c r="L559" s="70">
        <f t="shared" si="146"/>
        <v>430.36</v>
      </c>
      <c r="M559" s="153">
        <f t="shared" ca="1" si="139"/>
        <v>7.6391946402648353E-4</v>
      </c>
      <c r="O559" s="148">
        <f>IF(I559&lt;&gt;0,I559*H559*K559,)</f>
        <v>430.36</v>
      </c>
      <c r="R559" s="12">
        <f>IF(J559&lt;&gt;0,J559/1.03-K559,0)</f>
        <v>-12.534757281553425</v>
      </c>
    </row>
    <row r="560" spans="1:18" s="51" customFormat="1" ht="13.5" customHeight="1" outlineLevel="1" x14ac:dyDescent="0.3">
      <c r="A560" s="290">
        <f t="shared" si="144"/>
        <v>0</v>
      </c>
      <c r="B560" s="49"/>
      <c r="C560" s="49"/>
      <c r="D560" s="370" t="s">
        <v>5539</v>
      </c>
      <c r="E560" s="67" t="str">
        <f>VLOOKUP(D560,'03. Insumos'!A:D,2,0)</f>
        <v>DOCOL DE APOIO RETANGULAR 500X400X130</v>
      </c>
      <c r="F560" s="482" t="s">
        <v>5218</v>
      </c>
      <c r="G560" s="68" t="str">
        <f>VLOOKUP(D560,'03. Insumos'!A:F,3,0)</f>
        <v>unid</v>
      </c>
      <c r="H560" s="483">
        <v>1</v>
      </c>
      <c r="I560" s="483">
        <v>1</v>
      </c>
      <c r="J560" s="70">
        <f t="shared" si="145"/>
        <v>1402.2</v>
      </c>
      <c r="K560" s="70">
        <f>IF(A560=0,VLOOKUP(D560,'03. Insumos'!A:F,4,0),"")</f>
        <v>1402.2</v>
      </c>
      <c r="L560" s="70">
        <f t="shared" si="146"/>
        <v>1402.2</v>
      </c>
      <c r="M560" s="153">
        <f t="shared" ca="1" si="139"/>
        <v>2.4890042579652737E-3</v>
      </c>
      <c r="O560" s="148">
        <f>IF(I560&lt;&gt;0,I560*H560*K560,)</f>
        <v>1402.2</v>
      </c>
      <c r="R560" s="12">
        <f>IF(J560&lt;&gt;0,J560/1.03-K560,0)</f>
        <v>-40.84077669902922</v>
      </c>
    </row>
    <row r="561" spans="1:18" s="51" customFormat="1" ht="13.5" customHeight="1" outlineLevel="1" x14ac:dyDescent="0.3">
      <c r="A561" s="290">
        <f t="shared" si="144"/>
        <v>0</v>
      </c>
      <c r="B561" s="49"/>
      <c r="C561" s="49"/>
      <c r="D561" s="370" t="s">
        <v>5540</v>
      </c>
      <c r="E561" s="67" t="str">
        <f>VLOOKUP(D561,'03. Insumos'!A:D,2,0)</f>
        <v>Ducha higiênica com registro e derivação, Linha Disco, Cromado – Deca, Ref.: 1984.C.DSC.ACT.CR</v>
      </c>
      <c r="F561" s="482" t="s">
        <v>5218</v>
      </c>
      <c r="G561" s="68" t="str">
        <f>VLOOKUP(D561,'03. Insumos'!A:F,3,0)</f>
        <v>unid</v>
      </c>
      <c r="H561" s="483">
        <v>1</v>
      </c>
      <c r="I561" s="483">
        <v>1</v>
      </c>
      <c r="J561" s="70">
        <f t="shared" si="145"/>
        <v>558</v>
      </c>
      <c r="K561" s="70">
        <f>IF(A561=0,VLOOKUP(D561,'03. Insumos'!A:F,4,0),"")</f>
        <v>558</v>
      </c>
      <c r="L561" s="70">
        <f t="shared" si="146"/>
        <v>558</v>
      </c>
      <c r="M561" s="153">
        <f t="shared" ca="1" si="139"/>
        <v>9.9048949931865825E-4</v>
      </c>
      <c r="O561" s="148">
        <f>IF(I561&lt;&gt;0,I561*H561*K561,)</f>
        <v>558</v>
      </c>
      <c r="R561" s="12">
        <f>IF(J561&lt;&gt;0,J561/1.03-K561,0)</f>
        <v>-16.252427184466001</v>
      </c>
    </row>
    <row r="562" spans="1:18" s="486" customFormat="1" outlineLevel="1" x14ac:dyDescent="0.3">
      <c r="A562" s="290">
        <f t="shared" si="144"/>
        <v>0</v>
      </c>
      <c r="B562" s="480"/>
      <c r="C562" s="480"/>
      <c r="D562" s="370" t="s">
        <v>5541</v>
      </c>
      <c r="E562" s="67" t="str">
        <f>VLOOKUP(D562,'03. Insumos'!A:D,2,0)</f>
        <v>Ducha higiênica com registro e derivação, Linha Polo, Cromado - Deca, Ref.: 1984.C33.ACT.CR</v>
      </c>
      <c r="F562" s="482" t="s">
        <v>5218</v>
      </c>
      <c r="G562" s="482" t="str">
        <f>VLOOKUP(D562,'03. Insumos'!A:F,3,0)</f>
        <v>unid</v>
      </c>
      <c r="H562" s="483">
        <v>1</v>
      </c>
      <c r="I562" s="483">
        <v>2</v>
      </c>
      <c r="J562" s="485">
        <f t="shared" si="145"/>
        <v>411.87</v>
      </c>
      <c r="K562" s="485">
        <f>IF(A562=0,VLOOKUP(D562,'03. Insumos'!A:F,4,0),"")</f>
        <v>411.87</v>
      </c>
      <c r="L562" s="485">
        <f t="shared" si="146"/>
        <v>823.74</v>
      </c>
      <c r="M562" s="153">
        <f t="shared" ca="1" si="139"/>
        <v>1.4621968103382646E-3</v>
      </c>
      <c r="O562" s="512">
        <f t="shared" si="142"/>
        <v>823.74</v>
      </c>
      <c r="R562" s="487"/>
    </row>
    <row r="563" spans="1:18" s="486" customFormat="1" outlineLevel="1" x14ac:dyDescent="0.3">
      <c r="A563" s="290">
        <f t="shared" si="144"/>
        <v>0</v>
      </c>
      <c r="B563" s="480"/>
      <c r="C563" s="480"/>
      <c r="D563" s="370" t="s">
        <v>5542</v>
      </c>
      <c r="E563" s="67" t="str">
        <f>VLOOKUP(D563,'03. Insumos'!A:D,2,0)</f>
        <v>Estabilizador para Lavatório - SP.9.01</v>
      </c>
      <c r="F563" s="482" t="s">
        <v>5218</v>
      </c>
      <c r="G563" s="482" t="str">
        <f>VLOOKUP(D563,'03. Insumos'!A:F,3,0)</f>
        <v>unid</v>
      </c>
      <c r="H563" s="483">
        <v>1</v>
      </c>
      <c r="I563" s="483">
        <v>1</v>
      </c>
      <c r="J563" s="485">
        <f t="shared" si="145"/>
        <v>21.73</v>
      </c>
      <c r="K563" s="485">
        <f>IF(A563=0,VLOOKUP(D563,'03. Insumos'!A:F,4,0),"")</f>
        <v>21.73</v>
      </c>
      <c r="L563" s="485">
        <f t="shared" si="146"/>
        <v>21.73</v>
      </c>
      <c r="M563" s="153">
        <f t="shared" ca="1" si="139"/>
        <v>3.8572288208233777E-5</v>
      </c>
      <c r="O563" s="512">
        <f t="shared" si="142"/>
        <v>21.73</v>
      </c>
      <c r="R563" s="487"/>
    </row>
    <row r="564" spans="1:18" s="486" customFormat="1" outlineLevel="1" x14ac:dyDescent="0.3">
      <c r="A564" s="290">
        <f t="shared" si="144"/>
        <v>0</v>
      </c>
      <c r="B564" s="480"/>
      <c r="C564" s="480"/>
      <c r="D564" s="370" t="s">
        <v>5543</v>
      </c>
      <c r="E564" s="67" t="str">
        <f>VLOOKUP(D564,'03. Insumos'!A:D,2,0)</f>
        <v>Fixação para Bacia/Bide Supenso SP.132.01</v>
      </c>
      <c r="F564" s="482" t="s">
        <v>5218</v>
      </c>
      <c r="G564" s="482" t="str">
        <f>VLOOKUP(D564,'03. Insumos'!A:F,3,0)</f>
        <v>unid</v>
      </c>
      <c r="H564" s="483">
        <v>1</v>
      </c>
      <c r="I564" s="483">
        <v>1</v>
      </c>
      <c r="J564" s="485">
        <f t="shared" si="145"/>
        <v>607.05999999999995</v>
      </c>
      <c r="K564" s="485">
        <f>IF(A564=0,VLOOKUP(D564,'03. Insumos'!A:F,4,0),"")</f>
        <v>607.05999999999995</v>
      </c>
      <c r="L564" s="485">
        <f t="shared" si="146"/>
        <v>607.05999999999995</v>
      </c>
      <c r="M564" s="153">
        <f t="shared" ca="1" si="139"/>
        <v>1.0775744721440586E-3</v>
      </c>
      <c r="O564" s="512">
        <f t="shared" si="142"/>
        <v>607.05999999999995</v>
      </c>
      <c r="R564" s="487"/>
    </row>
    <row r="565" spans="1:18" s="486" customFormat="1" outlineLevel="1" x14ac:dyDescent="0.3">
      <c r="A565" s="290">
        <f t="shared" si="144"/>
        <v>0</v>
      </c>
      <c r="B565" s="480"/>
      <c r="C565" s="480"/>
      <c r="D565" s="370" t="s">
        <v>5544</v>
      </c>
      <c r="E565" s="67" t="str">
        <f>VLOOKUP(D565,'03. Insumos'!A:D,2,0)</f>
        <v>KIT DE COMPLETO COM  DESVIADOR E DUCHA MANUAL – 1990.C.STD.KIT</v>
      </c>
      <c r="F565" s="482" t="s">
        <v>5218</v>
      </c>
      <c r="G565" s="482" t="str">
        <f>VLOOKUP(D565,'03. Insumos'!A:F,3,0)</f>
        <v>unid</v>
      </c>
      <c r="H565" s="483">
        <v>1</v>
      </c>
      <c r="I565" s="483">
        <v>1</v>
      </c>
      <c r="J565" s="485">
        <f t="shared" si="145"/>
        <v>756.21</v>
      </c>
      <c r="K565" s="485">
        <f>IF(A565=0,VLOOKUP(D565,'03. Insumos'!A:F,4,0),"")</f>
        <v>756.21</v>
      </c>
      <c r="L565" s="485">
        <f t="shared" si="146"/>
        <v>756.21</v>
      </c>
      <c r="M565" s="153">
        <f t="shared" ca="1" si="139"/>
        <v>1.3423262800712592E-3</v>
      </c>
      <c r="O565" s="512">
        <f t="shared" si="142"/>
        <v>756.21</v>
      </c>
      <c r="R565" s="487">
        <f>IF(J565&lt;&gt;0,J565/1.03-K565,0)</f>
        <v>-22.025533980582509</v>
      </c>
    </row>
    <row r="566" spans="1:18" s="486" customFormat="1" outlineLevel="1" x14ac:dyDescent="0.3">
      <c r="A566" s="290">
        <f t="shared" si="144"/>
        <v>0</v>
      </c>
      <c r="B566" s="480"/>
      <c r="C566" s="480"/>
      <c r="D566" s="370" t="s">
        <v>5545</v>
      </c>
      <c r="E566" s="67" t="str">
        <f>VLOOKUP(D566,'03. Insumos'!A:D,2,0)</f>
        <v>Kit de Instalação para Bacia Convencional Fixação Lateral - Cromado 1201.C.KIT.P</v>
      </c>
      <c r="F566" s="482" t="s">
        <v>5218</v>
      </c>
      <c r="G566" s="482" t="str">
        <f>VLOOKUP(D566,'03. Insumos'!A:F,3,0)</f>
        <v>unid</v>
      </c>
      <c r="H566" s="483">
        <v>1</v>
      </c>
      <c r="I566" s="483">
        <v>2</v>
      </c>
      <c r="J566" s="485">
        <f t="shared" si="145"/>
        <v>183.6</v>
      </c>
      <c r="K566" s="485">
        <f>IF(A566=0,VLOOKUP(D566,'03. Insumos'!A:F,4,0),"")</f>
        <v>183.6</v>
      </c>
      <c r="L566" s="485">
        <f t="shared" si="146"/>
        <v>367.2</v>
      </c>
      <c r="M566" s="153">
        <f t="shared" ca="1" si="139"/>
        <v>6.5180599310002028E-4</v>
      </c>
      <c r="O566" s="512">
        <f t="shared" si="142"/>
        <v>367.2</v>
      </c>
      <c r="R566" s="487">
        <f>IF(J566&lt;&gt;0,J566/1.03-K566,0)</f>
        <v>-5.3475728155339937</v>
      </c>
    </row>
    <row r="567" spans="1:18" s="51" customFormat="1" ht="13.5" customHeight="1" outlineLevel="1" x14ac:dyDescent="0.3">
      <c r="A567" s="290">
        <f t="shared" si="144"/>
        <v>0</v>
      </c>
      <c r="B567" s="49"/>
      <c r="C567" s="49"/>
      <c r="D567" s="370" t="s">
        <v>5546</v>
      </c>
      <c r="E567" s="67" t="str">
        <f>VLOOKUP(D567,'03. Insumos'!A:D,2,0)</f>
        <v>Lavatório Linha Izy , Branco Deca, Ref.: L.915.17</v>
      </c>
      <c r="F567" s="482" t="s">
        <v>5218</v>
      </c>
      <c r="G567" s="68" t="str">
        <f>VLOOKUP(D567,'03. Insumos'!A:F,3,0)</f>
        <v>unid</v>
      </c>
      <c r="H567" s="483">
        <v>1</v>
      </c>
      <c r="I567" s="483">
        <v>1</v>
      </c>
      <c r="J567" s="70">
        <f t="shared" si="145"/>
        <v>76.89</v>
      </c>
      <c r="K567" s="70">
        <f>IF(A567=0,VLOOKUP(D567,'03. Insumos'!A:F,4,0),"")</f>
        <v>76.89</v>
      </c>
      <c r="L567" s="70">
        <f t="shared" si="146"/>
        <v>76.89</v>
      </c>
      <c r="M567" s="153">
        <f t="shared" ca="1" si="139"/>
        <v>1.3648519283622156E-4</v>
      </c>
      <c r="O567" s="148"/>
      <c r="R567" s="12"/>
    </row>
    <row r="568" spans="1:18" s="51" customFormat="1" ht="13.5" customHeight="1" outlineLevel="1" x14ac:dyDescent="0.3">
      <c r="A568" s="290">
        <f t="shared" si="144"/>
        <v>0</v>
      </c>
      <c r="B568" s="49"/>
      <c r="C568" s="49"/>
      <c r="D568" s="370" t="s">
        <v>5547</v>
      </c>
      <c r="E568" s="67" t="str">
        <f>VLOOKUP(D568,'03. Insumos'!A:D,2,0)</f>
        <v>Ligação Flexivel Malha de Aço 40 cm - cromado - 4607.C.040</v>
      </c>
      <c r="F568" s="482" t="s">
        <v>5218</v>
      </c>
      <c r="G568" s="68" t="str">
        <f>VLOOKUP(D568,'03. Insumos'!A:F,3,0)</f>
        <v>unid</v>
      </c>
      <c r="H568" s="483">
        <v>1</v>
      </c>
      <c r="I568" s="483">
        <v>8</v>
      </c>
      <c r="J568" s="70">
        <f t="shared" si="145"/>
        <v>28.69</v>
      </c>
      <c r="K568" s="70">
        <f>IF(A568=0,VLOOKUP(D568,'03. Insumos'!A:F,4,0),"")</f>
        <v>28.69</v>
      </c>
      <c r="L568" s="70">
        <f t="shared" si="146"/>
        <v>229.52</v>
      </c>
      <c r="M568" s="153">
        <f t="shared" ca="1" si="139"/>
        <v>4.074142471032589E-4</v>
      </c>
      <c r="O568" s="148"/>
      <c r="R568" s="12"/>
    </row>
    <row r="569" spans="1:18" s="51" customFormat="1" ht="13.5" customHeight="1" outlineLevel="1" x14ac:dyDescent="0.3">
      <c r="A569" s="290">
        <f t="shared" si="144"/>
        <v>0</v>
      </c>
      <c r="B569" s="49"/>
      <c r="C569" s="49"/>
      <c r="D569" s="370" t="s">
        <v>5548</v>
      </c>
      <c r="E569" s="67" t="str">
        <f>VLOOKUP(D569,'03. Insumos'!A:D,2,0)</f>
        <v>Linha Hydra Max, Cromado – Deca, Ref.: 4900.C.PRO</v>
      </c>
      <c r="F569" s="482" t="s">
        <v>5218</v>
      </c>
      <c r="G569" s="68" t="str">
        <f>VLOOKUP(D569,'03. Insumos'!A:F,3,0)</f>
        <v>unid</v>
      </c>
      <c r="H569" s="483">
        <v>1</v>
      </c>
      <c r="I569" s="483">
        <v>1</v>
      </c>
      <c r="J569" s="70">
        <f t="shared" si="145"/>
        <v>284.44</v>
      </c>
      <c r="K569" s="70">
        <f>IF(A569=0,VLOOKUP(D569,'03. Insumos'!A:F,4,0),"")</f>
        <v>284.44</v>
      </c>
      <c r="L569" s="70">
        <f t="shared" si="146"/>
        <v>284.44</v>
      </c>
      <c r="M569" s="153">
        <f t="shared" ca="1" si="139"/>
        <v>5.0490113474229239E-4</v>
      </c>
      <c r="O569" s="148">
        <f>IF(I569&lt;&gt;0,I569*H569*K569,)</f>
        <v>284.44</v>
      </c>
      <c r="R569" s="12">
        <f>IF(J569&lt;&gt;0,J569/1.03-K569,0)</f>
        <v>-8.2846601941747622</v>
      </c>
    </row>
    <row r="570" spans="1:18" s="51" customFormat="1" ht="13.5" customHeight="1" outlineLevel="1" x14ac:dyDescent="0.3">
      <c r="A570" s="290">
        <f t="shared" si="144"/>
        <v>0</v>
      </c>
      <c r="B570" s="49"/>
      <c r="C570" s="49"/>
      <c r="D570" s="370" t="s">
        <v>5549</v>
      </c>
      <c r="E570" s="67" t="str">
        <f>VLOOKUP(D570,'03. Insumos'!A:D,2,0)</f>
        <v>Linha Ravena, Branca – Deca, Ref.: P.90.17</v>
      </c>
      <c r="F570" s="482" t="s">
        <v>5218</v>
      </c>
      <c r="G570" s="68" t="str">
        <f>VLOOKUP(D570,'03. Insumos'!A:F,3,0)</f>
        <v>unid</v>
      </c>
      <c r="H570" s="483">
        <v>1</v>
      </c>
      <c r="I570" s="483">
        <v>1</v>
      </c>
      <c r="J570" s="70">
        <f t="shared" si="145"/>
        <v>299.89999999999998</v>
      </c>
      <c r="K570" s="70">
        <f>IF(A570=0,VLOOKUP(D570,'03. Insumos'!A:F,4,0),"")</f>
        <v>299.89999999999998</v>
      </c>
      <c r="L570" s="70">
        <f t="shared" si="146"/>
        <v>299.89999999999998</v>
      </c>
      <c r="M570" s="153">
        <f t="shared" ca="1" si="139"/>
        <v>5.3234372911409604E-4</v>
      </c>
      <c r="O570" s="148">
        <f>IF(I570&lt;&gt;0,I570*H570*K570,)</f>
        <v>299.89999999999998</v>
      </c>
      <c r="R570" s="12">
        <f>IF(J570&lt;&gt;0,J570/1.03-K570,0)</f>
        <v>-8.7349514563106823</v>
      </c>
    </row>
    <row r="571" spans="1:18" s="51" customFormat="1" ht="13.5" customHeight="1" outlineLevel="1" x14ac:dyDescent="0.3">
      <c r="A571" s="290">
        <f t="shared" si="144"/>
        <v>0</v>
      </c>
      <c r="B571" s="49"/>
      <c r="C571" s="49"/>
      <c r="D571" s="370" t="s">
        <v>5550</v>
      </c>
      <c r="E571" s="67" t="str">
        <f>VLOOKUP(D571,'03. Insumos'!A:D,2,0)</f>
        <v>Misturador de mesa bica alta para lavatório, Linha Polo, Cromado – Deca, Ref.: 1877.C33</v>
      </c>
      <c r="F571" s="482" t="s">
        <v>5218</v>
      </c>
      <c r="G571" s="68" t="str">
        <f>VLOOKUP(D571,'03. Insumos'!A:F,3,0)</f>
        <v>unid</v>
      </c>
      <c r="H571" s="483">
        <v>1</v>
      </c>
      <c r="I571" s="483">
        <v>1</v>
      </c>
      <c r="J571" s="70">
        <f t="shared" si="145"/>
        <v>1726.6</v>
      </c>
      <c r="K571" s="70">
        <f>IF(A571=0,VLOOKUP(D571,'03. Insumos'!A:F,4,0),"")</f>
        <v>1726.6</v>
      </c>
      <c r="L571" s="70">
        <f t="shared" si="146"/>
        <v>1726.6</v>
      </c>
      <c r="M571" s="153">
        <f t="shared" ca="1" si="139"/>
        <v>3.0648372213684504E-3</v>
      </c>
      <c r="O571" s="148">
        <f>IF(I571&lt;&gt;0,I571*H571*K571,)</f>
        <v>1726.6</v>
      </c>
      <c r="R571" s="12">
        <f>IF(J571&lt;&gt;0,J571/1.03-K571,0)</f>
        <v>-50.289320388349552</v>
      </c>
    </row>
    <row r="572" spans="1:18" s="51" customFormat="1" ht="13.5" customHeight="1" outlineLevel="1" x14ac:dyDescent="0.3">
      <c r="A572" s="290">
        <f t="shared" si="144"/>
        <v>0</v>
      </c>
      <c r="B572" s="49"/>
      <c r="C572" s="49"/>
      <c r="D572" s="370" t="s">
        <v>5551</v>
      </c>
      <c r="E572" s="67" t="str">
        <f>VLOOKUP(D572,'03. Insumos'!A:D,2,0)</f>
        <v>Misturador de Parede para Lavatório, Linha Polo, Cromado – Deca, Ref.: 1878.C33</v>
      </c>
      <c r="F572" s="482" t="s">
        <v>5218</v>
      </c>
      <c r="G572" s="68" t="str">
        <f>VLOOKUP(D572,'03. Insumos'!A:F,3,0)</f>
        <v>unid</v>
      </c>
      <c r="H572" s="483">
        <v>1</v>
      </c>
      <c r="I572" s="483">
        <v>1</v>
      </c>
      <c r="J572" s="70">
        <f t="shared" si="145"/>
        <v>1567.8880000000001</v>
      </c>
      <c r="K572" s="70">
        <f>IF(A572=0,VLOOKUP(D572,'03. Insumos'!A:F,4,0),"")</f>
        <v>1567.8880000000001</v>
      </c>
      <c r="L572" s="70">
        <f t="shared" si="146"/>
        <v>1567.8880000000001</v>
      </c>
      <c r="M572" s="153">
        <f t="shared" ca="1" si="139"/>
        <v>2.7831121865729978E-3</v>
      </c>
      <c r="O572" s="148">
        <f>IF(I572&lt;&gt;0,I572*H572*K572,)</f>
        <v>1567.8880000000001</v>
      </c>
      <c r="R572" s="12">
        <f>IF(J572&lt;&gt;0,J572/1.03-K572,0)</f>
        <v>-45.666640776699069</v>
      </c>
    </row>
    <row r="573" spans="1:18" s="51" customFormat="1" ht="13.5" customHeight="1" outlineLevel="1" x14ac:dyDescent="0.3">
      <c r="A573" s="290">
        <f t="shared" si="144"/>
        <v>0</v>
      </c>
      <c r="B573" s="49"/>
      <c r="C573" s="49"/>
      <c r="D573" s="370" t="s">
        <v>5552</v>
      </c>
      <c r="E573" s="67" t="str">
        <f>VLOOKUP(D573,'03. Insumos'!A:D,2,0)</f>
        <v>Papeleira Linha Clean, Cromado - Deca Ref.: 2020.C.CLN</v>
      </c>
      <c r="F573" s="482" t="s">
        <v>5218</v>
      </c>
      <c r="G573" s="68" t="str">
        <f>VLOOKUP(D573,'03. Insumos'!A:F,3,0)</f>
        <v>unid</v>
      </c>
      <c r="H573" s="483">
        <v>1</v>
      </c>
      <c r="I573" s="483">
        <v>3</v>
      </c>
      <c r="J573" s="70">
        <f t="shared" si="145"/>
        <v>306.95666666666665</v>
      </c>
      <c r="K573" s="70">
        <f>IF(A573=0,VLOOKUP(D573,'03. Insumos'!A:F,4,0),"")</f>
        <v>306.95666666666665</v>
      </c>
      <c r="L573" s="70">
        <f t="shared" si="146"/>
        <v>920.86999999999989</v>
      </c>
      <c r="M573" s="153">
        <f t="shared" ca="1" si="139"/>
        <v>1.6346094359096287E-3</v>
      </c>
      <c r="O573" s="148">
        <f t="shared" ref="O573:O583" si="147">IF(I573&lt;&gt;0,I573*H573*K573,)</f>
        <v>920.86999999999989</v>
      </c>
      <c r="R573" s="12">
        <f t="shared" ref="R573:R577" si="148">IF(J573&lt;&gt;0,J573/1.03-K573,0)</f>
        <v>-8.9404854368931979</v>
      </c>
    </row>
    <row r="574" spans="1:18" s="51" customFormat="1" ht="13.5" customHeight="1" outlineLevel="1" x14ac:dyDescent="0.3">
      <c r="A574" s="290">
        <f t="shared" si="144"/>
        <v>0</v>
      </c>
      <c r="B574" s="49"/>
      <c r="C574" s="49"/>
      <c r="D574" s="370" t="s">
        <v>5553</v>
      </c>
      <c r="E574" s="67" t="str">
        <f>VLOOKUP(D574,'03. Insumos'!A:D,2,0)</f>
        <v>Papeleira Linha Disco, Cromado Deca, Ref . 2020.C.DSC</v>
      </c>
      <c r="F574" s="482" t="s">
        <v>5218</v>
      </c>
      <c r="G574" s="68" t="str">
        <f>VLOOKUP(D574,'03. Insumos'!A:F,3,0)</f>
        <v>unid</v>
      </c>
      <c r="H574" s="483">
        <v>1</v>
      </c>
      <c r="I574" s="483">
        <v>1</v>
      </c>
      <c r="J574" s="70">
        <f t="shared" si="145"/>
        <v>272.62</v>
      </c>
      <c r="K574" s="70">
        <f>IF(A574=0,VLOOKUP(D574,'03. Insumos'!A:F,4,0),"")</f>
        <v>272.62</v>
      </c>
      <c r="L574" s="70">
        <f t="shared" si="146"/>
        <v>272.62</v>
      </c>
      <c r="M574" s="153">
        <f t="shared" ca="1" si="139"/>
        <v>4.8391979803629506E-4</v>
      </c>
      <c r="O574" s="148">
        <f t="shared" si="147"/>
        <v>272.62</v>
      </c>
      <c r="R574" s="12">
        <f t="shared" si="148"/>
        <v>-7.9403883495145919</v>
      </c>
    </row>
    <row r="575" spans="1:18" s="513" customFormat="1" outlineLevel="1" x14ac:dyDescent="0.3">
      <c r="A575" s="478">
        <f t="shared" si="144"/>
        <v>0</v>
      </c>
      <c r="B575" s="481"/>
      <c r="C575" s="481"/>
      <c r="D575" s="370" t="s">
        <v>5554</v>
      </c>
      <c r="E575" s="67" t="str">
        <f>VLOOKUP(D575,'03. Insumos'!A:D,2,0)</f>
        <v>Parafuso para Fiaxação de Lavatorio e Coluna - SP.7.01</v>
      </c>
      <c r="F575" s="482" t="s">
        <v>5218</v>
      </c>
      <c r="G575" s="482" t="str">
        <f>VLOOKUP(D575,'03. Insumos'!A:F,3,0)</f>
        <v>unid</v>
      </c>
      <c r="H575" s="483">
        <v>1</v>
      </c>
      <c r="I575" s="483">
        <v>1</v>
      </c>
      <c r="J575" s="485">
        <f t="shared" si="145"/>
        <v>11.15</v>
      </c>
      <c r="K575" s="485">
        <f>IF(A575=0,VLOOKUP(D575,'03. Insumos'!A:F,4,0),"")</f>
        <v>11.15</v>
      </c>
      <c r="L575" s="485">
        <f t="shared" si="146"/>
        <v>11.15</v>
      </c>
      <c r="M575" s="479">
        <f t="shared" ca="1" si="139"/>
        <v>1.9792039278500072E-5</v>
      </c>
      <c r="O575" s="514">
        <f t="shared" si="147"/>
        <v>11.15</v>
      </c>
      <c r="R575" s="515">
        <f t="shared" si="148"/>
        <v>-0.32475728155339922</v>
      </c>
    </row>
    <row r="576" spans="1:18" s="486" customFormat="1" outlineLevel="1" x14ac:dyDescent="0.3">
      <c r="A576" s="290">
        <f t="shared" si="144"/>
        <v>0</v>
      </c>
      <c r="B576" s="480"/>
      <c r="C576" s="480"/>
      <c r="D576" s="370" t="s">
        <v>5555</v>
      </c>
      <c r="E576" s="67" t="str">
        <f>VLOOKUP(D576,'03. Insumos'!A:D,2,0)</f>
        <v>Porta toalha 30cm Linha Clean, Cromado – Deca Ref.: 2040.C.030.CLN</v>
      </c>
      <c r="F576" s="482" t="s">
        <v>5218</v>
      </c>
      <c r="G576" s="482" t="str">
        <f>VLOOKUP(D576,'03. Insumos'!A:F,3,0)</f>
        <v>unid</v>
      </c>
      <c r="H576" s="483">
        <v>1</v>
      </c>
      <c r="I576" s="483">
        <v>2</v>
      </c>
      <c r="J576" s="485">
        <f t="shared" si="145"/>
        <v>476.57499999999999</v>
      </c>
      <c r="K576" s="485">
        <f>IF(A576=0,VLOOKUP(D576,'03. Insumos'!A:F,4,0),"")</f>
        <v>476.57499999999999</v>
      </c>
      <c r="L576" s="485">
        <f t="shared" si="146"/>
        <v>953.15</v>
      </c>
      <c r="M576" s="153">
        <f t="shared" ca="1" si="139"/>
        <v>1.691908720923977E-3</v>
      </c>
      <c r="O576" s="512">
        <f t="shared" si="147"/>
        <v>953.15</v>
      </c>
      <c r="R576" s="487">
        <f t="shared" si="148"/>
        <v>-13.880825242718458</v>
      </c>
    </row>
    <row r="577" spans="1:18" s="486" customFormat="1" outlineLevel="1" x14ac:dyDescent="0.3">
      <c r="A577" s="290">
        <f t="shared" si="144"/>
        <v>0</v>
      </c>
      <c r="B577" s="480"/>
      <c r="C577" s="480"/>
      <c r="D577" s="370" t="s">
        <v>5556</v>
      </c>
      <c r="E577" s="67" t="str">
        <f>VLOOKUP(D577,'03. Insumos'!A:D,2,0)</f>
        <v>Porta toalha 60cm Linha Clean, Cromado – Deca Ref.: 2040.C.060.CLN</v>
      </c>
      <c r="F577" s="482" t="s">
        <v>5218</v>
      </c>
      <c r="G577" s="482" t="str">
        <f>VLOOKUP(D577,'03. Insumos'!A:F,3,0)</f>
        <v>unid</v>
      </c>
      <c r="H577" s="483">
        <v>1</v>
      </c>
      <c r="I577" s="483">
        <v>4</v>
      </c>
      <c r="J577" s="485">
        <f t="shared" si="145"/>
        <v>880.91</v>
      </c>
      <c r="K577" s="485">
        <f>IF(A577=0,VLOOKUP(D577,'03. Insumos'!A:F,4,0),"")</f>
        <v>880.91</v>
      </c>
      <c r="L577" s="485">
        <f t="shared" si="146"/>
        <v>3523.64</v>
      </c>
      <c r="M577" s="153">
        <f t="shared" ca="1" si="139"/>
        <v>6.2547104289949768E-3</v>
      </c>
      <c r="O577" s="512">
        <f t="shared" si="147"/>
        <v>3523.64</v>
      </c>
      <c r="R577" s="487">
        <f t="shared" si="148"/>
        <v>-25.657572815533968</v>
      </c>
    </row>
    <row r="578" spans="1:18" s="486" customFormat="1" outlineLevel="1" x14ac:dyDescent="0.3">
      <c r="A578" s="290">
        <f t="shared" si="144"/>
        <v>0</v>
      </c>
      <c r="B578" s="480"/>
      <c r="C578" s="480"/>
      <c r="D578" s="370" t="s">
        <v>5557</v>
      </c>
      <c r="E578" s="67" t="str">
        <f>VLOOKUP(D578,'03. Insumos'!A:D,2,0)</f>
        <v>Ralo EXCELLENCE MOLDENOX - 10 x 10</v>
      </c>
      <c r="F578" s="482" t="s">
        <v>5218</v>
      </c>
      <c r="G578" s="482" t="str">
        <f>VLOOKUP(D578,'03. Insumos'!A:F,3,0)</f>
        <v>unid</v>
      </c>
      <c r="H578" s="483">
        <v>1</v>
      </c>
      <c r="I578" s="483">
        <v>1</v>
      </c>
      <c r="J578" s="485">
        <f t="shared" si="145"/>
        <v>138</v>
      </c>
      <c r="K578" s="485">
        <f>IF(A578=0,VLOOKUP(D578,'03. Insumos'!A:F,4,0),"")</f>
        <v>138</v>
      </c>
      <c r="L578" s="485">
        <f t="shared" si="146"/>
        <v>138</v>
      </c>
      <c r="M578" s="153">
        <f t="shared" ca="1" si="139"/>
        <v>2.4495976864870046E-4</v>
      </c>
      <c r="O578" s="512">
        <f t="shared" si="147"/>
        <v>138</v>
      </c>
      <c r="R578" s="487"/>
    </row>
    <row r="579" spans="1:18" s="486" customFormat="1" outlineLevel="1" x14ac:dyDescent="0.3">
      <c r="A579" s="290">
        <f t="shared" si="144"/>
        <v>0</v>
      </c>
      <c r="B579" s="480"/>
      <c r="C579" s="480"/>
      <c r="D579" s="370" t="s">
        <v>5558</v>
      </c>
      <c r="E579" s="67" t="str">
        <f>VLOOKUP(D579,'03. Insumos'!A:D,2,0)</f>
        <v>Ralo linear Grelha tampa inox, 90cm</v>
      </c>
      <c r="F579" s="482" t="s">
        <v>5218</v>
      </c>
      <c r="G579" s="482" t="str">
        <f>VLOOKUP(D579,'03. Insumos'!A:F,3,0)</f>
        <v>unid</v>
      </c>
      <c r="H579" s="483">
        <v>1</v>
      </c>
      <c r="I579" s="483">
        <v>2</v>
      </c>
      <c r="J579" s="485">
        <f t="shared" si="145"/>
        <v>270</v>
      </c>
      <c r="K579" s="485">
        <f>IF(A579=0,VLOOKUP(D579,'03. Insumos'!A:F,4,0),"")</f>
        <v>270</v>
      </c>
      <c r="L579" s="485">
        <f t="shared" si="146"/>
        <v>540</v>
      </c>
      <c r="M579" s="153">
        <f t="shared" ca="1" si="139"/>
        <v>9.5853822514708868E-4</v>
      </c>
      <c r="O579" s="512">
        <f t="shared" si="147"/>
        <v>540</v>
      </c>
      <c r="R579" s="487"/>
    </row>
    <row r="580" spans="1:18" s="486" customFormat="1" outlineLevel="1" x14ac:dyDescent="0.3">
      <c r="A580" s="290">
        <f t="shared" si="144"/>
        <v>0</v>
      </c>
      <c r="B580" s="480"/>
      <c r="C580" s="480"/>
      <c r="D580" s="370" t="s">
        <v>5559</v>
      </c>
      <c r="E580" s="67" t="str">
        <f>VLOOKUP(D580,'03. Insumos'!A:D,2,0)</f>
        <v>Ralo Oculto 15 x 15</v>
      </c>
      <c r="F580" s="482" t="s">
        <v>5218</v>
      </c>
      <c r="G580" s="482" t="str">
        <f>VLOOKUP(D580,'03. Insumos'!A:F,3,0)</f>
        <v>unid</v>
      </c>
      <c r="H580" s="483">
        <v>1</v>
      </c>
      <c r="I580" s="483">
        <v>3</v>
      </c>
      <c r="J580" s="485">
        <f t="shared" si="145"/>
        <v>99</v>
      </c>
      <c r="K580" s="485">
        <f>IF(A580=0,VLOOKUP(D580,'03. Insumos'!A:F,4,0),"")</f>
        <v>99</v>
      </c>
      <c r="L580" s="485">
        <f t="shared" si="146"/>
        <v>297</v>
      </c>
      <c r="M580" s="153">
        <f t="shared" ca="1" si="139"/>
        <v>5.271960238308988E-4</v>
      </c>
      <c r="O580" s="512">
        <f t="shared" si="147"/>
        <v>297</v>
      </c>
      <c r="R580" s="487"/>
    </row>
    <row r="581" spans="1:18" s="486" customFormat="1" outlineLevel="1" x14ac:dyDescent="0.3">
      <c r="A581" s="290">
        <f t="shared" si="144"/>
        <v>0</v>
      </c>
      <c r="B581" s="480"/>
      <c r="C581" s="480"/>
      <c r="D581" s="370" t="s">
        <v>5560</v>
      </c>
      <c r="E581" s="67" t="str">
        <f>VLOOKUP(D581,'03. Insumos'!A:D,2,0)</f>
        <v>Ralo Quadrado Excellence Moldenox 10X10Ralo</v>
      </c>
      <c r="F581" s="482" t="s">
        <v>5218</v>
      </c>
      <c r="G581" s="482" t="str">
        <f>VLOOKUP(D581,'03. Insumos'!A:F,3,0)</f>
        <v>unid</v>
      </c>
      <c r="H581" s="483">
        <v>1</v>
      </c>
      <c r="I581" s="483">
        <v>1</v>
      </c>
      <c r="J581" s="485">
        <f t="shared" si="145"/>
        <v>138</v>
      </c>
      <c r="K581" s="485">
        <f>IF(A581=0,VLOOKUP(D581,'03. Insumos'!A:F,4,0),"")</f>
        <v>138</v>
      </c>
      <c r="L581" s="485">
        <f t="shared" si="146"/>
        <v>138</v>
      </c>
      <c r="M581" s="153">
        <f t="shared" ca="1" si="139"/>
        <v>2.4495976864870046E-4</v>
      </c>
      <c r="O581" s="512">
        <f t="shared" si="147"/>
        <v>138</v>
      </c>
      <c r="R581" s="487"/>
    </row>
    <row r="582" spans="1:18" s="486" customFormat="1" outlineLevel="1" x14ac:dyDescent="0.3">
      <c r="A582" s="290">
        <f t="shared" si="144"/>
        <v>0</v>
      </c>
      <c r="B582" s="480"/>
      <c r="C582" s="480"/>
      <c r="D582" s="370" t="s">
        <v>5561</v>
      </c>
      <c r="E582" s="67" t="str">
        <f>VLOOKUP(D582,'03. Insumos'!A:D,2,0)</f>
        <v>Ralo Quadrado Excellence Moldenox 15X15 Ralo</v>
      </c>
      <c r="F582" s="482" t="s">
        <v>5218</v>
      </c>
      <c r="G582" s="482" t="str">
        <f>VLOOKUP(D582,'03. Insumos'!A:F,3,0)</f>
        <v>unid</v>
      </c>
      <c r="H582" s="483">
        <v>1</v>
      </c>
      <c r="I582" s="483">
        <v>3</v>
      </c>
      <c r="J582" s="485">
        <f t="shared" si="145"/>
        <v>199</v>
      </c>
      <c r="K582" s="485">
        <f>IF(A582=0,VLOOKUP(D582,'03. Insumos'!A:F,4,0),"")</f>
        <v>199</v>
      </c>
      <c r="L582" s="485">
        <f t="shared" si="146"/>
        <v>597</v>
      </c>
      <c r="M582" s="153">
        <f t="shared" ca="1" si="139"/>
        <v>1.0597172600237258E-3</v>
      </c>
      <c r="O582" s="512">
        <f t="shared" si="147"/>
        <v>597</v>
      </c>
      <c r="R582" s="487">
        <f>IF(J582&lt;&gt;0,J582/1.03-K582,0)</f>
        <v>-5.7961165048543819</v>
      </c>
    </row>
    <row r="583" spans="1:18" s="486" customFormat="1" outlineLevel="1" x14ac:dyDescent="0.3">
      <c r="A583" s="290">
        <f t="shared" si="144"/>
        <v>0</v>
      </c>
      <c r="B583" s="480"/>
      <c r="C583" s="480"/>
      <c r="D583" s="370" t="s">
        <v>5562</v>
      </c>
      <c r="E583" s="67" t="str">
        <f>VLOOKUP(D583,'03. Insumos'!A:D,2,0)</f>
        <v>Registro de pressão Linha Polo, Cromado - Deca Ref.: 4916.C33.PQ</v>
      </c>
      <c r="F583" s="482" t="s">
        <v>5218</v>
      </c>
      <c r="G583" s="482" t="str">
        <f>VLOOKUP(D583,'03. Insumos'!A:F,3,0)</f>
        <v>unid</v>
      </c>
      <c r="H583" s="483">
        <v>1</v>
      </c>
      <c r="I583" s="483">
        <v>4</v>
      </c>
      <c r="J583" s="485">
        <f t="shared" si="145"/>
        <v>230.54</v>
      </c>
      <c r="K583" s="485">
        <f>IF(A583=0,VLOOKUP(D583,'03. Insumos'!A:F,4,0),"")</f>
        <v>230.54</v>
      </c>
      <c r="L583" s="485">
        <f t="shared" si="146"/>
        <v>922.16</v>
      </c>
      <c r="M583" s="153">
        <f t="shared" ca="1" si="139"/>
        <v>1.636899277225258E-3</v>
      </c>
      <c r="O583" s="512">
        <f t="shared" si="147"/>
        <v>922.16</v>
      </c>
      <c r="R583" s="487">
        <f>IF(J583&lt;&gt;0,J583/1.03-K583,0)</f>
        <v>-6.7147572815534033</v>
      </c>
    </row>
    <row r="584" spans="1:18" s="51" customFormat="1" ht="13.5" customHeight="1" outlineLevel="1" x14ac:dyDescent="0.3">
      <c r="A584" s="290">
        <f t="shared" si="144"/>
        <v>0</v>
      </c>
      <c r="B584" s="49"/>
      <c r="C584" s="49"/>
      <c r="D584" s="370" t="s">
        <v>5563</v>
      </c>
      <c r="E584" s="67" t="str">
        <f>VLOOKUP(D584,'03. Insumos'!A:D,2,0)</f>
        <v>SIFÃO DECA 1680.C.112</v>
      </c>
      <c r="F584" s="482" t="s">
        <v>5218</v>
      </c>
      <c r="G584" s="68" t="str">
        <f>VLOOKUP(D584,'03. Insumos'!A:F,3,0)</f>
        <v>unid</v>
      </c>
      <c r="H584" s="483">
        <v>1</v>
      </c>
      <c r="I584" s="483">
        <v>3</v>
      </c>
      <c r="J584" s="70">
        <f t="shared" si="145"/>
        <v>159.52666666666667</v>
      </c>
      <c r="K584" s="70">
        <f>IF(A584=0,VLOOKUP(D584,'03. Insumos'!A:F,4,0),"")</f>
        <v>159.52666666666667</v>
      </c>
      <c r="L584" s="70">
        <f t="shared" si="146"/>
        <v>478.58000000000004</v>
      </c>
      <c r="M584" s="153">
        <f t="shared" ca="1" si="139"/>
        <v>8.4951337739054404E-4</v>
      </c>
      <c r="O584" s="148"/>
      <c r="R584" s="12"/>
    </row>
    <row r="585" spans="1:18" s="51" customFormat="1" ht="13.5" customHeight="1" outlineLevel="1" x14ac:dyDescent="0.3">
      <c r="A585" s="290">
        <f t="shared" si="144"/>
        <v>0</v>
      </c>
      <c r="B585" s="49"/>
      <c r="C585" s="49"/>
      <c r="D585" s="370" t="s">
        <v>5564</v>
      </c>
      <c r="E585" s="67" t="str">
        <f>VLOOKUP(D585,'03. Insumos'!A:D,2,0)</f>
        <v>Sifão para lavatório – Deca, Ref.: 1682.C.100.112</v>
      </c>
      <c r="F585" s="482" t="s">
        <v>5218</v>
      </c>
      <c r="G585" s="68" t="str">
        <f>VLOOKUP(D585,'03. Insumos'!A:F,3,0)</f>
        <v>unid</v>
      </c>
      <c r="H585" s="483">
        <v>1</v>
      </c>
      <c r="I585" s="483">
        <v>1</v>
      </c>
      <c r="J585" s="70">
        <f t="shared" si="145"/>
        <v>276.76</v>
      </c>
      <c r="K585" s="70">
        <f>IF(A585=0,VLOOKUP(D585,'03. Insumos'!A:F,4,0),"")</f>
        <v>276.76</v>
      </c>
      <c r="L585" s="70">
        <f t="shared" si="146"/>
        <v>276.76</v>
      </c>
      <c r="M585" s="153">
        <f t="shared" ca="1" si="139"/>
        <v>4.91268591095756E-4</v>
      </c>
      <c r="O585" s="148"/>
      <c r="R585" s="12"/>
    </row>
    <row r="586" spans="1:18" s="51" customFormat="1" ht="13.5" customHeight="1" outlineLevel="1" x14ac:dyDescent="0.3">
      <c r="A586" s="290">
        <f t="shared" si="144"/>
        <v>0</v>
      </c>
      <c r="B586" s="49"/>
      <c r="C586" s="49"/>
      <c r="D586" s="370" t="s">
        <v>5565</v>
      </c>
      <c r="E586" s="67" t="str">
        <f>VLOOKUP(D586,'03. Insumos'!A:D,2,0)</f>
        <v>Sifão para Tanque e Cozinha, Cromado Deca, Ref.: 1680.C.114</v>
      </c>
      <c r="F586" s="482" t="s">
        <v>5218</v>
      </c>
      <c r="G586" s="68" t="str">
        <f>VLOOKUP(D586,'03. Insumos'!A:F,3,0)</f>
        <v>unid</v>
      </c>
      <c r="H586" s="483">
        <v>1</v>
      </c>
      <c r="I586" s="483">
        <v>3</v>
      </c>
      <c r="J586" s="70">
        <f t="shared" si="145"/>
        <v>159.01333333333335</v>
      </c>
      <c r="K586" s="70">
        <f>IF(A586=0,VLOOKUP(D586,'03. Insumos'!A:F,4,0),"")</f>
        <v>159.01333333333335</v>
      </c>
      <c r="L586" s="70">
        <f t="shared" si="146"/>
        <v>477.04000000000008</v>
      </c>
      <c r="M586" s="153">
        <f t="shared" ca="1" si="139"/>
        <v>8.4677976837808759E-4</v>
      </c>
      <c r="O586" s="148">
        <f>IF(I586&lt;&gt;0,I586*H586*K586,)</f>
        <v>477.04000000000008</v>
      </c>
      <c r="R586" s="12">
        <f>IF(J586&lt;&gt;0,J586/1.03-K586,0)</f>
        <v>-4.6314563106796243</v>
      </c>
    </row>
    <row r="587" spans="1:18" s="51" customFormat="1" ht="13.5" customHeight="1" outlineLevel="1" x14ac:dyDescent="0.3">
      <c r="A587" s="290">
        <f t="shared" si="144"/>
        <v>0</v>
      </c>
      <c r="B587" s="49"/>
      <c r="C587" s="49"/>
      <c r="D587" s="370" t="s">
        <v>5566</v>
      </c>
      <c r="E587" s="67">
        <f>VLOOKUP(D587,'03. Insumos'!A:D,2,0)</f>
        <v>0</v>
      </c>
      <c r="F587" s="482" t="s">
        <v>5218</v>
      </c>
      <c r="G587" s="68">
        <f>VLOOKUP(D587,'03. Insumos'!A:F,3,0)</f>
        <v>0</v>
      </c>
      <c r="H587" s="483">
        <v>1</v>
      </c>
      <c r="I587" s="483">
        <v>1</v>
      </c>
      <c r="J587" s="70">
        <f t="shared" si="145"/>
        <v>0</v>
      </c>
      <c r="K587" s="70">
        <f>IF(A587=0,VLOOKUP(D587,'03. Insumos'!A:F,4,0),"")</f>
        <v>0</v>
      </c>
      <c r="L587" s="70">
        <f t="shared" si="146"/>
        <v>0</v>
      </c>
      <c r="M587" s="153">
        <f t="shared" ca="1" si="139"/>
        <v>0</v>
      </c>
      <c r="O587" s="148">
        <f>IF(I587&lt;&gt;0,I587*H587*K587,)</f>
        <v>0</v>
      </c>
      <c r="R587" s="12">
        <f>IF(J587&lt;&gt;0,J587/1.03-K587,0)</f>
        <v>0</v>
      </c>
    </row>
    <row r="588" spans="1:18" s="51" customFormat="1" ht="13.5" customHeight="1" outlineLevel="1" x14ac:dyDescent="0.3">
      <c r="A588" s="290">
        <f t="shared" si="144"/>
        <v>0</v>
      </c>
      <c r="B588" s="49"/>
      <c r="C588" s="49"/>
      <c r="D588" s="370" t="s">
        <v>5567</v>
      </c>
      <c r="E588" s="67" t="str">
        <f>VLOOKUP(D588,'03. Insumos'!A:D,2,0)</f>
        <v>Torneira 2264.C Monocomando, com água quente e fria.</v>
      </c>
      <c r="F588" s="482" t="s">
        <v>5218</v>
      </c>
      <c r="G588" s="68" t="str">
        <f>VLOOKUP(D588,'03. Insumos'!A:F,3,0)</f>
        <v>unid</v>
      </c>
      <c r="H588" s="483">
        <v>1</v>
      </c>
      <c r="I588" s="483">
        <v>1</v>
      </c>
      <c r="J588" s="70">
        <f t="shared" si="145"/>
        <v>499.53</v>
      </c>
      <c r="K588" s="70">
        <f>IF(A588=0,VLOOKUP(D588,'03. Insumos'!A:F,4,0),"")</f>
        <v>499.53</v>
      </c>
      <c r="L588" s="70">
        <f t="shared" si="146"/>
        <v>499.53</v>
      </c>
      <c r="M588" s="153">
        <f t="shared" ca="1" si="139"/>
        <v>8.8670111038467627E-4</v>
      </c>
      <c r="O588" s="148">
        <f>IF(I588&lt;&gt;0,I588*H588*K588,)</f>
        <v>499.53</v>
      </c>
      <c r="R588" s="12">
        <f>IF(J588&lt;&gt;0,J588/1.03-K588,0)</f>
        <v>-14.549417475728148</v>
      </c>
    </row>
    <row r="589" spans="1:18" s="51" customFormat="1" ht="13.5" customHeight="1" outlineLevel="1" x14ac:dyDescent="0.3">
      <c r="A589" s="290">
        <f t="shared" si="144"/>
        <v>0</v>
      </c>
      <c r="B589" s="49"/>
      <c r="C589" s="49"/>
      <c r="D589" s="370" t="s">
        <v>5568</v>
      </c>
      <c r="E589" s="67" t="str">
        <f>VLOOKUP(D589,'03. Insumos'!A:D,2,0)</f>
        <v>Torneira de parede com chapa para lavatório 1179.C33</v>
      </c>
      <c r="F589" s="482" t="s">
        <v>5218</v>
      </c>
      <c r="G589" s="68" t="str">
        <f>VLOOKUP(D589,'03. Insumos'!A:F,3,0)</f>
        <v>unid</v>
      </c>
      <c r="H589" s="483">
        <v>1</v>
      </c>
      <c r="I589" s="483">
        <v>1</v>
      </c>
      <c r="J589" s="70">
        <f t="shared" si="145"/>
        <v>817.52</v>
      </c>
      <c r="K589" s="70">
        <f>IF(A589=0,VLOOKUP(D589,'03. Insumos'!A:F,4,0),"")</f>
        <v>817.52</v>
      </c>
      <c r="L589" s="70">
        <f t="shared" si="146"/>
        <v>817.52</v>
      </c>
      <c r="M589" s="153">
        <f t="shared" ca="1" si="139"/>
        <v>1.4511558700411999E-3</v>
      </c>
      <c r="O589" s="148">
        <f>IF(I589&lt;&gt;0,I589*H589*K589,)</f>
        <v>817.52</v>
      </c>
      <c r="R589" s="12">
        <f>IF(J589&lt;&gt;0,J589/1.03-K589,0)</f>
        <v>-23.811262135922334</v>
      </c>
    </row>
    <row r="590" spans="1:18" s="486" customFormat="1" outlineLevel="1" x14ac:dyDescent="0.3">
      <c r="A590" s="290">
        <f t="shared" si="144"/>
        <v>0</v>
      </c>
      <c r="B590" s="480"/>
      <c r="C590" s="480"/>
      <c r="D590" s="370" t="s">
        <v>5569</v>
      </c>
      <c r="E590" s="67" t="str">
        <f>VLOOKUP(D590,'03. Insumos'!A:D,2,0)</f>
        <v>Torneira p/ Lavatorio Mesa Bica Alta DN15 Aspen Cromado 1196.C35</v>
      </c>
      <c r="F590" s="482" t="s">
        <v>5218</v>
      </c>
      <c r="G590" s="482" t="str">
        <f>VLOOKUP(D590,'03. Insumos'!A:F,3,0)</f>
        <v>unid</v>
      </c>
      <c r="H590" s="483">
        <v>1</v>
      </c>
      <c r="I590" s="483">
        <v>1</v>
      </c>
      <c r="J590" s="485">
        <f t="shared" si="145"/>
        <v>199.95</v>
      </c>
      <c r="K590" s="485">
        <f>IF(A590=0,VLOOKUP(D590,'03. Insumos'!A:F,4,0),"")</f>
        <v>199.95</v>
      </c>
      <c r="L590" s="485">
        <f t="shared" si="146"/>
        <v>199.95</v>
      </c>
      <c r="M590" s="153">
        <f t="shared" ca="1" si="139"/>
        <v>3.5492540392251921E-4</v>
      </c>
      <c r="O590" s="512">
        <f t="shared" ref="O590:O594" si="149">IF(I590&lt;&gt;0,I590*H590*K590,)</f>
        <v>199.95</v>
      </c>
      <c r="R590" s="487"/>
    </row>
    <row r="591" spans="1:18" s="486" customFormat="1" outlineLevel="1" x14ac:dyDescent="0.3">
      <c r="A591" s="290">
        <f t="shared" si="144"/>
        <v>0</v>
      </c>
      <c r="B591" s="480"/>
      <c r="C591" s="480"/>
      <c r="D591" s="370" t="s">
        <v>5570</v>
      </c>
      <c r="E591" s="67" t="str">
        <f>VLOOKUP(D591,'03. Insumos'!A:D,2,0)</f>
        <v>Torneira para mesa de Cozinha, bica alta, linha Link, Cromado, Deca Ref.:1167.C.LNK</v>
      </c>
      <c r="F591" s="482" t="s">
        <v>5218</v>
      </c>
      <c r="G591" s="482" t="str">
        <f>VLOOKUP(D591,'03. Insumos'!A:F,3,0)</f>
        <v>unid</v>
      </c>
      <c r="H591" s="483">
        <v>1</v>
      </c>
      <c r="I591" s="483">
        <v>1</v>
      </c>
      <c r="J591" s="485">
        <f t="shared" si="145"/>
        <v>392.72</v>
      </c>
      <c r="K591" s="485">
        <f>IF(A591=0,VLOOKUP(D591,'03. Insumos'!A:F,4,0),"")</f>
        <v>392.72</v>
      </c>
      <c r="L591" s="485">
        <f t="shared" si="146"/>
        <v>392.72</v>
      </c>
      <c r="M591" s="153">
        <f t="shared" ca="1" si="139"/>
        <v>6.9710579959215686E-4</v>
      </c>
      <c r="O591" s="512">
        <f t="shared" si="149"/>
        <v>392.72</v>
      </c>
      <c r="R591" s="487"/>
    </row>
    <row r="592" spans="1:18" s="486" customFormat="1" outlineLevel="1" x14ac:dyDescent="0.3">
      <c r="A592" s="290">
        <f t="shared" si="144"/>
        <v>0</v>
      </c>
      <c r="B592" s="480"/>
      <c r="C592" s="480"/>
      <c r="D592" s="370" t="s">
        <v>5571</v>
      </c>
      <c r="E592" s="67" t="str">
        <f>VLOOKUP(D592,'03. Insumos'!A:D,2,0)</f>
        <v>Válvula de descarga Slim, Cromado Deca, Ref.: 2553.C.114</v>
      </c>
      <c r="F592" s="482" t="s">
        <v>5218</v>
      </c>
      <c r="G592" s="482" t="str">
        <f>VLOOKUP(D592,'03. Insumos'!A:F,3,0)</f>
        <v>unid</v>
      </c>
      <c r="H592" s="483">
        <v>1</v>
      </c>
      <c r="I592" s="483">
        <v>3</v>
      </c>
      <c r="J592" s="485">
        <f t="shared" si="145"/>
        <v>804.61</v>
      </c>
      <c r="K592" s="485">
        <f>IF(A592=0,VLOOKUP(D592,'03. Insumos'!A:F,4,0),"")</f>
        <v>804.61</v>
      </c>
      <c r="L592" s="485">
        <f t="shared" si="146"/>
        <v>2413.83</v>
      </c>
      <c r="M592" s="153">
        <f t="shared" ca="1" si="139"/>
        <v>4.2847191185311061E-3</v>
      </c>
      <c r="O592" s="512">
        <f t="shared" si="149"/>
        <v>2413.83</v>
      </c>
      <c r="R592" s="487"/>
    </row>
    <row r="593" spans="1:18" s="486" customFormat="1" outlineLevel="1" x14ac:dyDescent="0.3">
      <c r="A593" s="290">
        <f t="shared" si="144"/>
        <v>0</v>
      </c>
      <c r="B593" s="480"/>
      <c r="C593" s="480"/>
      <c r="D593" s="370" t="s">
        <v>5572</v>
      </c>
      <c r="E593" s="67" t="str">
        <f>VLOOKUP(D593,'03. Insumos'!A:D,2,0)</f>
        <v>Valvula Escoamento P/ Lavatorio/ Cuba/Bide - Cromado - 1602.C</v>
      </c>
      <c r="F593" s="482" t="s">
        <v>5218</v>
      </c>
      <c r="G593" s="482" t="str">
        <f>VLOOKUP(D593,'03. Insumos'!A:F,3,0)</f>
        <v>unid</v>
      </c>
      <c r="H593" s="483">
        <v>1</v>
      </c>
      <c r="I593" s="483">
        <v>4</v>
      </c>
      <c r="J593" s="485">
        <f t="shared" si="145"/>
        <v>34.25</v>
      </c>
      <c r="K593" s="485">
        <f>IF(A593=0,VLOOKUP(D593,'03. Insumos'!A:F,4,0),"")</f>
        <v>34.25</v>
      </c>
      <c r="L593" s="485">
        <f t="shared" si="146"/>
        <v>137</v>
      </c>
      <c r="M593" s="153">
        <f t="shared" ca="1" si="139"/>
        <v>2.4318469786139104E-4</v>
      </c>
      <c r="O593" s="512">
        <f t="shared" si="149"/>
        <v>137</v>
      </c>
      <c r="R593" s="487">
        <f>IF(J593&lt;&gt;0,J593/1.03-K593,0)</f>
        <v>-0.99757281553397803</v>
      </c>
    </row>
    <row r="594" spans="1:18" s="486" customFormat="1" hidden="1" outlineLevel="1" x14ac:dyDescent="0.3">
      <c r="A594" s="290">
        <f t="shared" si="144"/>
        <v>0</v>
      </c>
      <c r="B594" s="480"/>
      <c r="C594" s="480"/>
      <c r="D594" s="370"/>
      <c r="E594" s="67" t="e">
        <f>VLOOKUP(D594,'03. Insumos'!A:D,2,0)</f>
        <v>#N/A</v>
      </c>
      <c r="F594" s="482" t="s">
        <v>5218</v>
      </c>
      <c r="G594" s="482" t="e">
        <f>VLOOKUP(D594,'03. Insumos'!A:F,3,0)</f>
        <v>#N/A</v>
      </c>
      <c r="H594" s="483"/>
      <c r="I594" s="483"/>
      <c r="J594" s="485">
        <f t="shared" si="145"/>
        <v>0</v>
      </c>
      <c r="K594" s="485" t="e">
        <f>IF(A594=0,VLOOKUP(D594,'03. Insumos'!A:F,4,0),"")</f>
        <v>#N/A</v>
      </c>
      <c r="L594" s="485">
        <f t="shared" si="146"/>
        <v>0</v>
      </c>
      <c r="M594" s="153">
        <f t="shared" ca="1" si="139"/>
        <v>0</v>
      </c>
      <c r="O594" s="512">
        <f t="shared" si="149"/>
        <v>0</v>
      </c>
      <c r="R594" s="487">
        <f>IF(J594&lt;&gt;0,J594/1.03-K594,0)</f>
        <v>0</v>
      </c>
    </row>
    <row r="595" spans="1:18" s="51" customFormat="1" ht="13.5" hidden="1" customHeight="1" outlineLevel="1" x14ac:dyDescent="0.3">
      <c r="A595" s="290">
        <f t="shared" si="144"/>
        <v>0</v>
      </c>
      <c r="B595" s="49"/>
      <c r="C595" s="49"/>
      <c r="D595" s="370"/>
      <c r="E595" s="67" t="e">
        <f>VLOOKUP(D595,'03. Insumos'!A:D,2,0)</f>
        <v>#N/A</v>
      </c>
      <c r="F595" s="482" t="s">
        <v>5218</v>
      </c>
      <c r="G595" s="68" t="e">
        <f>VLOOKUP(D595,'03. Insumos'!A:F,3,0)</f>
        <v>#N/A</v>
      </c>
      <c r="H595" s="483"/>
      <c r="I595" s="483"/>
      <c r="J595" s="70">
        <f t="shared" si="145"/>
        <v>0</v>
      </c>
      <c r="K595" s="70" t="e">
        <f>IF(A595=0,VLOOKUP(D595,'03. Insumos'!A:F,4,0),"")</f>
        <v>#N/A</v>
      </c>
      <c r="L595" s="70">
        <f t="shared" si="146"/>
        <v>0</v>
      </c>
      <c r="M595" s="153">
        <f t="shared" ca="1" si="139"/>
        <v>0</v>
      </c>
      <c r="O595" s="148"/>
      <c r="R595" s="12"/>
    </row>
    <row r="596" spans="1:18" s="18" customFormat="1" x14ac:dyDescent="0.3">
      <c r="A596" s="290">
        <f t="shared" si="144"/>
        <v>3</v>
      </c>
      <c r="B596" s="35"/>
      <c r="C596" s="390" t="s">
        <v>351</v>
      </c>
      <c r="D596" s="390" t="s">
        <v>5232</v>
      </c>
      <c r="E596" s="390"/>
      <c r="F596" s="323"/>
      <c r="G596" s="323"/>
      <c r="H596" s="324"/>
      <c r="I596" s="324"/>
      <c r="J596" s="333"/>
      <c r="K596" s="333"/>
      <c r="L596" s="333">
        <f>SUMIF(A597:A618,4,L597:L618)</f>
        <v>47025.8</v>
      </c>
      <c r="M596" s="153">
        <f t="shared" ca="1" si="139"/>
        <v>8.3474123829855501E-2</v>
      </c>
      <c r="O596" s="148">
        <f t="shared" ref="O596:O627" si="150">IF(I596&lt;&gt;0,I596*H596*K596,)</f>
        <v>0</v>
      </c>
      <c r="R596" s="12">
        <f t="shared" ref="R596:R627" si="151">IF(J596&lt;&gt;0,J596/1.03-K596,0)</f>
        <v>0</v>
      </c>
    </row>
    <row r="597" spans="1:18" s="18" customFormat="1" outlineLevel="1" x14ac:dyDescent="0.3">
      <c r="A597" s="290">
        <f t="shared" si="144"/>
        <v>4</v>
      </c>
      <c r="B597" s="45"/>
      <c r="C597" s="45" t="s">
        <v>375</v>
      </c>
      <c r="D597" s="45" t="s">
        <v>5705</v>
      </c>
      <c r="E597" s="347"/>
      <c r="F597" s="327"/>
      <c r="G597" s="327"/>
      <c r="H597" s="328"/>
      <c r="I597" s="548"/>
      <c r="J597" s="335"/>
      <c r="K597" s="335" t="str">
        <f>IF(A597=0,VLOOKUP(D597,'03. Insumos'!A:F,4,0),"")</f>
        <v/>
      </c>
      <c r="L597" s="335">
        <f>SUMIF(A598:A618,6,L598:L618)</f>
        <v>47025.8</v>
      </c>
      <c r="M597" s="153">
        <f t="shared" ca="1" si="139"/>
        <v>8.3474123829855501E-2</v>
      </c>
      <c r="O597" s="148">
        <f t="shared" si="150"/>
        <v>0</v>
      </c>
      <c r="R597" s="12">
        <f t="shared" si="151"/>
        <v>0</v>
      </c>
    </row>
    <row r="598" spans="1:18" s="486" customFormat="1" ht="13.5" customHeight="1" outlineLevel="1" x14ac:dyDescent="0.3">
      <c r="A598" s="290">
        <f t="shared" si="144"/>
        <v>6</v>
      </c>
      <c r="B598" s="489"/>
      <c r="C598" s="489" t="s">
        <v>376</v>
      </c>
      <c r="D598" s="489" t="s">
        <v>5704</v>
      </c>
      <c r="E598" s="489"/>
      <c r="F598" s="490"/>
      <c r="G598" s="490" t="s">
        <v>73</v>
      </c>
      <c r="H598" s="326">
        <v>85</v>
      </c>
      <c r="I598" s="549"/>
      <c r="J598" s="492"/>
      <c r="K598" s="492" t="str">
        <f>IF(A598=0,VLOOKUP(D598,'03. Insumos'!A:F,4,0),"")</f>
        <v/>
      </c>
      <c r="L598" s="492">
        <f>SUM(L599:L605)</f>
        <v>47025.8</v>
      </c>
      <c r="M598" s="153">
        <f t="shared" ca="1" si="139"/>
        <v>8.3474123829855501E-2</v>
      </c>
      <c r="O598" s="512"/>
      <c r="R598" s="487"/>
    </row>
    <row r="599" spans="1:18" s="486" customFormat="1" ht="13.5" customHeight="1" outlineLevel="1" x14ac:dyDescent="0.3">
      <c r="A599" s="290">
        <f t="shared" si="144"/>
        <v>0</v>
      </c>
      <c r="B599" s="480"/>
      <c r="C599" s="480"/>
      <c r="D599" s="708" t="s">
        <v>5582</v>
      </c>
      <c r="E599" s="481" t="str">
        <f>VLOOKUP(D599,'03. Insumos'!A:D,2,0)</f>
        <v>MAT + MO - Assoalho em Tauari com aplicação de sinteco bona</v>
      </c>
      <c r="F599" s="482" t="s">
        <v>3809</v>
      </c>
      <c r="G599" s="482" t="str">
        <f>VLOOKUP(D599,'03. Insumos'!A:F,3,0)</f>
        <v>m²</v>
      </c>
      <c r="H599" s="483">
        <v>1</v>
      </c>
      <c r="I599" s="483">
        <f>H598</f>
        <v>85</v>
      </c>
      <c r="J599" s="485">
        <f t="shared" ref="J599:J605" si="152">IFERROR(IF(K599&lt;&gt;0,K599*$K$5,0),0)</f>
        <v>481.2</v>
      </c>
      <c r="K599" s="485">
        <f>IF(A599=0,VLOOKUP(D599,'03. Insumos'!A:F,4,0),"")</f>
        <v>481.2</v>
      </c>
      <c r="L599" s="485">
        <f t="shared" ref="L599:L605" si="153">H599*J599*I599</f>
        <v>40902</v>
      </c>
      <c r="M599" s="153">
        <f t="shared" ca="1" si="139"/>
        <v>7.2603945342530035E-2</v>
      </c>
      <c r="O599" s="512">
        <f t="shared" ref="O599:O605" si="154">IF(I599&lt;&gt;0,I599*H599*K599,)</f>
        <v>40902</v>
      </c>
      <c r="R599" s="487">
        <f t="shared" ref="R599:R605" si="155">IF(J599&lt;&gt;0,J599/1.03-K599,0)</f>
        <v>-14.015533980582518</v>
      </c>
    </row>
    <row r="600" spans="1:18" s="486" customFormat="1" ht="13.5" customHeight="1" outlineLevel="1" x14ac:dyDescent="0.3">
      <c r="A600" s="290">
        <f t="shared" ref="A600:A602" si="156">LEN(C600)</f>
        <v>0</v>
      </c>
      <c r="B600" s="480"/>
      <c r="C600" s="480"/>
      <c r="D600" s="708" t="s">
        <v>746</v>
      </c>
      <c r="E600" s="481" t="str">
        <f>VLOOKUP(D600,'03. Insumos'!A:D,2,0)</f>
        <v>Mão de obra - Execução de Contrapiso</v>
      </c>
      <c r="F600" s="482" t="s">
        <v>3809</v>
      </c>
      <c r="G600" s="482" t="str">
        <f>VLOOKUP(D600,'03. Insumos'!A:F,3,0)</f>
        <v>m²</v>
      </c>
      <c r="H600" s="483">
        <v>1</v>
      </c>
      <c r="I600" s="483">
        <f>H598</f>
        <v>85</v>
      </c>
      <c r="J600" s="485">
        <f t="shared" ref="J600:J602" si="157">IFERROR(IF(K600&lt;&gt;0,K600*$K$5,0),0)</f>
        <v>20</v>
      </c>
      <c r="K600" s="485">
        <f>IF(A600=0,VLOOKUP(D600,'03. Insumos'!A:F,4,0),"")</f>
        <v>20</v>
      </c>
      <c r="L600" s="485">
        <f t="shared" ref="L600:L602" si="158">H600*J600*I600</f>
        <v>1700</v>
      </c>
      <c r="M600" s="153">
        <f t="shared" ref="M600:M602" ca="1" si="159">L600/$L$7</f>
        <v>3.0176203384260202E-3</v>
      </c>
      <c r="O600" s="512">
        <f t="shared" si="154"/>
        <v>1700</v>
      </c>
      <c r="R600" s="487">
        <f t="shared" si="155"/>
        <v>-0.58252427184466171</v>
      </c>
    </row>
    <row r="601" spans="1:18" s="486" customFormat="1" ht="13.5" customHeight="1" outlineLevel="1" x14ac:dyDescent="0.3">
      <c r="A601" s="290">
        <f t="shared" si="156"/>
        <v>0</v>
      </c>
      <c r="B601" s="480"/>
      <c r="C601" s="480"/>
      <c r="D601" s="708" t="s">
        <v>3433</v>
      </c>
      <c r="E601" s="481" t="str">
        <f>VLOOKUP(D601,'03. Insumos'!A:D,2,0)</f>
        <v>Argamassa multiuso 50kg (grandes Qtde, acima de 240)</v>
      </c>
      <c r="F601" s="482" t="s">
        <v>3809</v>
      </c>
      <c r="G601" s="482" t="str">
        <f>VLOOKUP(D601,'03. Insumos'!A:F,3,0)</f>
        <v>sc</v>
      </c>
      <c r="H601" s="483">
        <v>1</v>
      </c>
      <c r="I601" s="69">
        <f>ROUNDUP((H598/2.7)*2,0)</f>
        <v>63</v>
      </c>
      <c r="J601" s="485">
        <f t="shared" si="157"/>
        <v>15.5</v>
      </c>
      <c r="K601" s="485">
        <f>IF(A601=0,VLOOKUP(D601,'03. Insumos'!A:F,4,0),"")</f>
        <v>15.5</v>
      </c>
      <c r="L601" s="485">
        <f t="shared" si="158"/>
        <v>976.5</v>
      </c>
      <c r="M601" s="153">
        <f t="shared" ca="1" si="159"/>
        <v>1.7333566238076522E-3</v>
      </c>
      <c r="O601" s="512">
        <f t="shared" si="154"/>
        <v>976.5</v>
      </c>
      <c r="R601" s="487">
        <f t="shared" si="155"/>
        <v>-0.45145631067961212</v>
      </c>
    </row>
    <row r="602" spans="1:18" s="486" customFormat="1" ht="13.5" customHeight="1" outlineLevel="1" x14ac:dyDescent="0.3">
      <c r="A602" s="290">
        <f t="shared" si="156"/>
        <v>0</v>
      </c>
      <c r="B602" s="480"/>
      <c r="C602" s="480"/>
      <c r="D602" s="708" t="s">
        <v>1915</v>
      </c>
      <c r="E602" s="481" t="str">
        <f>VLOOKUP(D602,'03. Insumos'!A:D,2,0)</f>
        <v>Bianco Vedacit</v>
      </c>
      <c r="F602" s="482" t="s">
        <v>5218</v>
      </c>
      <c r="G602" s="482" t="str">
        <f>VLOOKUP(D602,'03. Insumos'!A:F,3,0)</f>
        <v>Balde 18 L</v>
      </c>
      <c r="H602" s="483">
        <v>1</v>
      </c>
      <c r="I602" s="69">
        <f>ROUNDUP(((H598*0.4)/18),0)</f>
        <v>2</v>
      </c>
      <c r="J602" s="485">
        <f t="shared" si="157"/>
        <v>239.9</v>
      </c>
      <c r="K602" s="485">
        <f>IF(A602=0,VLOOKUP(D602,'03. Insumos'!A:F,4,0),"")</f>
        <v>239.9</v>
      </c>
      <c r="L602" s="485">
        <f t="shared" si="158"/>
        <v>479.8</v>
      </c>
      <c r="M602" s="153">
        <f t="shared" ca="1" si="159"/>
        <v>8.516789637510614E-4</v>
      </c>
      <c r="O602" s="512">
        <f t="shared" si="154"/>
        <v>479.8</v>
      </c>
      <c r="R602" s="487">
        <f t="shared" si="155"/>
        <v>-6.9873786407767113</v>
      </c>
    </row>
    <row r="603" spans="1:18" s="486" customFormat="1" ht="13.5" customHeight="1" outlineLevel="1" x14ac:dyDescent="0.3">
      <c r="A603" s="290">
        <f t="shared" si="144"/>
        <v>0</v>
      </c>
      <c r="B603" s="480"/>
      <c r="C603" s="480"/>
      <c r="D603" s="708" t="s">
        <v>5583</v>
      </c>
      <c r="E603" s="481" t="str">
        <f>VLOOKUP(D603,'03. Insumos'!A:D,2,0)</f>
        <v>MO - Demolição de revestimento em madeira</v>
      </c>
      <c r="F603" s="482" t="s">
        <v>3809</v>
      </c>
      <c r="G603" s="482" t="str">
        <f>VLOOKUP(D603,'03. Insumos'!A:F,3,0)</f>
        <v>m²</v>
      </c>
      <c r="H603" s="483">
        <v>1</v>
      </c>
      <c r="I603" s="483">
        <f>H598</f>
        <v>85</v>
      </c>
      <c r="J603" s="485">
        <f t="shared" si="152"/>
        <v>7.5</v>
      </c>
      <c r="K603" s="485">
        <f>IF(A603=0,VLOOKUP(D603,'03. Insumos'!A:F,4,0),"")</f>
        <v>7.5</v>
      </c>
      <c r="L603" s="485">
        <f t="shared" si="153"/>
        <v>637.5</v>
      </c>
      <c r="M603" s="153">
        <f t="shared" ca="1" si="139"/>
        <v>1.1316076269097576E-3</v>
      </c>
      <c r="O603" s="512">
        <f t="shared" si="154"/>
        <v>637.5</v>
      </c>
      <c r="R603" s="487">
        <f t="shared" si="155"/>
        <v>-0.21844660194174814</v>
      </c>
    </row>
    <row r="604" spans="1:18" s="486" customFormat="1" ht="13.5" customHeight="1" outlineLevel="1" x14ac:dyDescent="0.3">
      <c r="A604" s="290">
        <f t="shared" si="144"/>
        <v>0</v>
      </c>
      <c r="B604" s="480"/>
      <c r="C604" s="480"/>
      <c r="D604" s="708" t="s">
        <v>5092</v>
      </c>
      <c r="E604" s="481" t="str">
        <f>VLOOKUP(D604,'03. Insumos'!A:D,2,0)</f>
        <v>Demolição - Contra piso existente</v>
      </c>
      <c r="F604" s="482" t="s">
        <v>3809</v>
      </c>
      <c r="G604" s="482" t="str">
        <f>VLOOKUP(D604,'03. Insumos'!A:F,3,0)</f>
        <v>m²</v>
      </c>
      <c r="H604" s="483">
        <v>1</v>
      </c>
      <c r="I604" s="483">
        <f>H598</f>
        <v>85</v>
      </c>
      <c r="J604" s="485">
        <f t="shared" si="152"/>
        <v>18</v>
      </c>
      <c r="K604" s="485">
        <f>IF(A604=0,VLOOKUP(D604,'03. Insumos'!A:F,4,0),"")</f>
        <v>18</v>
      </c>
      <c r="L604" s="485">
        <f t="shared" si="153"/>
        <v>1530</v>
      </c>
      <c r="M604" s="153">
        <f t="shared" ca="1" si="139"/>
        <v>2.7158583045834182E-3</v>
      </c>
      <c r="O604" s="512">
        <f t="shared" si="154"/>
        <v>1530</v>
      </c>
      <c r="R604" s="487">
        <f t="shared" si="155"/>
        <v>-0.52427184466019483</v>
      </c>
    </row>
    <row r="605" spans="1:18" s="486" customFormat="1" ht="13.5" customHeight="1" outlineLevel="1" x14ac:dyDescent="0.3">
      <c r="A605" s="290">
        <f t="shared" si="144"/>
        <v>0</v>
      </c>
      <c r="B605" s="480"/>
      <c r="C605" s="480"/>
      <c r="D605" s="708" t="s">
        <v>172</v>
      </c>
      <c r="E605" s="481" t="str">
        <f>VLOOKUP(D605,'03. Insumos'!A:D,2,0)</f>
        <v>Caçamba para entulho</v>
      </c>
      <c r="F605" s="482" t="s">
        <v>5218</v>
      </c>
      <c r="G605" s="482" t="str">
        <f>VLOOKUP(D605,'03. Insumos'!A:F,3,0)</f>
        <v>uni</v>
      </c>
      <c r="H605" s="483">
        <v>1</v>
      </c>
      <c r="I605" s="483">
        <v>2</v>
      </c>
      <c r="J605" s="485">
        <f t="shared" si="152"/>
        <v>400</v>
      </c>
      <c r="K605" s="485">
        <f>IF(A605=0,VLOOKUP(D605,'03. Insumos'!A:F,4,0),"")</f>
        <v>400</v>
      </c>
      <c r="L605" s="485">
        <f t="shared" si="153"/>
        <v>800</v>
      </c>
      <c r="M605" s="153">
        <f t="shared" ca="1" si="139"/>
        <v>1.4200566298475388E-3</v>
      </c>
      <c r="O605" s="512">
        <f t="shared" si="154"/>
        <v>800</v>
      </c>
      <c r="R605" s="487">
        <f t="shared" si="155"/>
        <v>-11.650485436893234</v>
      </c>
    </row>
    <row r="606" spans="1:18" s="486" customFormat="1" ht="13.5" hidden="1" customHeight="1" outlineLevel="1" x14ac:dyDescent="0.3">
      <c r="A606" s="290">
        <f t="shared" si="144"/>
        <v>6</v>
      </c>
      <c r="B606" s="489"/>
      <c r="C606" s="489" t="s">
        <v>5203</v>
      </c>
      <c r="D606" s="489" t="s">
        <v>5473</v>
      </c>
      <c r="E606" s="489"/>
      <c r="F606" s="490"/>
      <c r="G606" s="490" t="s">
        <v>73</v>
      </c>
      <c r="H606" s="491"/>
      <c r="I606" s="491"/>
      <c r="J606" s="492"/>
      <c r="K606" s="492" t="str">
        <f>IF(A606=0,VLOOKUP(D606,'03. Insumos'!A:F,4,0),"")</f>
        <v/>
      </c>
      <c r="L606" s="492">
        <f>SUM(L607:L611)</f>
        <v>0</v>
      </c>
      <c r="M606" s="153">
        <f t="shared" ca="1" si="139"/>
        <v>0</v>
      </c>
      <c r="O606" s="512"/>
      <c r="R606" s="487"/>
    </row>
    <row r="607" spans="1:18" s="478" customFormat="1" ht="24.6" hidden="1" outlineLevel="1" x14ac:dyDescent="0.3">
      <c r="A607" s="290">
        <f t="shared" si="144"/>
        <v>0</v>
      </c>
      <c r="B607" s="494"/>
      <c r="C607" s="494"/>
      <c r="D607" s="708" t="s">
        <v>5448</v>
      </c>
      <c r="E607" s="747" t="str">
        <f>VLOOKUP(D607,'03. Insumos'!A:D,2,0)</f>
        <v>MAT - Fachadeiro com 264m² com forração de 33m de piso metálico com rodapé (2 níveis) e amarração por estrocamento ( quadro, tubo e sapata)</v>
      </c>
      <c r="F607" s="482" t="s">
        <v>5218</v>
      </c>
      <c r="G607" s="482" t="str">
        <f>VLOOKUP(D607,'03. Insumos'!A:F,3,0)</f>
        <v>mês</v>
      </c>
      <c r="H607" s="483"/>
      <c r="I607" s="483">
        <v>4</v>
      </c>
      <c r="J607" s="485">
        <f t="shared" ref="J607:J611" si="160">IFERROR(IF(K607&lt;&gt;0,K607*$K$5,0),0)</f>
        <v>2973.7</v>
      </c>
      <c r="K607" s="485">
        <f>IF(A607=0,VLOOKUP(D607,'03. Insumos'!A:F,4,0),"")</f>
        <v>2973.7</v>
      </c>
      <c r="L607" s="485">
        <f t="shared" ref="L607:L611" si="161">H607*J607*I607</f>
        <v>0</v>
      </c>
      <c r="M607" s="153">
        <f t="shared" ca="1" si="139"/>
        <v>0</v>
      </c>
      <c r="O607" s="512">
        <f t="shared" ref="O607:O611" si="162">IF(I607&lt;&gt;0,I607*H607*K607,)</f>
        <v>0</v>
      </c>
      <c r="R607" s="487">
        <f t="shared" ref="R607:R611" si="163">IF(J607&lt;&gt;0,J607/1.03-K607,0)</f>
        <v>-86.61262135922334</v>
      </c>
    </row>
    <row r="608" spans="1:18" s="478" customFormat="1" ht="36.6" hidden="1" outlineLevel="1" x14ac:dyDescent="0.3">
      <c r="A608" s="290">
        <f t="shared" ref="A608:A628" si="164">LEN(C608)</f>
        <v>0</v>
      </c>
      <c r="B608" s="494"/>
      <c r="C608" s="494"/>
      <c r="D608" s="708" t="s">
        <v>5459</v>
      </c>
      <c r="E608" s="747" t="str">
        <f>VLOOKUP(D608,'03. Insumos'!A:D,2,0)</f>
        <v>MO - Montagem de fachadeiro com 264m² com forração de 33m de piso metálico com rodapé (2 níveis) e amarração por estrocamento ( quadro, tubo e sapata)</v>
      </c>
      <c r="F608" s="482" t="s">
        <v>5218</v>
      </c>
      <c r="G608" s="482" t="str">
        <f>VLOOKUP(D608,'03. Insumos'!A:F,3,0)</f>
        <v>vb</v>
      </c>
      <c r="H608" s="483"/>
      <c r="I608" s="483">
        <v>1</v>
      </c>
      <c r="J608" s="485">
        <f t="shared" si="160"/>
        <v>5280</v>
      </c>
      <c r="K608" s="485">
        <f>IF(A608=0,VLOOKUP(D608,'03. Insumos'!A:F,4,0),"")</f>
        <v>5280</v>
      </c>
      <c r="L608" s="485">
        <f t="shared" si="161"/>
        <v>0</v>
      </c>
      <c r="M608" s="153">
        <f t="shared" ca="1" si="139"/>
        <v>0</v>
      </c>
      <c r="O608" s="512">
        <f t="shared" si="162"/>
        <v>0</v>
      </c>
      <c r="R608" s="487">
        <f t="shared" si="163"/>
        <v>-153.78640776699012</v>
      </c>
    </row>
    <row r="609" spans="1:18" s="478" customFormat="1" ht="36.6" hidden="1" outlineLevel="1" x14ac:dyDescent="0.3">
      <c r="A609" s="290">
        <f t="shared" si="164"/>
        <v>0</v>
      </c>
      <c r="B609" s="494"/>
      <c r="C609" s="494"/>
      <c r="D609" s="708" t="s">
        <v>5463</v>
      </c>
      <c r="E609" s="747" t="str">
        <f>VLOOKUP(D609,'03. Insumos'!A:D,2,0)</f>
        <v>MO - Desmontagem de fachadeiro com 264m² com forração de 33m de piso metálico com rodapé (2 níveis) e amarração por estrocamento ( quadro, tubo e sapata)</v>
      </c>
      <c r="F609" s="482" t="s">
        <v>5218</v>
      </c>
      <c r="G609" s="482" t="str">
        <f>VLOOKUP(D609,'03. Insumos'!A:F,3,0)</f>
        <v>vb</v>
      </c>
      <c r="H609" s="483"/>
      <c r="I609" s="483">
        <v>1</v>
      </c>
      <c r="J609" s="485">
        <f t="shared" si="160"/>
        <v>3960</v>
      </c>
      <c r="K609" s="485">
        <f>IF(A609=0,VLOOKUP(D609,'03. Insumos'!A:F,4,0),"")</f>
        <v>3960</v>
      </c>
      <c r="L609" s="485">
        <f t="shared" si="161"/>
        <v>0</v>
      </c>
      <c r="M609" s="153">
        <f t="shared" ca="1" si="139"/>
        <v>0</v>
      </c>
      <c r="O609" s="512">
        <f t="shared" si="162"/>
        <v>0</v>
      </c>
      <c r="R609" s="487">
        <f t="shared" si="163"/>
        <v>-115.33980582524282</v>
      </c>
    </row>
    <row r="610" spans="1:18" s="478" customFormat="1" ht="13.5" hidden="1" customHeight="1" outlineLevel="1" x14ac:dyDescent="0.3">
      <c r="A610" s="290">
        <f t="shared" si="164"/>
        <v>0</v>
      </c>
      <c r="B610" s="494"/>
      <c r="C610" s="494"/>
      <c r="D610" s="708" t="s">
        <v>5464</v>
      </c>
      <c r="E610" s="747" t="str">
        <f>VLOOKUP(D610,'03. Insumos'!A:D,2,0)</f>
        <v>Tela Fachadeira - Material e Mão de Obra</v>
      </c>
      <c r="F610" s="482" t="s">
        <v>5218</v>
      </c>
      <c r="G610" s="482" t="str">
        <f>VLOOKUP(D610,'03. Insumos'!A:F,3,0)</f>
        <v>m²</v>
      </c>
      <c r="H610" s="483"/>
      <c r="I610" s="483">
        <f>H606</f>
        <v>0</v>
      </c>
      <c r="J610" s="485">
        <f t="shared" si="160"/>
        <v>13</v>
      </c>
      <c r="K610" s="485">
        <f>IF(A610=0,VLOOKUP(D610,'03. Insumos'!A:F,4,0),"")</f>
        <v>13</v>
      </c>
      <c r="L610" s="485">
        <f t="shared" si="161"/>
        <v>0</v>
      </c>
      <c r="M610" s="153">
        <f t="shared" ca="1" si="139"/>
        <v>0</v>
      </c>
      <c r="O610" s="512">
        <f t="shared" si="162"/>
        <v>0</v>
      </c>
      <c r="R610" s="487">
        <f t="shared" si="163"/>
        <v>-0.3786407766990294</v>
      </c>
    </row>
    <row r="611" spans="1:18" s="478" customFormat="1" hidden="1" outlineLevel="1" x14ac:dyDescent="0.3">
      <c r="A611" s="290">
        <f t="shared" si="164"/>
        <v>0</v>
      </c>
      <c r="B611" s="494"/>
      <c r="C611" s="494"/>
      <c r="D611" s="708" t="s">
        <v>5449</v>
      </c>
      <c r="E611" s="747" t="str">
        <f>VLOOKUP(D611,'03. Insumos'!A:D,2,0)</f>
        <v>Frete - Material</v>
      </c>
      <c r="F611" s="482" t="s">
        <v>3809</v>
      </c>
      <c r="G611" s="482" t="str">
        <f>VLOOKUP(D611,'03. Insumos'!A:F,3,0)</f>
        <v>vb</v>
      </c>
      <c r="H611" s="483"/>
      <c r="I611" s="483">
        <v>1</v>
      </c>
      <c r="J611" s="485">
        <f t="shared" si="160"/>
        <v>654</v>
      </c>
      <c r="K611" s="485">
        <f>IF(A611=0,VLOOKUP(D611,'03. Insumos'!A:F,4,0),"")</f>
        <v>654</v>
      </c>
      <c r="L611" s="485">
        <f t="shared" si="161"/>
        <v>0</v>
      </c>
      <c r="M611" s="153">
        <f t="shared" ca="1" si="139"/>
        <v>0</v>
      </c>
      <c r="O611" s="512">
        <f t="shared" si="162"/>
        <v>0</v>
      </c>
      <c r="R611" s="487">
        <f t="shared" si="163"/>
        <v>-19.048543689320354</v>
      </c>
    </row>
    <row r="612" spans="1:18" s="486" customFormat="1" ht="13.5" hidden="1" customHeight="1" outlineLevel="1" x14ac:dyDescent="0.3">
      <c r="A612" s="290">
        <f t="shared" si="164"/>
        <v>6</v>
      </c>
      <c r="B612" s="489"/>
      <c r="C612" s="489" t="s">
        <v>5204</v>
      </c>
      <c r="D612" s="489" t="s">
        <v>5472</v>
      </c>
      <c r="E612" s="489"/>
      <c r="F612" s="490"/>
      <c r="G612" s="490" t="s">
        <v>73</v>
      </c>
      <c r="H612" s="491"/>
      <c r="I612" s="491"/>
      <c r="J612" s="492"/>
      <c r="K612" s="492" t="str">
        <f>IF(A612=0,VLOOKUP(D612,'03. Insumos'!A:F,4,0),"")</f>
        <v/>
      </c>
      <c r="L612" s="492">
        <f>SUM(L613:L618)</f>
        <v>0</v>
      </c>
      <c r="M612" s="153">
        <f t="shared" ca="1" si="139"/>
        <v>0</v>
      </c>
      <c r="O612" s="512"/>
      <c r="R612" s="487"/>
    </row>
    <row r="613" spans="1:18" s="478" customFormat="1" ht="13.5" hidden="1" customHeight="1" outlineLevel="1" x14ac:dyDescent="0.3">
      <c r="A613" s="290">
        <f t="shared" si="164"/>
        <v>0</v>
      </c>
      <c r="B613" s="494"/>
      <c r="C613" s="494"/>
      <c r="D613" s="708" t="s">
        <v>5446</v>
      </c>
      <c r="E613" s="747" t="str">
        <f>VLOOKUP(D613,'03. Insumos'!A:D,2,0)</f>
        <v>MAT - Aparalixo secundário e forração com 9 linhas de pranchões e 2m</v>
      </c>
      <c r="F613" s="482" t="s">
        <v>5218</v>
      </c>
      <c r="G613" s="482" t="str">
        <f>VLOOKUP(D613,'03. Insumos'!A:F,3,0)</f>
        <v>mês</v>
      </c>
      <c r="H613" s="483"/>
      <c r="I613" s="483">
        <v>4</v>
      </c>
      <c r="J613" s="485">
        <f t="shared" ref="J613:J618" si="165">IFERROR(IF(K613&lt;&gt;0,K613*$K$5,0),0)</f>
        <v>345</v>
      </c>
      <c r="K613" s="485">
        <f>IF(A613=0,VLOOKUP(D613,'03. Insumos'!A:F,4,0),"")</f>
        <v>345</v>
      </c>
      <c r="L613" s="485">
        <f t="shared" ref="L613:L618" si="166">H613*J613*I613</f>
        <v>0</v>
      </c>
      <c r="M613" s="153">
        <f t="shared" ca="1" si="139"/>
        <v>0</v>
      </c>
      <c r="O613" s="512">
        <f t="shared" ref="O613:O618" si="167">IF(I613&lt;&gt;0,I613*H613*K613,)</f>
        <v>0</v>
      </c>
      <c r="R613" s="487">
        <f t="shared" ref="R613:R618" si="168">IF(J613&lt;&gt;0,J613/1.03-K613,0)</f>
        <v>-10.048543689320411</v>
      </c>
    </row>
    <row r="614" spans="1:18" s="478" customFormat="1" ht="24.6" hidden="1" outlineLevel="1" x14ac:dyDescent="0.3">
      <c r="A614" s="290">
        <f>LEN(C614)</f>
        <v>0</v>
      </c>
      <c r="B614" s="494"/>
      <c r="C614" s="494"/>
      <c r="D614" s="708" t="s">
        <v>5457</v>
      </c>
      <c r="E614" s="747" t="str">
        <f>VLOOKUP(D614,'03. Insumos'!A:D,2,0)</f>
        <v>MO - Montagem aparalixo secundário e forração com 9 linhas de pranchões e 2m</v>
      </c>
      <c r="F614" s="482" t="s">
        <v>5218</v>
      </c>
      <c r="G614" s="482" t="str">
        <f>VLOOKUP(D614,'03. Insumos'!A:F,3,0)</f>
        <v>vb</v>
      </c>
      <c r="H614" s="483"/>
      <c r="I614" s="483">
        <v>1</v>
      </c>
      <c r="J614" s="485">
        <f>IFERROR(IF(K614&lt;&gt;0,K614*$K$5,0),0)</f>
        <v>1500</v>
      </c>
      <c r="K614" s="485">
        <f>IF(A614=0,VLOOKUP(D614,'03. Insumos'!A:F,4,0),"")</f>
        <v>1500</v>
      </c>
      <c r="L614" s="485">
        <f>H614*J614*I614</f>
        <v>0</v>
      </c>
      <c r="M614" s="153">
        <f ca="1">L614/$L$7</f>
        <v>0</v>
      </c>
      <c r="O614" s="512">
        <f>IF(I614&lt;&gt;0,I614*H614*K614,)</f>
        <v>0</v>
      </c>
      <c r="R614" s="487">
        <f>IF(J614&lt;&gt;0,J614/1.03-K614,0)</f>
        <v>-43.689320388349643</v>
      </c>
    </row>
    <row r="615" spans="1:18" s="478" customFormat="1" hidden="1" outlineLevel="1" x14ac:dyDescent="0.3">
      <c r="A615" s="290">
        <f>LEN(C615)</f>
        <v>0</v>
      </c>
      <c r="B615" s="494"/>
      <c r="C615" s="494"/>
      <c r="D615" s="708" t="s">
        <v>5461</v>
      </c>
      <c r="E615" s="481" t="str">
        <f>VLOOKUP(D615,'03. Insumos'!A:D,2,0)</f>
        <v>MO - Desmontagem aparalixo secundário e forração com 9 linhas de pranchões e 2m</v>
      </c>
      <c r="F615" s="482" t="s">
        <v>5218</v>
      </c>
      <c r="G615" s="482" t="str">
        <f>VLOOKUP(D615,'03. Insumos'!A:F,3,0)</f>
        <v>vb</v>
      </c>
      <c r="H615" s="483"/>
      <c r="I615" s="483">
        <v>1</v>
      </c>
      <c r="J615" s="485">
        <f>IFERROR(IF(K615&lt;&gt;0,K615*$K$5,0),0)</f>
        <v>1000</v>
      </c>
      <c r="K615" s="485">
        <f>IF(A615=0,VLOOKUP(D615,'03. Insumos'!A:F,4,0),"")</f>
        <v>1000</v>
      </c>
      <c r="L615" s="485">
        <f>H615*J615*I615</f>
        <v>0</v>
      </c>
      <c r="M615" s="153">
        <f ca="1">L615/$L$7</f>
        <v>0</v>
      </c>
      <c r="O615" s="512">
        <f>IF(I615&lt;&gt;0,I615*H615*K615,)</f>
        <v>0</v>
      </c>
      <c r="R615" s="487">
        <f>IF(J615&lt;&gt;0,J615/1.03-K615,0)</f>
        <v>-29.126213592233057</v>
      </c>
    </row>
    <row r="616" spans="1:18" s="478" customFormat="1" ht="48.6" hidden="1" outlineLevel="1" x14ac:dyDescent="0.3">
      <c r="A616" s="290">
        <f t="shared" si="164"/>
        <v>0</v>
      </c>
      <c r="B616" s="494"/>
      <c r="C616" s="494"/>
      <c r="D616" s="708" t="s">
        <v>5447</v>
      </c>
      <c r="E616" s="747" t="str">
        <f>VLOOKUP(D616,'03. Insumos'!A:D,2,0)</f>
        <v>MAT - Aparalixo com 99m² com suporte ajustável para VJ forração com piso de 165m de pranchão (5 linhas), forração para a bandeija de 132m de pranchão (4 linhas) com amarração por estroncamento (quadro, tubo e sapata)</v>
      </c>
      <c r="F616" s="482" t="s">
        <v>5218</v>
      </c>
      <c r="G616" s="482" t="str">
        <f>VLOOKUP(D616,'03. Insumos'!A:F,3,0)</f>
        <v>mês</v>
      </c>
      <c r="H616" s="483"/>
      <c r="I616" s="483">
        <v>4</v>
      </c>
      <c r="J616" s="485">
        <f t="shared" si="165"/>
        <v>3145.34</v>
      </c>
      <c r="K616" s="485">
        <f>IF(A616=0,VLOOKUP(D616,'03. Insumos'!A:F,4,0),"")</f>
        <v>3145.34</v>
      </c>
      <c r="L616" s="485">
        <f t="shared" si="166"/>
        <v>0</v>
      </c>
      <c r="M616" s="153">
        <f t="shared" ca="1" si="139"/>
        <v>0</v>
      </c>
      <c r="O616" s="512">
        <f t="shared" si="167"/>
        <v>0</v>
      </c>
      <c r="R616" s="487">
        <f t="shared" si="168"/>
        <v>-91.611844660194038</v>
      </c>
    </row>
    <row r="617" spans="1:18" s="478" customFormat="1" ht="48.6" hidden="1" outlineLevel="1" x14ac:dyDescent="0.3">
      <c r="A617" s="290">
        <f t="shared" si="164"/>
        <v>0</v>
      </c>
      <c r="B617" s="494"/>
      <c r="C617" s="494"/>
      <c r="D617" s="708" t="s">
        <v>5458</v>
      </c>
      <c r="E617" s="747" t="str">
        <f>VLOOKUP(D617,'03. Insumos'!A:D,2,0)</f>
        <v>MO - Montagem de aparalixo com 99m² com suporte ajustável para VJ forração com piso de 165m de pranchão (5 linhas), forração para a bandeija de 132m de pranchão (4 linhas) com amarração por estroncamento (quadro, tubo e sapata)</v>
      </c>
      <c r="F617" s="482" t="s">
        <v>5218</v>
      </c>
      <c r="G617" s="482" t="str">
        <f>VLOOKUP(D617,'03. Insumos'!A:F,3,0)</f>
        <v>vb</v>
      </c>
      <c r="H617" s="483"/>
      <c r="I617" s="483">
        <v>1</v>
      </c>
      <c r="J617" s="485">
        <f t="shared" si="165"/>
        <v>6435</v>
      </c>
      <c r="K617" s="485">
        <f>IF(A617=0,VLOOKUP(D617,'03. Insumos'!A:F,4,0),"")</f>
        <v>6435</v>
      </c>
      <c r="L617" s="485">
        <f t="shared" si="166"/>
        <v>0</v>
      </c>
      <c r="M617" s="153">
        <f t="shared" ca="1" si="139"/>
        <v>0</v>
      </c>
      <c r="O617" s="512">
        <f t="shared" si="167"/>
        <v>0</v>
      </c>
      <c r="R617" s="487">
        <f t="shared" si="168"/>
        <v>-187.42718446601975</v>
      </c>
    </row>
    <row r="618" spans="1:18" s="478" customFormat="1" ht="48.6" hidden="1" outlineLevel="1" x14ac:dyDescent="0.3">
      <c r="A618" s="290">
        <f t="shared" si="164"/>
        <v>0</v>
      </c>
      <c r="B618" s="494"/>
      <c r="C618" s="494"/>
      <c r="D618" s="708" t="s">
        <v>5462</v>
      </c>
      <c r="E618" s="747" t="str">
        <f>VLOOKUP(D618,'03. Insumos'!A:D,2,0)</f>
        <v>MO - Desmontagem de aparalixo com 99m² com suporte ajustável para VJ forração com piso de 165m de pranchão (5 linhas), forração para a bandeija de 132m de pranchão (4 linhas) com amarração por estroncamento (quadro, tubo e sapata)</v>
      </c>
      <c r="F618" s="482" t="s">
        <v>5218</v>
      </c>
      <c r="G618" s="482" t="str">
        <f>VLOOKUP(D618,'03. Insumos'!A:F,3,0)</f>
        <v>vb</v>
      </c>
      <c r="H618" s="483"/>
      <c r="I618" s="483">
        <v>1</v>
      </c>
      <c r="J618" s="485">
        <f t="shared" si="165"/>
        <v>3465</v>
      </c>
      <c r="K618" s="485">
        <f>IF(A618=0,VLOOKUP(D618,'03. Insumos'!A:F,4,0),"")</f>
        <v>3465</v>
      </c>
      <c r="L618" s="485">
        <f t="shared" si="166"/>
        <v>0</v>
      </c>
      <c r="M618" s="153">
        <f t="shared" ref="M618:M629" ca="1" si="169">L618/$L$7</f>
        <v>0</v>
      </c>
      <c r="O618" s="512">
        <f t="shared" si="167"/>
        <v>0</v>
      </c>
      <c r="R618" s="487">
        <f t="shared" si="168"/>
        <v>-100.92233009708752</v>
      </c>
    </row>
    <row r="619" spans="1:18" s="18" customFormat="1" x14ac:dyDescent="0.3">
      <c r="A619" s="290">
        <f t="shared" si="164"/>
        <v>3</v>
      </c>
      <c r="B619" s="35"/>
      <c r="C619" s="390" t="s">
        <v>360</v>
      </c>
      <c r="D619" s="390" t="s">
        <v>87</v>
      </c>
      <c r="E619" s="390"/>
      <c r="F619" s="323"/>
      <c r="G619" s="678"/>
      <c r="H619" s="324"/>
      <c r="I619" s="324"/>
      <c r="J619" s="333"/>
      <c r="K619" s="333"/>
      <c r="L619" s="333">
        <f>SUMIF(A620:A622,4,L620:L622)</f>
        <v>6000</v>
      </c>
      <c r="M619" s="153">
        <f t="shared" ca="1" si="169"/>
        <v>1.0650424723856541E-2</v>
      </c>
      <c r="O619" s="148">
        <f t="shared" si="150"/>
        <v>0</v>
      </c>
      <c r="R619" s="12">
        <f t="shared" si="151"/>
        <v>0</v>
      </c>
    </row>
    <row r="620" spans="1:18" s="18" customFormat="1" outlineLevel="1" x14ac:dyDescent="0.3">
      <c r="A620" s="290">
        <f t="shared" si="164"/>
        <v>4</v>
      </c>
      <c r="B620" s="45"/>
      <c r="C620" s="45" t="s">
        <v>1815</v>
      </c>
      <c r="D620" s="45" t="s">
        <v>93</v>
      </c>
      <c r="E620" s="347"/>
      <c r="F620" s="327"/>
      <c r="G620" s="327"/>
      <c r="H620" s="328"/>
      <c r="I620" s="548"/>
      <c r="J620" s="335"/>
      <c r="K620" s="335" t="str">
        <f>IF(A620=0,VLOOKUP(D620,'03. Insumos'!A:F,4,0),"")</f>
        <v/>
      </c>
      <c r="L620" s="335">
        <f>SUMIF(A621:A622,6,L621:L622)</f>
        <v>6000</v>
      </c>
      <c r="M620" s="153">
        <f t="shared" ca="1" si="169"/>
        <v>1.0650424723856541E-2</v>
      </c>
      <c r="O620" s="148">
        <f t="shared" si="150"/>
        <v>0</v>
      </c>
      <c r="R620" s="12">
        <f t="shared" si="151"/>
        <v>0</v>
      </c>
    </row>
    <row r="621" spans="1:18" s="59" customFormat="1" outlineLevel="1" x14ac:dyDescent="0.3">
      <c r="A621" s="290">
        <f t="shared" si="164"/>
        <v>6</v>
      </c>
      <c r="B621" s="391"/>
      <c r="C621" s="391" t="s">
        <v>1816</v>
      </c>
      <c r="D621" s="606" t="s">
        <v>93</v>
      </c>
      <c r="E621" s="391"/>
      <c r="F621" s="325"/>
      <c r="G621" s="325"/>
      <c r="H621" s="326"/>
      <c r="I621" s="547"/>
      <c r="J621" s="334"/>
      <c r="K621" s="334" t="str">
        <f>IF(A621=0,VLOOKUP(D621,'03. Insumos'!A:F,4,0),"")</f>
        <v/>
      </c>
      <c r="L621" s="334">
        <f>SUM(L622)</f>
        <v>6000</v>
      </c>
      <c r="M621" s="153">
        <f t="shared" ca="1" si="169"/>
        <v>1.0650424723856541E-2</v>
      </c>
      <c r="O621" s="148">
        <f t="shared" si="150"/>
        <v>0</v>
      </c>
      <c r="R621" s="12">
        <f t="shared" si="151"/>
        <v>0</v>
      </c>
    </row>
    <row r="622" spans="1:18" s="51" customFormat="1" outlineLevel="1" x14ac:dyDescent="0.3">
      <c r="A622" s="290">
        <f t="shared" si="164"/>
        <v>0</v>
      </c>
      <c r="B622" s="49"/>
      <c r="C622" s="49"/>
      <c r="D622" s="370" t="s">
        <v>557</v>
      </c>
      <c r="E622" s="67" t="str">
        <f>VLOOKUP(D622,'03. Insumos'!A:D,2,0)</f>
        <v>Limpeza de obra</v>
      </c>
      <c r="F622" s="68" t="s">
        <v>3809</v>
      </c>
      <c r="G622" s="68" t="str">
        <f>VLOOKUP(D622,'03. Insumos'!A:F,3,0)</f>
        <v>Diária</v>
      </c>
      <c r="H622" s="69">
        <v>4</v>
      </c>
      <c r="I622" s="69">
        <v>5</v>
      </c>
      <c r="J622" s="70">
        <f>IFERROR(IF(K622&lt;&gt;0,K622*$K$5,0),0)</f>
        <v>300</v>
      </c>
      <c r="K622" s="70">
        <f>IF(A622=0,VLOOKUP(D622,'03. Insumos'!A:F,4,0),"")</f>
        <v>300</v>
      </c>
      <c r="L622" s="70">
        <f>H622*J622*I622</f>
        <v>6000</v>
      </c>
      <c r="M622" s="153">
        <f t="shared" ca="1" si="169"/>
        <v>1.0650424723856541E-2</v>
      </c>
      <c r="O622" s="148">
        <f t="shared" si="150"/>
        <v>6000</v>
      </c>
      <c r="R622" s="12">
        <f t="shared" si="151"/>
        <v>-8.737864077669883</v>
      </c>
    </row>
    <row r="623" spans="1:18" s="18" customFormat="1" hidden="1" x14ac:dyDescent="0.3">
      <c r="A623" s="290">
        <f t="shared" si="164"/>
        <v>3</v>
      </c>
      <c r="B623" s="35"/>
      <c r="C623" s="390" t="s">
        <v>980</v>
      </c>
      <c r="D623" s="390" t="s">
        <v>974</v>
      </c>
      <c r="E623" s="390"/>
      <c r="F623" s="36"/>
      <c r="G623" s="678"/>
      <c r="H623" s="324"/>
      <c r="I623" s="324"/>
      <c r="J623" s="333"/>
      <c r="K623" s="38"/>
      <c r="L623" s="333">
        <f>SUMIF(A624:A628,4,L624:L628)</f>
        <v>0</v>
      </c>
      <c r="M623" s="153">
        <f t="shared" ca="1" si="169"/>
        <v>0</v>
      </c>
      <c r="O623" s="148">
        <f t="shared" si="150"/>
        <v>0</v>
      </c>
      <c r="R623" s="12">
        <f t="shared" si="151"/>
        <v>0</v>
      </c>
    </row>
    <row r="624" spans="1:18" s="18" customFormat="1" hidden="1" outlineLevel="1" x14ac:dyDescent="0.3">
      <c r="A624" s="290">
        <f t="shared" si="164"/>
        <v>4</v>
      </c>
      <c r="B624" s="45"/>
      <c r="C624" s="45" t="s">
        <v>981</v>
      </c>
      <c r="D624" s="45" t="s">
        <v>2183</v>
      </c>
      <c r="E624" s="347"/>
      <c r="F624" s="60"/>
      <c r="G624" s="327"/>
      <c r="H624" s="328"/>
      <c r="I624" s="548"/>
      <c r="J624" s="62"/>
      <c r="K624" s="62" t="str">
        <f>IF(A624=0,VLOOKUP(D624,'03. Insumos'!A:F,4,0),"")</f>
        <v/>
      </c>
      <c r="L624" s="335">
        <f>SUMIF(A625:A628,6,L625:L628)</f>
        <v>0</v>
      </c>
      <c r="M624" s="153">
        <f t="shared" ca="1" si="169"/>
        <v>0</v>
      </c>
      <c r="O624" s="148">
        <f t="shared" si="150"/>
        <v>0</v>
      </c>
      <c r="R624" s="12">
        <f t="shared" si="151"/>
        <v>0</v>
      </c>
    </row>
    <row r="625" spans="1:19 16384:16384" s="59" customFormat="1" ht="13.5" hidden="1" customHeight="1" outlineLevel="1" x14ac:dyDescent="0.3">
      <c r="A625" s="290">
        <f t="shared" si="164"/>
        <v>6</v>
      </c>
      <c r="B625" s="391"/>
      <c r="C625" s="391" t="s">
        <v>982</v>
      </c>
      <c r="D625" s="391" t="s">
        <v>975</v>
      </c>
      <c r="E625" s="391"/>
      <c r="F625" s="325"/>
      <c r="G625" s="325"/>
      <c r="H625" s="326"/>
      <c r="I625" s="547"/>
      <c r="J625" s="334"/>
      <c r="K625" s="334" t="str">
        <f>IF(A625=0,VLOOKUP(D625,'03. Insumos'!A:F,4,0),"")</f>
        <v/>
      </c>
      <c r="L625" s="334">
        <f>SUM(L626:L626)</f>
        <v>0</v>
      </c>
      <c r="M625" s="153">
        <f t="shared" ca="1" si="169"/>
        <v>0</v>
      </c>
      <c r="O625" s="148">
        <f t="shared" si="150"/>
        <v>0</v>
      </c>
      <c r="R625" s="12">
        <f t="shared" si="151"/>
        <v>0</v>
      </c>
    </row>
    <row r="626" spans="1:19 16384:16384" s="51" customFormat="1" ht="13.5" hidden="1" customHeight="1" outlineLevel="1" x14ac:dyDescent="0.3">
      <c r="A626" s="290">
        <f t="shared" si="164"/>
        <v>0</v>
      </c>
      <c r="B626" s="49"/>
      <c r="C626" s="49"/>
      <c r="D626" s="370"/>
      <c r="E626" s="67" t="e">
        <f>VLOOKUP(D626,'03. Insumos'!A:D,2,0)</f>
        <v>#N/A</v>
      </c>
      <c r="F626" s="68" t="s">
        <v>5218</v>
      </c>
      <c r="G626" s="68" t="e">
        <f>VLOOKUP(D626,'03. Insumos'!A:F,3,0)</f>
        <v>#N/A</v>
      </c>
      <c r="H626" s="69"/>
      <c r="I626" s="69">
        <v>1</v>
      </c>
      <c r="J626" s="70">
        <f>IFERROR(IF(K626&lt;&gt;0,K626*$K$5,0),0)</f>
        <v>0</v>
      </c>
      <c r="K626" s="70" t="e">
        <f>IF(A626=0,VLOOKUP(D626,'03. Insumos'!A:F,4,0),"")</f>
        <v>#N/A</v>
      </c>
      <c r="L626" s="70">
        <f>H626*J626*I626</f>
        <v>0</v>
      </c>
      <c r="M626" s="153">
        <f t="shared" ca="1" si="169"/>
        <v>0</v>
      </c>
      <c r="O626" s="148" t="e">
        <f t="shared" si="150"/>
        <v>#N/A</v>
      </c>
      <c r="R626" s="12">
        <f t="shared" si="151"/>
        <v>0</v>
      </c>
    </row>
    <row r="627" spans="1:19 16384:16384" s="59" customFormat="1" ht="13.5" hidden="1" customHeight="1" outlineLevel="1" x14ac:dyDescent="0.3">
      <c r="A627" s="290">
        <f t="shared" si="164"/>
        <v>6</v>
      </c>
      <c r="B627" s="391"/>
      <c r="C627" s="391" t="s">
        <v>985</v>
      </c>
      <c r="D627" s="391" t="s">
        <v>94</v>
      </c>
      <c r="E627" s="391"/>
      <c r="F627" s="325"/>
      <c r="G627" s="325"/>
      <c r="H627" s="326"/>
      <c r="I627" s="547"/>
      <c r="J627" s="334"/>
      <c r="K627" s="334" t="str">
        <f>IF(A627=0,VLOOKUP(D627,'03. Insumos'!A:F,4,0),"")</f>
        <v/>
      </c>
      <c r="L627" s="334">
        <f>SUM(L628:L628)</f>
        <v>0</v>
      </c>
      <c r="M627" s="153">
        <f t="shared" ca="1" si="169"/>
        <v>0</v>
      </c>
      <c r="O627" s="148">
        <f t="shared" si="150"/>
        <v>0</v>
      </c>
      <c r="R627" s="12">
        <f t="shared" si="151"/>
        <v>0</v>
      </c>
    </row>
    <row r="628" spans="1:19 16384:16384" s="51" customFormat="1" ht="13.5" hidden="1" customHeight="1" outlineLevel="1" x14ac:dyDescent="0.3">
      <c r="A628" s="290">
        <f t="shared" si="164"/>
        <v>0</v>
      </c>
      <c r="B628" s="49"/>
      <c r="C628" s="49"/>
      <c r="D628" s="140" t="s">
        <v>5084</v>
      </c>
      <c r="E628" s="67" t="str">
        <f>VLOOKUP(D628,'03. Insumos'!A:D,2,0)</f>
        <v>Licenças e Consultorias Especificas para Sala Radiológicas</v>
      </c>
      <c r="F628" s="68"/>
      <c r="G628" s="68" t="str">
        <f>VLOOKUP(D628,'03. Insumos'!A:F,3,0)</f>
        <v>vb</v>
      </c>
      <c r="H628" s="69"/>
      <c r="I628" s="141">
        <v>0</v>
      </c>
      <c r="J628" s="70">
        <f>IFERROR(IF(K628&lt;&gt;0,K628*$K$5,0),0)</f>
        <v>1000</v>
      </c>
      <c r="K628" s="70">
        <f>IF(A628=0,VLOOKUP(D628,'03. Insumos'!A:F,4,0),"")</f>
        <v>1000</v>
      </c>
      <c r="L628" s="70">
        <f>H628*J628*I628</f>
        <v>0</v>
      </c>
      <c r="M628" s="153">
        <f t="shared" ca="1" si="169"/>
        <v>0</v>
      </c>
      <c r="O628" s="148">
        <f>IF(I628&lt;&gt;0,I628*H628*K628,)</f>
        <v>0</v>
      </c>
      <c r="R628" s="12">
        <f>IF(J628&lt;&gt;0,J628/1.03-K628,0)</f>
        <v>-29.126213592233057</v>
      </c>
    </row>
    <row r="629" spans="1:19 16384:16384" ht="16.2" collapsed="1" x14ac:dyDescent="0.4">
      <c r="B629" s="175" t="s">
        <v>30</v>
      </c>
      <c r="C629" s="175"/>
      <c r="D629" s="175"/>
      <c r="E629" s="394"/>
      <c r="F629" s="176"/>
      <c r="G629" s="644"/>
      <c r="H629" s="645"/>
      <c r="I629" s="550"/>
      <c r="J629" s="178"/>
      <c r="K629" s="178"/>
      <c r="L629" s="178">
        <f ca="1">L7</f>
        <v>563357.81488227705</v>
      </c>
      <c r="M629" s="153">
        <f t="shared" ca="1" si="169"/>
        <v>1</v>
      </c>
      <c r="R629" s="12">
        <f t="shared" ref="R629" si="170">IF(J629&lt;&gt;0,J629/1.03-K629,0)</f>
        <v>0</v>
      </c>
      <c r="S629" s="226">
        <f ca="1">L629/200</f>
        <v>2816.7890744113852</v>
      </c>
      <c r="XFD629" s="13">
        <f ca="1">SUM(A629:XFC629)</f>
        <v>566175.60395668843</v>
      </c>
    </row>
    <row r="630" spans="1:19 16384:16384" ht="14.4" hidden="1" x14ac:dyDescent="0.3">
      <c r="A630" s="13"/>
      <c r="B630" s="184"/>
      <c r="C630" s="184"/>
      <c r="D630" s="184"/>
      <c r="E630" s="184" t="s">
        <v>2253</v>
      </c>
      <c r="F630" s="185" t="s">
        <v>5218</v>
      </c>
      <c r="G630" s="281">
        <f ca="1">J630/L632</f>
        <v>0.66752174786577256</v>
      </c>
      <c r="H630" s="186">
        <v>1</v>
      </c>
      <c r="I630" s="186">
        <v>1</v>
      </c>
      <c r="J630" s="187">
        <f>SUMIF($F$11:$F$1376,F630,$L$11:$L$1376)</f>
        <v>376053.59326405992</v>
      </c>
      <c r="K630" s="187"/>
      <c r="L630" s="187"/>
      <c r="M630" s="681"/>
    </row>
    <row r="631" spans="1:19 16384:16384" ht="14.4" hidden="1" x14ac:dyDescent="0.3">
      <c r="A631" s="13"/>
      <c r="B631" s="184"/>
      <c r="C631" s="184"/>
      <c r="D631" s="184"/>
      <c r="E631" s="184" t="s">
        <v>2254</v>
      </c>
      <c r="F631" s="185" t="s">
        <v>3809</v>
      </c>
      <c r="G631" s="281">
        <f ca="1">J631/L632</f>
        <v>0.33247825213422733</v>
      </c>
      <c r="H631" s="186">
        <v>1</v>
      </c>
      <c r="I631" s="186">
        <v>1</v>
      </c>
      <c r="J631" s="187">
        <f ca="1">SUMIF($F$11:$F$1376,F631,$L$11:$L$1376)</f>
        <v>187304.22161821707</v>
      </c>
      <c r="K631" s="187"/>
      <c r="L631" s="187">
        <f ca="1">K631/L632</f>
        <v>0</v>
      </c>
      <c r="M631" s="43"/>
      <c r="N631" s="226"/>
    </row>
    <row r="632" spans="1:19 16384:16384" ht="14.4" x14ac:dyDescent="0.3">
      <c r="A632" s="13"/>
      <c r="B632" s="184"/>
      <c r="C632" s="184"/>
      <c r="D632" s="184" t="s">
        <v>30</v>
      </c>
      <c r="E632" s="184"/>
      <c r="F632" s="185"/>
      <c r="G632" s="281"/>
      <c r="H632" s="186"/>
      <c r="I632" s="186"/>
      <c r="J632" s="187"/>
      <c r="K632" s="187"/>
      <c r="L632" s="682">
        <f ca="1">L629</f>
        <v>563357.81488227705</v>
      </c>
      <c r="M632" s="681">
        <f ca="1">L632-(L596+L290+L296)</f>
        <v>504532.01488227706</v>
      </c>
      <c r="S632" s="226">
        <f ca="1">(L632+L634)/200</f>
        <v>2951.1995713704528</v>
      </c>
    </row>
    <row r="633" spans="1:19 16384:16384" ht="14.4" x14ac:dyDescent="0.3">
      <c r="A633" s="13"/>
      <c r="B633" s="184"/>
      <c r="C633" s="184"/>
      <c r="D633" s="184" t="s">
        <v>2252</v>
      </c>
      <c r="E633" s="184"/>
      <c r="F633" s="185"/>
      <c r="G633" s="283">
        <v>0.15</v>
      </c>
      <c r="H633" s="186"/>
      <c r="I633" s="186"/>
      <c r="J633" s="187"/>
      <c r="K633" s="187">
        <f ca="1">L633/9</f>
        <v>9389.2969147046169</v>
      </c>
      <c r="L633" s="187">
        <f ca="1">L632*G633</f>
        <v>84503.67223234156</v>
      </c>
      <c r="M633" s="43">
        <f ca="1">L633/L2</f>
        <v>21125.91805808539</v>
      </c>
      <c r="S633" s="683">
        <v>30828.350319444449</v>
      </c>
    </row>
    <row r="634" spans="1:19 16384:16384" ht="14.4" x14ac:dyDescent="0.3">
      <c r="A634" s="13"/>
      <c r="B634" s="184"/>
      <c r="C634" s="184"/>
      <c r="D634" s="184" t="s">
        <v>2251</v>
      </c>
      <c r="E634" s="184"/>
      <c r="F634" s="185"/>
      <c r="G634" s="281"/>
      <c r="H634" s="186"/>
      <c r="I634" s="186"/>
      <c r="J634" s="187"/>
      <c r="K634" s="187"/>
      <c r="L634" s="682">
        <f ca="1">((L633+J631)/0.91)-(L633+J631)</f>
        <v>26882.099391813506</v>
      </c>
    </row>
    <row r="635" spans="1:19 16384:16384" ht="14.4" hidden="1" x14ac:dyDescent="0.3">
      <c r="A635" s="13"/>
      <c r="B635" s="184"/>
      <c r="C635" s="184"/>
      <c r="D635" s="184"/>
      <c r="E635" s="184"/>
      <c r="F635" s="185"/>
      <c r="G635" s="281"/>
      <c r="H635" s="186"/>
      <c r="I635" s="186"/>
      <c r="J635" s="187"/>
      <c r="K635" s="187"/>
      <c r="L635" s="682"/>
    </row>
    <row r="636" spans="1:19 16384:16384" ht="14.4" hidden="1" x14ac:dyDescent="0.3">
      <c r="A636" s="13"/>
      <c r="B636" s="291"/>
      <c r="C636" s="291"/>
      <c r="D636" s="291" t="s">
        <v>5219</v>
      </c>
      <c r="E636" s="291"/>
      <c r="F636" s="292"/>
      <c r="G636" s="684"/>
      <c r="H636" s="685"/>
      <c r="I636" s="685"/>
      <c r="J636" s="686"/>
      <c r="K636" s="686"/>
      <c r="L636" s="687">
        <f ca="1">L633/739.583</f>
        <v>114.25853789546483</v>
      </c>
    </row>
    <row r="637" spans="1:19 16384:16384" ht="16.2" hidden="1" x14ac:dyDescent="0.4">
      <c r="B637" s="175" t="s">
        <v>22</v>
      </c>
      <c r="C637" s="175"/>
      <c r="D637" s="175"/>
      <c r="E637" s="394"/>
      <c r="F637" s="176"/>
      <c r="G637" s="644"/>
      <c r="H637" s="645"/>
      <c r="I637" s="550"/>
      <c r="J637" s="178"/>
      <c r="K637" s="178"/>
      <c r="L637" s="178">
        <f ca="1">L638</f>
        <v>674743.58650643216</v>
      </c>
      <c r="M637" s="153"/>
      <c r="S637" s="226">
        <f ca="1">L637/200</f>
        <v>3373.7179325321608</v>
      </c>
    </row>
    <row r="638" spans="1:19 16384:16384" ht="19.5" customHeight="1" x14ac:dyDescent="0.4">
      <c r="B638" s="175" t="s">
        <v>5220</v>
      </c>
      <c r="C638" s="175"/>
      <c r="D638" s="175"/>
      <c r="E638" s="175"/>
      <c r="F638" s="176"/>
      <c r="G638" s="176"/>
      <c r="H638" s="177"/>
      <c r="I638" s="177"/>
      <c r="J638" s="178"/>
      <c r="K638" s="178"/>
      <c r="L638" s="178">
        <f ca="1">SUM(L632:L634)</f>
        <v>674743.58650643216</v>
      </c>
      <c r="M638" s="43">
        <f ca="1">L638/180</f>
        <v>3748.5754805912898</v>
      </c>
      <c r="N638" s="226"/>
      <c r="R638" s="11"/>
    </row>
    <row r="639" spans="1:19 16384:16384" hidden="1" x14ac:dyDescent="0.3"/>
    <row r="640" spans="1:19 16384:16384" hidden="1" x14ac:dyDescent="0.3">
      <c r="J640" s="589" t="s">
        <v>3558</v>
      </c>
      <c r="K640" s="588"/>
      <c r="L640" s="591">
        <v>174.19</v>
      </c>
    </row>
    <row r="641" spans="10:18" ht="14.4" hidden="1" thickBot="1" x14ac:dyDescent="0.35">
      <c r="J641" s="590" t="s">
        <v>3557</v>
      </c>
      <c r="K641" s="368"/>
      <c r="L641" s="587">
        <f ca="1">(L632+L634)/L640</f>
        <v>3388.4833473453732</v>
      </c>
      <c r="M641" s="150">
        <f ca="1">L641/3000</f>
        <v>1.1294944491151244</v>
      </c>
    </row>
    <row r="642" spans="10:18" ht="14.4" thickBot="1" x14ac:dyDescent="0.35"/>
    <row r="643" spans="10:18" x14ac:dyDescent="0.3">
      <c r="J643" s="589" t="s">
        <v>4832</v>
      </c>
      <c r="K643" s="588"/>
      <c r="L643" s="763">
        <v>132.43</v>
      </c>
      <c r="M643" s="681" t="e">
        <f ca="1">L632-#REF!</f>
        <v>#REF!</v>
      </c>
    </row>
    <row r="644" spans="10:18" ht="14.4" thickBot="1" x14ac:dyDescent="0.35">
      <c r="J644" s="590" t="s">
        <v>3557</v>
      </c>
      <c r="K644" s="368"/>
      <c r="L644" s="587">
        <f ca="1">(L632)/L643</f>
        <v>4254.0044920507216</v>
      </c>
      <c r="M644" s="681" t="e">
        <f ca="1">L638-#REF!</f>
        <v>#REF!</v>
      </c>
    </row>
    <row r="645" spans="10:18" ht="14.4" thickBot="1" x14ac:dyDescent="0.35"/>
    <row r="646" spans="10:18" ht="12.75" customHeight="1" x14ac:dyDescent="0.3">
      <c r="J646" s="1112" t="s">
        <v>5221</v>
      </c>
      <c r="K646" s="688"/>
      <c r="L646" s="688">
        <f>SUM(L9:L182)</f>
        <v>406341.97666666668</v>
      </c>
      <c r="M646" s="689"/>
      <c r="N646" s="690"/>
      <c r="O646" s="690"/>
      <c r="P646" s="690"/>
      <c r="Q646" s="690"/>
      <c r="R646" s="691"/>
    </row>
    <row r="647" spans="10:18" ht="14.4" thickBot="1" x14ac:dyDescent="0.35">
      <c r="J647" s="1113"/>
      <c r="K647" s="692"/>
      <c r="L647" s="692">
        <f>L646/5</f>
        <v>81268.395333333334</v>
      </c>
      <c r="M647" s="693" t="s">
        <v>5222</v>
      </c>
      <c r="N647" s="694"/>
      <c r="O647" s="694"/>
      <c r="P647" s="694"/>
      <c r="Q647" s="694"/>
      <c r="R647" s="695">
        <f>L9</f>
        <v>81268.395333333334</v>
      </c>
    </row>
    <row r="648" spans="10:18" ht="14.4" thickBot="1" x14ac:dyDescent="0.35">
      <c r="J648" s="696"/>
      <c r="M648" s="18"/>
      <c r="R648" s="150"/>
    </row>
    <row r="649" spans="10:18" x14ac:dyDescent="0.3">
      <c r="J649" s="1112" t="s">
        <v>5223</v>
      </c>
      <c r="K649" s="688"/>
      <c r="L649" s="688">
        <f ca="1">SUM(L191:L628)</f>
        <v>2410447.0977447196</v>
      </c>
      <c r="M649" s="697"/>
      <c r="N649" s="690"/>
      <c r="O649" s="690"/>
      <c r="P649" s="690"/>
      <c r="Q649" s="690"/>
      <c r="R649" s="698"/>
    </row>
    <row r="650" spans="10:18" ht="14.4" thickBot="1" x14ac:dyDescent="0.35">
      <c r="J650" s="1113"/>
      <c r="K650" s="692"/>
      <c r="L650" s="692">
        <f ca="1">L649/5</f>
        <v>482089.41954894393</v>
      </c>
      <c r="M650" s="693" t="s">
        <v>5224</v>
      </c>
      <c r="N650" s="694"/>
      <c r="O650" s="694"/>
      <c r="P650" s="694"/>
      <c r="Q650" s="694"/>
      <c r="R650" s="695">
        <f ca="1">L191</f>
        <v>482089.4195489437</v>
      </c>
    </row>
    <row r="651" spans="10:18" ht="14.4" thickBot="1" x14ac:dyDescent="0.35">
      <c r="J651" s="696"/>
      <c r="M651" s="699"/>
    </row>
    <row r="652" spans="10:18" ht="14.4" thickBot="1" x14ac:dyDescent="0.35">
      <c r="J652" s="700" t="s">
        <v>5225</v>
      </c>
      <c r="K652" s="701"/>
      <c r="L652" s="701">
        <f ca="1">L650+L647</f>
        <v>563357.81488227728</v>
      </c>
      <c r="M652" s="702" t="s">
        <v>5226</v>
      </c>
      <c r="N652" s="703"/>
      <c r="O652" s="703"/>
      <c r="P652" s="703"/>
      <c r="Q652" s="703"/>
      <c r="R652" s="704">
        <f ca="1">R650+R647</f>
        <v>563357.81488227705</v>
      </c>
    </row>
    <row r="653" spans="10:18" ht="14.4" thickBot="1" x14ac:dyDescent="0.35">
      <c r="J653" s="696"/>
    </row>
    <row r="654" spans="10:18" ht="14.4" thickBot="1" x14ac:dyDescent="0.35">
      <c r="J654" s="700" t="s">
        <v>5227</v>
      </c>
      <c r="K654" s="701"/>
      <c r="L654" s="704">
        <f ca="1">L652-R652</f>
        <v>0</v>
      </c>
    </row>
  </sheetData>
  <mergeCells count="3">
    <mergeCell ref="E1:J2"/>
    <mergeCell ref="J646:J647"/>
    <mergeCell ref="J649:J650"/>
  </mergeCells>
  <conditionalFormatting sqref="A1:A318">
    <cfRule type="cellIs" dxfId="17" priority="1" operator="equal">
      <formula>2</formula>
    </cfRule>
  </conditionalFormatting>
  <conditionalFormatting sqref="A319:A324">
    <cfRule type="cellIs" dxfId="16" priority="49" operator="equal">
      <formula>2</formula>
    </cfRule>
  </conditionalFormatting>
  <conditionalFormatting sqref="A325:A65212">
    <cfRule type="cellIs" dxfId="15" priority="3" operator="equal">
      <formula>2</formula>
    </cfRule>
  </conditionalFormatting>
  <pageMargins left="0.7" right="0.7" top="0.75" bottom="0.75" header="0.3" footer="0.3"/>
  <pageSetup paperSize="9" scale="61" fitToHeight="0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01221-0043-4EC5-9103-AD6D0C82E71A}">
  <sheetPr>
    <pageSetUpPr fitToPage="1"/>
  </sheetPr>
  <dimension ref="A1:N68"/>
  <sheetViews>
    <sheetView showGridLines="0" topLeftCell="A3" zoomScale="115" zoomScaleNormal="115" zoomScalePageLayoutView="150" workbookViewId="0">
      <selection activeCell="F53" sqref="F53"/>
    </sheetView>
  </sheetViews>
  <sheetFormatPr defaultColWidth="9.109375" defaultRowHeight="14.4" outlineLevelRow="1" outlineLevelCol="1" x14ac:dyDescent="0.3"/>
  <cols>
    <col min="1" max="1" width="2.6640625" customWidth="1"/>
    <col min="2" max="2" width="14.88671875" customWidth="1"/>
    <col min="3" max="3" width="80.6640625" customWidth="1"/>
    <col min="4" max="4" width="20.6640625" customWidth="1"/>
    <col min="5" max="6" width="14" customWidth="1"/>
    <col min="7" max="7" width="2.6640625" customWidth="1"/>
    <col min="8" max="8" width="3.6640625" customWidth="1"/>
    <col min="9" max="9" width="24.88671875" hidden="1" customWidth="1" outlineLevel="1"/>
    <col min="10" max="10" width="34.33203125" hidden="1" customWidth="1" collapsed="1"/>
    <col min="11" max="11" width="11.6640625" hidden="1" customWidth="1"/>
    <col min="12" max="12" width="12.44140625" hidden="1" customWidth="1"/>
    <col min="13" max="13" width="14.5546875" bestFit="1" customWidth="1"/>
    <col min="14" max="14" width="12.33203125" bestFit="1" customWidth="1"/>
  </cols>
  <sheetData>
    <row r="1" spans="1:9" ht="15" customHeight="1" outlineLevel="1" x14ac:dyDescent="0.3">
      <c r="A1" s="107"/>
      <c r="B1" s="105"/>
      <c r="C1" s="106"/>
      <c r="D1" s="106"/>
      <c r="E1" s="106"/>
      <c r="F1" s="106"/>
      <c r="G1" s="107"/>
      <c r="I1" t="s">
        <v>1004</v>
      </c>
    </row>
    <row r="2" spans="1:9" ht="15" customHeight="1" outlineLevel="1" x14ac:dyDescent="0.3">
      <c r="A2" s="107"/>
      <c r="B2" s="1129" t="s">
        <v>8828</v>
      </c>
      <c r="C2" s="1130"/>
      <c r="D2" s="1130"/>
      <c r="E2" s="1130"/>
      <c r="F2" s="1131"/>
      <c r="G2" s="107"/>
      <c r="I2" t="e">
        <f ca="1">I20=I27=I53=#REF!</f>
        <v>#REF!</v>
      </c>
    </row>
    <row r="3" spans="1:9" ht="27.75" customHeight="1" outlineLevel="1" x14ac:dyDescent="0.3">
      <c r="A3" s="107"/>
      <c r="B3" s="1132"/>
      <c r="C3" s="1133"/>
      <c r="D3" s="1133"/>
      <c r="E3" s="1133"/>
      <c r="F3" s="1134"/>
      <c r="G3" s="107"/>
    </row>
    <row r="4" spans="1:9" ht="15" customHeight="1" outlineLevel="1" x14ac:dyDescent="0.3">
      <c r="A4" s="107"/>
      <c r="B4" s="125"/>
      <c r="E4" s="1135" t="s">
        <v>95</v>
      </c>
      <c r="F4" s="1136"/>
      <c r="G4" s="107"/>
    </row>
    <row r="5" spans="1:9" ht="15" customHeight="1" outlineLevel="1" x14ac:dyDescent="0.3">
      <c r="A5" s="107"/>
      <c r="B5" s="132" t="s">
        <v>96</v>
      </c>
      <c r="C5" s="725" t="s">
        <v>8612</v>
      </c>
      <c r="E5" s="1137" t="s">
        <v>100</v>
      </c>
      <c r="F5" s="1138"/>
      <c r="G5" s="107"/>
    </row>
    <row r="6" spans="1:9" ht="15" customHeight="1" outlineLevel="1" x14ac:dyDescent="0.3">
      <c r="A6" s="107"/>
      <c r="B6" s="132" t="s">
        <v>97</v>
      </c>
      <c r="C6" s="725" t="s">
        <v>5386</v>
      </c>
      <c r="E6" s="1139">
        <v>45992</v>
      </c>
      <c r="F6" s="1140"/>
      <c r="G6" s="107"/>
    </row>
    <row r="7" spans="1:9" ht="15" customHeight="1" outlineLevel="1" x14ac:dyDescent="0.3">
      <c r="A7" s="107"/>
      <c r="B7" s="132" t="s">
        <v>98</v>
      </c>
      <c r="C7" s="725" t="s">
        <v>8613</v>
      </c>
      <c r="E7" s="1137" t="s">
        <v>8392</v>
      </c>
      <c r="F7" s="1138"/>
      <c r="G7" s="107"/>
    </row>
    <row r="8" spans="1:9" x14ac:dyDescent="0.3">
      <c r="A8" s="107"/>
      <c r="B8" s="133" t="s">
        <v>99</v>
      </c>
      <c r="C8" s="725" t="s">
        <v>7029</v>
      </c>
      <c r="E8" s="1127">
        <v>1218.7470000000001</v>
      </c>
      <c r="F8" s="1128"/>
      <c r="G8" s="107"/>
    </row>
    <row r="9" spans="1:9" x14ac:dyDescent="0.3">
      <c r="A9" s="107"/>
      <c r="B9" s="133"/>
      <c r="C9" s="77"/>
      <c r="E9" s="1114"/>
      <c r="F9" s="1115"/>
      <c r="G9" s="107"/>
    </row>
    <row r="10" spans="1:9" x14ac:dyDescent="0.3">
      <c r="A10" s="107"/>
      <c r="B10" s="134"/>
      <c r="C10" s="135"/>
      <c r="D10" s="135"/>
      <c r="E10" s="135"/>
      <c r="F10" s="136"/>
      <c r="G10" s="107"/>
    </row>
    <row r="11" spans="1:9" ht="6.75" customHeight="1" x14ac:dyDescent="0.3">
      <c r="A11" s="107"/>
      <c r="B11" s="78"/>
      <c r="C11" s="78"/>
      <c r="D11" s="79"/>
      <c r="E11" s="80"/>
      <c r="F11" s="81"/>
      <c r="G11" s="107"/>
    </row>
    <row r="12" spans="1:9" x14ac:dyDescent="0.3">
      <c r="A12" s="109"/>
      <c r="B12" s="128"/>
      <c r="C12" s="129"/>
      <c r="D12" s="939" t="s">
        <v>8462</v>
      </c>
      <c r="E12" s="940">
        <v>4002.24</v>
      </c>
      <c r="F12" s="130"/>
      <c r="G12" s="109"/>
    </row>
    <row r="13" spans="1:9" x14ac:dyDescent="0.3">
      <c r="A13" s="78"/>
      <c r="B13" s="131" t="s">
        <v>999</v>
      </c>
      <c r="C13" s="943">
        <f>'02. Orçamento'!L2</f>
        <v>36</v>
      </c>
      <c r="D13" s="939" t="s">
        <v>8783</v>
      </c>
      <c r="E13" s="940">
        <v>2561.21</v>
      </c>
      <c r="F13" s="1068"/>
      <c r="G13" s="78"/>
    </row>
    <row r="14" spans="1:9" x14ac:dyDescent="0.3">
      <c r="A14" s="109"/>
      <c r="B14" s="126"/>
      <c r="C14" s="127"/>
      <c r="D14" s="942" t="s">
        <v>8600</v>
      </c>
      <c r="E14" s="941">
        <v>37</v>
      </c>
      <c r="F14" s="1067"/>
      <c r="G14" s="109"/>
    </row>
    <row r="15" spans="1:9" ht="9.75" customHeight="1" x14ac:dyDescent="0.3">
      <c r="A15" s="109"/>
      <c r="B15" s="109"/>
      <c r="C15" s="110"/>
      <c r="D15" s="111"/>
      <c r="E15" s="112"/>
      <c r="F15" s="109"/>
      <c r="G15" s="109"/>
    </row>
    <row r="16" spans="1:9" x14ac:dyDescent="0.3">
      <c r="A16" s="113"/>
      <c r="B16" s="1043"/>
      <c r="C16" s="1047" t="s">
        <v>101</v>
      </c>
      <c r="D16" s="1048" t="s">
        <v>103</v>
      </c>
      <c r="E16" s="1048" t="s">
        <v>104</v>
      </c>
      <c r="F16" s="1049" t="s">
        <v>102</v>
      </c>
      <c r="G16" s="113"/>
    </row>
    <row r="17" spans="1:14" ht="5.25" customHeight="1" x14ac:dyDescent="0.3">
      <c r="A17" s="113"/>
      <c r="B17" s="1116"/>
      <c r="C17" s="1117"/>
      <c r="D17" s="1117"/>
      <c r="E17" s="1117"/>
      <c r="F17" s="1118"/>
      <c r="G17" s="113"/>
    </row>
    <row r="18" spans="1:14" x14ac:dyDescent="0.3">
      <c r="A18" s="113"/>
      <c r="B18" s="1119" t="s">
        <v>3088</v>
      </c>
      <c r="C18" s="1120"/>
      <c r="D18" s="1050">
        <f ca="1">D20+D27</f>
        <v>16469381.482224394</v>
      </c>
      <c r="E18" s="1050">
        <f ca="1">IF($E$8=0,0,D18/$E$8)</f>
        <v>13513.371915766269</v>
      </c>
      <c r="F18" s="1051">
        <f ca="1">F20+F27</f>
        <v>1.0000000000000002</v>
      </c>
      <c r="G18" s="113"/>
    </row>
    <row r="19" spans="1:14" x14ac:dyDescent="0.3">
      <c r="A19" s="113"/>
      <c r="B19" s="1121"/>
      <c r="C19" s="1122"/>
      <c r="D19" s="1122"/>
      <c r="E19" s="1122"/>
      <c r="F19" s="1123"/>
      <c r="G19" s="113"/>
    </row>
    <row r="20" spans="1:14" x14ac:dyDescent="0.3">
      <c r="A20" s="113"/>
      <c r="B20" s="116" t="s">
        <v>106</v>
      </c>
      <c r="C20" s="100"/>
      <c r="D20" s="101">
        <f>SUM(D21:D26)</f>
        <v>4421734.1117419368</v>
      </c>
      <c r="E20" s="101">
        <f>IF($E$8=0,0,D20/$E$8)</f>
        <v>3628.0984582870246</v>
      </c>
      <c r="F20" s="117">
        <f ca="1">SUM(F21:F26)</f>
        <v>0.26848209913131038</v>
      </c>
      <c r="G20" s="113"/>
      <c r="I20" t="e">
        <f>D20=#REF!</f>
        <v>#REF!</v>
      </c>
      <c r="M20" s="927"/>
      <c r="N20" s="798"/>
    </row>
    <row r="21" spans="1:14" s="527" customFormat="1" x14ac:dyDescent="0.3">
      <c r="A21" s="108"/>
      <c r="B21" s="714" t="s">
        <v>281</v>
      </c>
      <c r="C21" s="715" t="str">
        <f>'02. Orçamento'!D10</f>
        <v>SERVIÇOS TÉCNICOS E PRELIMINARES</v>
      </c>
      <c r="D21" s="716">
        <f>'02. Orçamento'!L10</f>
        <v>245350</v>
      </c>
      <c r="E21" s="716">
        <f>IF($E$8=0,0,D21/$E$8)</f>
        <v>201.31331605329078</v>
      </c>
      <c r="F21" s="717">
        <f t="shared" ref="F21:F26" ca="1" si="0">IF(D21&lt;&gt;0,D21/$D$18,)</f>
        <v>1.4897341485763098E-2</v>
      </c>
      <c r="G21" s="108"/>
      <c r="I21" s="528">
        <f ca="1">SUM(D21:D26)/D18</f>
        <v>0.26848209913131038</v>
      </c>
      <c r="J21" s="527" t="s">
        <v>76</v>
      </c>
      <c r="K21" s="798">
        <v>516512.38514061517</v>
      </c>
      <c r="L21" s="527" t="b">
        <f>K21=D21</f>
        <v>0</v>
      </c>
      <c r="M21" s="927"/>
      <c r="N21" s="798"/>
    </row>
    <row r="22" spans="1:14" s="527" customFormat="1" x14ac:dyDescent="0.3">
      <c r="A22" s="108"/>
      <c r="B22" s="718" t="s">
        <v>282</v>
      </c>
      <c r="C22" s="719" t="str">
        <f>'02. Orçamento'!D49</f>
        <v>INSTALAÇÕES PROVISÓRIAS E CANTEIRO</v>
      </c>
      <c r="D22" s="720">
        <f>'02. Orçamento'!L49</f>
        <v>288861.24</v>
      </c>
      <c r="E22" s="720">
        <f t="shared" ref="E22:E46" si="1">IF($E$8=0,0,D22/$E$8)</f>
        <v>237.01493419060722</v>
      </c>
      <c r="F22" s="721">
        <f t="shared" ca="1" si="0"/>
        <v>1.753928891086599E-2</v>
      </c>
      <c r="G22" s="108"/>
      <c r="J22" s="527" t="s">
        <v>77</v>
      </c>
      <c r="K22" s="798">
        <v>366211.25386658125</v>
      </c>
      <c r="L22" s="527" t="b">
        <f t="shared" ref="L22:L46" si="2">K22=D22</f>
        <v>0</v>
      </c>
      <c r="M22" s="927"/>
      <c r="N22" s="798"/>
    </row>
    <row r="23" spans="1:14" s="527" customFormat="1" x14ac:dyDescent="0.3">
      <c r="A23" s="108"/>
      <c r="B23" s="718" t="s">
        <v>283</v>
      </c>
      <c r="C23" s="719" t="str">
        <f>'02. Orçamento'!D72</f>
        <v>SEGURANÇA DO TRABALHO E PROTEÇÕES</v>
      </c>
      <c r="D23" s="720">
        <f>'02. Orçamento'!L72</f>
        <v>215613.63139999998</v>
      </c>
      <c r="E23" s="720">
        <f t="shared" si="1"/>
        <v>176.91418432209471</v>
      </c>
      <c r="F23" s="721">
        <f t="shared" ca="1" si="0"/>
        <v>1.3091786818631558E-2</v>
      </c>
      <c r="G23" s="108"/>
      <c r="J23" s="527" t="s">
        <v>75</v>
      </c>
      <c r="K23" s="798">
        <v>238669.84007993262</v>
      </c>
      <c r="L23" s="527" t="b">
        <f t="shared" si="2"/>
        <v>0</v>
      </c>
      <c r="M23" s="927"/>
      <c r="N23" s="798"/>
    </row>
    <row r="24" spans="1:14" s="527" customFormat="1" x14ac:dyDescent="0.3">
      <c r="A24" s="108"/>
      <c r="B24" s="718" t="s">
        <v>284</v>
      </c>
      <c r="C24" s="719" t="str">
        <f>'02. Orçamento'!D124</f>
        <v>MÁQUINAS E EQUIPAMENTOS</v>
      </c>
      <c r="D24" s="720">
        <f>'02. Orçamento'!L124</f>
        <v>426714.52521875</v>
      </c>
      <c r="E24" s="720">
        <f t="shared" si="1"/>
        <v>350.1256004886576</v>
      </c>
      <c r="F24" s="721">
        <f t="shared" ca="1" si="0"/>
        <v>2.5909565922637001E-2</v>
      </c>
      <c r="G24" s="108"/>
      <c r="J24" s="527" t="s">
        <v>78</v>
      </c>
      <c r="K24" s="798">
        <v>282257.69173333334</v>
      </c>
      <c r="L24" s="527" t="b">
        <f t="shared" si="2"/>
        <v>0</v>
      </c>
      <c r="M24" s="927"/>
      <c r="N24" s="798"/>
    </row>
    <row r="25" spans="1:14" s="527" customFormat="1" x14ac:dyDescent="0.3">
      <c r="A25" s="108"/>
      <c r="B25" s="718" t="s">
        <v>285</v>
      </c>
      <c r="C25" s="719" t="str">
        <f>'02. Orçamento'!D205</f>
        <v>MÃO DE OBRA DE APOIO / ENGENHARIA</v>
      </c>
      <c r="D25" s="720">
        <f>'02. Orçamento'!L205</f>
        <v>2895074.7151231868</v>
      </c>
      <c r="E25" s="720">
        <f t="shared" si="1"/>
        <v>2375.4517673669652</v>
      </c>
      <c r="F25" s="721">
        <f t="shared" ca="1" si="0"/>
        <v>0.17578527270425284</v>
      </c>
      <c r="G25" s="108"/>
      <c r="J25" s="527" t="s">
        <v>993</v>
      </c>
      <c r="K25" s="798">
        <v>1105068.1777777779</v>
      </c>
      <c r="L25" s="527" t="b">
        <f t="shared" si="2"/>
        <v>0</v>
      </c>
      <c r="M25" s="927"/>
      <c r="N25" s="798"/>
    </row>
    <row r="26" spans="1:14" s="527" customFormat="1" x14ac:dyDescent="0.3">
      <c r="A26" s="108"/>
      <c r="B26" s="722" t="s">
        <v>286</v>
      </c>
      <c r="C26" s="723" t="str">
        <f>'02. Orçamento'!D270</f>
        <v>DESPESAS OPERACIONAIS</v>
      </c>
      <c r="D26" s="724">
        <f>'02. Orçamento'!L270</f>
        <v>350120</v>
      </c>
      <c r="E26" s="724">
        <f t="shared" si="1"/>
        <v>287.27865586540929</v>
      </c>
      <c r="F26" s="721">
        <f t="shared" ca="1" si="0"/>
        <v>2.1258843289159876E-2</v>
      </c>
      <c r="G26" s="108"/>
      <c r="J26" s="527" t="s">
        <v>79</v>
      </c>
      <c r="K26" s="798">
        <v>419700</v>
      </c>
      <c r="L26" s="527" t="b">
        <f t="shared" si="2"/>
        <v>0</v>
      </c>
      <c r="M26" s="927"/>
      <c r="N26" s="798"/>
    </row>
    <row r="27" spans="1:14" x14ac:dyDescent="0.3">
      <c r="A27" s="113"/>
      <c r="B27" s="116" t="s">
        <v>105</v>
      </c>
      <c r="C27" s="100"/>
      <c r="D27" s="101">
        <f ca="1">SUM(D28:D49)</f>
        <v>12047647.370482458</v>
      </c>
      <c r="E27" s="101">
        <f t="shared" ca="1" si="1"/>
        <v>9885.2734574792448</v>
      </c>
      <c r="F27" s="117">
        <f ca="1">SUM(F28:F49)</f>
        <v>0.73151790086868984</v>
      </c>
      <c r="G27" s="113"/>
      <c r="I27" t="e">
        <f ca="1">D27=#REF!</f>
        <v>#REF!</v>
      </c>
      <c r="L27" s="527" t="b">
        <f t="shared" ca="1" si="2"/>
        <v>0</v>
      </c>
      <c r="M27" s="927"/>
      <c r="N27" s="798"/>
    </row>
    <row r="28" spans="1:14" s="527" customFormat="1" x14ac:dyDescent="0.3">
      <c r="A28" s="113"/>
      <c r="B28" s="718" t="s">
        <v>1415</v>
      </c>
      <c r="C28" s="719" t="str">
        <f>'02. Orçamento'!D298</f>
        <v>MOVIMENTAÇÃO DE TERRA / DEMOLIÇÃO</v>
      </c>
      <c r="D28" s="720">
        <f>'02. Orçamento'!L298</f>
        <v>255846.5</v>
      </c>
      <c r="E28" s="720">
        <f t="shared" si="1"/>
        <v>209.92585007388735</v>
      </c>
      <c r="F28" s="721">
        <f ca="1">IF(D28&lt;&gt;0,D28/$D$18,)</f>
        <v>1.5534675681423634E-2</v>
      </c>
      <c r="G28" s="113"/>
      <c r="J28" s="527" t="s">
        <v>5960</v>
      </c>
      <c r="K28" s="798">
        <v>106481.3884515454</v>
      </c>
      <c r="L28" s="527" t="b">
        <f t="shared" si="2"/>
        <v>0</v>
      </c>
      <c r="M28" s="528"/>
      <c r="N28" s="798"/>
    </row>
    <row r="29" spans="1:14" s="527" customFormat="1" x14ac:dyDescent="0.3">
      <c r="A29" s="113"/>
      <c r="B29" s="718" t="s">
        <v>1416</v>
      </c>
      <c r="C29" s="719" t="str">
        <f>'02. Orçamento'!D328</f>
        <v>INFRAESTRUTURA</v>
      </c>
      <c r="D29" s="720">
        <f>'02. Orçamento'!L328</f>
        <v>970337.50762339332</v>
      </c>
      <c r="E29" s="720">
        <f t="shared" si="1"/>
        <v>796.17632504809717</v>
      </c>
      <c r="F29" s="721">
        <f ca="1">IF(D29&lt;&gt;0,D29/$D$18,)</f>
        <v>5.8917665406602579E-2</v>
      </c>
      <c r="G29" s="113"/>
      <c r="J29" s="527" t="s">
        <v>114</v>
      </c>
      <c r="K29" s="798">
        <v>526061.96934711689</v>
      </c>
      <c r="L29" s="527" t="b">
        <f t="shared" si="2"/>
        <v>0</v>
      </c>
      <c r="M29" s="927"/>
      <c r="N29" s="798"/>
    </row>
    <row r="30" spans="1:14" s="527" customFormat="1" x14ac:dyDescent="0.3">
      <c r="A30" s="108"/>
      <c r="B30" s="718" t="s">
        <v>287</v>
      </c>
      <c r="C30" s="719" t="str">
        <f>'02. Orçamento'!D516</f>
        <v>SUPRAESTRUTURA</v>
      </c>
      <c r="D30" s="720">
        <f>'02. Orçamento'!L516</f>
        <v>2724364.1217417186</v>
      </c>
      <c r="E30" s="720">
        <f t="shared" si="1"/>
        <v>2235.3811921110109</v>
      </c>
      <c r="F30" s="721">
        <f t="shared" ref="F30:F44" ca="1" si="3">IF(D30&lt;&gt;0,D30/$D$18,)</f>
        <v>0.16541994152495396</v>
      </c>
      <c r="G30" s="108"/>
      <c r="J30" s="527" t="s">
        <v>942</v>
      </c>
      <c r="K30" s="798">
        <v>2956692.1257263552</v>
      </c>
      <c r="L30" s="527" t="b">
        <f t="shared" si="2"/>
        <v>0</v>
      </c>
      <c r="M30" s="927"/>
      <c r="N30" s="798"/>
    </row>
    <row r="31" spans="1:14" s="527" customFormat="1" x14ac:dyDescent="0.3">
      <c r="A31" s="108"/>
      <c r="B31" s="718" t="s">
        <v>288</v>
      </c>
      <c r="C31" s="719" t="str">
        <f>'02. Orçamento'!D571</f>
        <v>PAREDES E PAINÉIS</v>
      </c>
      <c r="D31" s="720">
        <f>'02. Orçamento'!L571</f>
        <v>651943.63619000022</v>
      </c>
      <c r="E31" s="720">
        <f t="shared" si="1"/>
        <v>534.92942849500366</v>
      </c>
      <c r="F31" s="721">
        <f t="shared" ca="1" si="3"/>
        <v>3.9585192491512267E-2</v>
      </c>
      <c r="G31" s="108"/>
      <c r="J31" s="527" t="s">
        <v>261</v>
      </c>
      <c r="K31" s="798">
        <v>829933.92803957523</v>
      </c>
      <c r="L31" s="527" t="b">
        <f t="shared" si="2"/>
        <v>0</v>
      </c>
      <c r="M31" s="927"/>
      <c r="N31" s="798"/>
    </row>
    <row r="32" spans="1:14" s="527" customFormat="1" x14ac:dyDescent="0.3">
      <c r="A32" s="108"/>
      <c r="B32" s="718" t="s">
        <v>289</v>
      </c>
      <c r="C32" s="719" t="str">
        <f>'02. Orçamento'!D700</f>
        <v>INSTALAÇÕES</v>
      </c>
      <c r="D32" s="720">
        <f>'02. Orçamento'!L700</f>
        <v>2424709</v>
      </c>
      <c r="E32" s="720">
        <f t="shared" si="1"/>
        <v>1989.5097177675102</v>
      </c>
      <c r="F32" s="721">
        <f t="shared" ca="1" si="3"/>
        <v>0.14722526177543574</v>
      </c>
      <c r="G32" s="108"/>
      <c r="J32" s="527" t="s">
        <v>86</v>
      </c>
      <c r="K32" s="798">
        <v>3332378.1540106945</v>
      </c>
      <c r="L32" s="527" t="b">
        <f t="shared" si="2"/>
        <v>0</v>
      </c>
      <c r="M32" s="927"/>
      <c r="N32" s="798"/>
    </row>
    <row r="33" spans="1:14" s="527" customFormat="1" x14ac:dyDescent="0.3">
      <c r="A33" s="108"/>
      <c r="B33" s="718" t="s">
        <v>331</v>
      </c>
      <c r="C33" s="719" t="str">
        <f>'02. Orçamento'!D736</f>
        <v>IMPERMEABILIZAÇÃO</v>
      </c>
      <c r="D33" s="720">
        <f>'02. Orçamento'!L736</f>
        <v>241413.07200000001</v>
      </c>
      <c r="E33" s="720">
        <f t="shared" si="1"/>
        <v>198.08300820432788</v>
      </c>
      <c r="F33" s="721">
        <f t="shared" ca="1" si="3"/>
        <v>1.4658296200167573E-2</v>
      </c>
      <c r="G33" s="108"/>
      <c r="J33" s="527" t="s">
        <v>3005</v>
      </c>
      <c r="K33" s="798">
        <v>374231.473</v>
      </c>
      <c r="L33" s="527" t="b">
        <f t="shared" si="2"/>
        <v>0</v>
      </c>
      <c r="M33" s="927"/>
      <c r="N33" s="798"/>
    </row>
    <row r="34" spans="1:14" s="527" customFormat="1" x14ac:dyDescent="0.3">
      <c r="A34" s="108"/>
      <c r="B34" s="718" t="s">
        <v>290</v>
      </c>
      <c r="C34" s="719" t="str">
        <f>'02. Orçamento'!D771</f>
        <v>MASSA</v>
      </c>
      <c r="D34" s="720">
        <f>'02. Orçamento'!L771</f>
        <v>904246.00686890259</v>
      </c>
      <c r="E34" s="720">
        <f t="shared" si="1"/>
        <v>741.94726786519482</v>
      </c>
      <c r="F34" s="721">
        <f t="shared" ca="1" si="3"/>
        <v>5.4904673125998477E-2</v>
      </c>
      <c r="G34" s="108"/>
      <c r="J34" s="527" t="s">
        <v>265</v>
      </c>
      <c r="K34" s="798">
        <v>1132893.2525027897</v>
      </c>
      <c r="L34" s="527" t="b">
        <f t="shared" si="2"/>
        <v>0</v>
      </c>
      <c r="M34" s="927"/>
      <c r="N34" s="798"/>
    </row>
    <row r="35" spans="1:14" s="527" customFormat="1" x14ac:dyDescent="0.3">
      <c r="A35" s="108"/>
      <c r="B35" s="718" t="s">
        <v>291</v>
      </c>
      <c r="C35" s="719" t="str">
        <f>'02. Orçamento'!D802</f>
        <v>FORRO</v>
      </c>
      <c r="D35" s="720">
        <f>'02. Orçamento'!L802</f>
        <v>34872.390000000007</v>
      </c>
      <c r="E35" s="720">
        <f t="shared" si="1"/>
        <v>28.613313509694798</v>
      </c>
      <c r="F35" s="721">
        <f t="shared" ca="1" si="3"/>
        <v>2.1174073864059927E-3</v>
      </c>
      <c r="G35" s="108"/>
      <c r="J35" s="527" t="s">
        <v>267</v>
      </c>
      <c r="K35" s="798">
        <v>200048.27535000007</v>
      </c>
      <c r="L35" s="527" t="b">
        <f t="shared" si="2"/>
        <v>0</v>
      </c>
      <c r="M35" s="927"/>
      <c r="N35" s="798"/>
    </row>
    <row r="36" spans="1:14" s="527" customFormat="1" x14ac:dyDescent="0.3">
      <c r="A36" s="108"/>
      <c r="B36" s="718" t="s">
        <v>332</v>
      </c>
      <c r="C36" s="719" t="str">
        <f>'02. Orçamento'!D810</f>
        <v>REVESTIMENTOS INTERNOS</v>
      </c>
      <c r="D36" s="720">
        <f>'02. Orçamento'!L810</f>
        <v>829026.70979999995</v>
      </c>
      <c r="E36" s="720">
        <f t="shared" si="1"/>
        <v>680.22871834761429</v>
      </c>
      <c r="F36" s="721">
        <f t="shared" ca="1" si="3"/>
        <v>5.0337452605295388E-2</v>
      </c>
      <c r="G36" s="108"/>
      <c r="J36" s="527" t="s">
        <v>335</v>
      </c>
      <c r="K36" s="798">
        <v>1298586.1908329972</v>
      </c>
      <c r="L36" s="527" t="b">
        <f t="shared" si="2"/>
        <v>0</v>
      </c>
      <c r="M36" s="927"/>
      <c r="N36" s="798"/>
    </row>
    <row r="37" spans="1:14" s="527" customFormat="1" ht="13.2" customHeight="1" x14ac:dyDescent="0.3">
      <c r="A37" s="108"/>
      <c r="B37" s="718" t="s">
        <v>333</v>
      </c>
      <c r="C37" s="719" t="str">
        <f>'02. Orçamento'!D921</f>
        <v>PEDRAS NATURAIS E SINTÉTICAS</v>
      </c>
      <c r="D37" s="720">
        <f>'02. Orçamento'!L921</f>
        <v>203956.92070564104</v>
      </c>
      <c r="E37" s="720">
        <f t="shared" si="1"/>
        <v>167.34968020896957</v>
      </c>
      <c r="F37" s="721">
        <f t="shared" ca="1" si="3"/>
        <v>1.2384006097968782E-2</v>
      </c>
      <c r="G37" s="108"/>
      <c r="J37" s="527" t="s">
        <v>6951</v>
      </c>
      <c r="K37" s="798">
        <v>315285.34554264339</v>
      </c>
      <c r="L37" s="527" t="b">
        <f t="shared" si="2"/>
        <v>0</v>
      </c>
      <c r="M37" s="927"/>
      <c r="N37" s="798"/>
    </row>
    <row r="38" spans="1:14" s="527" customFormat="1" x14ac:dyDescent="0.3">
      <c r="A38" s="108"/>
      <c r="B38" s="718" t="s">
        <v>334</v>
      </c>
      <c r="C38" s="719" t="str">
        <f>'02. Orçamento'!D987</f>
        <v>ESQUADRIAS EM ALUMÍNIO, FERRO E MADEIRA</v>
      </c>
      <c r="D38" s="720">
        <f>'02. Orçamento'!L987</f>
        <v>875132.38922454999</v>
      </c>
      <c r="E38" s="720">
        <f t="shared" si="1"/>
        <v>718.05911253488205</v>
      </c>
      <c r="F38" s="721">
        <f t="shared" ca="1" si="3"/>
        <v>5.3136931108742069E-2</v>
      </c>
      <c r="G38" s="108"/>
      <c r="J38" s="527" t="s">
        <v>4640</v>
      </c>
      <c r="K38" s="798">
        <v>2043561.7058350001</v>
      </c>
      <c r="L38" s="527" t="b">
        <f t="shared" si="2"/>
        <v>0</v>
      </c>
      <c r="M38" s="927"/>
      <c r="N38" s="798"/>
    </row>
    <row r="39" spans="1:14" s="527" customFormat="1" x14ac:dyDescent="0.3">
      <c r="A39" s="108"/>
      <c r="B39" s="718" t="s">
        <v>2939</v>
      </c>
      <c r="C39" s="719" t="str">
        <f>'02. Orçamento'!D1079</f>
        <v>FACHADA</v>
      </c>
      <c r="D39" s="720">
        <f ca="1">'02. Orçamento'!L1079</f>
        <v>580194.61662325379</v>
      </c>
      <c r="E39" s="720">
        <f t="shared" ca="1" si="1"/>
        <v>476.05829316769911</v>
      </c>
      <c r="F39" s="721">
        <f t="shared" ca="1" si="3"/>
        <v>3.5228682828767129E-2</v>
      </c>
      <c r="G39" s="108"/>
      <c r="J39" s="527" t="s">
        <v>6918</v>
      </c>
      <c r="K39" s="798">
        <v>563518.38183880306</v>
      </c>
      <c r="L39" s="527" t="b">
        <f t="shared" ca="1" si="2"/>
        <v>0</v>
      </c>
      <c r="M39" s="927"/>
      <c r="N39" s="798"/>
    </row>
    <row r="40" spans="1:14" s="527" customFormat="1" x14ac:dyDescent="0.3">
      <c r="A40" s="108"/>
      <c r="B40" s="718" t="s">
        <v>2940</v>
      </c>
      <c r="C40" s="719" t="str">
        <f>'02. Orçamento'!D1124</f>
        <v>ELEVADORES</v>
      </c>
      <c r="D40" s="720">
        <f>'02. Orçamento'!L1124</f>
        <v>178000</v>
      </c>
      <c r="E40" s="720">
        <f t="shared" si="1"/>
        <v>146.05164156301512</v>
      </c>
      <c r="F40" s="721">
        <f t="shared" ca="1" si="3"/>
        <v>1.0807934723724603E-2</v>
      </c>
      <c r="G40" s="108"/>
      <c r="J40" s="527" t="s">
        <v>337</v>
      </c>
      <c r="K40" s="798">
        <v>290000</v>
      </c>
      <c r="L40" s="527" t="b">
        <f t="shared" si="2"/>
        <v>0</v>
      </c>
      <c r="M40" s="927"/>
      <c r="N40" s="798"/>
    </row>
    <row r="41" spans="1:14" s="527" customFormat="1" x14ac:dyDescent="0.3">
      <c r="A41" s="108"/>
      <c r="B41" s="718" t="s">
        <v>338</v>
      </c>
      <c r="C41" s="719" t="str">
        <f>'02. Orçamento'!D1130</f>
        <v>PINTURA</v>
      </c>
      <c r="D41" s="720">
        <f>'02. Orçamento'!L1130</f>
        <v>417699.28121499997</v>
      </c>
      <c r="E41" s="720">
        <f t="shared" si="1"/>
        <v>342.72845899518109</v>
      </c>
      <c r="F41" s="721">
        <f t="shared" ca="1" si="3"/>
        <v>2.5362171716395539E-2</v>
      </c>
      <c r="G41" s="108"/>
      <c r="J41" s="527" t="s">
        <v>85</v>
      </c>
      <c r="K41" s="798">
        <v>446866.20251000003</v>
      </c>
      <c r="L41" s="527" t="b">
        <f t="shared" si="2"/>
        <v>0</v>
      </c>
      <c r="M41" s="927"/>
      <c r="N41" s="798"/>
    </row>
    <row r="42" spans="1:14" s="527" customFormat="1" x14ac:dyDescent="0.3">
      <c r="A42" s="108"/>
      <c r="B42" s="718" t="s">
        <v>339</v>
      </c>
      <c r="C42" s="719" t="str">
        <f>'02. Orçamento'!D1164</f>
        <v>LOUÇAS E METAIS</v>
      </c>
      <c r="D42" s="720">
        <f>'02. Orçamento'!L1164</f>
        <v>161044.30799999999</v>
      </c>
      <c r="E42" s="720">
        <f t="shared" si="1"/>
        <v>132.13924465044835</v>
      </c>
      <c r="F42" s="721">
        <f t="shared" ca="1" si="3"/>
        <v>9.778406564558426E-3</v>
      </c>
      <c r="G42" s="108"/>
      <c r="J42" s="527" t="s">
        <v>83</v>
      </c>
      <c r="K42" s="798">
        <v>145944.21169930001</v>
      </c>
      <c r="L42" s="527" t="b">
        <f t="shared" si="2"/>
        <v>0</v>
      </c>
      <c r="M42" s="927"/>
      <c r="N42" s="798"/>
    </row>
    <row r="43" spans="1:14" s="527" customFormat="1" x14ac:dyDescent="0.3">
      <c r="A43" s="108"/>
      <c r="B43" s="718" t="s">
        <v>1817</v>
      </c>
      <c r="C43" s="719" t="str">
        <f>'02. Orçamento'!D1196</f>
        <v>AR CONDICIONADO E EXAUSTÃO</v>
      </c>
      <c r="D43" s="720">
        <f>'02. Orçamento'!L1196</f>
        <v>357846.29</v>
      </c>
      <c r="E43" s="720">
        <f t="shared" ref="E43" si="4">IF($E$8=0,0,D43/$E$8)</f>
        <v>293.61819147042002</v>
      </c>
      <c r="F43" s="721">
        <f t="shared" ref="F43" ca="1" si="5">IF(D43&lt;&gt;0,D43/$D$18,)</f>
        <v>2.1727973839590024E-2</v>
      </c>
      <c r="G43" s="108"/>
      <c r="J43" s="527" t="s">
        <v>6188</v>
      </c>
      <c r="K43" s="798">
        <v>0</v>
      </c>
      <c r="L43" s="527" t="b">
        <f t="shared" ref="L43" si="6">K43=D43</f>
        <v>0</v>
      </c>
      <c r="M43" s="927"/>
      <c r="N43" s="798"/>
    </row>
    <row r="44" spans="1:14" s="527" customFormat="1" x14ac:dyDescent="0.3">
      <c r="A44" s="108"/>
      <c r="B44" s="718" t="s">
        <v>970</v>
      </c>
      <c r="C44" s="719" t="str">
        <f>'02. Orçamento'!D1205</f>
        <v>EQUIPAMENTOS ESPECIAIS</v>
      </c>
      <c r="D44" s="720">
        <f>'02. Orçamento'!L1205</f>
        <v>64065.423999999999</v>
      </c>
      <c r="E44" s="720">
        <f t="shared" si="1"/>
        <v>52.566631138374078</v>
      </c>
      <c r="F44" s="721">
        <f t="shared" ca="1" si="3"/>
        <v>3.8899714642681997E-3</v>
      </c>
      <c r="G44" s="108"/>
      <c r="J44" s="527" t="s">
        <v>6188</v>
      </c>
      <c r="K44" s="798">
        <v>0</v>
      </c>
      <c r="L44" s="527" t="b">
        <f t="shared" si="2"/>
        <v>0</v>
      </c>
      <c r="M44" s="927"/>
      <c r="N44" s="798"/>
    </row>
    <row r="45" spans="1:14" s="527" customFormat="1" x14ac:dyDescent="0.3">
      <c r="A45" s="108"/>
      <c r="B45" s="718" t="s">
        <v>983</v>
      </c>
      <c r="C45" s="719" t="str">
        <f>'02. Orçamento'!D1234</f>
        <v>LIMPEZA DE OBRA</v>
      </c>
      <c r="D45" s="720">
        <f>'02. Orçamento'!L1234</f>
        <v>57871.360000000001</v>
      </c>
      <c r="E45" s="720">
        <f t="shared" si="1"/>
        <v>47.48430970496748</v>
      </c>
      <c r="F45" s="721">
        <f ca="1">IF(D45&lt;&gt;0,D45/$D$18,)</f>
        <v>3.5138757373773433E-3</v>
      </c>
      <c r="G45" s="108"/>
      <c r="J45" s="527" t="s">
        <v>87</v>
      </c>
      <c r="K45" s="798">
        <v>86087.383000000002</v>
      </c>
      <c r="L45" s="527" t="b">
        <f t="shared" si="2"/>
        <v>0</v>
      </c>
      <c r="M45" s="927"/>
      <c r="N45" s="798"/>
    </row>
    <row r="46" spans="1:14" x14ac:dyDescent="0.3">
      <c r="A46" s="114"/>
      <c r="B46" s="718" t="s">
        <v>984</v>
      </c>
      <c r="C46" s="719" t="str">
        <f>'02. Orçamento'!D1245</f>
        <v>ÁREA COMUM</v>
      </c>
      <c r="D46" s="720">
        <f>'02. Orçamento'!L1245</f>
        <v>115077.83649</v>
      </c>
      <c r="E46" s="720">
        <f t="shared" si="1"/>
        <v>94.423072622947984</v>
      </c>
      <c r="F46" s="721">
        <f ca="1">IF(D46&lt;&gt;0,D46/$D$18,)</f>
        <v>6.9873805895020969E-3</v>
      </c>
      <c r="G46" s="114"/>
      <c r="J46" s="527" t="s">
        <v>1260</v>
      </c>
      <c r="K46" s="798">
        <v>527309.68008855172</v>
      </c>
      <c r="L46" s="527" t="b">
        <f t="shared" si="2"/>
        <v>0</v>
      </c>
      <c r="M46" s="927"/>
      <c r="N46" s="798"/>
    </row>
    <row r="47" spans="1:14" hidden="1" x14ac:dyDescent="0.3">
      <c r="A47" s="114"/>
      <c r="B47" s="710" t="s">
        <v>984</v>
      </c>
      <c r="C47" s="711" t="e">
        <f>#REF!</f>
        <v>#REF!</v>
      </c>
      <c r="D47" s="712">
        <f>IFERROR(#REF!,0)</f>
        <v>0</v>
      </c>
      <c r="E47" s="712"/>
      <c r="F47" s="713">
        <f>IF(D47&lt;&gt;0,D47/$D$18,)</f>
        <v>0</v>
      </c>
      <c r="G47" s="114"/>
      <c r="M47" s="927"/>
      <c r="N47" s="798"/>
    </row>
    <row r="48" spans="1:14" hidden="1" x14ac:dyDescent="0.3">
      <c r="A48" s="114"/>
      <c r="B48" s="710" t="s">
        <v>998</v>
      </c>
      <c r="C48" s="711" t="e">
        <f>#REF!</f>
        <v>#REF!</v>
      </c>
      <c r="D48" s="712">
        <f>IFERROR(#REF!,0)</f>
        <v>0</v>
      </c>
      <c r="E48" s="712" t="e">
        <f>IF($E$7=0,0,D48/$E$7)</f>
        <v>#VALUE!</v>
      </c>
      <c r="F48" s="713">
        <f>IF(D48&lt;&gt;0,D48/$D$18,)</f>
        <v>0</v>
      </c>
      <c r="G48" s="114"/>
      <c r="M48" s="927"/>
      <c r="N48" s="798"/>
    </row>
    <row r="49" spans="1:14" hidden="1" x14ac:dyDescent="0.3">
      <c r="A49" s="114"/>
      <c r="B49" s="710" t="s">
        <v>1841</v>
      </c>
      <c r="C49" s="711" t="e">
        <f>#REF!</f>
        <v>#REF!</v>
      </c>
      <c r="D49" s="712">
        <f>IFERROR(#REF!,0)</f>
        <v>0</v>
      </c>
      <c r="E49" s="712" t="e">
        <f>IF($E$7=0,0,D49/$E$7)</f>
        <v>#VALUE!</v>
      </c>
      <c r="F49" s="713">
        <f>IF(D49&lt;&gt;0,D49/$D$18,)</f>
        <v>0</v>
      </c>
      <c r="G49" s="114"/>
      <c r="M49" s="927"/>
      <c r="N49" s="798"/>
    </row>
    <row r="50" spans="1:14" ht="5.25" customHeight="1" x14ac:dyDescent="0.3">
      <c r="A50" s="113"/>
      <c r="B50" s="1124"/>
      <c r="C50" s="1125"/>
      <c r="D50" s="1125"/>
      <c r="E50" s="1125"/>
      <c r="F50" s="1126"/>
      <c r="G50" s="113"/>
      <c r="N50" s="798"/>
    </row>
    <row r="51" spans="1:14" ht="6" customHeight="1" x14ac:dyDescent="0.3">
      <c r="A51" s="114"/>
      <c r="B51" s="83"/>
      <c r="C51" s="84"/>
      <c r="D51" s="85"/>
      <c r="E51" s="85"/>
      <c r="F51" s="86"/>
      <c r="G51" s="114"/>
      <c r="N51" s="798"/>
    </row>
    <row r="52" spans="1:14" ht="15.6" x14ac:dyDescent="0.3">
      <c r="A52" s="78"/>
      <c r="B52" s="121"/>
      <c r="C52" s="122"/>
      <c r="D52" s="123"/>
      <c r="E52" s="1077" t="s">
        <v>8784</v>
      </c>
      <c r="F52" s="1077" t="s">
        <v>8785</v>
      </c>
      <c r="G52" s="78"/>
      <c r="J52" s="188"/>
    </row>
    <row r="53" spans="1:14" ht="15.6" x14ac:dyDescent="0.3">
      <c r="A53" s="78"/>
      <c r="B53" s="610"/>
      <c r="C53" s="611" t="s">
        <v>3563</v>
      </c>
      <c r="D53" s="612">
        <f ca="1">D27+D20</f>
        <v>16469381.482224394</v>
      </c>
      <c r="E53" s="1076">
        <f ca="1">D53/$E$12</f>
        <v>4115.0409476254281</v>
      </c>
      <c r="F53" s="1076">
        <f ca="1">D53/$E$13</f>
        <v>6430.3128139529335</v>
      </c>
      <c r="G53" s="78"/>
      <c r="I53" s="195" t="e">
        <f ca="1">#REF!=D53</f>
        <v>#REF!</v>
      </c>
      <c r="M53" s="814"/>
      <c r="N53" s="814"/>
    </row>
    <row r="54" spans="1:14" ht="15.6" x14ac:dyDescent="0.3">
      <c r="A54" s="78"/>
      <c r="B54" s="610"/>
      <c r="C54" s="611" t="s">
        <v>8691</v>
      </c>
      <c r="D54" s="612">
        <f ca="1">'02. Orçamento'!L1346</f>
        <v>0</v>
      </c>
      <c r="E54" s="1076">
        <f t="shared" ref="E54:E55" ca="1" si="7">D54/$E$12</f>
        <v>0</v>
      </c>
      <c r="F54" s="1076">
        <f t="shared" ref="F54:F55" ca="1" si="8">D54/$E$13</f>
        <v>0</v>
      </c>
      <c r="G54" s="78"/>
      <c r="I54" s="526"/>
    </row>
    <row r="55" spans="1:14" ht="15.6" x14ac:dyDescent="0.3">
      <c r="A55" s="78"/>
      <c r="B55" s="610"/>
      <c r="C55" s="611" t="s">
        <v>22</v>
      </c>
      <c r="D55" s="612">
        <f ca="1">SUM(D53:D54)</f>
        <v>16469381.482224394</v>
      </c>
      <c r="E55" s="1076">
        <f t="shared" ca="1" si="7"/>
        <v>4115.0409476254281</v>
      </c>
      <c r="F55" s="1076">
        <f t="shared" ca="1" si="8"/>
        <v>6430.3128139529335</v>
      </c>
      <c r="G55" s="78"/>
      <c r="I55" s="526"/>
    </row>
    <row r="56" spans="1:14" x14ac:dyDescent="0.3">
      <c r="A56" s="78"/>
      <c r="B56" s="471"/>
      <c r="C56" s="472"/>
      <c r="D56" s="473"/>
      <c r="E56" s="473"/>
      <c r="F56" s="474"/>
      <c r="G56" s="78"/>
      <c r="I56">
        <f ca="1">D53/545</f>
        <v>30219.048591237421</v>
      </c>
      <c r="J56" s="188"/>
    </row>
    <row r="57" spans="1:14" ht="14.4" customHeight="1" x14ac:dyDescent="0.3">
      <c r="A57" s="114"/>
      <c r="B57" s="83"/>
      <c r="C57" s="84"/>
      <c r="D57" s="85"/>
      <c r="E57" s="85"/>
      <c r="F57" s="86"/>
      <c r="G57" s="114"/>
    </row>
    <row r="58" spans="1:14" x14ac:dyDescent="0.3">
      <c r="A58" s="78"/>
      <c r="B58" s="121"/>
      <c r="C58" s="122"/>
      <c r="D58" s="123"/>
      <c r="E58" s="123"/>
      <c r="F58" s="124"/>
      <c r="G58" s="78"/>
      <c r="J58" s="188"/>
    </row>
    <row r="59" spans="1:14" ht="18" x14ac:dyDescent="0.35">
      <c r="A59" s="78"/>
      <c r="B59" s="709"/>
      <c r="C59" s="611" t="s">
        <v>7825</v>
      </c>
      <c r="D59" s="612">
        <f ca="1">D53*0.01</f>
        <v>164693.81482224393</v>
      </c>
      <c r="E59" s="1076">
        <f t="shared" ref="E59" ca="1" si="9">D59/$E$12</f>
        <v>41.150409476254282</v>
      </c>
      <c r="F59" s="1076">
        <f t="shared" ref="F59" ca="1" si="10">D59/$E$13</f>
        <v>64.303128139529335</v>
      </c>
      <c r="G59" s="78"/>
      <c r="J59" s="188"/>
    </row>
    <row r="60" spans="1:14" x14ac:dyDescent="0.3">
      <c r="A60" s="78"/>
      <c r="B60" s="471"/>
      <c r="C60" s="472"/>
      <c r="D60" s="473"/>
      <c r="E60" s="473"/>
      <c r="F60" s="474"/>
      <c r="G60" s="78"/>
      <c r="I60" t="e">
        <f>#REF!/545</f>
        <v>#REF!</v>
      </c>
      <c r="J60" s="188"/>
    </row>
    <row r="61" spans="1:14" x14ac:dyDescent="0.3">
      <c r="A61" s="109"/>
      <c r="B61" s="318"/>
      <c r="C61" s="319"/>
      <c r="D61" s="320"/>
      <c r="E61" s="320"/>
      <c r="F61" s="321"/>
      <c r="G61" s="109"/>
      <c r="I61" s="196"/>
      <c r="J61" s="189"/>
    </row>
    <row r="63" spans="1:14" hidden="1" x14ac:dyDescent="0.3">
      <c r="C63" s="638" t="s">
        <v>3562</v>
      </c>
      <c r="D63" s="634" t="e">
        <f>#REF!</f>
        <v>#REF!</v>
      </c>
      <c r="E63" s="635" t="e">
        <f>SUM('Quadro de áreas'!#REF!,'Quadro de áreas'!#REF!,'Quadro de áreas'!#REF!,'Quadro de áreas'!#REF!,'Quadro de áreas'!#REF!)</f>
        <v>#REF!</v>
      </c>
    </row>
    <row r="64" spans="1:14" hidden="1" x14ac:dyDescent="0.3">
      <c r="C64" s="638" t="s">
        <v>3557</v>
      </c>
      <c r="D64" s="636" t="e">
        <f ca="1">D53/D63</f>
        <v>#REF!</v>
      </c>
      <c r="E64" s="637" t="e">
        <f>#REF!/E63</f>
        <v>#REF!</v>
      </c>
    </row>
    <row r="65" spans="4:6" hidden="1" x14ac:dyDescent="0.3">
      <c r="D65" s="314"/>
    </row>
    <row r="66" spans="4:6" x14ac:dyDescent="0.3">
      <c r="D66" s="314"/>
    </row>
    <row r="67" spans="4:6" x14ac:dyDescent="0.3">
      <c r="D67" s="928"/>
      <c r="F67" s="188"/>
    </row>
    <row r="68" spans="4:6" x14ac:dyDescent="0.3">
      <c r="D68" s="814"/>
      <c r="F68" s="839"/>
    </row>
  </sheetData>
  <mergeCells count="11">
    <mergeCell ref="E8:F8"/>
    <mergeCell ref="B2:F3"/>
    <mergeCell ref="E4:F4"/>
    <mergeCell ref="E5:F5"/>
    <mergeCell ref="E6:F6"/>
    <mergeCell ref="E7:F7"/>
    <mergeCell ref="E9:F9"/>
    <mergeCell ref="B17:F17"/>
    <mergeCell ref="B18:C18"/>
    <mergeCell ref="B19:F19"/>
    <mergeCell ref="B50:F50"/>
  </mergeCells>
  <conditionalFormatting sqref="I2">
    <cfRule type="cellIs" dxfId="14" priority="1" operator="equal">
      <formula>FALSE</formula>
    </cfRule>
    <cfRule type="cellIs" dxfId="13" priority="2" operator="equal">
      <formula>TRUE</formula>
    </cfRule>
  </conditionalFormatting>
  <printOptions horizontalCentered="1"/>
  <pageMargins left="0.70866141732283472" right="0.51181102362204722" top="0.74803149606299213" bottom="0.55118110236220474" header="0.31496062992125984" footer="0.31496062992125984"/>
  <pageSetup paperSize="9" scale="66" orientation="landscape" verticalDpi="4294967293" r:id="rId1"/>
  <ignoredErrors>
    <ignoredError sqref="B21:C46" numberStoredAsText="1"/>
  </ignoredError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34817" r:id="rId4" name="Button 1">
              <controlPr defaultSize="0" print="0" autoFill="0" autoPict="0" macro="[0]!MIG_PLAN2">
                <anchor moveWithCells="1" sizeWithCells="1">
                  <from>
                    <xdr:col>8</xdr:col>
                    <xdr:colOff>0</xdr:colOff>
                    <xdr:row>0</xdr:row>
                    <xdr:rowOff>0</xdr:rowOff>
                  </from>
                  <to>
                    <xdr:col>8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4B947-4DCA-4074-BB4D-937B35062224}">
  <dimension ref="A1:I41"/>
  <sheetViews>
    <sheetView showGridLines="0" view="pageBreakPreview" zoomScale="85" zoomScaleNormal="100" zoomScaleSheetLayoutView="85" workbookViewId="0">
      <selection activeCell="K9" sqref="K9"/>
    </sheetView>
  </sheetViews>
  <sheetFormatPr defaultRowHeight="14.4" x14ac:dyDescent="0.3"/>
  <cols>
    <col min="1" max="1" width="28.5546875" customWidth="1"/>
    <col min="2" max="2" width="15.6640625" customWidth="1"/>
    <col min="3" max="3" width="1.6640625" customWidth="1"/>
    <col min="4" max="4" width="5.6640625" customWidth="1"/>
    <col min="5" max="5" width="1.6640625" customWidth="1"/>
    <col min="6" max="6" width="28.5546875" customWidth="1"/>
    <col min="7" max="7" width="15.6640625" customWidth="1"/>
    <col min="9" max="9" width="10.5546875" bestFit="1" customWidth="1"/>
    <col min="10" max="10" width="18" bestFit="1" customWidth="1"/>
    <col min="11" max="11" width="16.33203125" bestFit="1" customWidth="1"/>
    <col min="12" max="12" width="18.33203125" bestFit="1" customWidth="1"/>
  </cols>
  <sheetData>
    <row r="1" spans="1:9" ht="9.9" customHeight="1" x14ac:dyDescent="0.3">
      <c r="A1" s="1141" t="s">
        <v>8480</v>
      </c>
      <c r="B1" s="1141"/>
      <c r="C1" s="1141"/>
      <c r="D1" s="1141"/>
      <c r="E1" s="1141"/>
      <c r="F1" s="1141"/>
      <c r="G1" s="1141"/>
    </row>
    <row r="2" spans="1:9" ht="9.9" customHeight="1" x14ac:dyDescent="0.3">
      <c r="A2" s="1141"/>
      <c r="B2" s="1141"/>
      <c r="C2" s="1141"/>
      <c r="D2" s="1141"/>
      <c r="E2" s="1141"/>
      <c r="F2" s="1141"/>
      <c r="G2" s="1141"/>
    </row>
    <row r="3" spans="1:9" ht="15" customHeight="1" x14ac:dyDescent="0.3">
      <c r="A3" s="944"/>
      <c r="B3" s="944"/>
      <c r="C3" s="944"/>
      <c r="D3" s="944"/>
      <c r="E3" s="944"/>
      <c r="F3" s="944"/>
      <c r="G3" s="944"/>
    </row>
    <row r="4" spans="1:9" ht="20.100000000000001" customHeight="1" x14ac:dyDescent="0.3">
      <c r="A4" s="1066" t="str">
        <f>CONCATENATE('01. Resumo Final'!B5," ",'01. Resumo Final'!C5)</f>
        <v>Projeto: Ana Silva</v>
      </c>
      <c r="B4" s="945"/>
      <c r="C4" s="945"/>
      <c r="D4" s="945"/>
      <c r="E4" s="945"/>
      <c r="F4" s="945"/>
      <c r="G4" s="945"/>
    </row>
    <row r="5" spans="1:9" ht="20.100000000000001" customHeight="1" x14ac:dyDescent="0.3">
      <c r="A5" s="1066" t="str">
        <f>CONCATENATE('01. Resumo Final'!B6," ",'01. Resumo Final'!C6)</f>
        <v>Cidade: Rio de Janeiro</v>
      </c>
      <c r="B5" s="945"/>
      <c r="C5" s="945"/>
      <c r="D5" s="945"/>
      <c r="E5" s="945"/>
      <c r="F5" s="945"/>
      <c r="G5" s="945"/>
    </row>
    <row r="6" spans="1:9" ht="20.100000000000001" customHeight="1" x14ac:dyDescent="0.3">
      <c r="A6" s="1066" t="str">
        <f>CONCATENATE('01. Resumo Final'!B7," ",'01. Resumo Final'!C7)</f>
        <v>Bairro: Pechincha</v>
      </c>
      <c r="B6" s="945"/>
      <c r="C6" s="945"/>
      <c r="D6" s="945"/>
      <c r="E6" s="945"/>
      <c r="F6" s="945"/>
      <c r="G6" s="945"/>
    </row>
    <row r="7" spans="1:9" ht="15" customHeight="1" thickBot="1" x14ac:dyDescent="0.35">
      <c r="A7" s="946"/>
      <c r="B7" s="946"/>
      <c r="C7" s="946"/>
      <c r="D7" s="946"/>
      <c r="E7" s="946"/>
      <c r="F7" s="946"/>
      <c r="G7" s="946"/>
    </row>
    <row r="8" spans="1:9" ht="15" customHeight="1" thickTop="1" x14ac:dyDescent="0.3">
      <c r="A8" s="947"/>
      <c r="B8" s="947"/>
      <c r="C8" s="947"/>
      <c r="D8" s="947"/>
      <c r="E8" s="947"/>
      <c r="F8" s="947"/>
      <c r="G8" s="948"/>
      <c r="I8" t="s">
        <v>8481</v>
      </c>
    </row>
    <row r="9" spans="1:9" ht="20.100000000000001" customHeight="1" x14ac:dyDescent="0.3">
      <c r="A9" s="949" t="s">
        <v>8482</v>
      </c>
      <c r="B9" s="950" t="s">
        <v>8485</v>
      </c>
      <c r="C9" s="951"/>
      <c r="D9" s="952"/>
      <c r="E9" s="949"/>
      <c r="F9" s="949" t="s">
        <v>8484</v>
      </c>
      <c r="G9" s="953" t="s">
        <v>8485</v>
      </c>
      <c r="I9" t="s">
        <v>8483</v>
      </c>
    </row>
    <row r="10" spans="1:9" ht="15" customHeight="1" thickBot="1" x14ac:dyDescent="0.35">
      <c r="A10" s="954"/>
      <c r="B10" s="955"/>
      <c r="C10" s="955"/>
      <c r="D10" s="955"/>
      <c r="E10" s="954"/>
      <c r="F10" s="954"/>
      <c r="G10" s="956"/>
      <c r="I10" t="s">
        <v>8485</v>
      </c>
    </row>
    <row r="11" spans="1:9" ht="15" customHeight="1" x14ac:dyDescent="0.3">
      <c r="A11" s="957"/>
      <c r="B11" s="958"/>
      <c r="C11" s="959"/>
      <c r="D11" s="952"/>
      <c r="E11" s="957"/>
      <c r="F11" s="957"/>
      <c r="G11" s="823"/>
      <c r="I11" t="s">
        <v>8486</v>
      </c>
    </row>
    <row r="12" spans="1:9" ht="20.100000000000001" customHeight="1" x14ac:dyDescent="0.3">
      <c r="A12" s="949" t="s">
        <v>8487</v>
      </c>
      <c r="B12" s="960">
        <v>45950</v>
      </c>
      <c r="C12" s="959"/>
      <c r="D12" s="952"/>
      <c r="E12" s="957"/>
      <c r="F12" s="949" t="s">
        <v>8488</v>
      </c>
      <c r="G12" s="953">
        <v>1</v>
      </c>
    </row>
    <row r="13" spans="1:9" ht="15" customHeight="1" x14ac:dyDescent="0.3">
      <c r="A13" s="823"/>
      <c r="B13" s="961"/>
      <c r="C13" s="959"/>
      <c r="D13" s="952"/>
      <c r="E13" s="957"/>
      <c r="F13" s="823"/>
      <c r="G13" s="961"/>
    </row>
    <row r="14" spans="1:9" ht="20.100000000000001" customHeight="1" x14ac:dyDescent="0.3">
      <c r="A14" s="949" t="s">
        <v>8489</v>
      </c>
      <c r="B14" s="962">
        <v>45962</v>
      </c>
      <c r="C14" s="959"/>
      <c r="D14" s="952"/>
      <c r="E14" s="957"/>
      <c r="F14" s="949" t="s">
        <v>8490</v>
      </c>
      <c r="G14" s="953">
        <v>105</v>
      </c>
    </row>
    <row r="15" spans="1:9" ht="15" customHeight="1" x14ac:dyDescent="0.3">
      <c r="A15" s="823"/>
      <c r="B15" s="961"/>
      <c r="C15" s="959"/>
      <c r="D15" s="959"/>
      <c r="E15" s="957"/>
      <c r="F15" s="823"/>
      <c r="G15" s="961"/>
    </row>
    <row r="16" spans="1:9" ht="20.100000000000001" customHeight="1" x14ac:dyDescent="0.3">
      <c r="A16" s="949" t="s">
        <v>8491</v>
      </c>
      <c r="B16" s="963">
        <v>1218.7470000000001</v>
      </c>
      <c r="C16" s="823"/>
      <c r="D16" s="823"/>
      <c r="E16" s="823"/>
      <c r="F16" s="949" t="s">
        <v>8492</v>
      </c>
      <c r="G16" s="953"/>
    </row>
    <row r="17" spans="1:9" ht="15" customHeight="1" x14ac:dyDescent="0.3">
      <c r="A17" s="823"/>
      <c r="B17" s="961"/>
      <c r="C17" s="823"/>
      <c r="D17" s="823"/>
      <c r="E17" s="823"/>
      <c r="F17" s="823"/>
      <c r="G17" s="961"/>
    </row>
    <row r="18" spans="1:9" ht="20.100000000000001" customHeight="1" x14ac:dyDescent="0.3">
      <c r="A18" s="949" t="s">
        <v>8493</v>
      </c>
      <c r="B18" s="964">
        <f>'01. Resumo Final'!E12</f>
        <v>4002.24</v>
      </c>
      <c r="C18" s="823"/>
      <c r="D18" s="823"/>
      <c r="E18" s="823"/>
      <c r="F18" s="949" t="s">
        <v>8494</v>
      </c>
      <c r="G18" s="953"/>
    </row>
    <row r="19" spans="1:9" ht="15" customHeight="1" x14ac:dyDescent="0.3">
      <c r="A19" s="965"/>
      <c r="B19" s="966"/>
      <c r="C19" s="823"/>
      <c r="D19" s="823"/>
      <c r="E19" s="823"/>
      <c r="F19" s="823"/>
      <c r="G19" s="823"/>
    </row>
    <row r="20" spans="1:9" ht="20.100000000000001" customHeight="1" x14ac:dyDescent="0.3">
      <c r="A20" s="949" t="s">
        <v>8495</v>
      </c>
      <c r="B20" s="964">
        <v>3512.2</v>
      </c>
      <c r="C20" s="823"/>
      <c r="D20" s="823"/>
      <c r="E20" s="823"/>
      <c r="F20" s="949" t="s">
        <v>8496</v>
      </c>
      <c r="G20" s="953"/>
    </row>
    <row r="21" spans="1:9" ht="15" customHeight="1" x14ac:dyDescent="0.3">
      <c r="A21" s="967"/>
      <c r="B21" s="968"/>
      <c r="C21" s="823"/>
      <c r="D21" s="823"/>
      <c r="E21" s="823"/>
      <c r="F21" s="823"/>
      <c r="G21" s="823"/>
    </row>
    <row r="22" spans="1:9" ht="20.100000000000001" customHeight="1" x14ac:dyDescent="0.3">
      <c r="A22" s="949" t="s">
        <v>8497</v>
      </c>
      <c r="B22" s="969">
        <f>B18*1.2</f>
        <v>4802.6879999999992</v>
      </c>
      <c r="C22" s="823"/>
      <c r="D22" s="823"/>
      <c r="E22" s="823"/>
      <c r="F22" s="970" t="s">
        <v>8498</v>
      </c>
      <c r="G22" s="953"/>
    </row>
    <row r="23" spans="1:9" ht="15" customHeight="1" x14ac:dyDescent="0.3">
      <c r="A23" s="823"/>
      <c r="B23" s="823"/>
      <c r="C23" s="823"/>
      <c r="D23" s="823"/>
      <c r="E23" s="823"/>
      <c r="F23" s="823"/>
      <c r="G23" s="823"/>
    </row>
    <row r="24" spans="1:9" ht="20.100000000000001" customHeight="1" x14ac:dyDescent="0.3">
      <c r="A24" s="949" t="s">
        <v>8499</v>
      </c>
      <c r="B24" s="969">
        <v>16</v>
      </c>
      <c r="C24" s="823"/>
      <c r="D24" s="823"/>
      <c r="E24" s="823"/>
      <c r="F24" s="949" t="s">
        <v>8465</v>
      </c>
      <c r="G24" s="971">
        <f>G22+G20+G18+G14</f>
        <v>105</v>
      </c>
      <c r="I24" s="563"/>
    </row>
    <row r="25" spans="1:9" ht="15" customHeight="1" x14ac:dyDescent="0.3">
      <c r="A25" s="823"/>
      <c r="B25" s="823"/>
      <c r="C25" s="823"/>
      <c r="D25" s="823"/>
      <c r="E25" s="823"/>
      <c r="F25" s="965"/>
      <c r="G25" s="823"/>
    </row>
    <row r="26" spans="1:9" ht="20.100000000000001" customHeight="1" x14ac:dyDescent="0.3">
      <c r="A26" s="1141" t="s">
        <v>8500</v>
      </c>
      <c r="B26" s="1141"/>
      <c r="C26" s="1141"/>
      <c r="D26" s="1141"/>
      <c r="E26" s="1141"/>
      <c r="F26" s="1141"/>
      <c r="G26" s="1141"/>
    </row>
    <row r="27" spans="1:9" ht="15" customHeight="1" x14ac:dyDescent="0.3">
      <c r="A27" s="972"/>
      <c r="B27" s="823"/>
      <c r="C27" s="823"/>
      <c r="D27" s="823"/>
      <c r="E27" s="823"/>
      <c r="F27" s="823"/>
      <c r="G27" s="823"/>
    </row>
    <row r="28" spans="1:9" ht="15" customHeight="1" x14ac:dyDescent="0.3">
      <c r="A28" s="23" t="s">
        <v>8501</v>
      </c>
      <c r="B28" s="973" t="s">
        <v>8596</v>
      </c>
      <c r="C28" s="973"/>
      <c r="D28" s="973"/>
      <c r="E28" s="973"/>
      <c r="F28" s="973"/>
      <c r="G28" s="13"/>
    </row>
    <row r="29" spans="1:9" ht="15" customHeight="1" x14ac:dyDescent="0.3">
      <c r="A29" s="974"/>
      <c r="B29" s="13"/>
      <c r="C29" s="13"/>
      <c r="D29" s="13"/>
      <c r="E29" s="13"/>
      <c r="F29" s="13"/>
      <c r="G29" s="13"/>
    </row>
    <row r="30" spans="1:9" ht="15" customHeight="1" x14ac:dyDescent="0.3">
      <c r="A30" s="23" t="s">
        <v>8502</v>
      </c>
      <c r="B30" s="13"/>
      <c r="C30" s="13"/>
      <c r="D30" s="13"/>
      <c r="E30" s="13"/>
      <c r="F30" s="13"/>
      <c r="G30" s="13"/>
    </row>
    <row r="31" spans="1:9" ht="15" customHeight="1" x14ac:dyDescent="0.3">
      <c r="A31" s="974"/>
      <c r="B31" s="13"/>
      <c r="C31" s="13"/>
      <c r="D31" s="13"/>
      <c r="E31" s="13"/>
      <c r="F31" s="13"/>
      <c r="G31" s="13"/>
    </row>
    <row r="32" spans="1:9" ht="15" customHeight="1" x14ac:dyDescent="0.3">
      <c r="A32" s="974" t="s">
        <v>8503</v>
      </c>
      <c r="B32" s="969" t="s">
        <v>8509</v>
      </c>
      <c r="C32" s="13"/>
      <c r="D32" s="13"/>
      <c r="E32" s="975"/>
      <c r="F32" s="974" t="s">
        <v>8505</v>
      </c>
      <c r="G32" s="969" t="s">
        <v>8504</v>
      </c>
    </row>
    <row r="33" spans="1:7" ht="15" customHeight="1" x14ac:dyDescent="0.3">
      <c r="A33" s="974" t="s">
        <v>3526</v>
      </c>
      <c r="B33" s="969" t="s">
        <v>8504</v>
      </c>
      <c r="C33" s="13"/>
      <c r="D33" s="13"/>
      <c r="E33" s="975"/>
      <c r="F33" s="974" t="s">
        <v>8506</v>
      </c>
      <c r="G33" s="969" t="s">
        <v>8509</v>
      </c>
    </row>
    <row r="34" spans="1:7" ht="15" customHeight="1" x14ac:dyDescent="0.3">
      <c r="A34" s="974" t="s">
        <v>8507</v>
      </c>
      <c r="B34" s="969" t="s">
        <v>8509</v>
      </c>
      <c r="C34" s="13"/>
      <c r="D34" s="13"/>
      <c r="E34" s="975"/>
      <c r="F34" s="974" t="s">
        <v>8508</v>
      </c>
      <c r="G34" s="969" t="s">
        <v>8504</v>
      </c>
    </row>
    <row r="35" spans="1:7" ht="15" customHeight="1" x14ac:dyDescent="0.3">
      <c r="A35" s="974" t="s">
        <v>8510</v>
      </c>
      <c r="B35" s="969" t="s">
        <v>8509</v>
      </c>
      <c r="C35" s="13"/>
      <c r="D35" s="13"/>
      <c r="E35" s="975"/>
      <c r="F35" s="974" t="s">
        <v>8511</v>
      </c>
      <c r="G35" s="969" t="s">
        <v>8509</v>
      </c>
    </row>
    <row r="36" spans="1:7" ht="15" customHeight="1" x14ac:dyDescent="0.3">
      <c r="A36" s="974" t="s">
        <v>8512</v>
      </c>
      <c r="B36" s="969" t="s">
        <v>8509</v>
      </c>
      <c r="C36" s="13"/>
      <c r="D36" s="13"/>
      <c r="E36" s="975"/>
      <c r="F36" s="974" t="s">
        <v>7415</v>
      </c>
      <c r="G36" s="969" t="s">
        <v>8504</v>
      </c>
    </row>
    <row r="37" spans="1:7" ht="15" customHeight="1" x14ac:dyDescent="0.3">
      <c r="A37" s="13"/>
      <c r="B37" s="13"/>
      <c r="C37" s="13"/>
      <c r="D37" s="13"/>
      <c r="E37" s="975"/>
      <c r="F37" s="13"/>
      <c r="G37" s="13"/>
    </row>
    <row r="38" spans="1:7" ht="27.6" x14ac:dyDescent="0.3">
      <c r="A38" s="23" t="s">
        <v>8513</v>
      </c>
      <c r="B38" s="976" t="s">
        <v>8594</v>
      </c>
      <c r="C38" s="13"/>
      <c r="D38" s="13"/>
      <c r="E38" s="13"/>
      <c r="F38" s="23" t="s">
        <v>8514</v>
      </c>
      <c r="G38" s="976" t="s">
        <v>8597</v>
      </c>
    </row>
    <row r="39" spans="1:7" ht="15" customHeight="1" x14ac:dyDescent="0.3">
      <c r="A39" s="13"/>
      <c r="B39" s="13"/>
      <c r="C39" s="13"/>
      <c r="D39" s="13"/>
      <c r="E39" s="975"/>
      <c r="F39" s="13"/>
      <c r="G39" s="13"/>
    </row>
    <row r="40" spans="1:7" ht="29.25" customHeight="1" x14ac:dyDescent="0.3">
      <c r="A40" s="23" t="s">
        <v>8515</v>
      </c>
      <c r="B40" s="969" t="s">
        <v>8516</v>
      </c>
      <c r="C40" s="13"/>
      <c r="D40" s="13"/>
      <c r="E40" s="975"/>
      <c r="F40" s="23" t="s">
        <v>8517</v>
      </c>
      <c r="G40" s="976" t="s">
        <v>8595</v>
      </c>
    </row>
    <row r="41" spans="1:7" ht="15" customHeight="1" x14ac:dyDescent="0.3">
      <c r="A41" s="977"/>
      <c r="B41" s="977"/>
      <c r="C41" s="977"/>
      <c r="D41" s="977"/>
      <c r="E41" s="978"/>
      <c r="F41" s="977"/>
      <c r="G41" s="977"/>
    </row>
  </sheetData>
  <mergeCells count="2">
    <mergeCell ref="A1:G2"/>
    <mergeCell ref="A26:G26"/>
  </mergeCells>
  <dataValidations disablePrompts="1" count="1">
    <dataValidation type="list" allowBlank="1" showInputMessage="1" showErrorMessage="1" sqref="B9" xr:uid="{4E806E43-7C71-4E08-A62E-2220290C2853}">
      <formula1>$I$9:$I$11</formula1>
    </dataValidation>
  </dataValidations>
  <pageMargins left="0.51181102362204722" right="0.51181102362204722" top="0.78740157480314965" bottom="0.78740157480314965" header="0.31496062992125984" footer="0.31496062992125984"/>
  <pageSetup paperSize="9" scale="86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98123D-97D3-4873-A80F-3C155D1CE4CB}">
  <dimension ref="A1:I122"/>
  <sheetViews>
    <sheetView showGridLines="0" view="pageBreakPreview" zoomScaleNormal="100" zoomScaleSheetLayoutView="100" workbookViewId="0">
      <selection activeCell="B21" sqref="B21"/>
    </sheetView>
  </sheetViews>
  <sheetFormatPr defaultRowHeight="14.4" x14ac:dyDescent="0.3"/>
  <cols>
    <col min="1" max="1" width="3.88671875" style="313" customWidth="1"/>
    <col min="2" max="2" width="59.5546875" bestFit="1" customWidth="1"/>
    <col min="3" max="8" width="13.33203125" customWidth="1"/>
    <col min="9" max="9" width="15.44140625" customWidth="1"/>
  </cols>
  <sheetData>
    <row r="1" spans="1:9" x14ac:dyDescent="0.3">
      <c r="A1" s="979"/>
      <c r="B1" s="980"/>
      <c r="C1" s="981"/>
      <c r="D1" s="981"/>
      <c r="E1" s="981"/>
      <c r="F1" s="982"/>
      <c r="G1" s="982"/>
      <c r="H1" s="982"/>
      <c r="I1" s="983"/>
    </row>
    <row r="2" spans="1:9" x14ac:dyDescent="0.3">
      <c r="A2" s="979"/>
      <c r="B2" s="984"/>
      <c r="C2" s="985"/>
      <c r="D2" s="985"/>
      <c r="E2" s="986" t="s">
        <v>8518</v>
      </c>
      <c r="F2" s="987"/>
      <c r="G2" s="987"/>
      <c r="H2" s="988">
        <v>41648</v>
      </c>
      <c r="I2" s="989"/>
    </row>
    <row r="3" spans="1:9" x14ac:dyDescent="0.3">
      <c r="A3" s="979"/>
      <c r="B3" s="990"/>
      <c r="C3" s="991"/>
      <c r="D3" s="991"/>
      <c r="E3" s="986" t="s">
        <v>8519</v>
      </c>
      <c r="F3" s="987"/>
      <c r="G3" s="987"/>
      <c r="H3" s="986" t="s">
        <v>8520</v>
      </c>
      <c r="I3" s="992"/>
    </row>
    <row r="4" spans="1:9" ht="15" thickBot="1" x14ac:dyDescent="0.35">
      <c r="A4" s="979"/>
      <c r="B4" s="984"/>
      <c r="C4" s="985"/>
      <c r="D4" s="985"/>
      <c r="E4" s="986" t="s">
        <v>8521</v>
      </c>
      <c r="F4" s="987"/>
      <c r="G4" s="987"/>
      <c r="H4" s="993" t="s">
        <v>8522</v>
      </c>
      <c r="I4" s="994"/>
    </row>
    <row r="5" spans="1:9" ht="15" thickBot="1" x14ac:dyDescent="0.35">
      <c r="A5" s="995"/>
      <c r="B5" s="1142" t="s">
        <v>8523</v>
      </c>
      <c r="C5" s="1143"/>
      <c r="D5" s="1143"/>
      <c r="E5" s="1143"/>
      <c r="F5" s="1143"/>
      <c r="G5" s="1143"/>
      <c r="H5" s="996"/>
      <c r="I5" s="996"/>
    </row>
    <row r="6" spans="1:9" x14ac:dyDescent="0.3">
      <c r="A6" s="997"/>
      <c r="B6" s="998"/>
      <c r="C6" s="999"/>
      <c r="D6" s="1000"/>
      <c r="E6" s="1001"/>
      <c r="F6" s="1000"/>
      <c r="G6" s="1001"/>
      <c r="H6" s="1002"/>
      <c r="I6" s="1003"/>
    </row>
    <row r="7" spans="1:9" x14ac:dyDescent="0.3">
      <c r="A7" s="995"/>
      <c r="B7" s="1004" t="s">
        <v>8524</v>
      </c>
      <c r="C7" s="1005"/>
      <c r="D7" s="1006"/>
      <c r="E7" s="1007">
        <v>3847.6</v>
      </c>
      <c r="F7" s="1008"/>
      <c r="G7" s="1009"/>
      <c r="H7" s="1009"/>
      <c r="I7" s="1010"/>
    </row>
    <row r="8" spans="1:9" ht="15" thickBot="1" x14ac:dyDescent="0.35">
      <c r="A8" s="997"/>
      <c r="B8" s="998"/>
      <c r="C8" s="999"/>
      <c r="D8" s="1000"/>
      <c r="E8" s="1001"/>
      <c r="F8" s="1000"/>
      <c r="G8" s="1011"/>
      <c r="H8" s="1001"/>
      <c r="I8" s="1003"/>
    </row>
    <row r="9" spans="1:9" ht="27" thickBot="1" x14ac:dyDescent="0.35">
      <c r="A9" s="995" t="s">
        <v>8525</v>
      </c>
      <c r="B9" s="1012" t="s">
        <v>8526</v>
      </c>
      <c r="C9" s="1012" t="s">
        <v>8527</v>
      </c>
      <c r="D9" s="1012" t="s">
        <v>8528</v>
      </c>
      <c r="E9" s="1012" t="s">
        <v>27</v>
      </c>
      <c r="F9" s="1012" t="s">
        <v>8529</v>
      </c>
      <c r="G9" s="1012" t="s">
        <v>8530</v>
      </c>
      <c r="H9" s="1012" t="s">
        <v>8531</v>
      </c>
      <c r="I9" s="1013" t="s">
        <v>8532</v>
      </c>
    </row>
    <row r="10" spans="1:9" ht="15" thickBot="1" x14ac:dyDescent="0.35">
      <c r="A10" s="979"/>
      <c r="B10" s="1014"/>
      <c r="C10" s="1015"/>
      <c r="D10" s="1016"/>
      <c r="E10" s="1017"/>
      <c r="F10" s="1016"/>
      <c r="G10" s="1017"/>
      <c r="H10" s="1018"/>
      <c r="I10" s="1019"/>
    </row>
    <row r="11" spans="1:9" ht="15" thickBot="1" x14ac:dyDescent="0.35">
      <c r="A11" s="979">
        <f>IF(E11&gt;0,1,"X")</f>
        <v>1</v>
      </c>
      <c r="B11" s="1020" t="s">
        <v>8533</v>
      </c>
      <c r="C11" s="1021"/>
      <c r="D11" s="1022"/>
      <c r="E11" s="1023">
        <f>SUM(E12:E61)</f>
        <v>33721.51</v>
      </c>
      <c r="F11" s="1022"/>
      <c r="G11" s="1023">
        <f>SUM(G12:G61)</f>
        <v>31467.522500000003</v>
      </c>
      <c r="H11" s="1024"/>
      <c r="I11" s="1023">
        <f>SUM(I12:I61)</f>
        <v>11533.800000000001</v>
      </c>
    </row>
    <row r="12" spans="1:9" x14ac:dyDescent="0.3">
      <c r="A12" s="979">
        <f t="shared" ref="A12:A61" si="0">IF(E12&gt;0,1,"X")</f>
        <v>1</v>
      </c>
      <c r="B12" s="1025" t="s">
        <v>8534</v>
      </c>
      <c r="C12" s="1026">
        <v>3811.09</v>
      </c>
      <c r="D12" s="1027">
        <v>1</v>
      </c>
      <c r="E12" s="1026">
        <f t="shared" ref="E12:E61" si="1">C12*D12</f>
        <v>3811.09</v>
      </c>
      <c r="F12" s="1028">
        <v>1</v>
      </c>
      <c r="G12" s="1029">
        <f t="shared" ref="G12:G61" si="2">E12*F12</f>
        <v>3811.09</v>
      </c>
      <c r="H12" s="1026"/>
      <c r="I12" s="1030">
        <f>+H12*D12</f>
        <v>0</v>
      </c>
    </row>
    <row r="13" spans="1:9" x14ac:dyDescent="0.3">
      <c r="A13" s="979">
        <f t="shared" si="0"/>
        <v>1</v>
      </c>
      <c r="B13" s="1025" t="s">
        <v>8535</v>
      </c>
      <c r="C13" s="1026">
        <v>3712.11</v>
      </c>
      <c r="D13" s="1027">
        <v>1</v>
      </c>
      <c r="E13" s="1026">
        <f t="shared" si="1"/>
        <v>3712.11</v>
      </c>
      <c r="F13" s="1028">
        <v>1</v>
      </c>
      <c r="G13" s="1026">
        <f t="shared" si="2"/>
        <v>3712.11</v>
      </c>
      <c r="H13" s="1026"/>
      <c r="I13" s="1030">
        <f t="shared" ref="I13:I61" si="3">+H13*D13</f>
        <v>0</v>
      </c>
    </row>
    <row r="14" spans="1:9" x14ac:dyDescent="0.3">
      <c r="A14" s="979">
        <f t="shared" si="0"/>
        <v>1</v>
      </c>
      <c r="B14" s="1025" t="s">
        <v>8536</v>
      </c>
      <c r="C14" s="1026">
        <v>3742.8</v>
      </c>
      <c r="D14" s="1027">
        <v>1</v>
      </c>
      <c r="E14" s="1026">
        <f t="shared" si="1"/>
        <v>3742.8</v>
      </c>
      <c r="F14" s="1028">
        <v>1</v>
      </c>
      <c r="G14" s="1026">
        <f t="shared" si="2"/>
        <v>3742.8</v>
      </c>
      <c r="H14" s="1026"/>
      <c r="I14" s="1030">
        <f t="shared" si="3"/>
        <v>0</v>
      </c>
    </row>
    <row r="15" spans="1:9" x14ac:dyDescent="0.3">
      <c r="A15" s="979">
        <f t="shared" si="0"/>
        <v>1</v>
      </c>
      <c r="B15" s="1025" t="s">
        <v>8537</v>
      </c>
      <c r="C15" s="1026">
        <f>181.49+52.5+52.5</f>
        <v>286.49</v>
      </c>
      <c r="D15" s="1027">
        <v>1</v>
      </c>
      <c r="E15" s="1026">
        <f t="shared" si="1"/>
        <v>286.49</v>
      </c>
      <c r="F15" s="1028">
        <v>1</v>
      </c>
      <c r="G15" s="1026">
        <f t="shared" si="2"/>
        <v>286.49</v>
      </c>
      <c r="H15" s="1031">
        <v>0</v>
      </c>
      <c r="I15" s="1030">
        <f t="shared" si="3"/>
        <v>0</v>
      </c>
    </row>
    <row r="16" spans="1:9" x14ac:dyDescent="0.3">
      <c r="A16" s="979" t="str">
        <f t="shared" si="0"/>
        <v>X</v>
      </c>
      <c r="B16" s="1025" t="s">
        <v>8538</v>
      </c>
      <c r="C16" s="1026"/>
      <c r="D16" s="1027"/>
      <c r="E16" s="1026">
        <f t="shared" si="1"/>
        <v>0</v>
      </c>
      <c r="F16" s="1028">
        <v>0.9</v>
      </c>
      <c r="G16" s="1026">
        <f t="shared" si="2"/>
        <v>0</v>
      </c>
      <c r="H16" s="1026"/>
      <c r="I16" s="1030">
        <f t="shared" si="3"/>
        <v>0</v>
      </c>
    </row>
    <row r="17" spans="1:9" x14ac:dyDescent="0.3">
      <c r="A17" s="979" t="str">
        <f t="shared" si="0"/>
        <v>X</v>
      </c>
      <c r="B17" s="1025" t="s">
        <v>8539</v>
      </c>
      <c r="C17" s="1026"/>
      <c r="D17" s="1027"/>
      <c r="E17" s="1026">
        <f t="shared" si="1"/>
        <v>0</v>
      </c>
      <c r="F17" s="1028">
        <v>0.9</v>
      </c>
      <c r="G17" s="1026">
        <f t="shared" si="2"/>
        <v>0</v>
      </c>
      <c r="H17" s="1026"/>
      <c r="I17" s="1030">
        <f t="shared" si="3"/>
        <v>0</v>
      </c>
    </row>
    <row r="18" spans="1:9" x14ac:dyDescent="0.3">
      <c r="A18" s="979" t="str">
        <f t="shared" si="0"/>
        <v>X</v>
      </c>
      <c r="B18" s="1025" t="s">
        <v>8540</v>
      </c>
      <c r="C18" s="1026"/>
      <c r="D18" s="1027"/>
      <c r="E18" s="1026">
        <f t="shared" si="1"/>
        <v>0</v>
      </c>
      <c r="F18" s="1028">
        <v>0.7</v>
      </c>
      <c r="G18" s="1026">
        <f t="shared" si="2"/>
        <v>0</v>
      </c>
      <c r="H18" s="1026"/>
      <c r="I18" s="1030">
        <f t="shared" si="3"/>
        <v>0</v>
      </c>
    </row>
    <row r="19" spans="1:9" x14ac:dyDescent="0.3">
      <c r="A19" s="979">
        <f t="shared" si="0"/>
        <v>1</v>
      </c>
      <c r="B19" s="1025" t="s">
        <v>8541</v>
      </c>
      <c r="C19" s="1026">
        <f>336.89</f>
        <v>336.89</v>
      </c>
      <c r="D19" s="1027">
        <v>1</v>
      </c>
      <c r="E19" s="1026">
        <f t="shared" si="1"/>
        <v>336.89</v>
      </c>
      <c r="F19" s="1028">
        <v>0.75</v>
      </c>
      <c r="G19" s="1026">
        <f t="shared" si="2"/>
        <v>252.66749999999999</v>
      </c>
      <c r="H19" s="1026">
        <f>C19</f>
        <v>336.89</v>
      </c>
      <c r="I19" s="1030">
        <f t="shared" si="3"/>
        <v>336.89</v>
      </c>
    </row>
    <row r="20" spans="1:9" x14ac:dyDescent="0.3">
      <c r="A20" s="979">
        <f t="shared" si="0"/>
        <v>1</v>
      </c>
      <c r="B20" s="1025" t="s">
        <v>8542</v>
      </c>
      <c r="C20" s="1026">
        <f>509.6</f>
        <v>509.6</v>
      </c>
      <c r="D20" s="1027">
        <v>1</v>
      </c>
      <c r="E20" s="1026">
        <f t="shared" si="1"/>
        <v>509.6</v>
      </c>
      <c r="F20" s="1028">
        <v>0.75</v>
      </c>
      <c r="G20" s="1026">
        <f t="shared" si="2"/>
        <v>382.20000000000005</v>
      </c>
      <c r="H20" s="1026">
        <f>C20</f>
        <v>509.6</v>
      </c>
      <c r="I20" s="1030">
        <f t="shared" si="3"/>
        <v>509.6</v>
      </c>
    </row>
    <row r="21" spans="1:9" x14ac:dyDescent="0.3">
      <c r="A21" s="979">
        <f t="shared" si="0"/>
        <v>1</v>
      </c>
      <c r="B21" s="1025" t="s">
        <v>8543</v>
      </c>
      <c r="C21" s="1026">
        <v>144.29</v>
      </c>
      <c r="D21" s="1027">
        <v>1</v>
      </c>
      <c r="E21" s="1026">
        <f t="shared" si="1"/>
        <v>144.29</v>
      </c>
      <c r="F21" s="1028">
        <v>1</v>
      </c>
      <c r="G21" s="1026">
        <f t="shared" si="2"/>
        <v>144.29</v>
      </c>
      <c r="H21" s="1031">
        <v>0</v>
      </c>
      <c r="I21" s="1030">
        <f t="shared" si="3"/>
        <v>0</v>
      </c>
    </row>
    <row r="22" spans="1:9" x14ac:dyDescent="0.3">
      <c r="A22" s="979">
        <f t="shared" si="0"/>
        <v>1</v>
      </c>
      <c r="B22" s="1025" t="s">
        <v>8544</v>
      </c>
      <c r="C22" s="1026">
        <v>1420.48</v>
      </c>
      <c r="D22" s="1027">
        <v>1</v>
      </c>
      <c r="E22" s="1026">
        <f t="shared" si="1"/>
        <v>1420.48</v>
      </c>
      <c r="F22" s="1028">
        <v>0.75</v>
      </c>
      <c r="G22" s="1026">
        <f t="shared" si="2"/>
        <v>1065.3600000000001</v>
      </c>
      <c r="H22" s="1026"/>
      <c r="I22" s="1030">
        <f t="shared" si="3"/>
        <v>0</v>
      </c>
    </row>
    <row r="23" spans="1:9" x14ac:dyDescent="0.3">
      <c r="A23" s="979" t="str">
        <f t="shared" si="0"/>
        <v>X</v>
      </c>
      <c r="B23" s="1025" t="s">
        <v>8545</v>
      </c>
      <c r="C23" s="1026"/>
      <c r="D23" s="1027"/>
      <c r="E23" s="1026">
        <f t="shared" si="1"/>
        <v>0</v>
      </c>
      <c r="F23" s="1028">
        <v>0.6</v>
      </c>
      <c r="G23" s="1026">
        <f t="shared" si="2"/>
        <v>0</v>
      </c>
      <c r="H23" s="1031">
        <v>0</v>
      </c>
      <c r="I23" s="1030">
        <f t="shared" si="3"/>
        <v>0</v>
      </c>
    </row>
    <row r="24" spans="1:9" x14ac:dyDescent="0.3">
      <c r="A24" s="979">
        <f t="shared" si="0"/>
        <v>1</v>
      </c>
      <c r="B24" s="1025" t="s">
        <v>8546</v>
      </c>
      <c r="C24" s="1026">
        <v>1258.9000000000001</v>
      </c>
      <c r="D24" s="1027">
        <v>1</v>
      </c>
      <c r="E24" s="1026">
        <f t="shared" si="1"/>
        <v>1258.9000000000001</v>
      </c>
      <c r="F24" s="1028">
        <v>0.5</v>
      </c>
      <c r="G24" s="1026">
        <f t="shared" si="2"/>
        <v>629.45000000000005</v>
      </c>
      <c r="H24" s="1026"/>
      <c r="I24" s="1030">
        <f t="shared" si="3"/>
        <v>0</v>
      </c>
    </row>
    <row r="25" spans="1:9" x14ac:dyDescent="0.3">
      <c r="A25" s="979" t="str">
        <f t="shared" si="0"/>
        <v>X</v>
      </c>
      <c r="B25" s="1025" t="s">
        <v>8547</v>
      </c>
      <c r="C25" s="1026"/>
      <c r="D25" s="1027"/>
      <c r="E25" s="1026">
        <f t="shared" si="1"/>
        <v>0</v>
      </c>
      <c r="F25" s="1028">
        <v>0.25</v>
      </c>
      <c r="G25" s="1026">
        <f t="shared" si="2"/>
        <v>0</v>
      </c>
      <c r="H25" s="1026"/>
      <c r="I25" s="1030">
        <f t="shared" si="3"/>
        <v>0</v>
      </c>
    </row>
    <row r="26" spans="1:9" x14ac:dyDescent="0.3">
      <c r="A26" s="979" t="str">
        <f t="shared" si="0"/>
        <v>X</v>
      </c>
      <c r="B26" s="1025" t="s">
        <v>8548</v>
      </c>
      <c r="C26" s="1026"/>
      <c r="D26" s="1027"/>
      <c r="E26" s="1026">
        <f t="shared" si="1"/>
        <v>0</v>
      </c>
      <c r="F26" s="1028">
        <v>0.3</v>
      </c>
      <c r="G26" s="1026">
        <f t="shared" si="2"/>
        <v>0</v>
      </c>
      <c r="H26" s="1026"/>
      <c r="I26" s="1030">
        <f t="shared" si="3"/>
        <v>0</v>
      </c>
    </row>
    <row r="27" spans="1:9" x14ac:dyDescent="0.3">
      <c r="A27" s="979" t="str">
        <f t="shared" si="0"/>
        <v>X</v>
      </c>
      <c r="B27" s="1025" t="s">
        <v>8549</v>
      </c>
      <c r="C27" s="1026"/>
      <c r="D27" s="1027"/>
      <c r="E27" s="1026">
        <f t="shared" si="1"/>
        <v>0</v>
      </c>
      <c r="F27" s="1028">
        <v>0.25</v>
      </c>
      <c r="G27" s="1026">
        <f t="shared" si="2"/>
        <v>0</v>
      </c>
      <c r="H27" s="1026"/>
      <c r="I27" s="1030">
        <f t="shared" si="3"/>
        <v>0</v>
      </c>
    </row>
    <row r="28" spans="1:9" x14ac:dyDescent="0.3">
      <c r="A28" s="979" t="str">
        <f t="shared" si="0"/>
        <v>X</v>
      </c>
      <c r="B28" s="1025" t="s">
        <v>8550</v>
      </c>
      <c r="C28" s="1026"/>
      <c r="D28" s="1027"/>
      <c r="E28" s="1026">
        <f t="shared" si="1"/>
        <v>0</v>
      </c>
      <c r="F28" s="1028">
        <v>1</v>
      </c>
      <c r="G28" s="1026">
        <f t="shared" si="2"/>
        <v>0</v>
      </c>
      <c r="H28" s="1026"/>
      <c r="I28" s="1030">
        <f t="shared" si="3"/>
        <v>0</v>
      </c>
    </row>
    <row r="29" spans="1:9" x14ac:dyDescent="0.3">
      <c r="A29" s="979" t="str">
        <f t="shared" si="0"/>
        <v>X</v>
      </c>
      <c r="B29" s="1025" t="s">
        <v>8551</v>
      </c>
      <c r="C29" s="1026"/>
      <c r="D29" s="1027"/>
      <c r="E29" s="1026">
        <f t="shared" si="1"/>
        <v>0</v>
      </c>
      <c r="F29" s="1028">
        <v>0.5</v>
      </c>
      <c r="G29" s="1026">
        <f t="shared" si="2"/>
        <v>0</v>
      </c>
      <c r="H29" s="1026"/>
      <c r="I29" s="1030">
        <f t="shared" si="3"/>
        <v>0</v>
      </c>
    </row>
    <row r="30" spans="1:9" x14ac:dyDescent="0.3">
      <c r="A30" s="979" t="str">
        <f t="shared" si="0"/>
        <v>X</v>
      </c>
      <c r="B30" s="1025" t="s">
        <v>8552</v>
      </c>
      <c r="C30" s="1026"/>
      <c r="D30" s="1027"/>
      <c r="E30" s="1026">
        <f t="shared" si="1"/>
        <v>0</v>
      </c>
      <c r="F30" s="1028">
        <v>1</v>
      </c>
      <c r="G30" s="1026">
        <f t="shared" si="2"/>
        <v>0</v>
      </c>
      <c r="H30" s="1026"/>
      <c r="I30" s="1030">
        <f t="shared" si="3"/>
        <v>0</v>
      </c>
    </row>
    <row r="31" spans="1:9" x14ac:dyDescent="0.3">
      <c r="A31" s="979">
        <f t="shared" si="0"/>
        <v>1</v>
      </c>
      <c r="B31" s="1025" t="s">
        <v>8553</v>
      </c>
      <c r="C31" s="1026">
        <v>531.71</v>
      </c>
      <c r="D31" s="1027">
        <v>1</v>
      </c>
      <c r="E31" s="1026">
        <f t="shared" si="1"/>
        <v>531.71</v>
      </c>
      <c r="F31" s="1028">
        <v>0.5</v>
      </c>
      <c r="G31" s="1026">
        <f t="shared" si="2"/>
        <v>265.85500000000002</v>
      </c>
      <c r="H31" s="1026"/>
      <c r="I31" s="1030">
        <f t="shared" si="3"/>
        <v>0</v>
      </c>
    </row>
    <row r="32" spans="1:9" x14ac:dyDescent="0.3">
      <c r="A32" s="979">
        <f t="shared" si="0"/>
        <v>1</v>
      </c>
      <c r="B32" s="1025" t="s">
        <v>8554</v>
      </c>
      <c r="C32" s="1026">
        <v>536.34</v>
      </c>
      <c r="D32" s="1027">
        <v>1</v>
      </c>
      <c r="E32" s="1026">
        <f t="shared" si="1"/>
        <v>536.34</v>
      </c>
      <c r="F32" s="1028">
        <v>0.5</v>
      </c>
      <c r="G32" s="1026">
        <f t="shared" si="2"/>
        <v>268.17</v>
      </c>
      <c r="H32" s="1026"/>
      <c r="I32" s="1030">
        <f t="shared" si="3"/>
        <v>0</v>
      </c>
    </row>
    <row r="33" spans="1:9" x14ac:dyDescent="0.3">
      <c r="A33" s="979" t="str">
        <f t="shared" si="0"/>
        <v>X</v>
      </c>
      <c r="B33" s="1025" t="s">
        <v>8555</v>
      </c>
      <c r="C33" s="1026"/>
      <c r="D33" s="1027"/>
      <c r="E33" s="1026">
        <f t="shared" si="1"/>
        <v>0</v>
      </c>
      <c r="F33" s="1028">
        <v>1</v>
      </c>
      <c r="G33" s="1026">
        <f t="shared" si="2"/>
        <v>0</v>
      </c>
      <c r="H33" s="1031">
        <v>0</v>
      </c>
      <c r="I33" s="1030">
        <f t="shared" si="3"/>
        <v>0</v>
      </c>
    </row>
    <row r="34" spans="1:9" x14ac:dyDescent="0.3">
      <c r="A34" s="979" t="str">
        <f t="shared" si="0"/>
        <v>X</v>
      </c>
      <c r="B34" s="1025" t="s">
        <v>8556</v>
      </c>
      <c r="C34" s="1026"/>
      <c r="D34" s="1027"/>
      <c r="E34" s="1026">
        <f t="shared" si="1"/>
        <v>0</v>
      </c>
      <c r="F34" s="1028">
        <v>0.35</v>
      </c>
      <c r="G34" s="1026">
        <f t="shared" si="2"/>
        <v>0</v>
      </c>
      <c r="H34" s="1031">
        <v>0</v>
      </c>
      <c r="I34" s="1030">
        <f t="shared" si="3"/>
        <v>0</v>
      </c>
    </row>
    <row r="35" spans="1:9" x14ac:dyDescent="0.3">
      <c r="A35" s="979" t="str">
        <f t="shared" si="0"/>
        <v>X</v>
      </c>
      <c r="B35" s="1025" t="s">
        <v>8557</v>
      </c>
      <c r="C35" s="1026"/>
      <c r="D35" s="1027"/>
      <c r="E35" s="1026">
        <f t="shared" si="1"/>
        <v>0</v>
      </c>
      <c r="F35" s="1028">
        <v>0.75</v>
      </c>
      <c r="G35" s="1026">
        <f t="shared" si="2"/>
        <v>0</v>
      </c>
      <c r="H35" s="1026"/>
      <c r="I35" s="1030">
        <f t="shared" si="3"/>
        <v>0</v>
      </c>
    </row>
    <row r="36" spans="1:9" x14ac:dyDescent="0.3">
      <c r="A36" s="979" t="str">
        <f t="shared" si="0"/>
        <v>X</v>
      </c>
      <c r="B36" s="1025" t="s">
        <v>8558</v>
      </c>
      <c r="C36" s="1026"/>
      <c r="D36" s="1027"/>
      <c r="E36" s="1026">
        <f t="shared" si="1"/>
        <v>0</v>
      </c>
      <c r="F36" s="1028">
        <v>0.6</v>
      </c>
      <c r="G36" s="1026">
        <f t="shared" si="2"/>
        <v>0</v>
      </c>
      <c r="H36" s="1026"/>
      <c r="I36" s="1030">
        <f t="shared" si="3"/>
        <v>0</v>
      </c>
    </row>
    <row r="37" spans="1:9" x14ac:dyDescent="0.3">
      <c r="A37" s="979" t="str">
        <f t="shared" si="0"/>
        <v>X</v>
      </c>
      <c r="B37" s="1025" t="s">
        <v>8559</v>
      </c>
      <c r="C37" s="1026"/>
      <c r="D37" s="1027"/>
      <c r="E37" s="1026">
        <f t="shared" si="1"/>
        <v>0</v>
      </c>
      <c r="F37" s="1028">
        <v>0.5</v>
      </c>
      <c r="G37" s="1026">
        <f t="shared" si="2"/>
        <v>0</v>
      </c>
      <c r="H37" s="1026"/>
      <c r="I37" s="1030">
        <f t="shared" si="3"/>
        <v>0</v>
      </c>
    </row>
    <row r="38" spans="1:9" x14ac:dyDescent="0.3">
      <c r="A38" s="979" t="str">
        <f t="shared" si="0"/>
        <v>X</v>
      </c>
      <c r="B38" s="1025" t="s">
        <v>8560</v>
      </c>
      <c r="C38" s="1026"/>
      <c r="D38" s="1027"/>
      <c r="E38" s="1026">
        <f t="shared" si="1"/>
        <v>0</v>
      </c>
      <c r="F38" s="1028">
        <v>1</v>
      </c>
      <c r="G38" s="1026">
        <f t="shared" si="2"/>
        <v>0</v>
      </c>
      <c r="H38" s="1026"/>
      <c r="I38" s="1030">
        <f t="shared" si="3"/>
        <v>0</v>
      </c>
    </row>
    <row r="39" spans="1:9" x14ac:dyDescent="0.3">
      <c r="A39" s="979" t="str">
        <f t="shared" si="0"/>
        <v>X</v>
      </c>
      <c r="B39" s="1025" t="s">
        <v>8561</v>
      </c>
      <c r="C39" s="1026"/>
      <c r="D39" s="1027"/>
      <c r="E39" s="1026">
        <f t="shared" si="1"/>
        <v>0</v>
      </c>
      <c r="F39" s="1028">
        <v>0.6</v>
      </c>
      <c r="G39" s="1026">
        <f t="shared" si="2"/>
        <v>0</v>
      </c>
      <c r="H39" s="1026"/>
      <c r="I39" s="1030">
        <f t="shared" si="3"/>
        <v>0</v>
      </c>
    </row>
    <row r="40" spans="1:9" x14ac:dyDescent="0.3">
      <c r="A40" s="979" t="str">
        <f t="shared" si="0"/>
        <v>X</v>
      </c>
      <c r="B40" s="1025" t="s">
        <v>8562</v>
      </c>
      <c r="C40" s="1026"/>
      <c r="D40" s="1027"/>
      <c r="E40" s="1026">
        <f t="shared" si="1"/>
        <v>0</v>
      </c>
      <c r="F40" s="1028">
        <v>0.5</v>
      </c>
      <c r="G40" s="1026">
        <f t="shared" si="2"/>
        <v>0</v>
      </c>
      <c r="H40" s="1031">
        <v>0</v>
      </c>
      <c r="I40" s="1030">
        <f t="shared" si="3"/>
        <v>0</v>
      </c>
    </row>
    <row r="41" spans="1:9" x14ac:dyDescent="0.3">
      <c r="A41" s="979" t="str">
        <f t="shared" si="0"/>
        <v>X</v>
      </c>
      <c r="B41" s="1025" t="s">
        <v>8563</v>
      </c>
      <c r="C41" s="1026"/>
      <c r="D41" s="1027"/>
      <c r="E41" s="1026">
        <f t="shared" si="1"/>
        <v>0</v>
      </c>
      <c r="F41" s="1028">
        <v>0.5</v>
      </c>
      <c r="G41" s="1026">
        <f t="shared" si="2"/>
        <v>0</v>
      </c>
      <c r="H41" s="1031">
        <v>0</v>
      </c>
      <c r="I41" s="1030">
        <f t="shared" si="3"/>
        <v>0</v>
      </c>
    </row>
    <row r="42" spans="1:9" x14ac:dyDescent="0.3">
      <c r="A42" s="979" t="str">
        <f t="shared" si="0"/>
        <v>X</v>
      </c>
      <c r="B42" s="1025" t="s">
        <v>8564</v>
      </c>
      <c r="C42" s="1026"/>
      <c r="D42" s="1027"/>
      <c r="E42" s="1026">
        <f t="shared" si="1"/>
        <v>0</v>
      </c>
      <c r="F42" s="1028">
        <v>0.25</v>
      </c>
      <c r="G42" s="1026">
        <f t="shared" si="2"/>
        <v>0</v>
      </c>
      <c r="H42" s="1026"/>
      <c r="I42" s="1030">
        <f t="shared" si="3"/>
        <v>0</v>
      </c>
    </row>
    <row r="43" spans="1:9" x14ac:dyDescent="0.3">
      <c r="A43" s="979" t="str">
        <f t="shared" si="0"/>
        <v>X</v>
      </c>
      <c r="B43" s="1025" t="s">
        <v>8565</v>
      </c>
      <c r="C43" s="1026"/>
      <c r="D43" s="1027"/>
      <c r="E43" s="1026">
        <f t="shared" si="1"/>
        <v>0</v>
      </c>
      <c r="F43" s="1028">
        <v>0.5</v>
      </c>
      <c r="G43" s="1026">
        <f t="shared" si="2"/>
        <v>0</v>
      </c>
      <c r="H43" s="1026"/>
      <c r="I43" s="1030">
        <f t="shared" si="3"/>
        <v>0</v>
      </c>
    </row>
    <row r="44" spans="1:9" x14ac:dyDescent="0.3">
      <c r="A44" s="979" t="str">
        <f t="shared" si="0"/>
        <v>X</v>
      </c>
      <c r="B44" s="1025" t="s">
        <v>8566</v>
      </c>
      <c r="C44" s="1026"/>
      <c r="D44" s="1027"/>
      <c r="E44" s="1026">
        <f t="shared" si="1"/>
        <v>0</v>
      </c>
      <c r="F44" s="1028">
        <v>0.7</v>
      </c>
      <c r="G44" s="1026">
        <f t="shared" si="2"/>
        <v>0</v>
      </c>
      <c r="H44" s="1026"/>
      <c r="I44" s="1030">
        <f t="shared" si="3"/>
        <v>0</v>
      </c>
    </row>
    <row r="45" spans="1:9" x14ac:dyDescent="0.3">
      <c r="A45" s="979" t="str">
        <f t="shared" si="0"/>
        <v>X</v>
      </c>
      <c r="B45" s="1025" t="s">
        <v>8567</v>
      </c>
      <c r="C45" s="1026"/>
      <c r="D45" s="1027"/>
      <c r="E45" s="1026">
        <f t="shared" si="1"/>
        <v>0</v>
      </c>
      <c r="F45" s="1028">
        <v>1</v>
      </c>
      <c r="G45" s="1026">
        <f t="shared" si="2"/>
        <v>0</v>
      </c>
      <c r="H45" s="1031">
        <v>0</v>
      </c>
      <c r="I45" s="1030">
        <f t="shared" si="3"/>
        <v>0</v>
      </c>
    </row>
    <row r="46" spans="1:9" x14ac:dyDescent="0.3">
      <c r="A46" s="979" t="str">
        <f t="shared" si="0"/>
        <v>X</v>
      </c>
      <c r="B46" s="1025" t="s">
        <v>8568</v>
      </c>
      <c r="C46" s="1026"/>
      <c r="D46" s="1027"/>
      <c r="E46" s="1026">
        <f t="shared" si="1"/>
        <v>0</v>
      </c>
      <c r="F46" s="1028">
        <v>0.75</v>
      </c>
      <c r="G46" s="1026">
        <f t="shared" si="2"/>
        <v>0</v>
      </c>
      <c r="H46" s="1031">
        <v>0</v>
      </c>
      <c r="I46" s="1030">
        <f t="shared" si="3"/>
        <v>0</v>
      </c>
    </row>
    <row r="47" spans="1:9" x14ac:dyDescent="0.3">
      <c r="A47" s="979" t="str">
        <f t="shared" si="0"/>
        <v>X</v>
      </c>
      <c r="B47" s="1025" t="s">
        <v>8569</v>
      </c>
      <c r="C47" s="1026"/>
      <c r="D47" s="1027"/>
      <c r="E47" s="1026">
        <f t="shared" si="1"/>
        <v>0</v>
      </c>
      <c r="F47" s="1028">
        <v>0.5</v>
      </c>
      <c r="G47" s="1026">
        <f t="shared" si="2"/>
        <v>0</v>
      </c>
      <c r="H47" s="1031">
        <v>0</v>
      </c>
      <c r="I47" s="1030">
        <f t="shared" si="3"/>
        <v>0</v>
      </c>
    </row>
    <row r="48" spans="1:9" x14ac:dyDescent="0.3">
      <c r="A48" s="979">
        <f t="shared" si="0"/>
        <v>1</v>
      </c>
      <c r="B48" s="1025" t="s">
        <v>8570</v>
      </c>
      <c r="C48" s="1026">
        <v>934.98</v>
      </c>
      <c r="D48" s="1027">
        <v>1</v>
      </c>
      <c r="E48" s="1026">
        <f t="shared" si="1"/>
        <v>934.98</v>
      </c>
      <c r="F48" s="1028">
        <v>1</v>
      </c>
      <c r="G48" s="1026">
        <f t="shared" si="2"/>
        <v>934.98</v>
      </c>
      <c r="H48" s="1026"/>
      <c r="I48" s="1030">
        <f t="shared" si="3"/>
        <v>0</v>
      </c>
    </row>
    <row r="49" spans="1:9" x14ac:dyDescent="0.3">
      <c r="A49" s="979">
        <f t="shared" si="0"/>
        <v>1</v>
      </c>
      <c r="B49" s="1025" t="s">
        <v>8571</v>
      </c>
      <c r="C49" s="1026">
        <v>578.52</v>
      </c>
      <c r="D49" s="1027">
        <v>1</v>
      </c>
      <c r="E49" s="1026">
        <f t="shared" si="1"/>
        <v>578.52</v>
      </c>
      <c r="F49" s="1028">
        <v>1</v>
      </c>
      <c r="G49" s="1026">
        <f t="shared" si="2"/>
        <v>578.52</v>
      </c>
      <c r="H49" s="1026">
        <v>347.21</v>
      </c>
      <c r="I49" s="1030">
        <f t="shared" si="3"/>
        <v>347.21</v>
      </c>
    </row>
    <row r="50" spans="1:9" x14ac:dyDescent="0.3">
      <c r="A50" s="979">
        <f t="shared" si="0"/>
        <v>1</v>
      </c>
      <c r="B50" s="1025" t="s">
        <v>8572</v>
      </c>
      <c r="C50" s="1026">
        <v>628.6</v>
      </c>
      <c r="D50" s="1027">
        <v>7</v>
      </c>
      <c r="E50" s="1026">
        <f t="shared" si="1"/>
        <v>4400.2</v>
      </c>
      <c r="F50" s="1028">
        <v>1</v>
      </c>
      <c r="G50" s="1026">
        <f t="shared" si="2"/>
        <v>4400.2</v>
      </c>
      <c r="H50" s="1026">
        <v>455.08</v>
      </c>
      <c r="I50" s="1030">
        <f t="shared" si="3"/>
        <v>3185.56</v>
      </c>
    </row>
    <row r="51" spans="1:9" x14ac:dyDescent="0.3">
      <c r="A51" s="979">
        <f t="shared" si="0"/>
        <v>1</v>
      </c>
      <c r="B51" s="1025" t="s">
        <v>8573</v>
      </c>
      <c r="C51" s="1026">
        <v>630.04999999999995</v>
      </c>
      <c r="D51" s="1027">
        <v>1</v>
      </c>
      <c r="E51" s="1026">
        <f t="shared" si="1"/>
        <v>630.04999999999995</v>
      </c>
      <c r="F51" s="1028">
        <v>1</v>
      </c>
      <c r="G51" s="1026">
        <f t="shared" si="2"/>
        <v>630.04999999999995</v>
      </c>
      <c r="H51" s="1026">
        <v>455.55</v>
      </c>
      <c r="I51" s="1030">
        <f t="shared" si="3"/>
        <v>455.55</v>
      </c>
    </row>
    <row r="52" spans="1:9" x14ac:dyDescent="0.3">
      <c r="A52" s="979">
        <f t="shared" si="0"/>
        <v>1</v>
      </c>
      <c r="B52" s="1025" t="s">
        <v>8574</v>
      </c>
      <c r="C52" s="1026">
        <v>630.24</v>
      </c>
      <c r="D52" s="1027">
        <v>1</v>
      </c>
      <c r="E52" s="1026">
        <f t="shared" si="1"/>
        <v>630.24</v>
      </c>
      <c r="F52" s="1028">
        <v>1</v>
      </c>
      <c r="G52" s="1026">
        <f t="shared" si="2"/>
        <v>630.24</v>
      </c>
      <c r="H52" s="1026">
        <v>332.34</v>
      </c>
      <c r="I52" s="1030">
        <f t="shared" si="3"/>
        <v>332.34</v>
      </c>
    </row>
    <row r="53" spans="1:9" x14ac:dyDescent="0.3">
      <c r="A53" s="979">
        <f t="shared" si="0"/>
        <v>1</v>
      </c>
      <c r="B53" s="1025" t="s">
        <v>8575</v>
      </c>
      <c r="C53" s="1026">
        <v>630.24</v>
      </c>
      <c r="D53" s="1027">
        <v>1</v>
      </c>
      <c r="E53" s="1026">
        <f t="shared" si="1"/>
        <v>630.24</v>
      </c>
      <c r="F53" s="1028">
        <v>1</v>
      </c>
      <c r="G53" s="1026">
        <f t="shared" si="2"/>
        <v>630.24</v>
      </c>
      <c r="H53" s="1026">
        <v>455.52</v>
      </c>
      <c r="I53" s="1030">
        <f t="shared" si="3"/>
        <v>455.52</v>
      </c>
    </row>
    <row r="54" spans="1:9" x14ac:dyDescent="0.3">
      <c r="A54" s="979">
        <f t="shared" si="0"/>
        <v>1</v>
      </c>
      <c r="B54" s="1025" t="s">
        <v>8576</v>
      </c>
      <c r="C54" s="1026">
        <v>630.29</v>
      </c>
      <c r="D54" s="1027">
        <v>12</v>
      </c>
      <c r="E54" s="1026">
        <f t="shared" si="1"/>
        <v>7563.48</v>
      </c>
      <c r="F54" s="1028">
        <v>1</v>
      </c>
      <c r="G54" s="1026">
        <f t="shared" si="2"/>
        <v>7563.48</v>
      </c>
      <c r="H54" s="1026">
        <v>454.64</v>
      </c>
      <c r="I54" s="1030">
        <f t="shared" si="3"/>
        <v>5455.68</v>
      </c>
    </row>
    <row r="55" spans="1:9" x14ac:dyDescent="0.3">
      <c r="A55" s="979">
        <f t="shared" si="0"/>
        <v>1</v>
      </c>
      <c r="B55" s="1025" t="s">
        <v>8577</v>
      </c>
      <c r="C55" s="1026">
        <v>191.52</v>
      </c>
      <c r="D55" s="1027">
        <v>1</v>
      </c>
      <c r="E55" s="1026">
        <f t="shared" si="1"/>
        <v>191.52</v>
      </c>
      <c r="F55" s="1028">
        <v>0.25</v>
      </c>
      <c r="G55" s="1026">
        <f t="shared" si="2"/>
        <v>47.88</v>
      </c>
      <c r="H55" s="1026"/>
      <c r="I55" s="1030">
        <f t="shared" si="3"/>
        <v>0</v>
      </c>
    </row>
    <row r="56" spans="1:9" x14ac:dyDescent="0.3">
      <c r="A56" s="979">
        <f t="shared" si="0"/>
        <v>1</v>
      </c>
      <c r="B56" s="1025" t="s">
        <v>8578</v>
      </c>
      <c r="C56" s="1026">
        <v>630.25</v>
      </c>
      <c r="D56" s="1027">
        <v>1</v>
      </c>
      <c r="E56" s="1026">
        <f t="shared" si="1"/>
        <v>630.25</v>
      </c>
      <c r="F56" s="1028">
        <v>1</v>
      </c>
      <c r="G56" s="1026">
        <f t="shared" si="2"/>
        <v>630.25</v>
      </c>
      <c r="H56" s="1026">
        <v>455.45</v>
      </c>
      <c r="I56" s="1030">
        <f t="shared" si="3"/>
        <v>455.45</v>
      </c>
    </row>
    <row r="57" spans="1:9" x14ac:dyDescent="0.3">
      <c r="A57" s="979" t="str">
        <f t="shared" si="0"/>
        <v>X</v>
      </c>
      <c r="B57" s="1025" t="s">
        <v>8579</v>
      </c>
      <c r="C57" s="1026"/>
      <c r="D57" s="1027"/>
      <c r="E57" s="1026">
        <f t="shared" si="1"/>
        <v>0</v>
      </c>
      <c r="F57" s="1028">
        <v>1</v>
      </c>
      <c r="G57" s="1026">
        <f t="shared" si="2"/>
        <v>0</v>
      </c>
      <c r="H57" s="1026"/>
      <c r="I57" s="1030">
        <f t="shared" si="3"/>
        <v>0</v>
      </c>
    </row>
    <row r="58" spans="1:9" x14ac:dyDescent="0.3">
      <c r="A58" s="979" t="str">
        <f t="shared" si="0"/>
        <v>X</v>
      </c>
      <c r="B58" s="1025" t="s">
        <v>8580</v>
      </c>
      <c r="C58" s="1026"/>
      <c r="D58" s="1027"/>
      <c r="E58" s="1026">
        <f t="shared" si="1"/>
        <v>0</v>
      </c>
      <c r="F58" s="1028">
        <v>0.5</v>
      </c>
      <c r="G58" s="1026">
        <f t="shared" si="2"/>
        <v>0</v>
      </c>
      <c r="H58" s="1026"/>
      <c r="I58" s="1030">
        <f t="shared" si="3"/>
        <v>0</v>
      </c>
    </row>
    <row r="59" spans="1:9" x14ac:dyDescent="0.3">
      <c r="A59" s="979">
        <f t="shared" si="0"/>
        <v>1</v>
      </c>
      <c r="B59" s="1025" t="s">
        <v>8581</v>
      </c>
      <c r="C59" s="1026">
        <v>611.12</v>
      </c>
      <c r="D59" s="1027">
        <v>1</v>
      </c>
      <c r="E59" s="1026">
        <f t="shared" si="1"/>
        <v>611.12</v>
      </c>
      <c r="F59" s="1028">
        <v>1</v>
      </c>
      <c r="G59" s="1026">
        <f t="shared" si="2"/>
        <v>611.12</v>
      </c>
      <c r="H59" s="1026"/>
      <c r="I59" s="1030">
        <f t="shared" si="3"/>
        <v>0</v>
      </c>
    </row>
    <row r="60" spans="1:9" x14ac:dyDescent="0.3">
      <c r="A60" s="979">
        <f t="shared" si="0"/>
        <v>1</v>
      </c>
      <c r="B60" s="1025" t="s">
        <v>8582</v>
      </c>
      <c r="C60" s="1026">
        <v>123.37</v>
      </c>
      <c r="D60" s="1027">
        <v>1</v>
      </c>
      <c r="E60" s="1026">
        <f t="shared" si="1"/>
        <v>123.37</v>
      </c>
      <c r="F60" s="1028">
        <v>1</v>
      </c>
      <c r="G60" s="1026">
        <f t="shared" si="2"/>
        <v>123.37</v>
      </c>
      <c r="H60" s="1026"/>
      <c r="I60" s="1030">
        <f t="shared" si="3"/>
        <v>0</v>
      </c>
    </row>
    <row r="61" spans="1:9" ht="15" thickBot="1" x14ac:dyDescent="0.35">
      <c r="A61" s="979">
        <f t="shared" si="0"/>
        <v>1</v>
      </c>
      <c r="B61" s="1025" t="s">
        <v>8583</v>
      </c>
      <c r="C61" s="1026">
        <v>506.84</v>
      </c>
      <c r="D61" s="1027">
        <v>1</v>
      </c>
      <c r="E61" s="1026">
        <f t="shared" si="1"/>
        <v>506.84</v>
      </c>
      <c r="F61" s="1028">
        <v>0.25</v>
      </c>
      <c r="G61" s="1032">
        <f t="shared" si="2"/>
        <v>126.71</v>
      </c>
      <c r="H61" s="1032"/>
      <c r="I61" s="1030">
        <f t="shared" si="3"/>
        <v>0</v>
      </c>
    </row>
    <row r="62" spans="1:9" ht="15.6" thickTop="1" thickBot="1" x14ac:dyDescent="0.35">
      <c r="A62" s="979">
        <f>IF(E62&gt;0,1,"X")</f>
        <v>1</v>
      </c>
      <c r="B62" s="1033" t="s">
        <v>8584</v>
      </c>
      <c r="C62" s="1033"/>
      <c r="D62" s="1034"/>
      <c r="E62" s="1035">
        <f>SUM(E12:E61)</f>
        <v>33721.51</v>
      </c>
      <c r="F62" s="1036"/>
      <c r="G62" s="1035">
        <f>SUM(G12:G61)</f>
        <v>31467.522500000003</v>
      </c>
      <c r="H62" s="1036"/>
      <c r="I62" s="1035">
        <f>SUM(I12:I61)</f>
        <v>11533.800000000001</v>
      </c>
    </row>
    <row r="63" spans="1:9" ht="15" thickBot="1" x14ac:dyDescent="0.35">
      <c r="A63" s="979"/>
      <c r="B63" s="1037"/>
      <c r="C63" s="1038"/>
      <c r="D63" s="1039"/>
      <c r="E63" s="1040"/>
      <c r="F63" s="1041"/>
      <c r="G63" s="1040"/>
      <c r="H63" s="1040"/>
      <c r="I63" s="1040"/>
    </row>
    <row r="64" spans="1:9" ht="15" thickBot="1" x14ac:dyDescent="0.35">
      <c r="A64" s="979">
        <f>IF(E64&gt;0,1,"X")</f>
        <v>1</v>
      </c>
      <c r="B64" s="1020" t="s">
        <v>8585</v>
      </c>
      <c r="C64" s="1021"/>
      <c r="D64" s="1022"/>
      <c r="E64" s="1023">
        <f>SUM(E65:E114)</f>
        <v>18247.21</v>
      </c>
      <c r="F64" s="1022"/>
      <c r="G64" s="1023">
        <f>SUM(G65:G114)</f>
        <v>17478.9925</v>
      </c>
      <c r="H64" s="1024"/>
      <c r="I64" s="1023">
        <f>SUM(I65:I114)</f>
        <v>10345.090000000002</v>
      </c>
    </row>
    <row r="65" spans="1:9" x14ac:dyDescent="0.3">
      <c r="A65" s="979" t="str">
        <f t="shared" ref="A65:A114" si="4">IF(E65&gt;0,1,"X")</f>
        <v>X</v>
      </c>
      <c r="B65" s="1025" t="s">
        <v>8534</v>
      </c>
      <c r="C65" s="1026"/>
      <c r="D65" s="1027"/>
      <c r="E65" s="1026">
        <f t="shared" ref="E65:E114" si="5">C65*D65</f>
        <v>0</v>
      </c>
      <c r="F65" s="1028">
        <v>1</v>
      </c>
      <c r="G65" s="1029">
        <f t="shared" ref="G65:G114" si="6">E65*F65</f>
        <v>0</v>
      </c>
      <c r="H65" s="1026"/>
      <c r="I65" s="1030">
        <f>+H65*D65</f>
        <v>0</v>
      </c>
    </row>
    <row r="66" spans="1:9" x14ac:dyDescent="0.3">
      <c r="A66" s="979" t="str">
        <f t="shared" si="4"/>
        <v>X</v>
      </c>
      <c r="B66" s="1025" t="s">
        <v>8535</v>
      </c>
      <c r="C66" s="1026"/>
      <c r="D66" s="1027"/>
      <c r="E66" s="1026">
        <f t="shared" si="5"/>
        <v>0</v>
      </c>
      <c r="F66" s="1028">
        <v>1</v>
      </c>
      <c r="G66" s="1026">
        <f t="shared" si="6"/>
        <v>0</v>
      </c>
      <c r="H66" s="1026"/>
      <c r="I66" s="1030">
        <f t="shared" ref="I66:I114" si="7">+H66*D66</f>
        <v>0</v>
      </c>
    </row>
    <row r="67" spans="1:9" x14ac:dyDescent="0.3">
      <c r="A67" s="979" t="str">
        <f t="shared" si="4"/>
        <v>X</v>
      </c>
      <c r="B67" s="1025" t="s">
        <v>8536</v>
      </c>
      <c r="C67" s="1026"/>
      <c r="D67" s="1027"/>
      <c r="E67" s="1026">
        <f t="shared" si="5"/>
        <v>0</v>
      </c>
      <c r="F67" s="1028">
        <v>1</v>
      </c>
      <c r="G67" s="1026">
        <f t="shared" si="6"/>
        <v>0</v>
      </c>
      <c r="H67" s="1026"/>
      <c r="I67" s="1030">
        <f t="shared" si="7"/>
        <v>0</v>
      </c>
    </row>
    <row r="68" spans="1:9" x14ac:dyDescent="0.3">
      <c r="A68" s="979" t="str">
        <f t="shared" si="4"/>
        <v>X</v>
      </c>
      <c r="B68" s="1025" t="s">
        <v>8537</v>
      </c>
      <c r="C68" s="1026"/>
      <c r="D68" s="1027"/>
      <c r="E68" s="1026">
        <f t="shared" si="5"/>
        <v>0</v>
      </c>
      <c r="F68" s="1028">
        <v>1</v>
      </c>
      <c r="G68" s="1026">
        <f t="shared" si="6"/>
        <v>0</v>
      </c>
      <c r="H68" s="1031"/>
      <c r="I68" s="1030">
        <f t="shared" si="7"/>
        <v>0</v>
      </c>
    </row>
    <row r="69" spans="1:9" x14ac:dyDescent="0.3">
      <c r="A69" s="979" t="str">
        <f t="shared" si="4"/>
        <v>X</v>
      </c>
      <c r="B69" s="1025" t="s">
        <v>8538</v>
      </c>
      <c r="C69" s="1026"/>
      <c r="D69" s="1027"/>
      <c r="E69" s="1026">
        <f t="shared" si="5"/>
        <v>0</v>
      </c>
      <c r="F69" s="1028">
        <v>0.9</v>
      </c>
      <c r="G69" s="1026">
        <f t="shared" si="6"/>
        <v>0</v>
      </c>
      <c r="H69" s="1026"/>
      <c r="I69" s="1030">
        <f t="shared" si="7"/>
        <v>0</v>
      </c>
    </row>
    <row r="70" spans="1:9" x14ac:dyDescent="0.3">
      <c r="A70" s="979" t="str">
        <f t="shared" si="4"/>
        <v>X</v>
      </c>
      <c r="B70" s="1025" t="s">
        <v>8539</v>
      </c>
      <c r="C70" s="1026"/>
      <c r="D70" s="1027"/>
      <c r="E70" s="1026">
        <f t="shared" si="5"/>
        <v>0</v>
      </c>
      <c r="F70" s="1028">
        <v>0.9</v>
      </c>
      <c r="G70" s="1026">
        <f t="shared" si="6"/>
        <v>0</v>
      </c>
      <c r="H70" s="1026"/>
      <c r="I70" s="1030">
        <f t="shared" si="7"/>
        <v>0</v>
      </c>
    </row>
    <row r="71" spans="1:9" x14ac:dyDescent="0.3">
      <c r="A71" s="979" t="str">
        <f t="shared" si="4"/>
        <v>X</v>
      </c>
      <c r="B71" s="1025" t="s">
        <v>8540</v>
      </c>
      <c r="C71" s="1026"/>
      <c r="D71" s="1027"/>
      <c r="E71" s="1026">
        <f t="shared" si="5"/>
        <v>0</v>
      </c>
      <c r="F71" s="1028">
        <v>0.7</v>
      </c>
      <c r="G71" s="1026">
        <f t="shared" si="6"/>
        <v>0</v>
      </c>
      <c r="H71" s="1026"/>
      <c r="I71" s="1030">
        <f t="shared" si="7"/>
        <v>0</v>
      </c>
    </row>
    <row r="72" spans="1:9" x14ac:dyDescent="0.3">
      <c r="A72" s="979" t="str">
        <f t="shared" si="4"/>
        <v>X</v>
      </c>
      <c r="B72" s="1025" t="s">
        <v>8541</v>
      </c>
      <c r="C72" s="1026"/>
      <c r="D72" s="1027"/>
      <c r="E72" s="1026">
        <f t="shared" si="5"/>
        <v>0</v>
      </c>
      <c r="F72" s="1028">
        <v>0.75</v>
      </c>
      <c r="G72" s="1026">
        <f t="shared" si="6"/>
        <v>0</v>
      </c>
      <c r="H72" s="1026"/>
      <c r="I72" s="1030">
        <f t="shared" si="7"/>
        <v>0</v>
      </c>
    </row>
    <row r="73" spans="1:9" x14ac:dyDescent="0.3">
      <c r="A73" s="979" t="str">
        <f t="shared" si="4"/>
        <v>X</v>
      </c>
      <c r="B73" s="1025" t="s">
        <v>8542</v>
      </c>
      <c r="C73" s="1026"/>
      <c r="D73" s="1027"/>
      <c r="E73" s="1026">
        <f t="shared" si="5"/>
        <v>0</v>
      </c>
      <c r="F73" s="1028">
        <v>0.75</v>
      </c>
      <c r="G73" s="1026">
        <f t="shared" si="6"/>
        <v>0</v>
      </c>
      <c r="H73" s="1026"/>
      <c r="I73" s="1030">
        <f t="shared" si="7"/>
        <v>0</v>
      </c>
    </row>
    <row r="74" spans="1:9" x14ac:dyDescent="0.3">
      <c r="A74" s="979">
        <f t="shared" si="4"/>
        <v>1</v>
      </c>
      <c r="B74" s="1025" t="s">
        <v>8543</v>
      </c>
      <c r="C74" s="1026">
        <f>558.61+8.47</f>
        <v>567.08000000000004</v>
      </c>
      <c r="D74" s="1027">
        <v>1</v>
      </c>
      <c r="E74" s="1026">
        <f t="shared" si="5"/>
        <v>567.08000000000004</v>
      </c>
      <c r="F74" s="1028">
        <v>1</v>
      </c>
      <c r="G74" s="1026">
        <f t="shared" si="6"/>
        <v>567.08000000000004</v>
      </c>
      <c r="H74" s="1031"/>
      <c r="I74" s="1030">
        <f t="shared" si="7"/>
        <v>0</v>
      </c>
    </row>
    <row r="75" spans="1:9" x14ac:dyDescent="0.3">
      <c r="A75" s="979" t="str">
        <f t="shared" si="4"/>
        <v>X</v>
      </c>
      <c r="B75" s="1025" t="s">
        <v>8544</v>
      </c>
      <c r="C75" s="1026"/>
      <c r="D75" s="1027"/>
      <c r="E75" s="1026">
        <f t="shared" si="5"/>
        <v>0</v>
      </c>
      <c r="F75" s="1028">
        <v>0.75</v>
      </c>
      <c r="G75" s="1026">
        <f t="shared" si="6"/>
        <v>0</v>
      </c>
      <c r="H75" s="1026"/>
      <c r="I75" s="1030">
        <f t="shared" si="7"/>
        <v>0</v>
      </c>
    </row>
    <row r="76" spans="1:9" x14ac:dyDescent="0.3">
      <c r="A76" s="979" t="str">
        <f t="shared" si="4"/>
        <v>X</v>
      </c>
      <c r="B76" s="1025" t="s">
        <v>8545</v>
      </c>
      <c r="C76" s="1026"/>
      <c r="D76" s="1027"/>
      <c r="E76" s="1026">
        <f t="shared" si="5"/>
        <v>0</v>
      </c>
      <c r="F76" s="1028">
        <v>0.6</v>
      </c>
      <c r="G76" s="1026">
        <f t="shared" si="6"/>
        <v>0</v>
      </c>
      <c r="H76" s="1031"/>
      <c r="I76" s="1030">
        <f t="shared" si="7"/>
        <v>0</v>
      </c>
    </row>
    <row r="77" spans="1:9" x14ac:dyDescent="0.3">
      <c r="A77" s="979" t="str">
        <f t="shared" si="4"/>
        <v>X</v>
      </c>
      <c r="B77" s="1025" t="s">
        <v>8546</v>
      </c>
      <c r="C77" s="1026"/>
      <c r="D77" s="1027"/>
      <c r="E77" s="1026">
        <f t="shared" si="5"/>
        <v>0</v>
      </c>
      <c r="F77" s="1028">
        <v>0.5</v>
      </c>
      <c r="G77" s="1026">
        <f t="shared" si="6"/>
        <v>0</v>
      </c>
      <c r="H77" s="1026"/>
      <c r="I77" s="1030">
        <f t="shared" si="7"/>
        <v>0</v>
      </c>
    </row>
    <row r="78" spans="1:9" x14ac:dyDescent="0.3">
      <c r="A78" s="979" t="str">
        <f t="shared" si="4"/>
        <v>X</v>
      </c>
      <c r="B78" s="1025" t="s">
        <v>8547</v>
      </c>
      <c r="C78" s="1026"/>
      <c r="D78" s="1027"/>
      <c r="E78" s="1026">
        <f t="shared" si="5"/>
        <v>0</v>
      </c>
      <c r="F78" s="1028">
        <v>0.25</v>
      </c>
      <c r="G78" s="1026">
        <f t="shared" si="6"/>
        <v>0</v>
      </c>
      <c r="H78" s="1026"/>
      <c r="I78" s="1030">
        <f t="shared" si="7"/>
        <v>0</v>
      </c>
    </row>
    <row r="79" spans="1:9" x14ac:dyDescent="0.3">
      <c r="A79" s="979" t="str">
        <f t="shared" si="4"/>
        <v>X</v>
      </c>
      <c r="B79" s="1025" t="s">
        <v>8548</v>
      </c>
      <c r="C79" s="1026"/>
      <c r="D79" s="1027"/>
      <c r="E79" s="1026">
        <f t="shared" si="5"/>
        <v>0</v>
      </c>
      <c r="F79" s="1028">
        <v>0.3</v>
      </c>
      <c r="G79" s="1026">
        <f t="shared" si="6"/>
        <v>0</v>
      </c>
      <c r="H79" s="1026"/>
      <c r="I79" s="1030">
        <f t="shared" si="7"/>
        <v>0</v>
      </c>
    </row>
    <row r="80" spans="1:9" x14ac:dyDescent="0.3">
      <c r="A80" s="979" t="str">
        <f t="shared" si="4"/>
        <v>X</v>
      </c>
      <c r="B80" s="1025" t="s">
        <v>8549</v>
      </c>
      <c r="C80" s="1026"/>
      <c r="D80" s="1027"/>
      <c r="E80" s="1026">
        <f t="shared" si="5"/>
        <v>0</v>
      </c>
      <c r="F80" s="1028">
        <v>0.25</v>
      </c>
      <c r="G80" s="1026">
        <f t="shared" si="6"/>
        <v>0</v>
      </c>
      <c r="H80" s="1026"/>
      <c r="I80" s="1030">
        <f t="shared" si="7"/>
        <v>0</v>
      </c>
    </row>
    <row r="81" spans="1:9" x14ac:dyDescent="0.3">
      <c r="A81" s="979" t="str">
        <f t="shared" si="4"/>
        <v>X</v>
      </c>
      <c r="B81" s="1025" t="s">
        <v>8550</v>
      </c>
      <c r="C81" s="1026"/>
      <c r="D81" s="1027"/>
      <c r="E81" s="1026">
        <f t="shared" si="5"/>
        <v>0</v>
      </c>
      <c r="F81" s="1028">
        <v>1</v>
      </c>
      <c r="G81" s="1026">
        <f t="shared" si="6"/>
        <v>0</v>
      </c>
      <c r="H81" s="1026"/>
      <c r="I81" s="1030">
        <f t="shared" si="7"/>
        <v>0</v>
      </c>
    </row>
    <row r="82" spans="1:9" x14ac:dyDescent="0.3">
      <c r="A82" s="979" t="str">
        <f t="shared" si="4"/>
        <v>X</v>
      </c>
      <c r="B82" s="1025" t="s">
        <v>8551</v>
      </c>
      <c r="C82" s="1026"/>
      <c r="D82" s="1027"/>
      <c r="E82" s="1026">
        <f t="shared" si="5"/>
        <v>0</v>
      </c>
      <c r="F82" s="1028">
        <v>0.5</v>
      </c>
      <c r="G82" s="1026">
        <f t="shared" si="6"/>
        <v>0</v>
      </c>
      <c r="H82" s="1026"/>
      <c r="I82" s="1030">
        <f t="shared" si="7"/>
        <v>0</v>
      </c>
    </row>
    <row r="83" spans="1:9" x14ac:dyDescent="0.3">
      <c r="A83" s="979" t="str">
        <f t="shared" si="4"/>
        <v>X</v>
      </c>
      <c r="B83" s="1025" t="s">
        <v>8552</v>
      </c>
      <c r="C83" s="1026"/>
      <c r="D83" s="1027"/>
      <c r="E83" s="1026">
        <f t="shared" si="5"/>
        <v>0</v>
      </c>
      <c r="F83" s="1028">
        <v>1</v>
      </c>
      <c r="G83" s="1026">
        <f t="shared" si="6"/>
        <v>0</v>
      </c>
      <c r="H83" s="1026"/>
      <c r="I83" s="1030">
        <f t="shared" si="7"/>
        <v>0</v>
      </c>
    </row>
    <row r="84" spans="1:9" x14ac:dyDescent="0.3">
      <c r="A84" s="979" t="str">
        <f t="shared" si="4"/>
        <v>X</v>
      </c>
      <c r="B84" s="1025" t="s">
        <v>8553</v>
      </c>
      <c r="C84" s="1026"/>
      <c r="D84" s="1027"/>
      <c r="E84" s="1026">
        <f t="shared" si="5"/>
        <v>0</v>
      </c>
      <c r="F84" s="1028">
        <v>0.5</v>
      </c>
      <c r="G84" s="1026">
        <f t="shared" si="6"/>
        <v>0</v>
      </c>
      <c r="H84" s="1026"/>
      <c r="I84" s="1030">
        <f t="shared" si="7"/>
        <v>0</v>
      </c>
    </row>
    <row r="85" spans="1:9" x14ac:dyDescent="0.3">
      <c r="A85" s="979" t="str">
        <f t="shared" si="4"/>
        <v>X</v>
      </c>
      <c r="B85" s="1025" t="s">
        <v>8554</v>
      </c>
      <c r="C85" s="1026"/>
      <c r="D85" s="1027"/>
      <c r="E85" s="1026">
        <f t="shared" si="5"/>
        <v>0</v>
      </c>
      <c r="F85" s="1028">
        <v>0.5</v>
      </c>
      <c r="G85" s="1026">
        <f t="shared" si="6"/>
        <v>0</v>
      </c>
      <c r="H85" s="1026"/>
      <c r="I85" s="1030">
        <f t="shared" si="7"/>
        <v>0</v>
      </c>
    </row>
    <row r="86" spans="1:9" x14ac:dyDescent="0.3">
      <c r="A86" s="979" t="str">
        <f t="shared" si="4"/>
        <v>X</v>
      </c>
      <c r="B86" s="1025" t="s">
        <v>8555</v>
      </c>
      <c r="C86" s="1026"/>
      <c r="D86" s="1027"/>
      <c r="E86" s="1026">
        <f t="shared" si="5"/>
        <v>0</v>
      </c>
      <c r="F86" s="1028">
        <v>1</v>
      </c>
      <c r="G86" s="1026">
        <f t="shared" si="6"/>
        <v>0</v>
      </c>
      <c r="H86" s="1031">
        <v>0</v>
      </c>
      <c r="I86" s="1030">
        <f t="shared" si="7"/>
        <v>0</v>
      </c>
    </row>
    <row r="87" spans="1:9" x14ac:dyDescent="0.3">
      <c r="A87" s="979" t="str">
        <f t="shared" si="4"/>
        <v>X</v>
      </c>
      <c r="B87" s="1025" t="s">
        <v>8556</v>
      </c>
      <c r="C87" s="1026"/>
      <c r="D87" s="1027"/>
      <c r="E87" s="1026">
        <f t="shared" si="5"/>
        <v>0</v>
      </c>
      <c r="F87" s="1028">
        <v>0.35</v>
      </c>
      <c r="G87" s="1026">
        <f t="shared" si="6"/>
        <v>0</v>
      </c>
      <c r="H87" s="1031">
        <v>0</v>
      </c>
      <c r="I87" s="1030">
        <f t="shared" si="7"/>
        <v>0</v>
      </c>
    </row>
    <row r="88" spans="1:9" x14ac:dyDescent="0.3">
      <c r="A88" s="979" t="str">
        <f t="shared" si="4"/>
        <v>X</v>
      </c>
      <c r="B88" s="1025" t="s">
        <v>8557</v>
      </c>
      <c r="C88" s="1026"/>
      <c r="D88" s="1027"/>
      <c r="E88" s="1026">
        <f t="shared" si="5"/>
        <v>0</v>
      </c>
      <c r="F88" s="1028">
        <v>0.75</v>
      </c>
      <c r="G88" s="1026">
        <f t="shared" si="6"/>
        <v>0</v>
      </c>
      <c r="H88" s="1026"/>
      <c r="I88" s="1030">
        <f t="shared" si="7"/>
        <v>0</v>
      </c>
    </row>
    <row r="89" spans="1:9" x14ac:dyDescent="0.3">
      <c r="A89" s="979" t="str">
        <f t="shared" si="4"/>
        <v>X</v>
      </c>
      <c r="B89" s="1025" t="s">
        <v>8558</v>
      </c>
      <c r="C89" s="1026"/>
      <c r="D89" s="1027"/>
      <c r="E89" s="1026">
        <f t="shared" si="5"/>
        <v>0</v>
      </c>
      <c r="F89" s="1028">
        <v>0.6</v>
      </c>
      <c r="G89" s="1026">
        <f t="shared" si="6"/>
        <v>0</v>
      </c>
      <c r="H89" s="1026"/>
      <c r="I89" s="1030">
        <f t="shared" si="7"/>
        <v>0</v>
      </c>
    </row>
    <row r="90" spans="1:9" x14ac:dyDescent="0.3">
      <c r="A90" s="979" t="str">
        <f t="shared" si="4"/>
        <v>X</v>
      </c>
      <c r="B90" s="1025" t="s">
        <v>8559</v>
      </c>
      <c r="C90" s="1026"/>
      <c r="D90" s="1027"/>
      <c r="E90" s="1026">
        <f t="shared" si="5"/>
        <v>0</v>
      </c>
      <c r="F90" s="1028">
        <v>0.5</v>
      </c>
      <c r="G90" s="1026">
        <f t="shared" si="6"/>
        <v>0</v>
      </c>
      <c r="H90" s="1026"/>
      <c r="I90" s="1030">
        <f t="shared" si="7"/>
        <v>0</v>
      </c>
    </row>
    <row r="91" spans="1:9" x14ac:dyDescent="0.3">
      <c r="A91" s="979" t="str">
        <f t="shared" si="4"/>
        <v>X</v>
      </c>
      <c r="B91" s="1025" t="s">
        <v>8560</v>
      </c>
      <c r="C91" s="1026"/>
      <c r="D91" s="1027"/>
      <c r="E91" s="1026">
        <f t="shared" si="5"/>
        <v>0</v>
      </c>
      <c r="F91" s="1028">
        <v>1</v>
      </c>
      <c r="G91" s="1026">
        <f t="shared" si="6"/>
        <v>0</v>
      </c>
      <c r="H91" s="1026"/>
      <c r="I91" s="1030">
        <f t="shared" si="7"/>
        <v>0</v>
      </c>
    </row>
    <row r="92" spans="1:9" x14ac:dyDescent="0.3">
      <c r="A92" s="979" t="str">
        <f t="shared" si="4"/>
        <v>X</v>
      </c>
      <c r="B92" s="1025" t="s">
        <v>8561</v>
      </c>
      <c r="C92" s="1026"/>
      <c r="D92" s="1027"/>
      <c r="E92" s="1026">
        <f t="shared" si="5"/>
        <v>0</v>
      </c>
      <c r="F92" s="1028">
        <v>0.6</v>
      </c>
      <c r="G92" s="1026">
        <f t="shared" si="6"/>
        <v>0</v>
      </c>
      <c r="H92" s="1026"/>
      <c r="I92" s="1030">
        <f t="shared" si="7"/>
        <v>0</v>
      </c>
    </row>
    <row r="93" spans="1:9" x14ac:dyDescent="0.3">
      <c r="A93" s="979" t="str">
        <f t="shared" si="4"/>
        <v>X</v>
      </c>
      <c r="B93" s="1025" t="s">
        <v>8562</v>
      </c>
      <c r="C93" s="1026"/>
      <c r="D93" s="1027"/>
      <c r="E93" s="1026">
        <f t="shared" si="5"/>
        <v>0</v>
      </c>
      <c r="F93" s="1028">
        <v>0.5</v>
      </c>
      <c r="G93" s="1026">
        <f t="shared" si="6"/>
        <v>0</v>
      </c>
      <c r="H93" s="1031">
        <v>0</v>
      </c>
      <c r="I93" s="1030">
        <f t="shared" si="7"/>
        <v>0</v>
      </c>
    </row>
    <row r="94" spans="1:9" x14ac:dyDescent="0.3">
      <c r="A94" s="979" t="str">
        <f t="shared" si="4"/>
        <v>X</v>
      </c>
      <c r="B94" s="1025" t="s">
        <v>8563</v>
      </c>
      <c r="C94" s="1026"/>
      <c r="D94" s="1027"/>
      <c r="E94" s="1026">
        <f t="shared" si="5"/>
        <v>0</v>
      </c>
      <c r="F94" s="1028">
        <v>0.5</v>
      </c>
      <c r="G94" s="1026">
        <f t="shared" si="6"/>
        <v>0</v>
      </c>
      <c r="H94" s="1031">
        <v>0</v>
      </c>
      <c r="I94" s="1030">
        <f t="shared" si="7"/>
        <v>0</v>
      </c>
    </row>
    <row r="95" spans="1:9" x14ac:dyDescent="0.3">
      <c r="A95" s="979" t="str">
        <f t="shared" si="4"/>
        <v>X</v>
      </c>
      <c r="B95" s="1025" t="s">
        <v>8564</v>
      </c>
      <c r="C95" s="1026"/>
      <c r="D95" s="1027"/>
      <c r="E95" s="1026">
        <f t="shared" si="5"/>
        <v>0</v>
      </c>
      <c r="F95" s="1028">
        <v>0.25</v>
      </c>
      <c r="G95" s="1026">
        <f t="shared" si="6"/>
        <v>0</v>
      </c>
      <c r="H95" s="1026"/>
      <c r="I95" s="1030">
        <f t="shared" si="7"/>
        <v>0</v>
      </c>
    </row>
    <row r="96" spans="1:9" x14ac:dyDescent="0.3">
      <c r="A96" s="979" t="str">
        <f t="shared" si="4"/>
        <v>X</v>
      </c>
      <c r="B96" s="1025" t="s">
        <v>8565</v>
      </c>
      <c r="C96" s="1026"/>
      <c r="D96" s="1027"/>
      <c r="E96" s="1026">
        <f t="shared" si="5"/>
        <v>0</v>
      </c>
      <c r="F96" s="1028">
        <v>0.5</v>
      </c>
      <c r="G96" s="1026">
        <f t="shared" si="6"/>
        <v>0</v>
      </c>
      <c r="H96" s="1026"/>
      <c r="I96" s="1030">
        <f t="shared" si="7"/>
        <v>0</v>
      </c>
    </row>
    <row r="97" spans="1:9" x14ac:dyDescent="0.3">
      <c r="A97" s="979" t="str">
        <f t="shared" si="4"/>
        <v>X</v>
      </c>
      <c r="B97" s="1025" t="s">
        <v>8566</v>
      </c>
      <c r="C97" s="1026"/>
      <c r="D97" s="1027"/>
      <c r="E97" s="1026">
        <f t="shared" si="5"/>
        <v>0</v>
      </c>
      <c r="F97" s="1028">
        <v>0.7</v>
      </c>
      <c r="G97" s="1026">
        <f t="shared" si="6"/>
        <v>0</v>
      </c>
      <c r="H97" s="1026"/>
      <c r="I97" s="1030">
        <f t="shared" si="7"/>
        <v>0</v>
      </c>
    </row>
    <row r="98" spans="1:9" x14ac:dyDescent="0.3">
      <c r="A98" s="979" t="str">
        <f t="shared" si="4"/>
        <v>X</v>
      </c>
      <c r="B98" s="1025" t="s">
        <v>8567</v>
      </c>
      <c r="C98" s="1026"/>
      <c r="D98" s="1027"/>
      <c r="E98" s="1026">
        <f t="shared" si="5"/>
        <v>0</v>
      </c>
      <c r="F98" s="1028">
        <v>1</v>
      </c>
      <c r="G98" s="1026">
        <f t="shared" si="6"/>
        <v>0</v>
      </c>
      <c r="H98" s="1031">
        <v>0</v>
      </c>
      <c r="I98" s="1030">
        <f t="shared" si="7"/>
        <v>0</v>
      </c>
    </row>
    <row r="99" spans="1:9" x14ac:dyDescent="0.3">
      <c r="A99" s="979" t="str">
        <f t="shared" si="4"/>
        <v>X</v>
      </c>
      <c r="B99" s="1025" t="s">
        <v>8568</v>
      </c>
      <c r="C99" s="1026"/>
      <c r="D99" s="1027"/>
      <c r="E99" s="1026">
        <f t="shared" si="5"/>
        <v>0</v>
      </c>
      <c r="F99" s="1028">
        <v>0.75</v>
      </c>
      <c r="G99" s="1026">
        <f t="shared" si="6"/>
        <v>0</v>
      </c>
      <c r="H99" s="1031">
        <v>0</v>
      </c>
      <c r="I99" s="1030">
        <f t="shared" si="7"/>
        <v>0</v>
      </c>
    </row>
    <row r="100" spans="1:9" x14ac:dyDescent="0.3">
      <c r="A100" s="979" t="str">
        <f t="shared" si="4"/>
        <v>X</v>
      </c>
      <c r="B100" s="1025" t="s">
        <v>8569</v>
      </c>
      <c r="C100" s="1026"/>
      <c r="D100" s="1027"/>
      <c r="E100" s="1026">
        <f t="shared" si="5"/>
        <v>0</v>
      </c>
      <c r="F100" s="1028">
        <v>0.5</v>
      </c>
      <c r="G100" s="1026">
        <f t="shared" si="6"/>
        <v>0</v>
      </c>
      <c r="H100" s="1031">
        <v>0</v>
      </c>
      <c r="I100" s="1030">
        <f t="shared" si="7"/>
        <v>0</v>
      </c>
    </row>
    <row r="101" spans="1:9" x14ac:dyDescent="0.3">
      <c r="A101" s="979">
        <f t="shared" si="4"/>
        <v>1</v>
      </c>
      <c r="B101" s="1025" t="s">
        <v>8586</v>
      </c>
      <c r="C101" s="1026">
        <v>916.88</v>
      </c>
      <c r="D101" s="1027">
        <v>1</v>
      </c>
      <c r="E101" s="1026">
        <f t="shared" si="5"/>
        <v>916.88</v>
      </c>
      <c r="F101" s="1028">
        <v>1</v>
      </c>
      <c r="G101" s="1026">
        <f t="shared" si="6"/>
        <v>916.88</v>
      </c>
      <c r="H101" s="1026">
        <v>587.16999999999996</v>
      </c>
      <c r="I101" s="1030">
        <f t="shared" si="7"/>
        <v>587.16999999999996</v>
      </c>
    </row>
    <row r="102" spans="1:9" x14ac:dyDescent="0.3">
      <c r="A102" s="979">
        <f t="shared" si="4"/>
        <v>1</v>
      </c>
      <c r="B102" s="1025" t="s">
        <v>8571</v>
      </c>
      <c r="C102" s="1026">
        <v>542.59</v>
      </c>
      <c r="D102" s="1027">
        <v>1</v>
      </c>
      <c r="E102" s="1026">
        <f t="shared" si="5"/>
        <v>542.59</v>
      </c>
      <c r="F102" s="1028">
        <v>1</v>
      </c>
      <c r="G102" s="1026">
        <f t="shared" si="6"/>
        <v>542.59</v>
      </c>
      <c r="H102" s="1026"/>
      <c r="I102" s="1030">
        <f t="shared" si="7"/>
        <v>0</v>
      </c>
    </row>
    <row r="103" spans="1:9" x14ac:dyDescent="0.3">
      <c r="A103" s="979">
        <f t="shared" si="4"/>
        <v>1</v>
      </c>
      <c r="B103" s="1025" t="s">
        <v>8572</v>
      </c>
      <c r="C103" s="1026">
        <v>630.22</v>
      </c>
      <c r="D103" s="1027">
        <v>7</v>
      </c>
      <c r="E103" s="1026">
        <f t="shared" si="5"/>
        <v>4411.54</v>
      </c>
      <c r="F103" s="1028">
        <v>1</v>
      </c>
      <c r="G103" s="1026">
        <f t="shared" si="6"/>
        <v>4411.54</v>
      </c>
      <c r="H103" s="1026">
        <v>412.16</v>
      </c>
      <c r="I103" s="1030">
        <f t="shared" si="7"/>
        <v>2885.1200000000003</v>
      </c>
    </row>
    <row r="104" spans="1:9" x14ac:dyDescent="0.3">
      <c r="A104" s="979">
        <f t="shared" si="4"/>
        <v>1</v>
      </c>
      <c r="B104" s="1025" t="s">
        <v>8573</v>
      </c>
      <c r="C104" s="1026">
        <v>630.22</v>
      </c>
      <c r="D104" s="1027">
        <v>1</v>
      </c>
      <c r="E104" s="1026">
        <f t="shared" si="5"/>
        <v>630.22</v>
      </c>
      <c r="F104" s="1028">
        <v>1</v>
      </c>
      <c r="G104" s="1026">
        <f t="shared" si="6"/>
        <v>630.22</v>
      </c>
      <c r="H104" s="1026">
        <v>412.44</v>
      </c>
      <c r="I104" s="1030">
        <f t="shared" si="7"/>
        <v>412.44</v>
      </c>
    </row>
    <row r="105" spans="1:9" x14ac:dyDescent="0.3">
      <c r="A105" s="979">
        <f t="shared" si="4"/>
        <v>1</v>
      </c>
      <c r="B105" s="1025" t="s">
        <v>8574</v>
      </c>
      <c r="C105" s="1026">
        <v>630.22</v>
      </c>
      <c r="D105" s="1027">
        <v>1</v>
      </c>
      <c r="E105" s="1026">
        <f t="shared" si="5"/>
        <v>630.22</v>
      </c>
      <c r="F105" s="1028">
        <v>1</v>
      </c>
      <c r="G105" s="1026">
        <f t="shared" si="6"/>
        <v>630.22</v>
      </c>
      <c r="H105" s="1026"/>
      <c r="I105" s="1030">
        <f t="shared" si="7"/>
        <v>0</v>
      </c>
    </row>
    <row r="106" spans="1:9" x14ac:dyDescent="0.3">
      <c r="A106" s="979">
        <f t="shared" si="4"/>
        <v>1</v>
      </c>
      <c r="B106" s="1025" t="s">
        <v>8575</v>
      </c>
      <c r="C106" s="1026">
        <v>630.22</v>
      </c>
      <c r="D106" s="1027">
        <v>1</v>
      </c>
      <c r="E106" s="1026">
        <f t="shared" si="5"/>
        <v>630.22</v>
      </c>
      <c r="F106" s="1028">
        <v>1</v>
      </c>
      <c r="G106" s="1026">
        <f t="shared" si="6"/>
        <v>630.22</v>
      </c>
      <c r="H106" s="1026">
        <v>444.1</v>
      </c>
      <c r="I106" s="1030">
        <f t="shared" si="7"/>
        <v>444.1</v>
      </c>
    </row>
    <row r="107" spans="1:9" x14ac:dyDescent="0.3">
      <c r="A107" s="979">
        <f t="shared" si="4"/>
        <v>1</v>
      </c>
      <c r="B107" s="1025" t="s">
        <v>8576</v>
      </c>
      <c r="C107" s="1026">
        <v>630.22</v>
      </c>
      <c r="D107" s="1027">
        <v>12</v>
      </c>
      <c r="E107" s="1026">
        <f t="shared" si="5"/>
        <v>7562.64</v>
      </c>
      <c r="F107" s="1028">
        <v>1</v>
      </c>
      <c r="G107" s="1026">
        <f t="shared" si="6"/>
        <v>7562.64</v>
      </c>
      <c r="H107" s="1026">
        <v>462.86</v>
      </c>
      <c r="I107" s="1030">
        <f t="shared" si="7"/>
        <v>5554.32</v>
      </c>
    </row>
    <row r="108" spans="1:9" x14ac:dyDescent="0.3">
      <c r="A108" s="979">
        <f t="shared" si="4"/>
        <v>1</v>
      </c>
      <c r="B108" s="1025" t="s">
        <v>8587</v>
      </c>
      <c r="C108" s="1026">
        <v>474.88</v>
      </c>
      <c r="D108" s="1027">
        <v>1</v>
      </c>
      <c r="E108" s="1026">
        <f t="shared" si="5"/>
        <v>474.88</v>
      </c>
      <c r="F108" s="1028">
        <v>0.25</v>
      </c>
      <c r="G108" s="1026">
        <f t="shared" si="6"/>
        <v>118.72</v>
      </c>
      <c r="H108" s="1026"/>
      <c r="I108" s="1030">
        <f t="shared" si="7"/>
        <v>0</v>
      </c>
    </row>
    <row r="109" spans="1:9" x14ac:dyDescent="0.3">
      <c r="A109" s="979">
        <f t="shared" si="4"/>
        <v>1</v>
      </c>
      <c r="B109" s="1025" t="s">
        <v>8578</v>
      </c>
      <c r="C109" s="1026">
        <v>630.22</v>
      </c>
      <c r="D109" s="1027">
        <v>1</v>
      </c>
      <c r="E109" s="1026">
        <f t="shared" si="5"/>
        <v>630.22</v>
      </c>
      <c r="F109" s="1028">
        <v>1</v>
      </c>
      <c r="G109" s="1026">
        <f t="shared" si="6"/>
        <v>630.22</v>
      </c>
      <c r="H109" s="1026">
        <v>461.94</v>
      </c>
      <c r="I109" s="1030">
        <f t="shared" si="7"/>
        <v>461.94</v>
      </c>
    </row>
    <row r="110" spans="1:9" x14ac:dyDescent="0.3">
      <c r="A110" s="979" t="str">
        <f t="shared" si="4"/>
        <v>X</v>
      </c>
      <c r="B110" s="1025" t="s">
        <v>8579</v>
      </c>
      <c r="C110" s="1026"/>
      <c r="D110" s="1027"/>
      <c r="E110" s="1026">
        <f t="shared" si="5"/>
        <v>0</v>
      </c>
      <c r="F110" s="1028">
        <v>1</v>
      </c>
      <c r="G110" s="1026">
        <f t="shared" si="6"/>
        <v>0</v>
      </c>
      <c r="H110" s="1026"/>
      <c r="I110" s="1030">
        <f t="shared" si="7"/>
        <v>0</v>
      </c>
    </row>
    <row r="111" spans="1:9" x14ac:dyDescent="0.3">
      <c r="A111" s="979" t="str">
        <f t="shared" si="4"/>
        <v>X</v>
      </c>
      <c r="B111" s="1025" t="s">
        <v>8580</v>
      </c>
      <c r="C111" s="1026"/>
      <c r="D111" s="1027"/>
      <c r="E111" s="1026">
        <f t="shared" si="5"/>
        <v>0</v>
      </c>
      <c r="F111" s="1028">
        <v>0.5</v>
      </c>
      <c r="G111" s="1026">
        <f t="shared" si="6"/>
        <v>0</v>
      </c>
      <c r="H111" s="1026"/>
      <c r="I111" s="1030">
        <f t="shared" si="7"/>
        <v>0</v>
      </c>
    </row>
    <row r="112" spans="1:9" x14ac:dyDescent="0.3">
      <c r="A112" s="979">
        <f t="shared" si="4"/>
        <v>1</v>
      </c>
      <c r="B112" s="1025" t="s">
        <v>8581</v>
      </c>
      <c r="C112" s="1026">
        <v>630.38</v>
      </c>
      <c r="D112" s="1027">
        <v>1</v>
      </c>
      <c r="E112" s="1026">
        <f t="shared" si="5"/>
        <v>630.38</v>
      </c>
      <c r="F112" s="1028">
        <v>1</v>
      </c>
      <c r="G112" s="1026">
        <f t="shared" si="6"/>
        <v>630.38</v>
      </c>
      <c r="H112" s="1026"/>
      <c r="I112" s="1030">
        <f t="shared" si="7"/>
        <v>0</v>
      </c>
    </row>
    <row r="113" spans="1:9" x14ac:dyDescent="0.3">
      <c r="A113" s="979">
        <f t="shared" si="4"/>
        <v>1</v>
      </c>
      <c r="B113" s="1025" t="s">
        <v>8582</v>
      </c>
      <c r="C113" s="1026">
        <v>70.930000000000007</v>
      </c>
      <c r="D113" s="1027">
        <v>1</v>
      </c>
      <c r="E113" s="1026">
        <f t="shared" si="5"/>
        <v>70.930000000000007</v>
      </c>
      <c r="F113" s="1028">
        <v>1</v>
      </c>
      <c r="G113" s="1026">
        <f t="shared" si="6"/>
        <v>70.930000000000007</v>
      </c>
      <c r="H113" s="1026"/>
      <c r="I113" s="1030">
        <f t="shared" si="7"/>
        <v>0</v>
      </c>
    </row>
    <row r="114" spans="1:9" ht="15" thickBot="1" x14ac:dyDescent="0.35">
      <c r="A114" s="979">
        <f t="shared" si="4"/>
        <v>1</v>
      </c>
      <c r="B114" s="1025" t="s">
        <v>8583</v>
      </c>
      <c r="C114" s="1026">
        <v>549.41</v>
      </c>
      <c r="D114" s="1027">
        <v>1</v>
      </c>
      <c r="E114" s="1026">
        <f t="shared" si="5"/>
        <v>549.41</v>
      </c>
      <c r="F114" s="1028">
        <v>0.25</v>
      </c>
      <c r="G114" s="1032">
        <f t="shared" si="6"/>
        <v>137.35249999999999</v>
      </c>
      <c r="H114" s="1032"/>
      <c r="I114" s="1030">
        <f t="shared" si="7"/>
        <v>0</v>
      </c>
    </row>
    <row r="115" spans="1:9" ht="15.6" thickTop="1" thickBot="1" x14ac:dyDescent="0.35">
      <c r="A115" s="979">
        <f>IF(E115&gt;0,1,"X")</f>
        <v>1</v>
      </c>
      <c r="B115" s="1033" t="s">
        <v>8588</v>
      </c>
      <c r="C115" s="1033"/>
      <c r="D115" s="1034"/>
      <c r="E115" s="1035">
        <f>SUM(E65:E114)</f>
        <v>18247.21</v>
      </c>
      <c r="F115" s="1036"/>
      <c r="G115" s="1035">
        <f>SUM(G65:G114)</f>
        <v>17478.9925</v>
      </c>
      <c r="H115" s="1036"/>
      <c r="I115" s="1035">
        <f>SUM(I65:I114)</f>
        <v>10345.090000000002</v>
      </c>
    </row>
    <row r="116" spans="1:9" ht="15" thickBot="1" x14ac:dyDescent="0.35">
      <c r="A116" s="979"/>
      <c r="B116" s="1037"/>
      <c r="C116" s="1038"/>
      <c r="D116" s="1039"/>
      <c r="E116" s="1040"/>
      <c r="F116" s="1041"/>
      <c r="G116" s="1040"/>
      <c r="H116" s="1040"/>
      <c r="I116" s="1040"/>
    </row>
    <row r="117" spans="1:9" ht="15.6" thickTop="1" thickBot="1" x14ac:dyDescent="0.35">
      <c r="A117" s="979">
        <f>IF(E117&gt;0,1,"X")</f>
        <v>1</v>
      </c>
      <c r="B117" s="1033" t="s">
        <v>8589</v>
      </c>
      <c r="C117" s="1033"/>
      <c r="D117" s="1034"/>
      <c r="E117" s="1035">
        <f>E115+E62</f>
        <v>51968.72</v>
      </c>
      <c r="F117" s="1036"/>
      <c r="G117" s="1035">
        <f>G115+G62</f>
        <v>48946.514999999999</v>
      </c>
      <c r="H117" s="1036"/>
      <c r="I117" s="1035">
        <f>I115+I62</f>
        <v>21878.890000000003</v>
      </c>
    </row>
    <row r="118" spans="1:9" x14ac:dyDescent="0.3">
      <c r="A118" s="979"/>
      <c r="B118" s="1037"/>
      <c r="C118" s="1038"/>
      <c r="D118" s="1039"/>
      <c r="E118" s="1040"/>
      <c r="F118" s="1041"/>
      <c r="G118" s="1040"/>
      <c r="H118" s="1040"/>
      <c r="I118" s="1040"/>
    </row>
    <row r="119" spans="1:9" x14ac:dyDescent="0.3">
      <c r="A119" s="979"/>
      <c r="B119" s="1037"/>
      <c r="C119" s="1038"/>
      <c r="D119" s="1039"/>
      <c r="E119" s="1040"/>
      <c r="F119" s="1144" t="s">
        <v>8590</v>
      </c>
      <c r="G119" s="1144"/>
      <c r="H119" s="1144"/>
      <c r="I119" s="1144"/>
    </row>
    <row r="120" spans="1:9" x14ac:dyDescent="0.3">
      <c r="A120" s="979"/>
      <c r="B120" s="1037"/>
      <c r="C120" s="1038"/>
      <c r="D120" s="1039"/>
      <c r="E120" s="1040"/>
      <c r="F120" s="1145" t="s">
        <v>8591</v>
      </c>
      <c r="G120" s="1145"/>
      <c r="H120" s="1145"/>
      <c r="I120" s="1042">
        <f>I117/E117</f>
        <v>0.42100113298922898</v>
      </c>
    </row>
    <row r="121" spans="1:9" x14ac:dyDescent="0.3">
      <c r="A121" s="979"/>
      <c r="B121" s="1037"/>
      <c r="C121" s="1038"/>
      <c r="D121" s="1039"/>
      <c r="E121" s="1040"/>
      <c r="F121" s="1145" t="s">
        <v>8592</v>
      </c>
      <c r="G121" s="1145"/>
      <c r="H121" s="1145"/>
      <c r="I121" s="1042">
        <f>I117/G117</f>
        <v>0.44699586885807913</v>
      </c>
    </row>
    <row r="122" spans="1:9" x14ac:dyDescent="0.3">
      <c r="A122" s="979"/>
      <c r="B122" s="1037"/>
      <c r="C122" s="1038"/>
      <c r="D122" s="1039"/>
      <c r="E122" s="1040"/>
      <c r="F122" s="1145" t="s">
        <v>8593</v>
      </c>
      <c r="G122" s="1145"/>
      <c r="H122" s="1145"/>
      <c r="I122" s="1042"/>
    </row>
  </sheetData>
  <autoFilter ref="A9:A117" xr:uid="{00000000-0009-0000-0000-000002000000}"/>
  <mergeCells count="5">
    <mergeCell ref="B5:G5"/>
    <mergeCell ref="F119:I119"/>
    <mergeCell ref="F120:H120"/>
    <mergeCell ref="F121:H121"/>
    <mergeCell ref="F122:H122"/>
  </mergeCells>
  <pageMargins left="0.51181102362204722" right="0.51181102362204722" top="0.78740157480314965" bottom="0.78740157480314965" header="0.31496062992125984" footer="0.31496062992125984"/>
  <pageSetup paperSize="9" scale="58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E90A0-30CA-461C-9F99-5951C223592C}">
  <sheetPr>
    <tabColor theme="0" tint="-0.14999847407452621"/>
    <pageSetUpPr fitToPage="1"/>
  </sheetPr>
  <dimension ref="A1:XFD1368"/>
  <sheetViews>
    <sheetView showGridLines="0" topLeftCell="A668" zoomScale="115" zoomScaleNormal="115" zoomScaleSheetLayoutView="85" workbookViewId="0">
      <selection activeCell="L561" sqref="L561"/>
    </sheetView>
  </sheetViews>
  <sheetFormatPr defaultColWidth="9.109375" defaultRowHeight="13.8" outlineLevelRow="1" outlineLevelCol="1" x14ac:dyDescent="0.3"/>
  <cols>
    <col min="1" max="1" width="3" style="290" customWidth="1" outlineLevel="1"/>
    <col min="2" max="2" width="1.33203125" style="39" customWidth="1"/>
    <col min="3" max="3" width="6.5546875" style="39" customWidth="1"/>
    <col min="4" max="4" width="10" style="39" customWidth="1"/>
    <col min="5" max="5" width="71.77734375" style="385" customWidth="1"/>
    <col min="6" max="6" width="10" style="9" hidden="1" customWidth="1" outlineLevel="1"/>
    <col min="7" max="7" width="6.33203125" style="640" customWidth="1" collapsed="1"/>
    <col min="8" max="8" width="12.88671875" style="646" customWidth="1"/>
    <col min="9" max="9" width="10.33203125" style="551" customWidth="1"/>
    <col min="10" max="10" width="14.21875" style="43" customWidth="1"/>
    <col min="11" max="11" width="15.5546875" style="43" hidden="1" customWidth="1" outlineLevel="1"/>
    <col min="12" max="12" width="20.5546875" style="43" customWidth="1" collapsed="1"/>
    <col min="13" max="13" width="7.109375" style="150" customWidth="1"/>
    <col min="14" max="14" width="17" style="13" hidden="1" customWidth="1" outlineLevel="1"/>
    <col min="15" max="15" width="17.88671875" style="13" hidden="1" customWidth="1" outlineLevel="1"/>
    <col min="16" max="16" width="16" style="13" hidden="1" customWidth="1" outlineLevel="1"/>
    <col min="17" max="17" width="1.44140625" style="13" hidden="1" customWidth="1" collapsed="1"/>
    <col min="18" max="18" width="15.6640625" style="13" customWidth="1"/>
    <col min="19" max="20" width="13.5546875" style="13" customWidth="1"/>
    <col min="21" max="21" width="12.44140625" style="13" bestFit="1" customWidth="1"/>
    <col min="22" max="22" width="14.44140625" style="13" bestFit="1" customWidth="1"/>
    <col min="23" max="16384" width="9.109375" style="13"/>
  </cols>
  <sheetData>
    <row r="1" spans="1:18" ht="15" customHeight="1" x14ac:dyDescent="0.3">
      <c r="B1" s="772"/>
      <c r="C1" s="772"/>
      <c r="D1" s="773"/>
      <c r="E1" s="1146" t="s">
        <v>1263</v>
      </c>
      <c r="F1" s="1146"/>
      <c r="G1" s="1146"/>
      <c r="H1" s="1146"/>
      <c r="I1" s="1146"/>
      <c r="J1" s="1146"/>
      <c r="K1" s="774" t="s">
        <v>1155</v>
      </c>
      <c r="L1" s="781" t="s">
        <v>1000</v>
      </c>
      <c r="M1" s="149"/>
    </row>
    <row r="2" spans="1:18" ht="17.25" customHeight="1" x14ac:dyDescent="0.3">
      <c r="B2" s="772"/>
      <c r="C2" s="772"/>
      <c r="D2" s="773"/>
      <c r="E2" s="1146"/>
      <c r="F2" s="1146"/>
      <c r="G2" s="1146"/>
      <c r="H2" s="1146"/>
      <c r="I2" s="1146"/>
      <c r="J2" s="1146"/>
      <c r="K2" s="775"/>
      <c r="L2" s="829">
        <v>36</v>
      </c>
      <c r="M2" s="149"/>
      <c r="N2" s="226"/>
    </row>
    <row r="3" spans="1:18" ht="14.4" thickBot="1" x14ac:dyDescent="0.35">
      <c r="B3" s="776"/>
      <c r="C3" s="776"/>
      <c r="D3" s="777"/>
      <c r="E3" s="777"/>
      <c r="F3" s="778"/>
      <c r="G3" s="779"/>
      <c r="H3" s="779"/>
      <c r="I3" s="830">
        <f>L2</f>
        <v>36</v>
      </c>
      <c r="J3" s="779"/>
      <c r="K3" s="780"/>
      <c r="L3" s="827"/>
      <c r="M3" s="149"/>
    </row>
    <row r="4" spans="1:18" ht="15" thickTop="1" thickBot="1" x14ac:dyDescent="0.35">
      <c r="H4" s="640"/>
      <c r="I4" s="543"/>
      <c r="K4" s="228" t="s">
        <v>1261</v>
      </c>
    </row>
    <row r="5" spans="1:18" ht="13.5" customHeight="1" thickBot="1" x14ac:dyDescent="0.35">
      <c r="B5" s="24"/>
      <c r="C5" s="1060"/>
      <c r="D5" s="1060"/>
      <c r="E5" s="1061"/>
      <c r="F5" s="1062" t="s">
        <v>1593</v>
      </c>
      <c r="G5" s="1062" t="s">
        <v>28</v>
      </c>
      <c r="H5" s="1062" t="s">
        <v>1596</v>
      </c>
      <c r="I5" s="1062" t="s">
        <v>88</v>
      </c>
      <c r="J5" s="1063" t="s">
        <v>26</v>
      </c>
      <c r="K5" s="1064">
        <v>1</v>
      </c>
      <c r="L5" s="1063" t="s">
        <v>27</v>
      </c>
      <c r="M5" s="521"/>
      <c r="O5" s="148" t="s">
        <v>1262</v>
      </c>
    </row>
    <row r="6" spans="1:18" ht="5.25" customHeight="1" x14ac:dyDescent="0.3">
      <c r="B6" s="88"/>
      <c r="C6" s="88"/>
      <c r="D6" s="88"/>
      <c r="E6" s="387"/>
      <c r="F6" s="10"/>
      <c r="G6" s="641"/>
      <c r="H6" s="641"/>
      <c r="I6" s="544"/>
      <c r="J6" s="89"/>
      <c r="K6" s="89"/>
      <c r="L6" s="89"/>
      <c r="M6" s="152"/>
      <c r="O6" s="148"/>
    </row>
    <row r="7" spans="1:18" ht="13.5" hidden="1" customHeight="1" x14ac:dyDescent="0.3">
      <c r="B7" s="76" t="s">
        <v>22</v>
      </c>
      <c r="C7" s="90"/>
      <c r="D7" s="90"/>
      <c r="E7" s="388"/>
      <c r="F7" s="91"/>
      <c r="G7" s="642"/>
      <c r="H7" s="643"/>
      <c r="I7" s="545"/>
      <c r="J7" s="93"/>
      <c r="K7" s="93"/>
      <c r="L7" s="93">
        <f ca="1">SUM(L9+L297)</f>
        <v>16469381.482224394</v>
      </c>
      <c r="M7" s="153">
        <f t="shared" ref="M7:M86" ca="1" si="0">L7/$L$7</f>
        <v>1</v>
      </c>
      <c r="N7" s="13" t="e">
        <f ca="1">P7=L7</f>
        <v>#VALUE!</v>
      </c>
      <c r="O7" s="227" t="e">
        <f>SUM(O10:O1246)</f>
        <v>#VALUE!</v>
      </c>
      <c r="P7" s="225" t="e">
        <f>O7*K5</f>
        <v>#VALUE!</v>
      </c>
      <c r="Q7" s="226"/>
    </row>
    <row r="8" spans="1:18" ht="9.75" hidden="1" customHeight="1" x14ac:dyDescent="0.3">
      <c r="B8" s="63">
        <v>0</v>
      </c>
      <c r="C8" s="72">
        <v>0</v>
      </c>
      <c r="D8" s="72">
        <v>0</v>
      </c>
      <c r="E8" s="55">
        <v>0</v>
      </c>
      <c r="F8" s="73"/>
      <c r="G8" s="56">
        <v>0</v>
      </c>
      <c r="H8" s="57">
        <v>0</v>
      </c>
      <c r="I8" s="142"/>
      <c r="J8" s="75">
        <f>IFERROR(IF(K8&lt;&gt;0,K8*$K$5,0),0)</f>
        <v>0</v>
      </c>
      <c r="K8" s="75"/>
      <c r="L8" s="75"/>
      <c r="M8" s="153">
        <f t="shared" ca="1" si="0"/>
        <v>0</v>
      </c>
      <c r="O8" s="148"/>
    </row>
    <row r="9" spans="1:18" ht="13.5" customHeight="1" x14ac:dyDescent="0.3">
      <c r="A9" s="290">
        <f t="shared" ref="A9:A245" si="1">LEN(C9)</f>
        <v>1</v>
      </c>
      <c r="B9" s="20"/>
      <c r="C9" s="20" t="s">
        <v>352</v>
      </c>
      <c r="D9" s="20" t="s">
        <v>90</v>
      </c>
      <c r="E9" s="389"/>
      <c r="F9" s="22"/>
      <c r="G9" s="331"/>
      <c r="H9" s="332"/>
      <c r="I9" s="546"/>
      <c r="J9" s="26"/>
      <c r="K9" s="26"/>
      <c r="L9" s="26">
        <f>SUMIF(A10:A296,3,L10:L296)</f>
        <v>4421734.1117419368</v>
      </c>
      <c r="M9" s="153">
        <f t="shared" ca="1" si="0"/>
        <v>0.26848209913131038</v>
      </c>
      <c r="O9" s="148">
        <f t="shared" ref="O9:O19" si="2">IF(I9&lt;&gt;0,I9*H9*K9,)</f>
        <v>0</v>
      </c>
      <c r="R9" s="12">
        <f t="shared" ref="R9:R46" si="3">IF(J9&lt;&gt;0,J9/1.03-K9,0)</f>
        <v>0</v>
      </c>
    </row>
    <row r="10" spans="1:18" s="592" customFormat="1" ht="13.5" customHeight="1" x14ac:dyDescent="0.3">
      <c r="A10" s="478">
        <f t="shared" si="1"/>
        <v>3</v>
      </c>
      <c r="B10" s="390"/>
      <c r="C10" s="390" t="s">
        <v>354</v>
      </c>
      <c r="D10" s="390" t="s">
        <v>76</v>
      </c>
      <c r="E10" s="390"/>
      <c r="F10" s="323"/>
      <c r="G10" s="323"/>
      <c r="H10" s="324"/>
      <c r="I10" s="324"/>
      <c r="J10" s="333"/>
      <c r="K10" s="333"/>
      <c r="L10" s="333">
        <f>SUMIF(A11:A48,4,L11:L48)</f>
        <v>245350</v>
      </c>
      <c r="M10" s="153">
        <f t="shared" ca="1" si="0"/>
        <v>1.4897341485763098E-2</v>
      </c>
      <c r="O10" s="499">
        <f t="shared" si="2"/>
        <v>0</v>
      </c>
      <c r="R10" s="348">
        <f t="shared" si="3"/>
        <v>0</v>
      </c>
    </row>
    <row r="11" spans="1:18" s="18" customFormat="1" ht="13.5" customHeight="1" outlineLevel="1" x14ac:dyDescent="0.3">
      <c r="A11" s="290">
        <f t="shared" si="1"/>
        <v>4</v>
      </c>
      <c r="B11" s="45"/>
      <c r="C11" s="45" t="s">
        <v>388</v>
      </c>
      <c r="D11" s="45" t="s">
        <v>1361</v>
      </c>
      <c r="E11" s="347"/>
      <c r="F11" s="327"/>
      <c r="G11" s="327"/>
      <c r="H11" s="328"/>
      <c r="I11" s="548"/>
      <c r="J11" s="335"/>
      <c r="K11" s="335" t="str">
        <f>IF(A11=0,VLOOKUP(D11,'03. Insumos'!A:F,4,0),"")</f>
        <v/>
      </c>
      <c r="L11" s="335">
        <f>SUMIF(A12:A18,6,L12:L18)</f>
        <v>18050</v>
      </c>
      <c r="M11" s="153">
        <f t="shared" ca="1" si="0"/>
        <v>1.0959731559731971E-3</v>
      </c>
      <c r="O11" s="148">
        <f t="shared" si="2"/>
        <v>0</v>
      </c>
      <c r="R11" s="12">
        <f t="shared" si="3"/>
        <v>0</v>
      </c>
    </row>
    <row r="12" spans="1:18" s="599" customFormat="1" ht="13.5" customHeight="1" outlineLevel="1" x14ac:dyDescent="0.3">
      <c r="A12" s="18">
        <f t="shared" si="1"/>
        <v>6</v>
      </c>
      <c r="B12" s="593"/>
      <c r="C12" s="593" t="s">
        <v>910</v>
      </c>
      <c r="D12" s="391" t="s">
        <v>1361</v>
      </c>
      <c r="E12" s="593"/>
      <c r="F12" s="594"/>
      <c r="G12" s="594"/>
      <c r="H12" s="595">
        <v>1</v>
      </c>
      <c r="I12" s="595"/>
      <c r="J12" s="597"/>
      <c r="K12" s="597" t="str">
        <f>IF(A12=0,VLOOKUP(D12,'03. Insumos'!A:F,4,0),"")</f>
        <v/>
      </c>
      <c r="L12" s="597">
        <f>SUM(L13:L18)</f>
        <v>18050</v>
      </c>
      <c r="M12" s="153">
        <f t="shared" ca="1" si="0"/>
        <v>1.0959731559731971E-3</v>
      </c>
      <c r="O12" s="600">
        <f t="shared" si="2"/>
        <v>0</v>
      </c>
      <c r="R12" s="601">
        <f t="shared" si="3"/>
        <v>0</v>
      </c>
    </row>
    <row r="13" spans="1:18" s="71" customFormat="1" ht="13.5" hidden="1" customHeight="1" outlineLevel="1" x14ac:dyDescent="0.3">
      <c r="A13" s="13">
        <v>0</v>
      </c>
      <c r="B13" s="67"/>
      <c r="C13" s="67"/>
      <c r="D13" s="370" t="s">
        <v>1875</v>
      </c>
      <c r="E13" s="67" t="str">
        <f>VLOOKUP(D13,'03. Insumos'!A:D,2,0)</f>
        <v>Seguro responsabilidade civil e cruzada</v>
      </c>
      <c r="F13" s="68" t="s">
        <v>3809</v>
      </c>
      <c r="G13" s="68" t="str">
        <f>VLOOKUP(D13,'03. Insumos'!A:F,3,0)</f>
        <v>vb</v>
      </c>
      <c r="H13" s="69"/>
      <c r="I13" s="69">
        <v>1</v>
      </c>
      <c r="J13" s="70">
        <f>IFERROR(IF(K13&lt;&gt;0,K13*$K$5,0),0)</f>
        <v>1</v>
      </c>
      <c r="K13" s="54">
        <f>IF(A13=0,VLOOKUP(D13,'03. Insumos'!A:F,4,0),"")</f>
        <v>1</v>
      </c>
      <c r="L13" s="70">
        <f t="shared" ref="L13:L17" si="4">H13*J13*I13</f>
        <v>0</v>
      </c>
      <c r="M13" s="153">
        <f t="shared" ca="1" si="0"/>
        <v>0</v>
      </c>
      <c r="O13" s="148"/>
      <c r="R13" s="356"/>
    </row>
    <row r="14" spans="1:18" s="71" customFormat="1" ht="13.5" customHeight="1" outlineLevel="1" x14ac:dyDescent="0.3">
      <c r="A14" s="13">
        <v>0</v>
      </c>
      <c r="B14" s="67"/>
      <c r="C14" s="67"/>
      <c r="D14" s="370" t="s">
        <v>117</v>
      </c>
      <c r="E14" s="67" t="str">
        <f>VLOOKUP(D14,'03. Insumos'!A:D,2,0)</f>
        <v>Placa de Obra</v>
      </c>
      <c r="F14" s="68" t="s">
        <v>3809</v>
      </c>
      <c r="G14" s="68" t="str">
        <f>VLOOKUP(D14,'03. Insumos'!A:F,3,0)</f>
        <v>vb</v>
      </c>
      <c r="H14" s="69">
        <v>8700</v>
      </c>
      <c r="I14" s="69">
        <v>1</v>
      </c>
      <c r="J14" s="70">
        <v>1</v>
      </c>
      <c r="K14" s="54">
        <f>IF(A14=0,VLOOKUP(D14,'03. Insumos'!A:F,4,0),"")</f>
        <v>1</v>
      </c>
      <c r="L14" s="70">
        <f t="shared" si="4"/>
        <v>8700</v>
      </c>
      <c r="M14" s="153">
        <f t="shared" ref="M14:M16" ca="1" si="5">L14/$L$7</f>
        <v>5.2825298930564077E-4</v>
      </c>
      <c r="O14" s="148"/>
      <c r="R14" s="356"/>
    </row>
    <row r="15" spans="1:18" s="51" customFormat="1" ht="13.5" hidden="1" customHeight="1" outlineLevel="1" x14ac:dyDescent="0.3">
      <c r="A15" s="13">
        <f t="shared" ref="A15:A16" si="6">LEN(C15)</f>
        <v>0</v>
      </c>
      <c r="B15" s="49"/>
      <c r="C15" s="49"/>
      <c r="D15" s="370" t="s">
        <v>7440</v>
      </c>
      <c r="E15" s="481" t="str">
        <f>VLOOKUP(D15,'03. Insumos'!A:D,2,0)</f>
        <v>Licença CET-RIO</v>
      </c>
      <c r="F15" s="68" t="s">
        <v>3809</v>
      </c>
      <c r="G15" s="68" t="str">
        <f>VLOOKUP(D15,'03. Insumos'!A:F,3,0)</f>
        <v>vb</v>
      </c>
      <c r="H15" s="69"/>
      <c r="I15" s="69">
        <v>1</v>
      </c>
      <c r="J15" s="70">
        <v>1</v>
      </c>
      <c r="K15" s="54">
        <f>IF(A15=0,VLOOKUP(D15,'03. Insumos'!A:F,4,0),"")</f>
        <v>1</v>
      </c>
      <c r="L15" s="70">
        <f t="shared" si="4"/>
        <v>0</v>
      </c>
      <c r="M15" s="153">
        <f t="shared" ca="1" si="5"/>
        <v>0</v>
      </c>
      <c r="O15" s="148">
        <f t="shared" ref="O15:O16" si="7">IF(I15&lt;&gt;0,I15*H15*K15,)</f>
        <v>0</v>
      </c>
      <c r="R15" s="356">
        <f t="shared" ref="R15:R16" si="8">IF(J15&lt;&gt;0,J15/1.03-K15,0)</f>
        <v>-2.9126213592232997E-2</v>
      </c>
    </row>
    <row r="16" spans="1:18" s="51" customFormat="1" ht="13.5" customHeight="1" outlineLevel="1" x14ac:dyDescent="0.3">
      <c r="A16" s="13">
        <f t="shared" si="6"/>
        <v>0</v>
      </c>
      <c r="B16" s="49"/>
      <c r="C16" s="49"/>
      <c r="D16" s="370" t="s">
        <v>7523</v>
      </c>
      <c r="E16" s="481" t="str">
        <f>VLOOKUP(D16,'03. Insumos'!A:D,2,0)</f>
        <v>Licença Água e Esgoto</v>
      </c>
      <c r="F16" s="68" t="s">
        <v>3809</v>
      </c>
      <c r="G16" s="68" t="str">
        <f>VLOOKUP(D16,'03. Insumos'!A:F,3,0)</f>
        <v>vb</v>
      </c>
      <c r="H16" s="69">
        <v>9000</v>
      </c>
      <c r="I16" s="69">
        <v>1</v>
      </c>
      <c r="J16" s="70">
        <v>1</v>
      </c>
      <c r="K16" s="54">
        <f>IF(A16=0,VLOOKUP(D16,'03. Insumos'!A:F,4,0),"")</f>
        <v>1</v>
      </c>
      <c r="L16" s="70">
        <f t="shared" ref="L16" si="9">H16*J16*I16</f>
        <v>9000</v>
      </c>
      <c r="M16" s="153">
        <f t="shared" ca="1" si="5"/>
        <v>5.4646860962652487E-4</v>
      </c>
      <c r="O16" s="148">
        <f t="shared" si="7"/>
        <v>9000</v>
      </c>
      <c r="R16" s="356">
        <f t="shared" si="8"/>
        <v>-2.9126213592232997E-2</v>
      </c>
    </row>
    <row r="17" spans="1:18" s="51" customFormat="1" ht="13.5" hidden="1" customHeight="1" outlineLevel="1" x14ac:dyDescent="0.3">
      <c r="A17" s="13">
        <f t="shared" ref="A17" si="10">LEN(C17)</f>
        <v>0</v>
      </c>
      <c r="B17" s="49"/>
      <c r="C17" s="49"/>
      <c r="D17" s="370" t="s">
        <v>7522</v>
      </c>
      <c r="E17" s="481" t="str">
        <f>VLOOKUP(D17,'03. Insumos'!A:D,2,0)</f>
        <v>Licença Tapume</v>
      </c>
      <c r="F17" s="68" t="s">
        <v>3809</v>
      </c>
      <c r="G17" s="68" t="str">
        <f>VLOOKUP(D17,'03. Insumos'!A:F,3,0)</f>
        <v>vb</v>
      </c>
      <c r="H17" s="69"/>
      <c r="I17" s="69">
        <v>1</v>
      </c>
      <c r="J17" s="70">
        <v>1</v>
      </c>
      <c r="K17" s="54">
        <f>IF(A17=0,VLOOKUP(D17,'03. Insumos'!A:F,4,0),"")</f>
        <v>1</v>
      </c>
      <c r="L17" s="70">
        <f t="shared" si="4"/>
        <v>0</v>
      </c>
      <c r="M17" s="153">
        <f t="shared" ref="M17" ca="1" si="11">L17/$L$7</f>
        <v>0</v>
      </c>
      <c r="O17" s="148">
        <f t="shared" ref="O17" si="12">IF(I17&lt;&gt;0,I17*H17*K17,)</f>
        <v>0</v>
      </c>
      <c r="R17" s="356">
        <f t="shared" ref="R17" si="13">IF(J17&lt;&gt;0,J17/1.03-K17,0)</f>
        <v>-2.9126213592232997E-2</v>
      </c>
    </row>
    <row r="18" spans="1:18" s="51" customFormat="1" ht="13.5" customHeight="1" outlineLevel="1" x14ac:dyDescent="0.3">
      <c r="A18" s="13">
        <f t="shared" ref="A18" si="14">LEN(C18)</f>
        <v>0</v>
      </c>
      <c r="B18" s="49"/>
      <c r="C18" s="49"/>
      <c r="D18" s="370" t="s">
        <v>3391</v>
      </c>
      <c r="E18" s="481" t="str">
        <f>VLOOKUP(D18,'03. Insumos'!A:D,2,0)</f>
        <v>ART</v>
      </c>
      <c r="F18" s="68" t="s">
        <v>3809</v>
      </c>
      <c r="G18" s="68" t="str">
        <f>VLOOKUP(D18,'03. Insumos'!A:F,3,0)</f>
        <v>vb</v>
      </c>
      <c r="H18" s="69">
        <v>350</v>
      </c>
      <c r="I18" s="69">
        <v>1</v>
      </c>
      <c r="J18" s="70">
        <v>1</v>
      </c>
      <c r="K18" s="54">
        <f>IF(A18=0,VLOOKUP(D18,'03. Insumos'!A:F,4,0),"")</f>
        <v>1</v>
      </c>
      <c r="L18" s="70">
        <f t="shared" ref="L18" si="15">H18*J18*I18</f>
        <v>350</v>
      </c>
      <c r="M18" s="153">
        <f t="shared" ref="M18" ca="1" si="16">L18/$L$7</f>
        <v>2.1251557041031523E-5</v>
      </c>
      <c r="O18" s="148">
        <f t="shared" ref="O18" si="17">IF(I18&lt;&gt;0,I18*H18*K18,)</f>
        <v>350</v>
      </c>
      <c r="R18" s="356">
        <f t="shared" ref="R18" si="18">IF(J18&lt;&gt;0,J18/1.03-K18,0)</f>
        <v>-2.9126213592232997E-2</v>
      </c>
    </row>
    <row r="19" spans="1:18" s="18" customFormat="1" ht="13.5" customHeight="1" outlineLevel="1" x14ac:dyDescent="0.3">
      <c r="A19" s="290">
        <f t="shared" si="1"/>
        <v>4</v>
      </c>
      <c r="B19" s="45"/>
      <c r="C19" s="45" t="s">
        <v>389</v>
      </c>
      <c r="D19" s="45" t="s">
        <v>342</v>
      </c>
      <c r="E19" s="347"/>
      <c r="F19" s="327"/>
      <c r="G19" s="327"/>
      <c r="H19" s="328"/>
      <c r="I19" s="328"/>
      <c r="J19" s="335"/>
      <c r="K19" s="335" t="str">
        <f>IF(A19=0,VLOOKUP(D19,'03. Insumos'!A:F,4,0),"")</f>
        <v/>
      </c>
      <c r="L19" s="335">
        <f>SUMIF(A20:A46,6,L20:L48)</f>
        <v>227300</v>
      </c>
      <c r="M19" s="153">
        <f t="shared" ca="1" si="0"/>
        <v>1.3801368329789902E-2</v>
      </c>
      <c r="O19" s="148">
        <f t="shared" si="2"/>
        <v>0</v>
      </c>
      <c r="R19" s="12">
        <f t="shared" si="3"/>
        <v>0</v>
      </c>
    </row>
    <row r="20" spans="1:18" s="34" customFormat="1" outlineLevel="1" x14ac:dyDescent="0.3">
      <c r="A20" s="290">
        <f t="shared" si="1"/>
        <v>6</v>
      </c>
      <c r="B20" s="602"/>
      <c r="C20" s="602" t="s">
        <v>912</v>
      </c>
      <c r="D20" s="606" t="s">
        <v>8649</v>
      </c>
      <c r="E20" s="593"/>
      <c r="F20" s="603"/>
      <c r="G20" s="594"/>
      <c r="H20" s="595"/>
      <c r="I20" s="595"/>
      <c r="J20" s="597"/>
      <c r="K20" s="604" t="str">
        <f>IF(A20=0,VLOOKUP(D20,'03. Insumos'!A:F,4,0),"")</f>
        <v/>
      </c>
      <c r="L20" s="628">
        <f>SUM(L21:L26)</f>
        <v>0</v>
      </c>
      <c r="M20" s="153">
        <f t="shared" ca="1" si="0"/>
        <v>0</v>
      </c>
      <c r="O20" s="148"/>
      <c r="R20" s="12">
        <f t="shared" si="3"/>
        <v>0</v>
      </c>
    </row>
    <row r="21" spans="1:18" s="51" customFormat="1" hidden="1" outlineLevel="1" x14ac:dyDescent="0.3">
      <c r="A21" s="13">
        <f t="shared" si="1"/>
        <v>0</v>
      </c>
      <c r="B21" s="49"/>
      <c r="C21" s="49"/>
      <c r="D21" s="370" t="s">
        <v>6097</v>
      </c>
      <c r="E21" s="706" t="str">
        <f>VLOOKUP(D21,'03. Insumos'!A:D,2,0)</f>
        <v>Projeto de Instalações e Combate a Incêndio</v>
      </c>
      <c r="F21" s="68" t="s">
        <v>5218</v>
      </c>
      <c r="G21" s="68" t="str">
        <f>VLOOKUP(D21,'03. Insumos'!A:F,3,0)</f>
        <v>vb</v>
      </c>
      <c r="H21" s="69"/>
      <c r="I21" s="483">
        <v>1</v>
      </c>
      <c r="J21" s="70">
        <f t="shared" ref="J21:J26" si="19">IFERROR(IF(K21&lt;&gt;0,K21*$K$5,0),0)</f>
        <v>1</v>
      </c>
      <c r="K21" s="54">
        <f>IF(A21=0,VLOOKUP(D21,'03. Insumos'!A:F,4,0),"")</f>
        <v>1</v>
      </c>
      <c r="L21" s="70">
        <f t="shared" ref="L21:L26" si="20">H21*J21*I21</f>
        <v>0</v>
      </c>
      <c r="M21" s="153">
        <f t="shared" ca="1" si="0"/>
        <v>0</v>
      </c>
      <c r="O21" s="148">
        <f t="shared" ref="O21:O26" si="21">IF(I21&lt;&gt;0,I21*H21*K21,)</f>
        <v>0</v>
      </c>
      <c r="R21" s="12">
        <f t="shared" si="3"/>
        <v>-2.9126213592232997E-2</v>
      </c>
    </row>
    <row r="22" spans="1:18" s="51" customFormat="1" hidden="1" outlineLevel="1" x14ac:dyDescent="0.3">
      <c r="A22" s="13">
        <f t="shared" si="1"/>
        <v>0</v>
      </c>
      <c r="B22" s="49"/>
      <c r="C22" s="49"/>
      <c r="D22" s="370" t="s">
        <v>6098</v>
      </c>
      <c r="E22" s="67" t="str">
        <f>VLOOKUP(D22,'03. Insumos'!A:D,2,0)</f>
        <v>Projeto de Exaustão Mecânica e Ar Condicionado</v>
      </c>
      <c r="F22" s="68" t="s">
        <v>5218</v>
      </c>
      <c r="G22" s="68" t="str">
        <f>VLOOKUP(D22,'03. Insumos'!A:F,3,0)</f>
        <v>vb</v>
      </c>
      <c r="H22" s="69"/>
      <c r="I22" s="483">
        <v>1</v>
      </c>
      <c r="J22" s="70">
        <f t="shared" si="19"/>
        <v>1</v>
      </c>
      <c r="K22" s="54">
        <f>IF(A22=0,VLOOKUP(D22,'03. Insumos'!A:F,4,0),"")</f>
        <v>1</v>
      </c>
      <c r="L22" s="70">
        <f t="shared" si="20"/>
        <v>0</v>
      </c>
      <c r="M22" s="153">
        <f t="shared" ca="1" si="0"/>
        <v>0</v>
      </c>
      <c r="O22" s="148">
        <f t="shared" si="21"/>
        <v>0</v>
      </c>
      <c r="R22" s="12">
        <f t="shared" si="3"/>
        <v>-2.9126213592232997E-2</v>
      </c>
    </row>
    <row r="23" spans="1:18" s="51" customFormat="1" hidden="1" outlineLevel="1" x14ac:dyDescent="0.3">
      <c r="A23" s="13">
        <f t="shared" si="1"/>
        <v>0</v>
      </c>
      <c r="B23" s="49"/>
      <c r="C23" s="49"/>
      <c r="D23" s="370" t="s">
        <v>6099</v>
      </c>
      <c r="E23" s="67" t="str">
        <f>VLOOKUP(D23,'03. Insumos'!A:D,2,0)</f>
        <v>Projeto de Estrutura</v>
      </c>
      <c r="F23" s="68" t="s">
        <v>5218</v>
      </c>
      <c r="G23" s="68" t="str">
        <f>VLOOKUP(D23,'03. Insumos'!A:F,3,0)</f>
        <v>vb</v>
      </c>
      <c r="H23" s="69"/>
      <c r="I23" s="483">
        <v>1</v>
      </c>
      <c r="J23" s="70">
        <f t="shared" si="19"/>
        <v>1</v>
      </c>
      <c r="K23" s="54">
        <f>IF(A23=0,VLOOKUP(D23,'03. Insumos'!A:F,4,0),"")</f>
        <v>1</v>
      </c>
      <c r="L23" s="70">
        <f t="shared" si="20"/>
        <v>0</v>
      </c>
      <c r="M23" s="153">
        <f t="shared" ca="1" si="0"/>
        <v>0</v>
      </c>
      <c r="O23" s="148">
        <f t="shared" si="21"/>
        <v>0</v>
      </c>
      <c r="R23" s="12">
        <f t="shared" si="3"/>
        <v>-2.9126213592232997E-2</v>
      </c>
    </row>
    <row r="24" spans="1:18" s="51" customFormat="1" hidden="1" outlineLevel="1" x14ac:dyDescent="0.3">
      <c r="A24" s="13">
        <f t="shared" si="1"/>
        <v>0</v>
      </c>
      <c r="B24" s="49"/>
      <c r="C24" s="49"/>
      <c r="D24" s="370" t="s">
        <v>6100</v>
      </c>
      <c r="E24" s="67" t="str">
        <f>VLOOKUP(D24,'03. Insumos'!A:D,2,0)</f>
        <v>Projeto de Fundações</v>
      </c>
      <c r="F24" s="68" t="s">
        <v>5218</v>
      </c>
      <c r="G24" s="68" t="str">
        <f>VLOOKUP(D24,'03. Insumos'!A:F,3,0)</f>
        <v>vb</v>
      </c>
      <c r="H24" s="69"/>
      <c r="I24" s="483">
        <v>1</v>
      </c>
      <c r="J24" s="70">
        <f t="shared" si="19"/>
        <v>1</v>
      </c>
      <c r="K24" s="54">
        <f>IF(A24=0,VLOOKUP(D24,'03. Insumos'!A:F,4,0),"")</f>
        <v>1</v>
      </c>
      <c r="L24" s="70">
        <f t="shared" si="20"/>
        <v>0</v>
      </c>
      <c r="M24" s="153">
        <f t="shared" ca="1" si="0"/>
        <v>0</v>
      </c>
      <c r="O24" s="148">
        <f t="shared" si="21"/>
        <v>0</v>
      </c>
      <c r="R24" s="12">
        <f t="shared" si="3"/>
        <v>-2.9126213592232997E-2</v>
      </c>
    </row>
    <row r="25" spans="1:18" s="51" customFormat="1" hidden="1" outlineLevel="1" x14ac:dyDescent="0.3">
      <c r="A25" s="13">
        <f t="shared" si="1"/>
        <v>0</v>
      </c>
      <c r="B25" s="49"/>
      <c r="C25" s="49"/>
      <c r="D25" s="370" t="s">
        <v>6101</v>
      </c>
      <c r="E25" s="706" t="str">
        <f>VLOOKUP(D25,'03. Insumos'!A:D,2,0)</f>
        <v>Projeto Executivo de Arquitetura</v>
      </c>
      <c r="F25" s="68" t="s">
        <v>5218</v>
      </c>
      <c r="G25" s="68" t="str">
        <f>VLOOKUP(D25,'03. Insumos'!A:F,3,0)</f>
        <v>vb</v>
      </c>
      <c r="H25" s="69"/>
      <c r="I25" s="483">
        <v>1</v>
      </c>
      <c r="J25" s="70">
        <f t="shared" si="19"/>
        <v>1</v>
      </c>
      <c r="K25" s="54">
        <f>IF(A25=0,VLOOKUP(D25,'03. Insumos'!A:F,4,0),"")</f>
        <v>1</v>
      </c>
      <c r="L25" s="70">
        <f t="shared" si="20"/>
        <v>0</v>
      </c>
      <c r="M25" s="153">
        <f t="shared" ca="1" si="0"/>
        <v>0</v>
      </c>
      <c r="O25" s="148">
        <f t="shared" si="21"/>
        <v>0</v>
      </c>
      <c r="R25" s="12">
        <f t="shared" si="3"/>
        <v>-2.9126213592232997E-2</v>
      </c>
    </row>
    <row r="26" spans="1:18" s="51" customFormat="1" hidden="1" outlineLevel="1" x14ac:dyDescent="0.3">
      <c r="A26" s="13">
        <f t="shared" si="1"/>
        <v>0</v>
      </c>
      <c r="B26" s="49"/>
      <c r="C26" s="49"/>
      <c r="D26" s="370" t="s">
        <v>6102</v>
      </c>
      <c r="E26" s="67" t="str">
        <f>VLOOKUP(D26,'03. Insumos'!A:D,2,0)</f>
        <v>Projeto de Instalações</v>
      </c>
      <c r="F26" s="68" t="s">
        <v>5218</v>
      </c>
      <c r="G26" s="68" t="str">
        <f>VLOOKUP(D26,'03. Insumos'!A:F,3,0)</f>
        <v>vb</v>
      </c>
      <c r="H26" s="69"/>
      <c r="I26" s="483">
        <v>1</v>
      </c>
      <c r="J26" s="70">
        <f t="shared" si="19"/>
        <v>1</v>
      </c>
      <c r="K26" s="54">
        <f>IF(A26=0,VLOOKUP(D26,'03. Insumos'!A:F,4,0),"")</f>
        <v>1</v>
      </c>
      <c r="L26" s="70">
        <f t="shared" si="20"/>
        <v>0</v>
      </c>
      <c r="M26" s="153">
        <f t="shared" ca="1" si="0"/>
        <v>0</v>
      </c>
      <c r="O26" s="148">
        <f t="shared" si="21"/>
        <v>0</v>
      </c>
      <c r="R26" s="12">
        <f t="shared" si="3"/>
        <v>-2.9126213592232997E-2</v>
      </c>
    </row>
    <row r="27" spans="1:18" s="34" customFormat="1" outlineLevel="1" x14ac:dyDescent="0.3">
      <c r="A27" s="290">
        <f t="shared" si="1"/>
        <v>6</v>
      </c>
      <c r="B27" s="602"/>
      <c r="C27" s="602" t="s">
        <v>913</v>
      </c>
      <c r="D27" s="606" t="s">
        <v>94</v>
      </c>
      <c r="E27" s="593"/>
      <c r="F27" s="603"/>
      <c r="G27" s="594"/>
      <c r="H27" s="595"/>
      <c r="I27" s="595"/>
      <c r="J27" s="597"/>
      <c r="K27" s="604" t="str">
        <f>IF(A27=0,VLOOKUP(D27,'03. Insumos'!A:F,4,0),"")</f>
        <v/>
      </c>
      <c r="L27" s="628">
        <f>SUM(L28:L35)</f>
        <v>182400</v>
      </c>
      <c r="M27" s="153">
        <f t="shared" ca="1" si="0"/>
        <v>1.1075097155097571E-2</v>
      </c>
      <c r="O27" s="148"/>
      <c r="R27" s="12">
        <f t="shared" si="3"/>
        <v>0</v>
      </c>
    </row>
    <row r="28" spans="1:18" s="51" customFormat="1" outlineLevel="1" x14ac:dyDescent="0.3">
      <c r="A28" s="13">
        <f t="shared" si="1"/>
        <v>0</v>
      </c>
      <c r="B28" s="49"/>
      <c r="C28" s="49"/>
      <c r="D28" s="370" t="s">
        <v>5941</v>
      </c>
      <c r="E28" s="706" t="str">
        <f>VLOOKUP(D28,'03. Insumos'!A:D,2,0)</f>
        <v>Consultoria de Fundação</v>
      </c>
      <c r="F28" s="68" t="s">
        <v>5218</v>
      </c>
      <c r="G28" s="68" t="str">
        <f>VLOOKUP(D28,'03. Insumos'!A:F,3,0)</f>
        <v>vb</v>
      </c>
      <c r="H28" s="69">
        <v>8000</v>
      </c>
      <c r="I28" s="483">
        <v>3</v>
      </c>
      <c r="J28" s="70">
        <f t="shared" ref="J28:J44" si="22">IFERROR(IF(K28&lt;&gt;0,K28*$K$5,0),0)</f>
        <v>1</v>
      </c>
      <c r="K28" s="54">
        <f>IF(A28=0,VLOOKUP(D28,'03. Insumos'!A:F,4,0),"")</f>
        <v>1</v>
      </c>
      <c r="L28" s="485">
        <f t="shared" ref="L28:L35" si="23">H28*J28*I28</f>
        <v>24000</v>
      </c>
      <c r="M28" s="153">
        <f t="shared" ca="1" si="0"/>
        <v>1.457249625670733E-3</v>
      </c>
      <c r="O28" s="148">
        <f t="shared" ref="O28:O35" si="24">IF(I28&lt;&gt;0,I28*H28*K28,)</f>
        <v>24000</v>
      </c>
      <c r="R28" s="12">
        <f t="shared" si="3"/>
        <v>-2.9126213592232997E-2</v>
      </c>
    </row>
    <row r="29" spans="1:18" s="51" customFormat="1" hidden="1" outlineLevel="1" x14ac:dyDescent="0.3">
      <c r="A29" s="13">
        <f t="shared" si="1"/>
        <v>0</v>
      </c>
      <c r="B29" s="49"/>
      <c r="C29" s="49"/>
      <c r="D29" s="370" t="s">
        <v>6104</v>
      </c>
      <c r="E29" s="67" t="str">
        <f>VLOOKUP(D29,'03. Insumos'!A:D,2,0)</f>
        <v>Consultoria de Estrutura</v>
      </c>
      <c r="F29" s="68" t="s">
        <v>5218</v>
      </c>
      <c r="G29" s="68" t="str">
        <f>VLOOKUP(D29,'03. Insumos'!A:F,3,0)</f>
        <v>vb</v>
      </c>
      <c r="H29" s="69">
        <v>9000</v>
      </c>
      <c r="I29" s="483"/>
      <c r="J29" s="70">
        <v>1</v>
      </c>
      <c r="K29" s="54">
        <f>IF(A29=0,VLOOKUP(D29,'03. Insumos'!A:F,4,0),"")</f>
        <v>1</v>
      </c>
      <c r="L29" s="70">
        <f t="shared" si="23"/>
        <v>0</v>
      </c>
      <c r="M29" s="153">
        <f t="shared" ca="1" si="0"/>
        <v>0</v>
      </c>
      <c r="O29" s="148">
        <f t="shared" si="24"/>
        <v>0</v>
      </c>
      <c r="R29" s="12">
        <f t="shared" si="3"/>
        <v>-2.9126213592232997E-2</v>
      </c>
    </row>
    <row r="30" spans="1:18" s="51" customFormat="1" hidden="1" outlineLevel="1" x14ac:dyDescent="0.3">
      <c r="A30" s="13">
        <f t="shared" si="1"/>
        <v>0</v>
      </c>
      <c r="B30" s="49"/>
      <c r="C30" s="49"/>
      <c r="D30" s="370" t="s">
        <v>6105</v>
      </c>
      <c r="E30" s="67" t="str">
        <f>VLOOKUP(D30,'03. Insumos'!A:D,2,0)</f>
        <v>Consultoria de Fachada</v>
      </c>
      <c r="F30" s="68" t="s">
        <v>5218</v>
      </c>
      <c r="G30" s="68" t="str">
        <f>VLOOKUP(D30,'03. Insumos'!A:F,3,0)</f>
        <v>vb</v>
      </c>
      <c r="H30" s="69">
        <v>4000</v>
      </c>
      <c r="I30" s="483"/>
      <c r="J30" s="70">
        <f t="shared" si="22"/>
        <v>1</v>
      </c>
      <c r="K30" s="54">
        <f>IF(A30=0,VLOOKUP(D30,'03. Insumos'!A:F,4,0),"")</f>
        <v>1</v>
      </c>
      <c r="L30" s="70">
        <f t="shared" si="23"/>
        <v>0</v>
      </c>
      <c r="M30" s="153">
        <f t="shared" ca="1" si="0"/>
        <v>0</v>
      </c>
      <c r="O30" s="148">
        <f t="shared" si="24"/>
        <v>0</v>
      </c>
      <c r="R30" s="12">
        <f t="shared" si="3"/>
        <v>-2.9126213592232997E-2</v>
      </c>
    </row>
    <row r="31" spans="1:18" s="51" customFormat="1" outlineLevel="1" x14ac:dyDescent="0.3">
      <c r="A31" s="13">
        <f t="shared" si="1"/>
        <v>0</v>
      </c>
      <c r="B31" s="49"/>
      <c r="C31" s="49"/>
      <c r="D31" s="370" t="s">
        <v>6106</v>
      </c>
      <c r="E31" s="67" t="str">
        <f>VLOOKUP(D31,'03. Insumos'!A:D,2,0)</f>
        <v>Consultoria Saúde e Segurança do Trabalho</v>
      </c>
      <c r="F31" s="68" t="s">
        <v>5218</v>
      </c>
      <c r="G31" s="68" t="str">
        <f>VLOOKUP(D31,'03. Insumos'!A:F,3,0)</f>
        <v>vb</v>
      </c>
      <c r="H31" s="69">
        <v>2200</v>
      </c>
      <c r="I31" s="483">
        <f>L2</f>
        <v>36</v>
      </c>
      <c r="J31" s="70">
        <f t="shared" si="22"/>
        <v>1</v>
      </c>
      <c r="K31" s="54">
        <f>IF(A31=0,VLOOKUP(D31,'03. Insumos'!A:F,4,0),"")</f>
        <v>1</v>
      </c>
      <c r="L31" s="70">
        <f t="shared" si="23"/>
        <v>79200</v>
      </c>
      <c r="M31" s="153">
        <f t="shared" ca="1" si="0"/>
        <v>4.808923764713419E-3</v>
      </c>
      <c r="O31" s="148">
        <f t="shared" si="24"/>
        <v>79200</v>
      </c>
      <c r="R31" s="12">
        <f t="shared" si="3"/>
        <v>-2.9126213592232997E-2</v>
      </c>
    </row>
    <row r="32" spans="1:18" s="51" customFormat="1" hidden="1" outlineLevel="1" x14ac:dyDescent="0.3">
      <c r="A32" s="13">
        <f t="shared" si="1"/>
        <v>0</v>
      </c>
      <c r="B32" s="49"/>
      <c r="C32" s="49"/>
      <c r="D32" s="370" t="s">
        <v>6107</v>
      </c>
      <c r="E32" s="706" t="str">
        <f>VLOOKUP(D32,'03. Insumos'!A:D,2,0)</f>
        <v>Consultoria de Impermeabilização</v>
      </c>
      <c r="F32" s="68" t="s">
        <v>5218</v>
      </c>
      <c r="G32" s="68" t="str">
        <f>VLOOKUP(D32,'03. Insumos'!A:F,3,0)</f>
        <v>vb</v>
      </c>
      <c r="H32" s="69">
        <v>980</v>
      </c>
      <c r="I32" s="483"/>
      <c r="J32" s="70">
        <f t="shared" si="22"/>
        <v>1</v>
      </c>
      <c r="K32" s="54">
        <f>IF(A32=0,VLOOKUP(D32,'03. Insumos'!A:F,4,0),"")</f>
        <v>1</v>
      </c>
      <c r="L32" s="70">
        <f t="shared" si="23"/>
        <v>0</v>
      </c>
      <c r="M32" s="153">
        <f t="shared" ca="1" si="0"/>
        <v>0</v>
      </c>
      <c r="O32" s="148">
        <f t="shared" si="24"/>
        <v>0</v>
      </c>
      <c r="R32" s="12">
        <f t="shared" si="3"/>
        <v>-2.9126213592232997E-2</v>
      </c>
    </row>
    <row r="33" spans="1:18" s="51" customFormat="1" hidden="1" outlineLevel="1" x14ac:dyDescent="0.3">
      <c r="A33" s="13">
        <f t="shared" ref="A33:A34" si="25">LEN(C33)</f>
        <v>0</v>
      </c>
      <c r="B33" s="49"/>
      <c r="C33" s="49"/>
      <c r="D33" s="370" t="s">
        <v>7997</v>
      </c>
      <c r="E33" s="67" t="str">
        <f>VLOOKUP(D33,'03. Insumos'!A:D,2,0)</f>
        <v>Consultoria de Instalações</v>
      </c>
      <c r="F33" s="68" t="s">
        <v>5218</v>
      </c>
      <c r="G33" s="68" t="str">
        <f>VLOOKUP(D33,'03. Insumos'!A:F,3,0)</f>
        <v>vb</v>
      </c>
      <c r="H33" s="69">
        <v>6000</v>
      </c>
      <c r="I33" s="483"/>
      <c r="J33" s="70">
        <f t="shared" ref="J33:J34" si="26">IFERROR(IF(K33&lt;&gt;0,K33*$K$5,0),0)</f>
        <v>1</v>
      </c>
      <c r="K33" s="54">
        <f>IF(A33=0,VLOOKUP(D33,'03. Insumos'!A:F,4,0),"")</f>
        <v>1</v>
      </c>
      <c r="L33" s="70">
        <f t="shared" ref="L33:L34" si="27">H33*J33*I33</f>
        <v>0</v>
      </c>
      <c r="M33" s="153">
        <f t="shared" ref="M33:M34" ca="1" si="28">L33/$L$7</f>
        <v>0</v>
      </c>
      <c r="O33" s="148">
        <f t="shared" ref="O33:O34" si="29">IF(I33&lt;&gt;0,I33*H33*K33,)</f>
        <v>0</v>
      </c>
      <c r="R33" s="12">
        <f t="shared" ref="R33:R34" si="30">IF(J33&lt;&gt;0,J33/1.03-K33,0)</f>
        <v>-2.9126213592232997E-2</v>
      </c>
    </row>
    <row r="34" spans="1:18" s="51" customFormat="1" hidden="1" outlineLevel="1" x14ac:dyDescent="0.3">
      <c r="A34" s="13">
        <f t="shared" si="25"/>
        <v>0</v>
      </c>
      <c r="B34" s="49"/>
      <c r="C34" s="49"/>
      <c r="D34" s="370" t="s">
        <v>7603</v>
      </c>
      <c r="E34" s="67" t="str">
        <f>VLOOKUP(D34,'03. Insumos'!A:D,2,0)</f>
        <v>Consultoria Fiscal</v>
      </c>
      <c r="F34" s="68" t="s">
        <v>5218</v>
      </c>
      <c r="G34" s="68" t="str">
        <f>VLOOKUP(D34,'03. Insumos'!A:F,3,0)</f>
        <v>mês</v>
      </c>
      <c r="H34" s="69"/>
      <c r="I34" s="483">
        <v>1</v>
      </c>
      <c r="J34" s="70">
        <f t="shared" si="26"/>
        <v>3500</v>
      </c>
      <c r="K34" s="54">
        <f>IF(A34=0,VLOOKUP(D34,'03. Insumos'!A:F,4,0),"")</f>
        <v>3500</v>
      </c>
      <c r="L34" s="70">
        <f t="shared" si="27"/>
        <v>0</v>
      </c>
      <c r="M34" s="153">
        <f t="shared" ca="1" si="28"/>
        <v>0</v>
      </c>
      <c r="O34" s="148">
        <f t="shared" si="29"/>
        <v>0</v>
      </c>
      <c r="R34" s="12">
        <f t="shared" si="30"/>
        <v>-101.94174757281553</v>
      </c>
    </row>
    <row r="35" spans="1:18" s="51" customFormat="1" outlineLevel="1" x14ac:dyDescent="0.3">
      <c r="A35" s="13">
        <f t="shared" si="1"/>
        <v>0</v>
      </c>
      <c r="B35" s="49"/>
      <c r="C35" s="49"/>
      <c r="D35" s="370" t="s">
        <v>6761</v>
      </c>
      <c r="E35" s="384" t="str">
        <f>VLOOKUP(D35,'03. Insumos'!A:D,2,0)</f>
        <v>Consultoria de Planejamento e Orçamento da Obra</v>
      </c>
      <c r="F35" s="68" t="s">
        <v>5218</v>
      </c>
      <c r="G35" s="68" t="str">
        <f>VLOOKUP(D35,'03. Insumos'!A:F,3,0)</f>
        <v>mês</v>
      </c>
      <c r="H35" s="69">
        <v>1</v>
      </c>
      <c r="I35" s="483">
        <f>L2</f>
        <v>36</v>
      </c>
      <c r="J35" s="70">
        <f t="shared" si="22"/>
        <v>2200</v>
      </c>
      <c r="K35" s="54">
        <f>IF(A35=0,VLOOKUP(D35,'03. Insumos'!A:F,4,0),"")</f>
        <v>2200</v>
      </c>
      <c r="L35" s="70">
        <f t="shared" si="23"/>
        <v>79200</v>
      </c>
      <c r="M35" s="153">
        <f t="shared" ca="1" si="0"/>
        <v>4.808923764713419E-3</v>
      </c>
      <c r="O35" s="148">
        <f t="shared" si="24"/>
        <v>79200</v>
      </c>
      <c r="R35" s="12">
        <f t="shared" si="3"/>
        <v>-64.077669902912476</v>
      </c>
    </row>
    <row r="36" spans="1:18" s="34" customFormat="1" hidden="1" outlineLevel="1" x14ac:dyDescent="0.3">
      <c r="A36" s="290">
        <f t="shared" ref="A36:A37" si="31">LEN(C36)</f>
        <v>6</v>
      </c>
      <c r="B36" s="602"/>
      <c r="C36" s="602" t="s">
        <v>913</v>
      </c>
      <c r="D36" s="606" t="s">
        <v>7290</v>
      </c>
      <c r="E36" s="593"/>
      <c r="F36" s="603"/>
      <c r="G36" s="594"/>
      <c r="H36" s="595"/>
      <c r="I36" s="595"/>
      <c r="J36" s="597"/>
      <c r="K36" s="604" t="str">
        <f>IF(A36=0,VLOOKUP(D36,'03. Insumos'!A:F,4,0),"")</f>
        <v/>
      </c>
      <c r="L36" s="628">
        <f>SUM(L37)</f>
        <v>0</v>
      </c>
      <c r="M36" s="153">
        <f t="shared" ref="M36:M37" ca="1" si="32">L36/$L$7</f>
        <v>0</v>
      </c>
      <c r="O36" s="148"/>
      <c r="R36" s="12">
        <f t="shared" ref="R36:R37" si="33">IF(J36&lt;&gt;0,J36/1.03-K36,0)</f>
        <v>0</v>
      </c>
    </row>
    <row r="37" spans="1:18" s="51" customFormat="1" hidden="1" outlineLevel="1" x14ac:dyDescent="0.3">
      <c r="A37" s="13">
        <f t="shared" si="31"/>
        <v>0</v>
      </c>
      <c r="B37" s="49"/>
      <c r="C37" s="49"/>
      <c r="D37" s="370" t="s">
        <v>6761</v>
      </c>
      <c r="E37" s="706" t="str">
        <f>VLOOKUP(D37,'03. Insumos'!A:D,2,0)</f>
        <v>Consultoria de Planejamento e Orçamento da Obra</v>
      </c>
      <c r="F37" s="68" t="s">
        <v>5218</v>
      </c>
      <c r="G37" s="68" t="str">
        <f>VLOOKUP(D37,'03. Insumos'!A:F,3,0)</f>
        <v>mês</v>
      </c>
      <c r="H37" s="69">
        <v>1</v>
      </c>
      <c r="I37" s="483"/>
      <c r="J37" s="70">
        <v>3500</v>
      </c>
      <c r="K37" s="54">
        <f>IF(A37=0,VLOOKUP(D37,'03. Insumos'!A:F,4,0),"")</f>
        <v>2200</v>
      </c>
      <c r="L37" s="485">
        <f t="shared" ref="L37" si="34">H37*J37*I37</f>
        <v>0</v>
      </c>
      <c r="M37" s="153">
        <f t="shared" ca="1" si="32"/>
        <v>0</v>
      </c>
      <c r="O37" s="148">
        <f t="shared" ref="O37" si="35">IF(I37&lt;&gt;0,I37*H37*K37,)</f>
        <v>0</v>
      </c>
      <c r="R37" s="12">
        <f t="shared" si="33"/>
        <v>1198.0582524271845</v>
      </c>
    </row>
    <row r="38" spans="1:18" s="34" customFormat="1" outlineLevel="1" x14ac:dyDescent="0.3">
      <c r="A38" s="290">
        <f t="shared" si="1"/>
        <v>6</v>
      </c>
      <c r="B38" s="602"/>
      <c r="C38" s="602" t="s">
        <v>6319</v>
      </c>
      <c r="D38" s="606" t="s">
        <v>8631</v>
      </c>
      <c r="E38" s="593"/>
      <c r="F38" s="603"/>
      <c r="G38" s="594"/>
      <c r="H38" s="595"/>
      <c r="I38" s="595"/>
      <c r="J38" s="597"/>
      <c r="K38" s="604" t="str">
        <f>IF(A38=0,VLOOKUP(D38,'03. Insumos'!A:F,4,0),"")</f>
        <v/>
      </c>
      <c r="L38" s="628">
        <f>SUM(L39:L39)</f>
        <v>0</v>
      </c>
      <c r="M38" s="153">
        <f t="shared" ca="1" si="0"/>
        <v>0</v>
      </c>
      <c r="O38" s="148"/>
      <c r="R38" s="12">
        <f t="shared" si="3"/>
        <v>0</v>
      </c>
    </row>
    <row r="39" spans="1:18" s="51" customFormat="1" hidden="1" outlineLevel="1" x14ac:dyDescent="0.3">
      <c r="A39" s="13">
        <f t="shared" si="1"/>
        <v>0</v>
      </c>
      <c r="B39" s="49"/>
      <c r="C39" s="49"/>
      <c r="D39" s="370" t="s">
        <v>6115</v>
      </c>
      <c r="E39" s="706" t="str">
        <f>VLOOKUP(D39,'03. Insumos'!A:D,2,0)</f>
        <v>Execução de Sondagem</v>
      </c>
      <c r="F39" s="68" t="s">
        <v>5218</v>
      </c>
      <c r="G39" s="68" t="str">
        <f>VLOOKUP(D39,'03. Insumos'!A:F,3,0)</f>
        <v>vb</v>
      </c>
      <c r="H39" s="69"/>
      <c r="I39" s="483"/>
      <c r="J39" s="70">
        <f t="shared" si="22"/>
        <v>1</v>
      </c>
      <c r="K39" s="54">
        <f>IF(A39=0,VLOOKUP(D39,'03. Insumos'!A:F,4,0),"")</f>
        <v>1</v>
      </c>
      <c r="L39" s="70">
        <f t="shared" ref="L39" si="36">H39*J39*I39</f>
        <v>0</v>
      </c>
      <c r="M39" s="153">
        <f t="shared" ca="1" si="0"/>
        <v>0</v>
      </c>
      <c r="O39" s="148">
        <f t="shared" ref="O39" si="37">IF(I39&lt;&gt;0,I39*H39*K39,)</f>
        <v>0</v>
      </c>
      <c r="R39" s="12">
        <f t="shared" si="3"/>
        <v>-2.9126213592232997E-2</v>
      </c>
    </row>
    <row r="40" spans="1:18" s="34" customFormat="1" outlineLevel="1" x14ac:dyDescent="0.3">
      <c r="A40" s="290">
        <f t="shared" ref="A40:A41" si="38">LEN(C40)</f>
        <v>6</v>
      </c>
      <c r="B40" s="602"/>
      <c r="C40" s="602" t="s">
        <v>6335</v>
      </c>
      <c r="D40" s="606" t="s">
        <v>7298</v>
      </c>
      <c r="E40" s="593"/>
      <c r="F40" s="603"/>
      <c r="G40" s="594"/>
      <c r="H40" s="595"/>
      <c r="I40" s="595"/>
      <c r="J40" s="597"/>
      <c r="K40" s="604" t="str">
        <f>IF(A40=0,VLOOKUP(D40,'03. Insumos'!A:F,4,0),"")</f>
        <v/>
      </c>
      <c r="L40" s="628">
        <f>SUM(L41:L41)</f>
        <v>15000</v>
      </c>
      <c r="M40" s="153">
        <f t="shared" ref="M40:M41" ca="1" si="39">L40/$L$7</f>
        <v>9.1078101604420811E-4</v>
      </c>
      <c r="O40" s="148"/>
      <c r="R40" s="12">
        <f t="shared" ref="R40:R41" si="40">IF(J40&lt;&gt;0,J40/1.03-K40,0)</f>
        <v>0</v>
      </c>
    </row>
    <row r="41" spans="1:18" s="51" customFormat="1" outlineLevel="1" x14ac:dyDescent="0.3">
      <c r="A41" s="13">
        <f t="shared" si="38"/>
        <v>0</v>
      </c>
      <c r="B41" s="49"/>
      <c r="C41" s="49"/>
      <c r="D41" s="370" t="s">
        <v>6799</v>
      </c>
      <c r="E41" s="706" t="str">
        <f>VLOOKUP(D41,'03. Insumos'!A:D,2,0)</f>
        <v>Manual do Proprietário</v>
      </c>
      <c r="F41" s="68" t="s">
        <v>5218</v>
      </c>
      <c r="G41" s="68" t="str">
        <f>VLOOKUP(D41,'03. Insumos'!A:F,3,0)</f>
        <v>vb</v>
      </c>
      <c r="H41" s="69">
        <v>15000</v>
      </c>
      <c r="I41" s="483">
        <v>1</v>
      </c>
      <c r="J41" s="70">
        <v>1</v>
      </c>
      <c r="K41" s="54">
        <f>IF(A41=0,VLOOKUP(D41,'03. Insumos'!A:F,4,0),"")</f>
        <v>1</v>
      </c>
      <c r="L41" s="70">
        <f t="shared" ref="L41" si="41">H41*J41*I41</f>
        <v>15000</v>
      </c>
      <c r="M41" s="153">
        <f t="shared" ca="1" si="39"/>
        <v>9.1078101604420811E-4</v>
      </c>
      <c r="O41" s="148">
        <f t="shared" ref="O41" si="42">IF(I41&lt;&gt;0,I41*H41*K41,)</f>
        <v>15000</v>
      </c>
      <c r="R41" s="12">
        <f t="shared" si="40"/>
        <v>-2.9126213592232997E-2</v>
      </c>
    </row>
    <row r="42" spans="1:18" s="34" customFormat="1" outlineLevel="1" x14ac:dyDescent="0.3">
      <c r="A42" s="290">
        <f t="shared" si="1"/>
        <v>6</v>
      </c>
      <c r="B42" s="602"/>
      <c r="C42" s="602" t="s">
        <v>7296</v>
      </c>
      <c r="D42" s="606" t="s">
        <v>8786</v>
      </c>
      <c r="E42" s="593"/>
      <c r="F42" s="603"/>
      <c r="G42" s="594"/>
      <c r="H42" s="595"/>
      <c r="I42" s="595"/>
      <c r="J42" s="597"/>
      <c r="K42" s="604" t="str">
        <f>IF(A42=0,VLOOKUP(D42,'03. Insumos'!A:F,4,0),"")</f>
        <v/>
      </c>
      <c r="L42" s="628">
        <f>SUM(L43:L44)</f>
        <v>12000</v>
      </c>
      <c r="M42" s="153">
        <f t="shared" ca="1" si="0"/>
        <v>7.2862481283536649E-4</v>
      </c>
      <c r="O42" s="148"/>
      <c r="R42" s="12">
        <f t="shared" si="3"/>
        <v>0</v>
      </c>
    </row>
    <row r="43" spans="1:18" s="51" customFormat="1" outlineLevel="1" x14ac:dyDescent="0.3">
      <c r="A43" s="13">
        <f t="shared" si="1"/>
        <v>0</v>
      </c>
      <c r="B43" s="49"/>
      <c r="C43" s="49"/>
      <c r="D43" s="370" t="s">
        <v>6119</v>
      </c>
      <c r="E43" s="706" t="str">
        <f>VLOOKUP(D43,'03. Insumos'!A:D,2,0)</f>
        <v>Laudo de Vistoria de Vizinhos</v>
      </c>
      <c r="F43" s="68" t="s">
        <v>5218</v>
      </c>
      <c r="G43" s="68" t="str">
        <f>VLOOKUP(D43,'03. Insumos'!A:F,3,0)</f>
        <v>vb</v>
      </c>
      <c r="H43" s="69">
        <v>12000</v>
      </c>
      <c r="I43" s="483">
        <v>1</v>
      </c>
      <c r="J43" s="70">
        <f t="shared" si="22"/>
        <v>1</v>
      </c>
      <c r="K43" s="54">
        <f>IF(A43=0,VLOOKUP(D43,'03. Insumos'!A:F,4,0),"")</f>
        <v>1</v>
      </c>
      <c r="L43" s="70">
        <f t="shared" ref="L43:L44" si="43">H43*J43*I43</f>
        <v>12000</v>
      </c>
      <c r="M43" s="153">
        <f t="shared" ca="1" si="0"/>
        <v>7.2862481283536649E-4</v>
      </c>
      <c r="O43" s="148">
        <f t="shared" ref="O43:O44" si="44">IF(I43&lt;&gt;0,I43*H43*K43,)</f>
        <v>12000</v>
      </c>
      <c r="R43" s="12">
        <f t="shared" si="3"/>
        <v>-2.9126213592232997E-2</v>
      </c>
    </row>
    <row r="44" spans="1:18" s="51" customFormat="1" hidden="1" outlineLevel="1" x14ac:dyDescent="0.3">
      <c r="A44" s="290">
        <f t="shared" si="1"/>
        <v>0</v>
      </c>
      <c r="B44" s="49"/>
      <c r="C44" s="49"/>
      <c r="D44" s="370" t="s">
        <v>6120</v>
      </c>
      <c r="E44" s="67" t="str">
        <f>VLOOKUP(D44,'03. Insumos'!A:D,2,0)</f>
        <v>Laudo de Aterramento</v>
      </c>
      <c r="F44" s="68" t="s">
        <v>5218</v>
      </c>
      <c r="G44" s="68" t="str">
        <f>VLOOKUP(D44,'03. Insumos'!A:F,3,0)</f>
        <v>vb</v>
      </c>
      <c r="H44" s="69"/>
      <c r="I44" s="483">
        <v>1</v>
      </c>
      <c r="J44" s="70">
        <f t="shared" si="22"/>
        <v>1</v>
      </c>
      <c r="K44" s="54">
        <f>IF(A44=0,VLOOKUP(D44,'03. Insumos'!A:F,4,0),"")</f>
        <v>1</v>
      </c>
      <c r="L44" s="485">
        <f t="shared" si="43"/>
        <v>0</v>
      </c>
      <c r="M44" s="153">
        <f t="shared" ca="1" si="0"/>
        <v>0</v>
      </c>
      <c r="O44" s="148">
        <f t="shared" si="44"/>
        <v>0</v>
      </c>
      <c r="R44" s="12">
        <f t="shared" si="3"/>
        <v>-2.9126213592232997E-2</v>
      </c>
    </row>
    <row r="45" spans="1:18" s="34" customFormat="1" ht="13.5" customHeight="1" outlineLevel="1" x14ac:dyDescent="0.3">
      <c r="A45" s="13">
        <f t="shared" si="1"/>
        <v>6</v>
      </c>
      <c r="B45" s="602"/>
      <c r="C45" s="602" t="s">
        <v>7297</v>
      </c>
      <c r="D45" s="606" t="s">
        <v>1001</v>
      </c>
      <c r="E45" s="593"/>
      <c r="F45" s="603"/>
      <c r="G45" s="594"/>
      <c r="H45" s="595"/>
      <c r="I45" s="595"/>
      <c r="J45" s="597"/>
      <c r="K45" s="604" t="str">
        <f>IF(A45=0,VLOOKUP(D45,'03. Insumos'!A:F,4,0),"")</f>
        <v/>
      </c>
      <c r="L45" s="628">
        <f>SUM(L46:L48)</f>
        <v>17900</v>
      </c>
      <c r="M45" s="153">
        <f t="shared" ca="1" si="0"/>
        <v>1.086865345812755E-3</v>
      </c>
      <c r="O45" s="148"/>
      <c r="R45" s="356">
        <f t="shared" si="3"/>
        <v>0</v>
      </c>
    </row>
    <row r="46" spans="1:18" s="486" customFormat="1" ht="13.5" customHeight="1" outlineLevel="1" x14ac:dyDescent="0.3">
      <c r="A46" s="290">
        <f t="shared" si="1"/>
        <v>0</v>
      </c>
      <c r="B46" s="480"/>
      <c r="C46" s="480"/>
      <c r="D46" s="370" t="s">
        <v>1875</v>
      </c>
      <c r="E46" s="481" t="str">
        <f>VLOOKUP(D46,'03. Insumos'!A:D,2,0)</f>
        <v>Seguro responsabilidade civil e cruzada</v>
      </c>
      <c r="F46" s="482" t="s">
        <v>2599</v>
      </c>
      <c r="G46" s="482" t="str">
        <f>VLOOKUP(D46,'03. Insumos'!A:F,3,0)</f>
        <v>vb</v>
      </c>
      <c r="H46" s="69">
        <v>17900</v>
      </c>
      <c r="I46" s="483">
        <v>1</v>
      </c>
      <c r="J46" s="485">
        <v>1</v>
      </c>
      <c r="K46" s="485">
        <f>IF(A46=0,VLOOKUP(D46,'03. Insumos'!A:F,4,0),"")</f>
        <v>1</v>
      </c>
      <c r="L46" s="485">
        <f>H46*J46*I46</f>
        <v>17900</v>
      </c>
      <c r="M46" s="153">
        <f t="shared" ca="1" si="0"/>
        <v>1.086865345812755E-3</v>
      </c>
      <c r="O46" s="512">
        <f>IF(I46&lt;&gt;0,I46*H46*K46,)</f>
        <v>17900</v>
      </c>
      <c r="R46" s="487">
        <f t="shared" si="3"/>
        <v>-2.9126213592232997E-2</v>
      </c>
    </row>
    <row r="47" spans="1:18" s="51" customFormat="1" ht="13.5" hidden="1" customHeight="1" outlineLevel="1" x14ac:dyDescent="0.3">
      <c r="A47" s="290">
        <f t="shared" si="1"/>
        <v>0</v>
      </c>
      <c r="B47" s="49"/>
      <c r="C47" s="49"/>
      <c r="D47" s="370" t="s">
        <v>1876</v>
      </c>
      <c r="E47" s="481" t="str">
        <f>VLOOKUP(D47,'03. Insumos'!A:D,2,0)</f>
        <v>Seguro Performance Bond</v>
      </c>
      <c r="F47" s="68"/>
      <c r="G47" s="68" t="str">
        <f>VLOOKUP(D47,'03. Insumos'!A:F,3,0)</f>
        <v>vb</v>
      </c>
      <c r="H47" s="69">
        <v>44000</v>
      </c>
      <c r="I47" s="483"/>
      <c r="J47" s="70">
        <f>IFERROR(IF(K47&lt;&gt;0,K47*$K$5,0),0)</f>
        <v>1</v>
      </c>
      <c r="K47" s="54">
        <f>IF(A47=0,VLOOKUP(D47,'03. Insumos'!A:F,4,0),"")</f>
        <v>1</v>
      </c>
      <c r="L47" s="485">
        <f>H47*J47*I47</f>
        <v>0</v>
      </c>
      <c r="M47" s="153">
        <f t="shared" ca="1" si="0"/>
        <v>0</v>
      </c>
      <c r="O47" s="148"/>
      <c r="R47" s="12"/>
    </row>
    <row r="48" spans="1:18" s="51" customFormat="1" ht="13.5" hidden="1" customHeight="1" outlineLevel="1" x14ac:dyDescent="0.3">
      <c r="A48" s="290">
        <f t="shared" si="1"/>
        <v>0</v>
      </c>
      <c r="B48" s="49"/>
      <c r="C48" s="49"/>
      <c r="D48" s="370" t="s">
        <v>2018</v>
      </c>
      <c r="E48" s="370" t="str">
        <f>VLOOKUP(D48,'03. Insumos'!A:D,2,0)</f>
        <v>Carta fiança (10% valor)</v>
      </c>
      <c r="F48" s="68"/>
      <c r="G48" s="68" t="str">
        <f>VLOOKUP(D48,'03. Insumos'!A:F,3,0)</f>
        <v>vb</v>
      </c>
      <c r="H48" s="69"/>
      <c r="I48" s="483"/>
      <c r="J48" s="70">
        <f>IFERROR(IF(K48&lt;&gt;0,K48*$K$5,0),0)</f>
        <v>85135.684800000003</v>
      </c>
      <c r="K48" s="54">
        <f>0.03*2837856.16</f>
        <v>85135.684800000003</v>
      </c>
      <c r="L48" s="485">
        <f>H48*J48*I48</f>
        <v>0</v>
      </c>
      <c r="M48" s="153">
        <f t="shared" ca="1" si="0"/>
        <v>0</v>
      </c>
      <c r="O48" s="148"/>
      <c r="R48" s="12"/>
    </row>
    <row r="49" spans="1:18" s="592" customFormat="1" ht="13.5" customHeight="1" x14ac:dyDescent="0.3">
      <c r="A49" s="478">
        <f t="shared" si="1"/>
        <v>3</v>
      </c>
      <c r="B49" s="390"/>
      <c r="C49" s="390" t="s">
        <v>355</v>
      </c>
      <c r="D49" s="390" t="s">
        <v>77</v>
      </c>
      <c r="E49" s="390"/>
      <c r="F49" s="323"/>
      <c r="G49" s="323"/>
      <c r="H49" s="324"/>
      <c r="I49" s="324"/>
      <c r="J49" s="333"/>
      <c r="K49" s="333"/>
      <c r="L49" s="333">
        <f>SUMIF(A50:A71,4,L50:L71)</f>
        <v>288861.24</v>
      </c>
      <c r="M49" s="153">
        <f t="shared" ca="1" si="0"/>
        <v>1.753928891086599E-2</v>
      </c>
      <c r="O49" s="499">
        <f>IF(I49&lt;&gt;0,I49*H49*K49,)</f>
        <v>0</v>
      </c>
      <c r="R49" s="348">
        <f>IF(J49&lt;&gt;0,J49/1.03-K49,0)</f>
        <v>0</v>
      </c>
    </row>
    <row r="50" spans="1:18" s="18" customFormat="1" ht="13.5" customHeight="1" outlineLevel="1" x14ac:dyDescent="0.3">
      <c r="A50" s="290">
        <f t="shared" si="1"/>
        <v>4</v>
      </c>
      <c r="B50" s="45"/>
      <c r="C50" s="45" t="s">
        <v>387</v>
      </c>
      <c r="D50" s="45" t="s">
        <v>36</v>
      </c>
      <c r="E50" s="347"/>
      <c r="F50" s="327"/>
      <c r="G50" s="327"/>
      <c r="H50" s="328"/>
      <c r="I50" s="328"/>
      <c r="J50" s="335"/>
      <c r="K50" s="335" t="str">
        <f>IF(A50=0,VLOOKUP(D50,'03. Insumos'!A:F,4,0),"")</f>
        <v/>
      </c>
      <c r="L50" s="335">
        <f>SUMIF(A51:A71,6,L51:L71)</f>
        <v>288861.24</v>
      </c>
      <c r="M50" s="153">
        <f t="shared" ca="1" si="0"/>
        <v>1.753928891086599E-2</v>
      </c>
      <c r="O50" s="148">
        <f>IF(I50&lt;&gt;0,I50*H50*K50,)</f>
        <v>0</v>
      </c>
      <c r="R50" s="12">
        <f>IF(J50&lt;&gt;0,J50/1.03-K50,0)</f>
        <v>0</v>
      </c>
    </row>
    <row r="51" spans="1:18" s="592" customFormat="1" ht="13.5" customHeight="1" outlineLevel="1" x14ac:dyDescent="0.3">
      <c r="A51" s="18">
        <f t="shared" si="1"/>
        <v>6</v>
      </c>
      <c r="B51" s="391"/>
      <c r="C51" s="391" t="s">
        <v>914</v>
      </c>
      <c r="D51" s="391" t="s">
        <v>8466</v>
      </c>
      <c r="E51" s="391"/>
      <c r="F51" s="325"/>
      <c r="G51" s="325"/>
      <c r="H51" s="326"/>
      <c r="I51" s="326"/>
      <c r="J51" s="334"/>
      <c r="K51" s="334" t="str">
        <f>IF(A51=0,VLOOKUP(D51,'03. Insumos'!A:F,4,0),"")</f>
        <v/>
      </c>
      <c r="L51" s="334">
        <f>SUM(L52:L56)</f>
        <v>180010</v>
      </c>
      <c r="M51" s="153">
        <f t="shared" ca="1" si="0"/>
        <v>1.0929979379874527E-2</v>
      </c>
      <c r="O51" s="600">
        <f>IF(I51&lt;&gt;0,I51*H51*K51,)</f>
        <v>0</v>
      </c>
      <c r="R51" s="601">
        <f>IF(J51&lt;&gt;0,J51/1.03-K51,0)</f>
        <v>0</v>
      </c>
    </row>
    <row r="52" spans="1:18" s="51" customFormat="1" ht="13.5" customHeight="1" outlineLevel="1" x14ac:dyDescent="0.3">
      <c r="A52" s="13">
        <f t="shared" si="1"/>
        <v>0</v>
      </c>
      <c r="B52" s="49"/>
      <c r="C52" s="49"/>
      <c r="D52" s="370" t="s">
        <v>6121</v>
      </c>
      <c r="E52" s="67" t="str">
        <f>VLOOKUP(D52,'03. Insumos'!A:D,2,0)</f>
        <v>Confecção de Barracão - MAT + MO</v>
      </c>
      <c r="F52" s="68" t="s">
        <v>5218</v>
      </c>
      <c r="G52" s="68" t="str">
        <f>VLOOKUP(D52,'03. Insumos'!A:F,3,0)</f>
        <v>m²</v>
      </c>
      <c r="H52" s="69">
        <v>65</v>
      </c>
      <c r="I52" s="69">
        <v>1</v>
      </c>
      <c r="J52" s="70">
        <v>1950</v>
      </c>
      <c r="K52" s="54">
        <f>IF(A52=0,VLOOKUP(D52,'03. Insumos'!A:F,4,0),"")</f>
        <v>1950</v>
      </c>
      <c r="L52" s="70">
        <f>H52*J52*I52</f>
        <v>126750</v>
      </c>
      <c r="M52" s="153">
        <f t="shared" ca="1" si="0"/>
        <v>7.6960995855735589E-3</v>
      </c>
      <c r="O52" s="148">
        <f>IF(I52&lt;&gt;0,I52*H52*K52,)</f>
        <v>126750</v>
      </c>
      <c r="R52" s="356">
        <f>IF(J52&lt;&gt;0,J52/1.03-K52,0)</f>
        <v>-56.796116504854353</v>
      </c>
    </row>
    <row r="53" spans="1:18" s="51" customFormat="1" ht="13.5" customHeight="1" outlineLevel="1" x14ac:dyDescent="0.3">
      <c r="A53" s="13">
        <f t="shared" si="1"/>
        <v>0</v>
      </c>
      <c r="B53" s="49"/>
      <c r="C53" s="49"/>
      <c r="D53" s="370" t="s">
        <v>6122</v>
      </c>
      <c r="E53" s="67" t="str">
        <f>VLOOKUP(D53,'03. Insumos'!A:D,2,0)</f>
        <v>Mobiliário para Áreas de Vivência</v>
      </c>
      <c r="F53" s="68" t="s">
        <v>3809</v>
      </c>
      <c r="G53" s="68" t="str">
        <f>VLOOKUP(D53,'03. Insumos'!A:F,3,0)</f>
        <v>vb</v>
      </c>
      <c r="H53" s="69">
        <v>29600</v>
      </c>
      <c r="I53" s="69">
        <v>1</v>
      </c>
      <c r="J53" s="70">
        <v>1</v>
      </c>
      <c r="K53" s="54">
        <f>IF(A53=0,VLOOKUP(D53,'03. Insumos'!A:F,4,0),"")</f>
        <v>1</v>
      </c>
      <c r="L53" s="70">
        <f>H53*J53*I53</f>
        <v>29600</v>
      </c>
      <c r="M53" s="153">
        <f t="shared" ca="1" si="0"/>
        <v>1.7972745383272374E-3</v>
      </c>
      <c r="O53" s="148"/>
      <c r="R53" s="356"/>
    </row>
    <row r="54" spans="1:18" s="51" customFormat="1" ht="13.5" customHeight="1" outlineLevel="1" x14ac:dyDescent="0.3">
      <c r="A54" s="13">
        <f t="shared" si="1"/>
        <v>0</v>
      </c>
      <c r="B54" s="49"/>
      <c r="C54" s="49"/>
      <c r="D54" s="370" t="s">
        <v>6123</v>
      </c>
      <c r="E54" s="67" t="str">
        <f>VLOOKUP(D54,'03. Insumos'!A:D,2,0)</f>
        <v>Desmobilização Barracão</v>
      </c>
      <c r="F54" s="68" t="s">
        <v>5218</v>
      </c>
      <c r="G54" s="68" t="str">
        <f>VLOOKUP(D54,'03. Insumos'!A:F,3,0)</f>
        <v>vb</v>
      </c>
      <c r="H54" s="69">
        <v>5000</v>
      </c>
      <c r="I54" s="69">
        <v>1</v>
      </c>
      <c r="J54" s="70">
        <v>1</v>
      </c>
      <c r="K54" s="54">
        <f>IF(A54=0,VLOOKUP(D54,'03. Insumos'!A:F,4,0),"")</f>
        <v>1</v>
      </c>
      <c r="L54" s="70">
        <f t="shared" ref="L54:L55" si="45">H54*J54*I54</f>
        <v>5000</v>
      </c>
      <c r="M54" s="153">
        <f t="shared" ca="1" si="0"/>
        <v>3.0359367201473607E-4</v>
      </c>
      <c r="O54" s="148"/>
      <c r="R54" s="356"/>
    </row>
    <row r="55" spans="1:18" s="51" customFormat="1" ht="13.5" customHeight="1" outlineLevel="1" x14ac:dyDescent="0.3">
      <c r="A55" s="13">
        <f t="shared" si="1"/>
        <v>0</v>
      </c>
      <c r="B55" s="49"/>
      <c r="C55" s="49"/>
      <c r="D55" s="370" t="s">
        <v>6801</v>
      </c>
      <c r="E55" s="67" t="str">
        <f>VLOOKUP(D55,'03. Insumos'!A:D,2,0)</f>
        <v>Banheiro Químico</v>
      </c>
      <c r="F55" s="68" t="s">
        <v>5218</v>
      </c>
      <c r="G55" s="68" t="str">
        <f>VLOOKUP(D55,'03. Insumos'!A:F,3,0)</f>
        <v>mês</v>
      </c>
      <c r="H55" s="69">
        <v>2</v>
      </c>
      <c r="I55" s="69">
        <v>1</v>
      </c>
      <c r="J55" s="70">
        <f t="shared" ref="J55" si="46">IFERROR(IF(K55&lt;&gt;0,K55*$K$5,0),0)</f>
        <v>1050</v>
      </c>
      <c r="K55" s="54">
        <f>IF(A55=0,VLOOKUP(D55,'03. Insumos'!A:F,4,0),"")</f>
        <v>1050</v>
      </c>
      <c r="L55" s="70">
        <f t="shared" si="45"/>
        <v>2100</v>
      </c>
      <c r="M55" s="153">
        <f t="shared" ca="1" si="0"/>
        <v>1.2750934224618914E-4</v>
      </c>
      <c r="O55" s="148"/>
      <c r="R55" s="356"/>
    </row>
    <row r="56" spans="1:18" s="51" customFormat="1" ht="13.5" customHeight="1" outlineLevel="1" x14ac:dyDescent="0.3">
      <c r="A56" s="13">
        <f t="shared" ref="A56" si="47">LEN(C56)</f>
        <v>0</v>
      </c>
      <c r="B56" s="49"/>
      <c r="C56" s="49"/>
      <c r="D56" s="370" t="s">
        <v>6402</v>
      </c>
      <c r="E56" s="67" t="str">
        <f>VLOOKUP(D56,'03. Insumos'!A:D,2,0)</f>
        <v>Dedetização, Desintização e Desratização</v>
      </c>
      <c r="F56" s="68" t="s">
        <v>5218</v>
      </c>
      <c r="G56" s="68" t="str">
        <f>VLOOKUP(D56,'03. Insumos'!A:F,3,0)</f>
        <v>mês</v>
      </c>
      <c r="H56" s="69">
        <v>1</v>
      </c>
      <c r="I56" s="69">
        <f>L2</f>
        <v>36</v>
      </c>
      <c r="J56" s="70">
        <f t="shared" ref="J56" si="48">IFERROR(IF(K56&lt;&gt;0,K56*$K$5,0),0)</f>
        <v>460</v>
      </c>
      <c r="K56" s="54">
        <f>IF(A56=0,VLOOKUP(D56,'03. Insumos'!A:F,4,0),"")</f>
        <v>460</v>
      </c>
      <c r="L56" s="70">
        <f t="shared" ref="L56" si="49">H56*J56*I56</f>
        <v>16560</v>
      </c>
      <c r="M56" s="153">
        <f t="shared" ref="M56" ca="1" si="50">L56/$L$7</f>
        <v>1.0055022417128057E-3</v>
      </c>
      <c r="O56" s="148"/>
      <c r="R56" s="356"/>
    </row>
    <row r="57" spans="1:18" s="592" customFormat="1" ht="13.5" customHeight="1" outlineLevel="1" x14ac:dyDescent="0.3">
      <c r="A57" s="18">
        <f t="shared" si="1"/>
        <v>6</v>
      </c>
      <c r="B57" s="391"/>
      <c r="C57" s="391" t="s">
        <v>915</v>
      </c>
      <c r="D57" s="391" t="s">
        <v>3554</v>
      </c>
      <c r="E57" s="391"/>
      <c r="F57" s="325"/>
      <c r="G57" s="325" t="s">
        <v>74</v>
      </c>
      <c r="H57" s="326">
        <v>29.77</v>
      </c>
      <c r="I57" s="326"/>
      <c r="J57" s="334"/>
      <c r="K57" s="334" t="str">
        <f>IF(A57=0,VLOOKUP(D57,'03. Insumos'!A:F,4,0),"")</f>
        <v/>
      </c>
      <c r="L57" s="334">
        <f>SUM(L58:L58)</f>
        <v>15778.1</v>
      </c>
      <c r="M57" s="153">
        <f t="shared" ca="1" si="0"/>
        <v>9.5802626328314144E-4</v>
      </c>
      <c r="O57" s="600">
        <f>IF(I57&lt;&gt;0,I57*H57*K57,)</f>
        <v>0</v>
      </c>
      <c r="R57" s="601">
        <f>IF(J57&lt;&gt;0,J57/1.03-K57,0)</f>
        <v>0</v>
      </c>
    </row>
    <row r="58" spans="1:18" s="51" customFormat="1" ht="13.5" customHeight="1" outlineLevel="1" x14ac:dyDescent="0.3">
      <c r="A58" s="13">
        <f>LEN(C58)</f>
        <v>0</v>
      </c>
      <c r="B58" s="49"/>
      <c r="C58" s="49"/>
      <c r="D58" s="370" t="s">
        <v>409</v>
      </c>
      <c r="E58" s="67" t="str">
        <f>VLOOKUP(D58,'03. Insumos'!A:D,2,0)</f>
        <v>Tapume com telha metálica (h=2,20m) - material e mão de obra</v>
      </c>
      <c r="F58" s="68" t="s">
        <v>5218</v>
      </c>
      <c r="G58" s="68" t="str">
        <f>VLOOKUP(D58,'03. Insumos'!A:F,3,0)</f>
        <v>m</v>
      </c>
      <c r="H58" s="69">
        <v>1</v>
      </c>
      <c r="I58" s="69">
        <f>H57</f>
        <v>29.77</v>
      </c>
      <c r="J58" s="70">
        <f>IFERROR(IF(K58&lt;&gt;0,K58*$K$5,0),0)</f>
        <v>530</v>
      </c>
      <c r="K58" s="54">
        <f>IF(A58=0,VLOOKUP(D58,'03. Insumos'!A:F,4,0),"")</f>
        <v>530</v>
      </c>
      <c r="L58" s="70">
        <f>H58*J58*I58</f>
        <v>15778.1</v>
      </c>
      <c r="M58" s="153">
        <f t="shared" ca="1" si="0"/>
        <v>9.5802626328314144E-4</v>
      </c>
      <c r="O58" s="148"/>
      <c r="R58" s="356"/>
    </row>
    <row r="59" spans="1:18" s="592" customFormat="1" ht="13.5" customHeight="1" outlineLevel="1" x14ac:dyDescent="0.3">
      <c r="A59" s="18">
        <f>LEN(C59)</f>
        <v>6</v>
      </c>
      <c r="B59" s="391"/>
      <c r="C59" s="391" t="s">
        <v>916</v>
      </c>
      <c r="D59" s="391" t="s">
        <v>3555</v>
      </c>
      <c r="E59" s="391"/>
      <c r="F59" s="325"/>
      <c r="G59" s="325" t="s">
        <v>74</v>
      </c>
      <c r="H59" s="326">
        <v>140.37</v>
      </c>
      <c r="I59" s="326"/>
      <c r="J59" s="334"/>
      <c r="K59" s="334" t="str">
        <f>IF(A59=0,VLOOKUP(D59,'03. Insumos'!A:F,4,0),"")</f>
        <v/>
      </c>
      <c r="L59" s="334">
        <f>SUM(L60:L60)</f>
        <v>16844.400000000001</v>
      </c>
      <c r="M59" s="153">
        <f t="shared" ca="1" si="0"/>
        <v>1.022770649777004E-3</v>
      </c>
      <c r="O59" s="600">
        <f>IF(I59&lt;&gt;0,I59*H59*K59,)</f>
        <v>0</v>
      </c>
      <c r="R59" s="601">
        <f>IF(J59&lt;&gt;0,J59/1.03-K59,0)</f>
        <v>0</v>
      </c>
    </row>
    <row r="60" spans="1:18" s="51" customFormat="1" ht="13.5" customHeight="1" outlineLevel="1" x14ac:dyDescent="0.3">
      <c r="A60" s="13">
        <f>LEN(C60)</f>
        <v>0</v>
      </c>
      <c r="B60" s="49"/>
      <c r="C60" s="49"/>
      <c r="D60" s="370" t="s">
        <v>414</v>
      </c>
      <c r="E60" s="67" t="str">
        <f>VLOOKUP(D60,'03. Insumos'!A:D,2,0)</f>
        <v>Gabarito - Material + Mão de Obra</v>
      </c>
      <c r="F60" s="68" t="s">
        <v>3809</v>
      </c>
      <c r="G60" s="68" t="str">
        <f>VLOOKUP(D60,'03. Insumos'!A:F,3,0)</f>
        <v>m</v>
      </c>
      <c r="H60" s="69">
        <v>1</v>
      </c>
      <c r="I60" s="69">
        <f>H59</f>
        <v>140.37</v>
      </c>
      <c r="J60" s="70">
        <f>IFERROR(IF(K60&lt;&gt;0,K60*$K$5,0),0)</f>
        <v>120</v>
      </c>
      <c r="K60" s="54">
        <f>IF(A60=0,VLOOKUP(D60,'03. Insumos'!A:F,4,0),"")</f>
        <v>120</v>
      </c>
      <c r="L60" s="70">
        <f>H60*J60*I60</f>
        <v>16844.400000000001</v>
      </c>
      <c r="M60" s="153">
        <f t="shared" ca="1" si="0"/>
        <v>1.022770649777004E-3</v>
      </c>
      <c r="O60" s="148"/>
      <c r="R60" s="356"/>
    </row>
    <row r="61" spans="1:18" s="592" customFormat="1" ht="13.5" customHeight="1" outlineLevel="1" x14ac:dyDescent="0.3">
      <c r="A61" s="18">
        <f t="shared" ref="A61:A69" si="51">LEN(C61)</f>
        <v>6</v>
      </c>
      <c r="B61" s="391"/>
      <c r="C61" s="391" t="s">
        <v>6340</v>
      </c>
      <c r="D61" s="391" t="s">
        <v>904</v>
      </c>
      <c r="E61" s="391"/>
      <c r="F61" s="325"/>
      <c r="G61" s="325" t="s">
        <v>29</v>
      </c>
      <c r="H61" s="326">
        <v>72200</v>
      </c>
      <c r="I61" s="326"/>
      <c r="J61" s="334"/>
      <c r="K61" s="334" t="str">
        <f>IF(A61=0,VLOOKUP(D61,'03. Insumos'!A:F,4,0),"")</f>
        <v/>
      </c>
      <c r="L61" s="334">
        <f>SUM(L62:L64)</f>
        <v>72200</v>
      </c>
      <c r="M61" s="153">
        <f t="shared" ca="1" si="0"/>
        <v>4.3838926238927885E-3</v>
      </c>
      <c r="O61" s="600">
        <f>IF(I61&lt;&gt;0,I61*H61*K61,)</f>
        <v>0</v>
      </c>
      <c r="R61" s="601">
        <f>IF(J61&lt;&gt;0,J61/1.03-K61,0)</f>
        <v>0</v>
      </c>
    </row>
    <row r="62" spans="1:18" s="51" customFormat="1" ht="13.5" customHeight="1" outlineLevel="1" x14ac:dyDescent="0.3">
      <c r="A62" s="13">
        <f t="shared" si="51"/>
        <v>0</v>
      </c>
      <c r="B62" s="49"/>
      <c r="C62" s="49"/>
      <c r="D62" s="370" t="s">
        <v>6116</v>
      </c>
      <c r="E62" s="706" t="str">
        <f>VLOOKUP(D62,'03. Insumos'!A:D,2,0)</f>
        <v>Instalações Provisórias - MAT + MO</v>
      </c>
      <c r="F62" s="68" t="s">
        <v>5218</v>
      </c>
      <c r="G62" s="68" t="s">
        <v>29</v>
      </c>
      <c r="H62" s="69">
        <v>1</v>
      </c>
      <c r="I62" s="483">
        <f>H61</f>
        <v>72200</v>
      </c>
      <c r="J62" s="70">
        <v>1</v>
      </c>
      <c r="K62" s="70">
        <f>IF(A62=0,VLOOKUP(D62,'03. Insumos'!A:F,4,0),"")</f>
        <v>1</v>
      </c>
      <c r="L62" s="70">
        <f t="shared" ref="L62:L63" si="52">H62*J62*I62</f>
        <v>72200</v>
      </c>
      <c r="M62" s="153">
        <f t="shared" ca="1" si="0"/>
        <v>4.3838926238927885E-3</v>
      </c>
      <c r="O62" s="148">
        <f>IF(I62&lt;&gt;0,I62*H62*K62,)</f>
        <v>72200</v>
      </c>
      <c r="R62" s="356">
        <f>IF(J62&lt;&gt;0,J62/1.03-K62,0)</f>
        <v>-2.9126213592232997E-2</v>
      </c>
    </row>
    <row r="63" spans="1:18" s="51" customFormat="1" ht="13.5" hidden="1" customHeight="1" outlineLevel="1" x14ac:dyDescent="0.3">
      <c r="A63" s="13">
        <f t="shared" si="51"/>
        <v>0</v>
      </c>
      <c r="B63" s="49"/>
      <c r="C63" s="49"/>
      <c r="D63" s="370" t="s">
        <v>6117</v>
      </c>
      <c r="E63" s="67" t="str">
        <f>VLOOKUP(D63,'03. Insumos'!A:D,2,0)</f>
        <v>Serviços de ligações provisórias de energia</v>
      </c>
      <c r="F63" s="68" t="s">
        <v>5218</v>
      </c>
      <c r="G63" s="68" t="str">
        <f>VLOOKUP(D63,'03. Insumos'!A:F,3,0)</f>
        <v>vb</v>
      </c>
      <c r="H63" s="69"/>
      <c r="I63" s="483">
        <v>1</v>
      </c>
      <c r="J63" s="338">
        <f t="shared" ref="J63:J64" si="53">IFERROR(IF(K63&lt;&gt;0,K63*$K$5,0),0)</f>
        <v>1</v>
      </c>
      <c r="K63" s="70">
        <f>IF(A63=0,VLOOKUP(D63,'03. Insumos'!A:F,4,0),"")</f>
        <v>1</v>
      </c>
      <c r="L63" s="70">
        <f t="shared" si="52"/>
        <v>0</v>
      </c>
      <c r="M63" s="153">
        <f t="shared" ca="1" si="0"/>
        <v>0</v>
      </c>
      <c r="O63" s="148"/>
      <c r="R63" s="356"/>
    </row>
    <row r="64" spans="1:18" s="51" customFormat="1" ht="13.5" hidden="1" customHeight="1" outlineLevel="1" x14ac:dyDescent="0.3">
      <c r="A64" s="13">
        <f t="shared" si="51"/>
        <v>0</v>
      </c>
      <c r="B64" s="49"/>
      <c r="C64" s="49"/>
      <c r="D64" s="370" t="s">
        <v>6118</v>
      </c>
      <c r="E64" s="67" t="str">
        <f>VLOOKUP(D64,'03. Insumos'!A:D,2,0)</f>
        <v>Instalações - Aprovação de Esgoto Provisório</v>
      </c>
      <c r="F64" s="68" t="s">
        <v>5218</v>
      </c>
      <c r="G64" s="68" t="str">
        <f>VLOOKUP(D64,'03. Insumos'!A:F,3,0)</f>
        <v>vb</v>
      </c>
      <c r="H64" s="69"/>
      <c r="I64" s="483">
        <v>1</v>
      </c>
      <c r="J64" s="70">
        <f t="shared" si="53"/>
        <v>1</v>
      </c>
      <c r="K64" s="70">
        <f>IF(A64=0,VLOOKUP(D64,'03. Insumos'!A:F,4,0),"")</f>
        <v>1</v>
      </c>
      <c r="L64" s="70">
        <f>H64*J64*I64</f>
        <v>0</v>
      </c>
      <c r="M64" s="153">
        <f t="shared" ca="1" si="0"/>
        <v>0</v>
      </c>
      <c r="O64" s="148"/>
      <c r="R64" s="356"/>
    </row>
    <row r="65" spans="1:18" s="592" customFormat="1" ht="13.5" customHeight="1" outlineLevel="1" x14ac:dyDescent="0.3">
      <c r="A65" s="18">
        <f t="shared" si="51"/>
        <v>6</v>
      </c>
      <c r="B65" s="391"/>
      <c r="C65" s="391" t="s">
        <v>6358</v>
      </c>
      <c r="D65" s="391" t="s">
        <v>6344</v>
      </c>
      <c r="E65" s="391"/>
      <c r="F65" s="325"/>
      <c r="G65" s="325" t="s">
        <v>74</v>
      </c>
      <c r="H65" s="326">
        <f>2.6*3</f>
        <v>7.8000000000000007</v>
      </c>
      <c r="I65" s="326"/>
      <c r="J65" s="334"/>
      <c r="K65" s="334" t="str">
        <f>IF(A65=0,VLOOKUP(D65,'03. Insumos'!A:F,4,0),"")</f>
        <v/>
      </c>
      <c r="L65" s="334">
        <f>SUM(L66:L69)</f>
        <v>4028.74</v>
      </c>
      <c r="M65" s="153">
        <f t="shared" ca="1" si="0"/>
        <v>2.4461999403852951E-4</v>
      </c>
      <c r="O65" s="600">
        <f>IF(I65&lt;&gt;0,I65*H65*K65,)</f>
        <v>0</v>
      </c>
      <c r="R65" s="601">
        <f>IF(J65&lt;&gt;0,J65/1.03-K65,0)</f>
        <v>0</v>
      </c>
    </row>
    <row r="66" spans="1:18" s="51" customFormat="1" ht="13.5" customHeight="1" outlineLevel="1" x14ac:dyDescent="0.3">
      <c r="A66" s="13">
        <f t="shared" si="51"/>
        <v>0</v>
      </c>
      <c r="B66" s="49"/>
      <c r="C66" s="49"/>
      <c r="D66" s="370" t="s">
        <v>6130</v>
      </c>
      <c r="E66" s="706" t="str">
        <f>VLOOKUP(D66,'03. Insumos'!A:D,2,0)</f>
        <v>Tubo Coletor de Entulho Intermediário</v>
      </c>
      <c r="F66" s="68" t="s">
        <v>5218</v>
      </c>
      <c r="G66" s="68" t="str">
        <f>VLOOKUP(D66,'03. Insumos'!A:F,3,0)</f>
        <v>unid</v>
      </c>
      <c r="H66" s="69">
        <v>2</v>
      </c>
      <c r="I66" s="69">
        <v>3</v>
      </c>
      <c r="J66" s="70">
        <f t="shared" ref="J66:J69" si="54">IFERROR(IF(K66&lt;&gt;0,K66*$K$5,0),0)</f>
        <v>167.85</v>
      </c>
      <c r="K66" s="70">
        <f>IF(A66=0,VLOOKUP(D66,'03. Insumos'!A:F,4,0),"")</f>
        <v>167.85</v>
      </c>
      <c r="L66" s="70">
        <f t="shared" ref="L66:L67" si="55">H66*J66*I66</f>
        <v>1007.0999999999999</v>
      </c>
      <c r="M66" s="153">
        <f t="shared" ca="1" si="0"/>
        <v>6.1149837417208135E-5</v>
      </c>
      <c r="O66" s="148">
        <f>IF(I66&lt;&gt;0,I66*H66*K66,)</f>
        <v>1007.0999999999999</v>
      </c>
      <c r="R66" s="356">
        <f>IF(J66&lt;&gt;0,J66/1.03-K66,0)</f>
        <v>-4.8888349514563174</v>
      </c>
    </row>
    <row r="67" spans="1:18" s="51" customFormat="1" ht="13.5" customHeight="1" outlineLevel="1" x14ac:dyDescent="0.3">
      <c r="A67" s="13">
        <f t="shared" si="51"/>
        <v>0</v>
      </c>
      <c r="B67" s="49"/>
      <c r="C67" s="49"/>
      <c r="D67" s="370" t="s">
        <v>6131</v>
      </c>
      <c r="E67" s="67" t="str">
        <f>VLOOKUP(D67,'03. Insumos'!A:D,2,0)</f>
        <v>Tubo Coletor de Etulho Superior</v>
      </c>
      <c r="F67" s="68" t="s">
        <v>5218</v>
      </c>
      <c r="G67" s="68" t="str">
        <f>VLOOKUP(D67,'03. Insumos'!A:F,3,0)</f>
        <v>unid</v>
      </c>
      <c r="H67" s="69">
        <v>2</v>
      </c>
      <c r="I67" s="69">
        <v>1</v>
      </c>
      <c r="J67" s="70">
        <f t="shared" si="54"/>
        <v>215</v>
      </c>
      <c r="K67" s="70">
        <f>IF(A67=0,VLOOKUP(D67,'03. Insumos'!A:F,4,0),"")</f>
        <v>215</v>
      </c>
      <c r="L67" s="70">
        <f t="shared" si="55"/>
        <v>430</v>
      </c>
      <c r="M67" s="153">
        <f t="shared" ca="1" si="0"/>
        <v>2.6109055793267301E-5</v>
      </c>
      <c r="O67" s="148"/>
      <c r="R67" s="356"/>
    </row>
    <row r="68" spans="1:18" s="51" customFormat="1" ht="13.5" customHeight="1" outlineLevel="1" x14ac:dyDescent="0.3">
      <c r="A68" s="13">
        <f t="shared" si="51"/>
        <v>0</v>
      </c>
      <c r="B68" s="49"/>
      <c r="C68" s="49"/>
      <c r="D68" s="370" t="s">
        <v>6132</v>
      </c>
      <c r="E68" s="67" t="str">
        <f>VLOOKUP(D68,'03. Insumos'!A:D,2,0)</f>
        <v>Tubo Coletor de Entulho Reto</v>
      </c>
      <c r="F68" s="68" t="s">
        <v>5218</v>
      </c>
      <c r="G68" s="68" t="str">
        <f>VLOOKUP(D68,'03. Insumos'!A:F,3,0)</f>
        <v>unid</v>
      </c>
      <c r="H68" s="69">
        <v>2</v>
      </c>
      <c r="I68" s="69">
        <f>I66*2</f>
        <v>6</v>
      </c>
      <c r="J68" s="70">
        <f t="shared" si="54"/>
        <v>153</v>
      </c>
      <c r="K68" s="70">
        <f>IF(A68=0,VLOOKUP(D68,'03. Insumos'!A:F,4,0),"")</f>
        <v>153</v>
      </c>
      <c r="L68" s="70">
        <f>H68*J68*I68</f>
        <v>1836</v>
      </c>
      <c r="M68" s="153">
        <f t="shared" ca="1" si="0"/>
        <v>1.1147959636381107E-4</v>
      </c>
      <c r="O68" s="148"/>
      <c r="R68" s="356"/>
    </row>
    <row r="69" spans="1:18" s="51" customFormat="1" ht="13.5" customHeight="1" outlineLevel="1" x14ac:dyDescent="0.3">
      <c r="A69" s="13">
        <f t="shared" si="51"/>
        <v>0</v>
      </c>
      <c r="B69" s="49"/>
      <c r="C69" s="49"/>
      <c r="D69" s="370" t="s">
        <v>6133</v>
      </c>
      <c r="E69" s="67" t="str">
        <f>VLOOKUP(D69,'03. Insumos'!A:D,2,0)</f>
        <v>Estrutura de Apoio (EA)</v>
      </c>
      <c r="F69" s="68" t="s">
        <v>5218</v>
      </c>
      <c r="G69" s="68" t="str">
        <f>VLOOKUP(D69,'03. Insumos'!A:F,3,0)</f>
        <v>unid</v>
      </c>
      <c r="H69" s="69">
        <v>2</v>
      </c>
      <c r="I69" s="69">
        <f>ROUNDDOWN(0.3*H65,0)</f>
        <v>2</v>
      </c>
      <c r="J69" s="70">
        <f t="shared" si="54"/>
        <v>188.91</v>
      </c>
      <c r="K69" s="70">
        <f>IF(A69=0,VLOOKUP(D69,'03. Insumos'!A:F,4,0),"")</f>
        <v>188.91</v>
      </c>
      <c r="L69" s="70">
        <f>H69*J69*I69</f>
        <v>755.64</v>
      </c>
      <c r="M69" s="153">
        <f t="shared" ca="1" si="0"/>
        <v>4.5881504464243026E-5</v>
      </c>
      <c r="O69" s="148"/>
      <c r="R69" s="356"/>
    </row>
    <row r="70" spans="1:18" s="592" customFormat="1" ht="13.5" hidden="1" customHeight="1" outlineLevel="1" x14ac:dyDescent="0.3">
      <c r="A70" s="18">
        <f t="shared" si="1"/>
        <v>6</v>
      </c>
      <c r="B70" s="391"/>
      <c r="C70" s="391" t="s">
        <v>7255</v>
      </c>
      <c r="D70" s="391" t="s">
        <v>6356</v>
      </c>
      <c r="E70" s="391"/>
      <c r="F70" s="325"/>
      <c r="G70" s="325" t="s">
        <v>74</v>
      </c>
      <c r="H70" s="69"/>
      <c r="I70" s="326"/>
      <c r="J70" s="334"/>
      <c r="K70" s="334" t="str">
        <f>IF(A70=0,VLOOKUP(D70,'03. Insumos'!A:F,4,0),"")</f>
        <v/>
      </c>
      <c r="L70" s="334">
        <f>SUM(L71:L71)</f>
        <v>0</v>
      </c>
      <c r="M70" s="153">
        <f t="shared" ca="1" si="0"/>
        <v>0</v>
      </c>
      <c r="O70" s="600">
        <f>IF(I70&lt;&gt;0,I70*H70*K70,)</f>
        <v>0</v>
      </c>
      <c r="R70" s="601">
        <f>IF(J70&lt;&gt;0,J70/1.03-K70,0)</f>
        <v>0</v>
      </c>
    </row>
    <row r="71" spans="1:18" s="51" customFormat="1" ht="13.5" hidden="1" customHeight="1" outlineLevel="1" x14ac:dyDescent="0.3">
      <c r="A71" s="13">
        <f t="shared" si="1"/>
        <v>0</v>
      </c>
      <c r="B71" s="49"/>
      <c r="C71" s="49"/>
      <c r="D71" s="370" t="s">
        <v>6141</v>
      </c>
      <c r="E71" s="706" t="str">
        <f>VLOOKUP(D71,'03. Insumos'!A:D,2,0)</f>
        <v>Proteção de Piso de Poliet. Audo Ades RL625 x 200MM</v>
      </c>
      <c r="F71" s="68" t="s">
        <v>5218</v>
      </c>
      <c r="G71" s="68" t="str">
        <f>VLOOKUP(D71,'03. Insumos'!A:F,3,0)</f>
        <v>m²</v>
      </c>
      <c r="H71" s="69">
        <v>1</v>
      </c>
      <c r="I71" s="69">
        <f>H70</f>
        <v>0</v>
      </c>
      <c r="J71" s="70">
        <f t="shared" ref="J71" si="56">IFERROR(IF(K71&lt;&gt;0,K71*$K$5,0),0)</f>
        <v>5.0660759999999998</v>
      </c>
      <c r="K71" s="70">
        <f>IF(A71=0,VLOOKUP(D71,'03. Insumos'!A:F,4,0),"")</f>
        <v>5.0660759999999998</v>
      </c>
      <c r="L71" s="70">
        <f t="shared" ref="L71" si="57">H71*J71*I71</f>
        <v>0</v>
      </c>
      <c r="M71" s="153">
        <f t="shared" ca="1" si="0"/>
        <v>0</v>
      </c>
      <c r="O71" s="148">
        <f>IF(I71&lt;&gt;0,I71*H71*K71,)</f>
        <v>0</v>
      </c>
      <c r="R71" s="356">
        <f>IF(J71&lt;&gt;0,J71/1.03-K71,0)</f>
        <v>-0.14755561165048547</v>
      </c>
    </row>
    <row r="72" spans="1:18" s="592" customFormat="1" ht="13.5" customHeight="1" x14ac:dyDescent="0.3">
      <c r="A72" s="478">
        <f t="shared" si="1"/>
        <v>3</v>
      </c>
      <c r="B72" s="390"/>
      <c r="C72" s="390" t="s">
        <v>359</v>
      </c>
      <c r="D72" s="390" t="s">
        <v>75</v>
      </c>
      <c r="E72" s="390"/>
      <c r="F72" s="323"/>
      <c r="G72" s="323"/>
      <c r="H72" s="324"/>
      <c r="I72" s="324"/>
      <c r="J72" s="333"/>
      <c r="K72" s="333"/>
      <c r="L72" s="333">
        <f>SUMIF(A73:A123,4,L73:L123)</f>
        <v>215613.63139999998</v>
      </c>
      <c r="M72" s="153">
        <f t="shared" ca="1" si="0"/>
        <v>1.3091786818631558E-2</v>
      </c>
      <c r="O72" s="499">
        <f t="shared" ref="O72:O77" si="58">IF(I72&lt;&gt;0,I72*H72*K72,)</f>
        <v>0</v>
      </c>
      <c r="R72" s="348">
        <f t="shared" ref="R72:R77" si="59">IF(J72&lt;&gt;0,J72/1.03-K72,0)</f>
        <v>0</v>
      </c>
    </row>
    <row r="73" spans="1:18" s="18" customFormat="1" ht="13.5" customHeight="1" outlineLevel="1" x14ac:dyDescent="0.3">
      <c r="A73" s="290">
        <f t="shared" si="1"/>
        <v>4</v>
      </c>
      <c r="B73" s="45"/>
      <c r="C73" s="45" t="s">
        <v>385</v>
      </c>
      <c r="D73" s="45" t="s">
        <v>44</v>
      </c>
      <c r="E73" s="347"/>
      <c r="F73" s="327"/>
      <c r="G73" s="327"/>
      <c r="H73" s="328"/>
      <c r="I73" s="328"/>
      <c r="J73" s="335"/>
      <c r="K73" s="335" t="str">
        <f>IF(A73=0,VLOOKUP(D73,'03. Insumos'!A:F,4,0),"")</f>
        <v/>
      </c>
      <c r="L73" s="335">
        <f>SUMIF(A74:A77,6,L74:L77)</f>
        <v>13480</v>
      </c>
      <c r="M73" s="153">
        <f t="shared" ca="1" si="0"/>
        <v>8.1848853975172837E-4</v>
      </c>
      <c r="O73" s="148">
        <f t="shared" si="58"/>
        <v>0</v>
      </c>
      <c r="R73" s="12">
        <f t="shared" si="59"/>
        <v>0</v>
      </c>
    </row>
    <row r="74" spans="1:18" s="18" customFormat="1" ht="13.5" customHeight="1" outlineLevel="1" x14ac:dyDescent="0.3">
      <c r="A74" s="18">
        <f t="shared" si="1"/>
        <v>6</v>
      </c>
      <c r="B74" s="606"/>
      <c r="C74" s="606" t="s">
        <v>917</v>
      </c>
      <c r="D74" s="606" t="s">
        <v>45</v>
      </c>
      <c r="E74" s="391"/>
      <c r="F74" s="325"/>
      <c r="G74" s="325"/>
      <c r="H74" s="326"/>
      <c r="I74" s="326"/>
      <c r="J74" s="334"/>
      <c r="K74" s="607" t="str">
        <f>IF(A74=0,VLOOKUP(D74,'03. Insumos'!A:F,4,0),"")</f>
        <v/>
      </c>
      <c r="L74" s="334">
        <f>SUM(L75:L77)</f>
        <v>13480</v>
      </c>
      <c r="M74" s="153">
        <f t="shared" ca="1" si="0"/>
        <v>8.1848853975172837E-4</v>
      </c>
      <c r="O74" s="600">
        <f t="shared" si="58"/>
        <v>0</v>
      </c>
      <c r="R74" s="601">
        <f t="shared" si="59"/>
        <v>0</v>
      </c>
    </row>
    <row r="75" spans="1:18" s="51" customFormat="1" ht="13.5" customHeight="1" outlineLevel="1" x14ac:dyDescent="0.3">
      <c r="A75" s="13">
        <f t="shared" si="1"/>
        <v>0</v>
      </c>
      <c r="B75" s="49"/>
      <c r="C75" s="49"/>
      <c r="D75" s="370" t="s">
        <v>146</v>
      </c>
      <c r="E75" s="67" t="str">
        <f>VLOOKUP(D75,'03. Insumos'!A:D,2,0)</f>
        <v>Extintor de Pó Químico 4kg</v>
      </c>
      <c r="F75" s="68" t="s">
        <v>2612</v>
      </c>
      <c r="G75" s="68" t="str">
        <f>VLOOKUP(D75,'03. Insumos'!A:F,3,0)</f>
        <v>uni</v>
      </c>
      <c r="H75" s="69">
        <v>1</v>
      </c>
      <c r="I75" s="69">
        <v>12</v>
      </c>
      <c r="J75" s="70">
        <f>IFERROR(IF(K75&lt;&gt;0,K75*$K$5,0),0)</f>
        <v>540</v>
      </c>
      <c r="K75" s="54">
        <f>IF(A75=0,VLOOKUP(D75,'03. Insumos'!A:F,4,0),"")</f>
        <v>540</v>
      </c>
      <c r="L75" s="70">
        <f>H75*J75*I75</f>
        <v>6480</v>
      </c>
      <c r="M75" s="153">
        <f t="shared" ca="1" si="0"/>
        <v>3.934573989310979E-4</v>
      </c>
      <c r="O75" s="148">
        <f t="shared" si="58"/>
        <v>6480</v>
      </c>
      <c r="R75" s="356">
        <f t="shared" si="59"/>
        <v>-15.72815533980588</v>
      </c>
    </row>
    <row r="76" spans="1:18" s="51" customFormat="1" ht="13.5" customHeight="1" outlineLevel="1" x14ac:dyDescent="0.3">
      <c r="A76" s="13">
        <f t="shared" ref="A76" si="60">LEN(C76)</f>
        <v>0</v>
      </c>
      <c r="B76" s="49"/>
      <c r="C76" s="49"/>
      <c r="D76" s="370" t="s">
        <v>147</v>
      </c>
      <c r="E76" s="67" t="str">
        <f>VLOOKUP(D76,'03. Insumos'!A:D,2,0)</f>
        <v>Extintor CO2 4Kg</v>
      </c>
      <c r="F76" s="68" t="s">
        <v>2612</v>
      </c>
      <c r="G76" s="68" t="str">
        <f>VLOOKUP(D76,'03. Insumos'!A:F,3,0)</f>
        <v>uni</v>
      </c>
      <c r="H76" s="69">
        <v>1</v>
      </c>
      <c r="I76" s="69">
        <v>10</v>
      </c>
      <c r="J76" s="70">
        <f>IFERROR(IF(K76&lt;&gt;0,K76*$K$5,0),0)</f>
        <v>370</v>
      </c>
      <c r="K76" s="54">
        <f>IF(A76=0,VLOOKUP(D76,'03. Insumos'!A:F,4,0),"")</f>
        <v>370</v>
      </c>
      <c r="L76" s="70">
        <f>H76*J76*I76</f>
        <v>3700</v>
      </c>
      <c r="M76" s="153">
        <f t="shared" ref="M76" ca="1" si="61">L76/$L$7</f>
        <v>2.2465931729090467E-4</v>
      </c>
      <c r="O76" s="148">
        <f t="shared" ref="O76" si="62">IF(I76&lt;&gt;0,I76*H76*K76,)</f>
        <v>3700</v>
      </c>
      <c r="R76" s="356">
        <f t="shared" ref="R76" si="63">IF(J76&lt;&gt;0,J76/1.03-K76,0)</f>
        <v>-10.776699029126235</v>
      </c>
    </row>
    <row r="77" spans="1:18" s="51" customFormat="1" ht="13.5" customHeight="1" outlineLevel="1" x14ac:dyDescent="0.3">
      <c r="A77" s="13">
        <f t="shared" si="1"/>
        <v>0</v>
      </c>
      <c r="B77" s="49"/>
      <c r="C77" s="49"/>
      <c r="D77" s="370" t="s">
        <v>7604</v>
      </c>
      <c r="E77" s="67" t="str">
        <f>VLOOKUP(D77,'03. Insumos'!A:D,2,0)</f>
        <v>Recarga de Extintores</v>
      </c>
      <c r="F77" s="68" t="s">
        <v>2612</v>
      </c>
      <c r="G77" s="68" t="str">
        <f>VLOOKUP(D77,'03. Insumos'!A:F,3,0)</f>
        <v>unid</v>
      </c>
      <c r="H77" s="69">
        <v>1</v>
      </c>
      <c r="I77" s="69">
        <f>(I75+I76)*2</f>
        <v>44</v>
      </c>
      <c r="J77" s="70">
        <f>IFERROR(IF(K77&lt;&gt;0,K77*$K$5,0),0)</f>
        <v>75</v>
      </c>
      <c r="K77" s="54">
        <f>IF(A77=0,VLOOKUP(D77,'03. Insumos'!A:F,4,0),"")</f>
        <v>75</v>
      </c>
      <c r="L77" s="70">
        <f>H77*J77*I77</f>
        <v>3300</v>
      </c>
      <c r="M77" s="153">
        <f t="shared" ca="1" si="0"/>
        <v>2.003718235297258E-4</v>
      </c>
      <c r="O77" s="148">
        <f t="shared" si="58"/>
        <v>3300</v>
      </c>
      <c r="R77" s="356">
        <f t="shared" si="59"/>
        <v>-2.1844660194174708</v>
      </c>
    </row>
    <row r="78" spans="1:18" s="18" customFormat="1" ht="13.5" customHeight="1" outlineLevel="1" x14ac:dyDescent="0.3">
      <c r="A78" s="290">
        <f t="shared" si="1"/>
        <v>4</v>
      </c>
      <c r="B78" s="45"/>
      <c r="C78" s="45" t="s">
        <v>386</v>
      </c>
      <c r="D78" s="45" t="s">
        <v>2063</v>
      </c>
      <c r="E78" s="347"/>
      <c r="F78" s="327"/>
      <c r="G78" s="327"/>
      <c r="H78" s="328"/>
      <c r="I78" s="328"/>
      <c r="J78" s="335"/>
      <c r="K78" s="335" t="str">
        <f>IF(A78=0,VLOOKUP(D78,'03. Insumos'!A:F,4,0),"")</f>
        <v/>
      </c>
      <c r="L78" s="335">
        <f>SUMIF(A79:A92,6,L79:L94)</f>
        <v>8878.1</v>
      </c>
      <c r="M78" s="153">
        <f t="shared" ca="1" si="0"/>
        <v>5.3906699590280569E-4</v>
      </c>
      <c r="O78" s="148"/>
      <c r="R78" s="12"/>
    </row>
    <row r="79" spans="1:18" s="608" customFormat="1" ht="13.5" customHeight="1" outlineLevel="1" x14ac:dyDescent="0.3">
      <c r="A79" s="18">
        <f t="shared" si="1"/>
        <v>6</v>
      </c>
      <c r="B79" s="606"/>
      <c r="C79" s="606" t="s">
        <v>918</v>
      </c>
      <c r="D79" s="606" t="s">
        <v>2063</v>
      </c>
      <c r="E79" s="391"/>
      <c r="F79" s="325"/>
      <c r="G79" s="325"/>
      <c r="H79" s="326"/>
      <c r="I79" s="326"/>
      <c r="J79" s="334"/>
      <c r="K79" s="607" t="str">
        <f>IF(A79=0,VLOOKUP(D79,'03. Insumos'!A:F,4,0),"")</f>
        <v/>
      </c>
      <c r="L79" s="334">
        <f>SUM(L80:L94)</f>
        <v>8878.1</v>
      </c>
      <c r="M79" s="153">
        <f t="shared" ca="1" si="0"/>
        <v>5.3906699590280569E-4</v>
      </c>
      <c r="O79" s="600"/>
      <c r="R79" s="601"/>
    </row>
    <row r="80" spans="1:18" s="51" customFormat="1" ht="13.5" customHeight="1" outlineLevel="1" x14ac:dyDescent="0.3">
      <c r="A80" s="13">
        <f t="shared" si="1"/>
        <v>0</v>
      </c>
      <c r="B80" s="49"/>
      <c r="C80" s="49"/>
      <c r="D80" s="370" t="s">
        <v>6134</v>
      </c>
      <c r="E80" s="67" t="str">
        <f>VLOOKUP(D80,'03. Insumos'!A:D,2,0)</f>
        <v>Avaliação de Agente Químico (Poeira)</v>
      </c>
      <c r="F80" s="68" t="s">
        <v>5218</v>
      </c>
      <c r="G80" s="68" t="str">
        <f>VLOOKUP(D80,'03. Insumos'!A:F,3,0)</f>
        <v>unid</v>
      </c>
      <c r="H80" s="69">
        <v>1</v>
      </c>
      <c r="I80" s="69">
        <v>2</v>
      </c>
      <c r="J80" s="70">
        <f t="shared" ref="J80:J94" si="64">IFERROR(IF(K80&lt;&gt;0,K80*$K$5,0),0)</f>
        <v>700</v>
      </c>
      <c r="K80" s="54">
        <f>IF(A80=0,VLOOKUP(D80,'03. Insumos'!A:F,4,0),"")</f>
        <v>700</v>
      </c>
      <c r="L80" s="70">
        <f>H80*J80*I80</f>
        <v>1400</v>
      </c>
      <c r="M80" s="153">
        <f t="shared" ca="1" si="0"/>
        <v>8.5006228164126094E-5</v>
      </c>
      <c r="O80" s="148"/>
      <c r="R80" s="356"/>
    </row>
    <row r="81" spans="1:18" s="51" customFormat="1" ht="13.5" customHeight="1" outlineLevel="1" x14ac:dyDescent="0.3">
      <c r="A81" s="13">
        <f t="shared" si="1"/>
        <v>0</v>
      </c>
      <c r="B81" s="49"/>
      <c r="C81" s="49"/>
      <c r="D81" s="370" t="s">
        <v>6135</v>
      </c>
      <c r="E81" s="67" t="str">
        <f>VLOOKUP(D81,'03. Insumos'!A:D,2,0)</f>
        <v>Avaliação de Podeira Respirável</v>
      </c>
      <c r="F81" s="68" t="s">
        <v>5218</v>
      </c>
      <c r="G81" s="68" t="str">
        <f>VLOOKUP(D81,'03. Insumos'!A:F,3,0)</f>
        <v>unid</v>
      </c>
      <c r="H81" s="69">
        <v>1</v>
      </c>
      <c r="I81" s="69">
        <v>3</v>
      </c>
      <c r="J81" s="70">
        <f t="shared" si="64"/>
        <v>700</v>
      </c>
      <c r="K81" s="54">
        <f>IF(A81=0,VLOOKUP(D81,'03. Insumos'!A:F,4,0),"")</f>
        <v>700</v>
      </c>
      <c r="L81" s="70">
        <f t="shared" ref="L81:L92" si="65">H81*J81*I81</f>
        <v>2100</v>
      </c>
      <c r="M81" s="153">
        <f t="shared" ca="1" si="0"/>
        <v>1.2750934224618914E-4</v>
      </c>
      <c r="O81" s="148"/>
      <c r="R81" s="356"/>
    </row>
    <row r="82" spans="1:18" s="51" customFormat="1" ht="13.5" customHeight="1" outlineLevel="1" x14ac:dyDescent="0.3">
      <c r="A82" s="13">
        <f t="shared" si="1"/>
        <v>0</v>
      </c>
      <c r="B82" s="49"/>
      <c r="C82" s="49"/>
      <c r="D82" s="370" t="s">
        <v>6136</v>
      </c>
      <c r="E82" s="67" t="str">
        <f>VLOOKUP(D82,'03. Insumos'!A:D,2,0)</f>
        <v>Avaliação de Calor</v>
      </c>
      <c r="F82" s="68" t="s">
        <v>5218</v>
      </c>
      <c r="G82" s="68" t="str">
        <f>VLOOKUP(D82,'03. Insumos'!A:F,3,0)</f>
        <v>unid</v>
      </c>
      <c r="H82" s="69">
        <v>1</v>
      </c>
      <c r="I82" s="69">
        <v>3</v>
      </c>
      <c r="J82" s="70">
        <f t="shared" si="64"/>
        <v>90</v>
      </c>
      <c r="K82" s="54">
        <f>IF(A82=0,VLOOKUP(D82,'03. Insumos'!A:F,4,0),"")</f>
        <v>90</v>
      </c>
      <c r="L82" s="70">
        <f t="shared" si="65"/>
        <v>270</v>
      </c>
      <c r="M82" s="153">
        <f t="shared" ca="1" si="0"/>
        <v>1.6394058288795746E-5</v>
      </c>
      <c r="O82" s="148"/>
      <c r="R82" s="356"/>
    </row>
    <row r="83" spans="1:18" s="51" customFormat="1" ht="13.5" hidden="1" customHeight="1" outlineLevel="1" x14ac:dyDescent="0.3">
      <c r="A83" s="13">
        <f t="shared" si="1"/>
        <v>0</v>
      </c>
      <c r="B83" s="49"/>
      <c r="C83" s="49"/>
      <c r="D83" s="370" t="s">
        <v>6137</v>
      </c>
      <c r="E83" s="67" t="str">
        <f>VLOOKUP(D83,'03. Insumos'!A:D,2,0)</f>
        <v>Avaliação de Vibração</v>
      </c>
      <c r="F83" s="68" t="s">
        <v>5218</v>
      </c>
      <c r="G83" s="68" t="str">
        <f>VLOOKUP(D83,'03. Insumos'!A:F,3,0)</f>
        <v>unid</v>
      </c>
      <c r="H83" s="69"/>
      <c r="I83" s="69">
        <v>5</v>
      </c>
      <c r="J83" s="70">
        <f t="shared" si="64"/>
        <v>800</v>
      </c>
      <c r="K83" s="54">
        <f>IF(A83=0,VLOOKUP(D83,'03. Insumos'!A:F,4,0),"")</f>
        <v>800</v>
      </c>
      <c r="L83" s="70">
        <f t="shared" si="65"/>
        <v>0</v>
      </c>
      <c r="M83" s="153">
        <f t="shared" ca="1" si="0"/>
        <v>0</v>
      </c>
      <c r="O83" s="148"/>
      <c r="R83" s="356"/>
    </row>
    <row r="84" spans="1:18" s="51" customFormat="1" ht="13.5" customHeight="1" outlineLevel="1" x14ac:dyDescent="0.3">
      <c r="A84" s="13">
        <f t="shared" si="1"/>
        <v>0</v>
      </c>
      <c r="B84" s="49"/>
      <c r="C84" s="49"/>
      <c r="D84" s="370" t="s">
        <v>6138</v>
      </c>
      <c r="E84" s="67" t="str">
        <f>VLOOKUP(D84,'03. Insumos'!A:D,2,0)</f>
        <v>Exame de Dosimetria de Ruído</v>
      </c>
      <c r="F84" s="68" t="s">
        <v>5218</v>
      </c>
      <c r="G84" s="68" t="str">
        <f>VLOOKUP(D84,'03. Insumos'!A:F,3,0)</f>
        <v>unid</v>
      </c>
      <c r="H84" s="69">
        <v>1</v>
      </c>
      <c r="I84" s="69">
        <v>3</v>
      </c>
      <c r="J84" s="70">
        <f t="shared" si="64"/>
        <v>233.7</v>
      </c>
      <c r="K84" s="54">
        <f>IF(A84=0,VLOOKUP(D84,'03. Insumos'!A:F,4,0),"")</f>
        <v>233.7</v>
      </c>
      <c r="L84" s="70">
        <f t="shared" si="65"/>
        <v>701.09999999999991</v>
      </c>
      <c r="M84" s="153">
        <f t="shared" ca="1" si="0"/>
        <v>4.256990468990628E-5</v>
      </c>
      <c r="O84" s="148"/>
      <c r="R84" s="356"/>
    </row>
    <row r="85" spans="1:18" s="51" customFormat="1" ht="13.5" hidden="1" customHeight="1" outlineLevel="1" x14ac:dyDescent="0.3">
      <c r="A85" s="13">
        <f t="shared" si="1"/>
        <v>0</v>
      </c>
      <c r="B85" s="49"/>
      <c r="C85" s="49"/>
      <c r="D85" s="370" t="s">
        <v>6139</v>
      </c>
      <c r="E85" s="67" t="str">
        <f>VLOOKUP(D85,'03. Insumos'!A:D,2,0)</f>
        <v>Laudo Egonômico - NR 17</v>
      </c>
      <c r="F85" s="68" t="s">
        <v>5218</v>
      </c>
      <c r="G85" s="68" t="str">
        <f>VLOOKUP(D85,'03. Insumos'!A:F,3,0)</f>
        <v>unid</v>
      </c>
      <c r="H85" s="69"/>
      <c r="I85" s="69">
        <v>1</v>
      </c>
      <c r="J85" s="70">
        <f t="shared" si="64"/>
        <v>650</v>
      </c>
      <c r="K85" s="54">
        <f>IF(A85=0,VLOOKUP(D85,'03. Insumos'!A:F,4,0),"")</f>
        <v>650</v>
      </c>
      <c r="L85" s="70">
        <f t="shared" si="65"/>
        <v>0</v>
      </c>
      <c r="M85" s="153">
        <f t="shared" ca="1" si="0"/>
        <v>0</v>
      </c>
      <c r="O85" s="148"/>
      <c r="R85" s="356"/>
    </row>
    <row r="86" spans="1:18" s="51" customFormat="1" ht="13.5" hidden="1" customHeight="1" outlineLevel="1" x14ac:dyDescent="0.3">
      <c r="A86" s="13">
        <f t="shared" si="1"/>
        <v>0</v>
      </c>
      <c r="B86" s="49"/>
      <c r="C86" s="49"/>
      <c r="D86" s="370" t="s">
        <v>6140</v>
      </c>
      <c r="E86" s="67" t="str">
        <f>VLOOKUP(D86,'03. Insumos'!A:D,2,0)</f>
        <v>Elaboração de PPP</v>
      </c>
      <c r="F86" s="68" t="s">
        <v>5218</v>
      </c>
      <c r="G86" s="68" t="str">
        <f>VLOOKUP(D86,'03. Insumos'!A:F,3,0)</f>
        <v>unid</v>
      </c>
      <c r="H86" s="69"/>
      <c r="I86" s="69">
        <v>15</v>
      </c>
      <c r="J86" s="70">
        <f t="shared" si="64"/>
        <v>45</v>
      </c>
      <c r="K86" s="54">
        <f>IF(A86=0,VLOOKUP(D86,'03. Insumos'!A:F,4,0),"")</f>
        <v>45</v>
      </c>
      <c r="L86" s="70">
        <f t="shared" si="65"/>
        <v>0</v>
      </c>
      <c r="M86" s="153">
        <f t="shared" ca="1" si="0"/>
        <v>0</v>
      </c>
      <c r="O86" s="148"/>
      <c r="R86" s="356"/>
    </row>
    <row r="87" spans="1:18" s="51" customFormat="1" ht="13.5" hidden="1" customHeight="1" outlineLevel="1" x14ac:dyDescent="0.3">
      <c r="A87" s="13">
        <f t="shared" si="1"/>
        <v>0</v>
      </c>
      <c r="B87" s="49"/>
      <c r="C87" s="49"/>
      <c r="D87" s="370" t="s">
        <v>2071</v>
      </c>
      <c r="E87" s="67" t="str">
        <f>VLOOKUP(D87,'03. Insumos'!A:D,2,0)</f>
        <v>Revisão do PCMAT</v>
      </c>
      <c r="F87" s="68" t="s">
        <v>5218</v>
      </c>
      <c r="G87" s="68" t="str">
        <f>VLOOKUP(D87,'03. Insumos'!A:F,3,0)</f>
        <v>unid</v>
      </c>
      <c r="H87" s="69"/>
      <c r="I87" s="69"/>
      <c r="J87" s="70">
        <f t="shared" si="64"/>
        <v>300</v>
      </c>
      <c r="K87" s="54">
        <f>IF(A87=0,VLOOKUP(D87,'03. Insumos'!A:F,4,0),"")</f>
        <v>300</v>
      </c>
      <c r="L87" s="70">
        <f t="shared" si="65"/>
        <v>0</v>
      </c>
      <c r="M87" s="153">
        <f t="shared" ref="M87:M158" ca="1" si="66">L87/$L$7</f>
        <v>0</v>
      </c>
      <c r="O87" s="148"/>
      <c r="R87" s="356"/>
    </row>
    <row r="88" spans="1:18" s="51" customFormat="1" ht="13.5" customHeight="1" outlineLevel="1" x14ac:dyDescent="0.3">
      <c r="A88" s="13">
        <f t="shared" si="1"/>
        <v>0</v>
      </c>
      <c r="B88" s="49"/>
      <c r="C88" s="49"/>
      <c r="D88" s="370" t="s">
        <v>2072</v>
      </c>
      <c r="E88" s="67" t="str">
        <f>VLOOKUP(D88,'03. Insumos'!A:D,2,0)</f>
        <v>PGR por fase da obra</v>
      </c>
      <c r="F88" s="68" t="s">
        <v>5218</v>
      </c>
      <c r="G88" s="68" t="str">
        <f>VLOOKUP(D88,'03. Insumos'!A:F,3,0)</f>
        <v>unid</v>
      </c>
      <c r="H88" s="69">
        <v>1</v>
      </c>
      <c r="I88" s="69">
        <v>1</v>
      </c>
      <c r="J88" s="70">
        <f t="shared" si="64"/>
        <v>1500</v>
      </c>
      <c r="K88" s="54">
        <f>IF(A88=0,VLOOKUP(D88,'03. Insumos'!A:F,4,0),"")</f>
        <v>1500</v>
      </c>
      <c r="L88" s="70">
        <f t="shared" si="65"/>
        <v>1500</v>
      </c>
      <c r="M88" s="153">
        <f t="shared" ca="1" si="66"/>
        <v>9.1078101604420811E-5</v>
      </c>
      <c r="O88" s="148"/>
      <c r="R88" s="356"/>
    </row>
    <row r="89" spans="1:18" s="51" customFormat="1" ht="13.5" customHeight="1" outlineLevel="1" x14ac:dyDescent="0.3">
      <c r="A89" s="13">
        <f t="shared" si="1"/>
        <v>0</v>
      </c>
      <c r="B89" s="49"/>
      <c r="C89" s="49"/>
      <c r="D89" s="370" t="s">
        <v>2073</v>
      </c>
      <c r="E89" s="67" t="str">
        <f>VLOOKUP(D89,'03. Insumos'!A:D,2,0)</f>
        <v>Revisão PGR</v>
      </c>
      <c r="F89" s="68" t="s">
        <v>5218</v>
      </c>
      <c r="G89" s="68" t="str">
        <f>VLOOKUP(D89,'03. Insumos'!A:F,3,0)</f>
        <v>unid</v>
      </c>
      <c r="H89" s="69">
        <v>1</v>
      </c>
      <c r="I89" s="69">
        <v>3</v>
      </c>
      <c r="J89" s="70">
        <f t="shared" si="64"/>
        <v>369</v>
      </c>
      <c r="K89" s="54">
        <f>IF(A89=0,VLOOKUP(D89,'03. Insumos'!A:F,4,0),"")</f>
        <v>369</v>
      </c>
      <c r="L89" s="70">
        <f t="shared" si="65"/>
        <v>1107</v>
      </c>
      <c r="M89" s="153">
        <f t="shared" ca="1" si="66"/>
        <v>6.7215638984062561E-5</v>
      </c>
      <c r="O89" s="148"/>
      <c r="R89" s="356"/>
    </row>
    <row r="90" spans="1:18" s="51" customFormat="1" ht="13.5" hidden="1" customHeight="1" outlineLevel="1" x14ac:dyDescent="0.3">
      <c r="A90" s="13">
        <f t="shared" si="1"/>
        <v>0</v>
      </c>
      <c r="B90" s="49"/>
      <c r="C90" s="49"/>
      <c r="D90" s="370" t="s">
        <v>2074</v>
      </c>
      <c r="E90" s="67" t="str">
        <f>VLOOKUP(D90,'03. Insumos'!A:D,2,0)</f>
        <v>Mapa de risco por fase da obra</v>
      </c>
      <c r="F90" s="68" t="s">
        <v>5218</v>
      </c>
      <c r="G90" s="68" t="str">
        <f>VLOOKUP(D90,'03. Insumos'!A:F,3,0)</f>
        <v>unid</v>
      </c>
      <c r="H90" s="69"/>
      <c r="I90" s="69"/>
      <c r="J90" s="70">
        <f t="shared" si="64"/>
        <v>180</v>
      </c>
      <c r="K90" s="54">
        <f>IF(A90=0,VLOOKUP(D90,'03. Insumos'!A:F,4,0),"")</f>
        <v>180</v>
      </c>
      <c r="L90" s="70">
        <f t="shared" si="65"/>
        <v>0</v>
      </c>
      <c r="M90" s="153">
        <f t="shared" ca="1" si="66"/>
        <v>0</v>
      </c>
      <c r="O90" s="148"/>
      <c r="R90" s="356"/>
    </row>
    <row r="91" spans="1:18" s="51" customFormat="1" ht="13.5" customHeight="1" outlineLevel="1" x14ac:dyDescent="0.3">
      <c r="A91" s="13">
        <f t="shared" si="1"/>
        <v>0</v>
      </c>
      <c r="B91" s="49"/>
      <c r="C91" s="49"/>
      <c r="D91" s="370" t="s">
        <v>2075</v>
      </c>
      <c r="E91" s="67" t="str">
        <f>VLOOKUP(D91,'03. Insumos'!A:D,2,0)</f>
        <v>PCMAT por fase da obra</v>
      </c>
      <c r="F91" s="68" t="s">
        <v>5218</v>
      </c>
      <c r="G91" s="68" t="str">
        <f>VLOOKUP(D91,'03. Insumos'!A:F,3,0)</f>
        <v>unid</v>
      </c>
      <c r="H91" s="69">
        <v>1</v>
      </c>
      <c r="I91" s="69">
        <v>1</v>
      </c>
      <c r="J91" s="70">
        <f t="shared" si="64"/>
        <v>1800</v>
      </c>
      <c r="K91" s="54">
        <f>IF(A91=0,VLOOKUP(D91,'03. Insumos'!A:F,4,0),"")</f>
        <v>1800</v>
      </c>
      <c r="L91" s="70">
        <f t="shared" si="65"/>
        <v>1800</v>
      </c>
      <c r="M91" s="153">
        <f t="shared" ca="1" si="66"/>
        <v>1.0929372192530498E-4</v>
      </c>
      <c r="O91" s="148"/>
      <c r="R91" s="356"/>
    </row>
    <row r="92" spans="1:18" s="51" customFormat="1" ht="13.5" hidden="1" customHeight="1" outlineLevel="1" x14ac:dyDescent="0.3">
      <c r="A92" s="13">
        <f t="shared" si="1"/>
        <v>0</v>
      </c>
      <c r="B92" s="49"/>
      <c r="C92" s="49"/>
      <c r="D92" s="370" t="s">
        <v>3409</v>
      </c>
      <c r="E92" s="67" t="str">
        <f>VLOOKUP(D92,'03. Insumos'!A:D,2,0)</f>
        <v>Exame admissional / demissional / períodico</v>
      </c>
      <c r="F92" s="68" t="s">
        <v>5218</v>
      </c>
      <c r="G92" s="68" t="str">
        <f>VLOOKUP(D92,'03. Insumos'!A:F,3,0)</f>
        <v>unid</v>
      </c>
      <c r="H92" s="69">
        <f>SUM(H208:H231)</f>
        <v>9</v>
      </c>
      <c r="I92" s="69"/>
      <c r="J92" s="70">
        <f t="shared" si="64"/>
        <v>50</v>
      </c>
      <c r="K92" s="54">
        <f>IF(A92=0,VLOOKUP(D92,'03. Insumos'!A:F,4,0),"")</f>
        <v>50</v>
      </c>
      <c r="L92" s="70">
        <f t="shared" si="65"/>
        <v>0</v>
      </c>
      <c r="M92" s="153">
        <f t="shared" ca="1" si="66"/>
        <v>0</v>
      </c>
      <c r="O92" s="148"/>
      <c r="R92" s="356"/>
    </row>
    <row r="93" spans="1:18" s="51" customFormat="1" ht="13.5" hidden="1" customHeight="1" outlineLevel="1" x14ac:dyDescent="0.3">
      <c r="A93" s="290">
        <f t="shared" si="1"/>
        <v>0</v>
      </c>
      <c r="B93" s="49"/>
      <c r="C93" s="49"/>
      <c r="D93" s="370" t="s">
        <v>2077</v>
      </c>
      <c r="E93" s="67" t="str">
        <f>VLOOKUP(D93,'03. Insumos'!A:D,2,0)</f>
        <v>Implantação e gerenciamento da CIPA</v>
      </c>
      <c r="F93" s="68" t="s">
        <v>5218</v>
      </c>
      <c r="G93" s="68" t="str">
        <f>VLOOKUP(D93,'03. Insumos'!A:F,3,0)</f>
        <v>mês</v>
      </c>
      <c r="H93" s="69"/>
      <c r="I93" s="69"/>
      <c r="J93" s="70">
        <f t="shared" si="64"/>
        <v>300</v>
      </c>
      <c r="K93" s="54">
        <f>IF(A93=0,VLOOKUP(D93,'03. Insumos'!A:F,4,0),"")</f>
        <v>300</v>
      </c>
      <c r="L93" s="485">
        <f>H93*J93*I93</f>
        <v>0</v>
      </c>
      <c r="M93" s="153">
        <f t="shared" ca="1" si="66"/>
        <v>0</v>
      </c>
      <c r="O93" s="148"/>
      <c r="R93" s="12"/>
    </row>
    <row r="94" spans="1:18" s="51" customFormat="1" ht="13.5" hidden="1" customHeight="1" outlineLevel="1" x14ac:dyDescent="0.3">
      <c r="A94" s="290">
        <f t="shared" si="1"/>
        <v>0</v>
      </c>
      <c r="B94" s="49"/>
      <c r="C94" s="49"/>
      <c r="D94" s="370" t="s">
        <v>2078</v>
      </c>
      <c r="E94" s="67" t="str">
        <f>VLOOKUP(D94,'03. Insumos'!A:D,2,0)</f>
        <v>Treinamento para CIPA</v>
      </c>
      <c r="F94" s="68" t="s">
        <v>5218</v>
      </c>
      <c r="G94" s="68" t="str">
        <f>VLOOKUP(D94,'03. Insumos'!A:F,3,0)</f>
        <v>unid</v>
      </c>
      <c r="H94" s="69"/>
      <c r="I94" s="69"/>
      <c r="J94" s="70">
        <f t="shared" si="64"/>
        <v>2000</v>
      </c>
      <c r="K94" s="54">
        <f>IF(A94=0,VLOOKUP(D94,'03. Insumos'!A:F,4,0),"")</f>
        <v>2000</v>
      </c>
      <c r="L94" s="485">
        <f>H94*J94*I94</f>
        <v>0</v>
      </c>
      <c r="M94" s="153">
        <f t="shared" ca="1" si="66"/>
        <v>0</v>
      </c>
      <c r="O94" s="148"/>
      <c r="R94" s="12"/>
    </row>
    <row r="95" spans="1:18" s="18" customFormat="1" ht="13.5" customHeight="1" outlineLevel="1" x14ac:dyDescent="0.3">
      <c r="A95" s="290">
        <f t="shared" ref="A95" si="67">LEN(C95)</f>
        <v>4</v>
      </c>
      <c r="B95" s="45"/>
      <c r="C95" s="45" t="s">
        <v>1941</v>
      </c>
      <c r="D95" s="45" t="s">
        <v>3511</v>
      </c>
      <c r="E95" s="347"/>
      <c r="F95" s="327"/>
      <c r="G95" s="327"/>
      <c r="H95" s="328"/>
      <c r="I95" s="328"/>
      <c r="J95" s="335"/>
      <c r="K95" s="335" t="str">
        <f>IF(A95=0,VLOOKUP(D95,'03. Insumos'!A:F,4,0),"")</f>
        <v/>
      </c>
      <c r="L95" s="335">
        <f>SUMIF(A96:A106,6,L96:L106)</f>
        <v>173455.53139999998</v>
      </c>
      <c r="M95" s="153">
        <f t="shared" ca="1" si="66"/>
        <v>1.0532000341798669E-2</v>
      </c>
      <c r="O95" s="148"/>
      <c r="R95" s="12"/>
    </row>
    <row r="96" spans="1:18" s="608" customFormat="1" ht="13.5" customHeight="1" outlineLevel="1" x14ac:dyDescent="0.3">
      <c r="A96" s="18">
        <f t="shared" si="1"/>
        <v>6</v>
      </c>
      <c r="B96" s="606"/>
      <c r="C96" s="606" t="s">
        <v>1942</v>
      </c>
      <c r="D96" s="606" t="s">
        <v>7008</v>
      </c>
      <c r="E96" s="391"/>
      <c r="F96" s="325"/>
      <c r="G96" s="325"/>
      <c r="H96" s="326"/>
      <c r="I96" s="326"/>
      <c r="J96" s="334"/>
      <c r="K96" s="607" t="str">
        <f>IF(A96=0,VLOOKUP(D96,'03. Insumos'!A:F,4,0),"")</f>
        <v/>
      </c>
      <c r="L96" s="334">
        <f>SUM(L97:L106)</f>
        <v>173455.53139999998</v>
      </c>
      <c r="M96" s="153">
        <f t="shared" ca="1" si="66"/>
        <v>1.0532000341798669E-2</v>
      </c>
      <c r="O96" s="600"/>
      <c r="R96" s="601"/>
    </row>
    <row r="97" spans="1:18" s="51" customFormat="1" ht="13.5" hidden="1" customHeight="1" outlineLevel="1" x14ac:dyDescent="0.3">
      <c r="A97" s="13">
        <f t="shared" si="1"/>
        <v>0</v>
      </c>
      <c r="B97" s="49"/>
      <c r="C97" s="49"/>
      <c r="D97" s="370" t="s">
        <v>6562</v>
      </c>
      <c r="E97" s="67" t="str">
        <f>VLOOKUP(D97,'03. Insumos'!A:D,2,0)</f>
        <v>Proteções Diveras - Mão de Obra</v>
      </c>
      <c r="F97" s="68" t="s">
        <v>5218</v>
      </c>
      <c r="G97" s="68" t="str">
        <f>VLOOKUP(D97,'03. Insumos'!A:F,3,0)</f>
        <v>vb</v>
      </c>
      <c r="H97" s="69"/>
      <c r="I97" s="69">
        <v>1</v>
      </c>
      <c r="J97" s="70">
        <f t="shared" ref="J97:J106" si="68">IFERROR(IF(K97&lt;&gt;0,K97*$K$5,0),0)</f>
        <v>1</v>
      </c>
      <c r="K97" s="54">
        <f>IF(A97=0,VLOOKUP(D97,'03. Insumos'!A:F,4,0),"")</f>
        <v>1</v>
      </c>
      <c r="L97" s="70">
        <f>H97*J97*I97</f>
        <v>0</v>
      </c>
      <c r="M97" s="153">
        <f t="shared" ca="1" si="66"/>
        <v>0</v>
      </c>
      <c r="O97" s="148"/>
      <c r="R97" s="356"/>
    </row>
    <row r="98" spans="1:18" s="51" customFormat="1" ht="13.5" customHeight="1" outlineLevel="1" x14ac:dyDescent="0.3">
      <c r="A98" s="13">
        <f t="shared" ref="A98:A103" si="69">LEN(C98)</f>
        <v>0</v>
      </c>
      <c r="B98" s="49"/>
      <c r="C98" s="49"/>
      <c r="D98" s="370" t="s">
        <v>6562</v>
      </c>
      <c r="E98" s="67" t="s">
        <v>8787</v>
      </c>
      <c r="F98" s="68" t="s">
        <v>5218</v>
      </c>
      <c r="G98" s="68" t="s">
        <v>1376</v>
      </c>
      <c r="H98" s="69">
        <v>5</v>
      </c>
      <c r="I98" s="69">
        <v>1</v>
      </c>
      <c r="J98" s="70">
        <v>550</v>
      </c>
      <c r="K98" s="54">
        <f>IF(A98=0,VLOOKUP(D98,'03. Insumos'!A:F,4,0),"")</f>
        <v>1</v>
      </c>
      <c r="L98" s="70">
        <f t="shared" ref="L98:L103" si="70">H98*J98*I98</f>
        <v>2750</v>
      </c>
      <c r="M98" s="153">
        <f t="shared" ref="M98:M103" ca="1" si="71">L98/$L$7</f>
        <v>1.6697651960810483E-4</v>
      </c>
      <c r="O98" s="148"/>
      <c r="R98" s="356"/>
    </row>
    <row r="99" spans="1:18" s="51" customFormat="1" ht="13.5" customHeight="1" outlineLevel="1" x14ac:dyDescent="0.3">
      <c r="A99" s="13">
        <f t="shared" si="69"/>
        <v>0</v>
      </c>
      <c r="B99" s="49"/>
      <c r="C99" s="49"/>
      <c r="D99" s="370" t="s">
        <v>6562</v>
      </c>
      <c r="E99" s="67" t="s">
        <v>8788</v>
      </c>
      <c r="F99" s="68" t="s">
        <v>5218</v>
      </c>
      <c r="G99" s="68" t="s">
        <v>73</v>
      </c>
      <c r="H99" s="69">
        <f>H100*1.1*5</f>
        <v>796.18</v>
      </c>
      <c r="I99" s="69">
        <v>1</v>
      </c>
      <c r="J99" s="70">
        <v>9</v>
      </c>
      <c r="K99" s="54">
        <f>IF(A99=0,VLOOKUP(D99,'03. Insumos'!A:F,4,0),"")</f>
        <v>1</v>
      </c>
      <c r="L99" s="70">
        <f t="shared" si="70"/>
        <v>7165.62</v>
      </c>
      <c r="M99" s="153">
        <f t="shared" ca="1" si="71"/>
        <v>4.3508737761244659E-4</v>
      </c>
      <c r="O99" s="148"/>
      <c r="R99" s="356"/>
    </row>
    <row r="100" spans="1:18" s="51" customFormat="1" ht="13.5" customHeight="1" outlineLevel="1" x14ac:dyDescent="0.3">
      <c r="A100" s="13">
        <f t="shared" si="69"/>
        <v>0</v>
      </c>
      <c r="B100" s="49"/>
      <c r="C100" s="49"/>
      <c r="D100" s="370" t="s">
        <v>6562</v>
      </c>
      <c r="E100" s="67" t="s">
        <v>8789</v>
      </c>
      <c r="F100" s="68" t="s">
        <v>5218</v>
      </c>
      <c r="G100" s="68" t="s">
        <v>74</v>
      </c>
      <c r="H100" s="69">
        <v>144.76</v>
      </c>
      <c r="I100" s="69">
        <v>1</v>
      </c>
      <c r="J100" s="70">
        <v>800</v>
      </c>
      <c r="K100" s="54">
        <f>IF(A100=0,VLOOKUP(D100,'03. Insumos'!A:F,4,0),"")</f>
        <v>1</v>
      </c>
      <c r="L100" s="70">
        <f t="shared" si="70"/>
        <v>115808</v>
      </c>
      <c r="M100" s="153">
        <f t="shared" ca="1" si="71"/>
        <v>7.0317151937365104E-3</v>
      </c>
      <c r="O100" s="148"/>
      <c r="R100" s="356"/>
    </row>
    <row r="101" spans="1:18" s="51" customFormat="1" ht="13.5" hidden="1" customHeight="1" outlineLevel="1" x14ac:dyDescent="0.3">
      <c r="A101" s="13">
        <f t="shared" si="69"/>
        <v>0</v>
      </c>
      <c r="B101" s="49"/>
      <c r="C101" s="49"/>
      <c r="D101" s="370" t="s">
        <v>6562</v>
      </c>
      <c r="E101" s="67" t="s">
        <v>8790</v>
      </c>
      <c r="F101" s="68" t="s">
        <v>5218</v>
      </c>
      <c r="G101" s="68" t="s">
        <v>1376</v>
      </c>
      <c r="H101" s="69">
        <v>4</v>
      </c>
      <c r="I101" s="69"/>
      <c r="J101" s="70">
        <v>10500</v>
      </c>
      <c r="K101" s="54">
        <f>IF(A101=0,VLOOKUP(D101,'03. Insumos'!A:F,4,0),"")</f>
        <v>1</v>
      </c>
      <c r="L101" s="70">
        <f t="shared" si="70"/>
        <v>0</v>
      </c>
      <c r="M101" s="153">
        <f t="shared" ca="1" si="71"/>
        <v>0</v>
      </c>
      <c r="O101" s="148"/>
      <c r="R101" s="356"/>
    </row>
    <row r="102" spans="1:18" s="51" customFormat="1" ht="13.5" customHeight="1" outlineLevel="1" x14ac:dyDescent="0.3">
      <c r="A102" s="13">
        <f t="shared" si="69"/>
        <v>0</v>
      </c>
      <c r="B102" s="49"/>
      <c r="C102" s="49"/>
      <c r="D102" s="370" t="s">
        <v>6562</v>
      </c>
      <c r="E102" s="67" t="s">
        <v>8791</v>
      </c>
      <c r="F102" s="68" t="s">
        <v>5218</v>
      </c>
      <c r="G102" s="68" t="s">
        <v>1376</v>
      </c>
      <c r="H102" s="69">
        <v>5</v>
      </c>
      <c r="I102" s="69">
        <v>1</v>
      </c>
      <c r="J102" s="70">
        <v>1800</v>
      </c>
      <c r="K102" s="54">
        <f>IF(A102=0,VLOOKUP(D102,'03. Insumos'!A:F,4,0),"")</f>
        <v>1</v>
      </c>
      <c r="L102" s="70">
        <f t="shared" si="70"/>
        <v>9000</v>
      </c>
      <c r="M102" s="153">
        <f t="shared" ca="1" si="71"/>
        <v>5.4646860962652487E-4</v>
      </c>
      <c r="O102" s="148"/>
      <c r="R102" s="356"/>
    </row>
    <row r="103" spans="1:18" s="51" customFormat="1" ht="13.5" customHeight="1" outlineLevel="1" x14ac:dyDescent="0.3">
      <c r="A103" s="13">
        <f t="shared" si="69"/>
        <v>0</v>
      </c>
      <c r="B103" s="49"/>
      <c r="C103" s="49"/>
      <c r="D103" s="370" t="s">
        <v>6562</v>
      </c>
      <c r="E103" s="67" t="s">
        <v>8792</v>
      </c>
      <c r="F103" s="68" t="s">
        <v>5218</v>
      </c>
      <c r="G103" s="68" t="s">
        <v>1376</v>
      </c>
      <c r="H103" s="69">
        <v>1</v>
      </c>
      <c r="I103" s="69">
        <v>1</v>
      </c>
      <c r="J103" s="70">
        <v>8200</v>
      </c>
      <c r="K103" s="54">
        <f>IF(A103=0,VLOOKUP(D103,'03. Insumos'!A:F,4,0),"")</f>
        <v>1</v>
      </c>
      <c r="L103" s="70">
        <f t="shared" si="70"/>
        <v>8200</v>
      </c>
      <c r="M103" s="153">
        <f t="shared" ca="1" si="71"/>
        <v>4.9789362210416713E-4</v>
      </c>
      <c r="O103" s="148"/>
      <c r="R103" s="356"/>
    </row>
    <row r="104" spans="1:18" s="51" customFormat="1" ht="13.5" hidden="1" customHeight="1" outlineLevel="1" x14ac:dyDescent="0.3">
      <c r="A104" s="13">
        <f t="shared" si="1"/>
        <v>0</v>
      </c>
      <c r="B104" s="49"/>
      <c r="C104" s="49"/>
      <c r="D104" s="370" t="s">
        <v>6563</v>
      </c>
      <c r="E104" s="384" t="str">
        <f>VLOOKUP(D104,'03. Insumos'!A:D,2,0)</f>
        <v>Proteções Diversas - Empreitada</v>
      </c>
      <c r="F104" s="68" t="s">
        <v>5218</v>
      </c>
      <c r="G104" s="68" t="str">
        <f>VLOOKUP(D104,'03. Insumos'!A:F,3,0)</f>
        <v>vb</v>
      </c>
      <c r="H104" s="69"/>
      <c r="I104" s="69">
        <v>1</v>
      </c>
      <c r="J104" s="70">
        <f t="shared" si="68"/>
        <v>255000</v>
      </c>
      <c r="K104" s="54">
        <f>IF(A104=0,VLOOKUP(D104,'03. Insumos'!A:F,4,0),"")</f>
        <v>255000</v>
      </c>
      <c r="L104" s="70">
        <f t="shared" ref="L104:L106" si="72">H104*J104*I104</f>
        <v>0</v>
      </c>
      <c r="M104" s="153">
        <f t="shared" ca="1" si="66"/>
        <v>0</v>
      </c>
      <c r="O104" s="148"/>
      <c r="R104" s="356"/>
    </row>
    <row r="105" spans="1:18" s="51" customFormat="1" ht="13.5" customHeight="1" outlineLevel="1" x14ac:dyDescent="0.3">
      <c r="A105" s="13">
        <f t="shared" ref="A105" si="73">LEN(C105)</f>
        <v>0</v>
      </c>
      <c r="B105" s="49"/>
      <c r="C105" s="49"/>
      <c r="D105" s="370" t="s">
        <v>6564</v>
      </c>
      <c r="E105" s="67" t="str">
        <f>VLOOKUP(D105,'03. Insumos'!A:D,2,0)</f>
        <v>Proteções Diversas - Material</v>
      </c>
      <c r="F105" s="68" t="s">
        <v>5218</v>
      </c>
      <c r="G105" s="68" t="str">
        <f>VLOOKUP(D105,'03. Insumos'!A:F,3,0)</f>
        <v>vb</v>
      </c>
      <c r="H105" s="69">
        <v>10000</v>
      </c>
      <c r="I105" s="69">
        <v>1</v>
      </c>
      <c r="J105" s="70">
        <v>1</v>
      </c>
      <c r="K105" s="54">
        <f>IF(A105=0,VLOOKUP(D105,'03. Insumos'!A:F,4,0),"")</f>
        <v>1</v>
      </c>
      <c r="L105" s="70">
        <f t="shared" ref="L105" si="74">H105*J105*I105</f>
        <v>10000</v>
      </c>
      <c r="M105" s="153">
        <f t="shared" ref="M105" ca="1" si="75">L105/$L$7</f>
        <v>6.0718734402947215E-4</v>
      </c>
      <c r="O105" s="148"/>
      <c r="R105" s="356"/>
    </row>
    <row r="106" spans="1:18" s="51" customFormat="1" ht="13.5" customHeight="1" outlineLevel="1" x14ac:dyDescent="0.3">
      <c r="A106" s="13">
        <f t="shared" si="1"/>
        <v>0</v>
      </c>
      <c r="B106" s="49"/>
      <c r="C106" s="49"/>
      <c r="D106" s="370" t="s">
        <v>5464</v>
      </c>
      <c r="E106" s="67" t="str">
        <f>VLOOKUP(D106,'03. Insumos'!A:D,2,0)</f>
        <v>Tela Fachadeira - Material e Mão de Obra</v>
      </c>
      <c r="F106" s="68" t="s">
        <v>5218</v>
      </c>
      <c r="G106" s="68" t="str">
        <f>VLOOKUP(D106,'03. Insumos'!A:F,3,0)</f>
        <v>m²</v>
      </c>
      <c r="H106" s="69">
        <f>146.51*10.78</f>
        <v>1579.3777999999998</v>
      </c>
      <c r="I106" s="69">
        <v>1</v>
      </c>
      <c r="J106" s="70">
        <f t="shared" si="68"/>
        <v>13</v>
      </c>
      <c r="K106" s="54">
        <f>IF(A106=0,VLOOKUP(D106,'03. Insumos'!A:F,4,0),"")</f>
        <v>13</v>
      </c>
      <c r="L106" s="70">
        <f t="shared" si="72"/>
        <v>20531.911399999997</v>
      </c>
      <c r="M106" s="153">
        <f t="shared" ca="1" si="66"/>
        <v>1.2466716750814438E-3</v>
      </c>
      <c r="O106" s="148"/>
      <c r="R106" s="356"/>
    </row>
    <row r="107" spans="1:18" s="18" customFormat="1" ht="13.5" hidden="1" customHeight="1" outlineLevel="1" x14ac:dyDescent="0.3">
      <c r="A107" s="290">
        <f t="shared" si="1"/>
        <v>4</v>
      </c>
      <c r="B107" s="45"/>
      <c r="C107" s="45" t="s">
        <v>1941</v>
      </c>
      <c r="D107" s="45" t="s">
        <v>47</v>
      </c>
      <c r="E107" s="347"/>
      <c r="F107" s="327"/>
      <c r="G107" s="327"/>
      <c r="H107" s="328"/>
      <c r="I107" s="328"/>
      <c r="J107" s="335"/>
      <c r="K107" s="335" t="str">
        <f>IF(A107=0,VLOOKUP(D107,'03. Insumos'!A:F,4,0),"")</f>
        <v/>
      </c>
      <c r="L107" s="335">
        <f>SUMIF(A108:A119,6,L108:L119)</f>
        <v>0</v>
      </c>
      <c r="M107" s="153">
        <f t="shared" ca="1" si="66"/>
        <v>0</v>
      </c>
      <c r="O107" s="148">
        <f>IF(I107&lt;&gt;0,I107*H107*K107,)</f>
        <v>0</v>
      </c>
      <c r="R107" s="12">
        <f>IF(J107&lt;&gt;0,J107/1.03-K107,0)</f>
        <v>0</v>
      </c>
    </row>
    <row r="108" spans="1:18" s="18" customFormat="1" ht="13.5" hidden="1" customHeight="1" outlineLevel="1" x14ac:dyDescent="0.3">
      <c r="A108" s="18">
        <f t="shared" si="1"/>
        <v>6</v>
      </c>
      <c r="B108" s="606"/>
      <c r="C108" s="606" t="s">
        <v>1942</v>
      </c>
      <c r="D108" s="606" t="s">
        <v>47</v>
      </c>
      <c r="E108" s="391"/>
      <c r="F108" s="325"/>
      <c r="H108" s="705"/>
      <c r="I108" s="326"/>
      <c r="J108" s="334"/>
      <c r="K108" s="607" t="str">
        <f>IF(A108=0,VLOOKUP(D108,'03. Insumos'!A:F,4,0),"")</f>
        <v/>
      </c>
      <c r="L108" s="334">
        <f>SUM(L109:L119)</f>
        <v>0</v>
      </c>
      <c r="M108" s="153">
        <f t="shared" ca="1" si="66"/>
        <v>0</v>
      </c>
      <c r="O108" s="600">
        <f>IF(I108&lt;&gt;0,I108*#REF!*K108,)</f>
        <v>0</v>
      </c>
      <c r="R108" s="601">
        <f>IF(J108&lt;&gt;0,J108/1.03-K108,0)</f>
        <v>0</v>
      </c>
    </row>
    <row r="109" spans="1:18" s="51" customFormat="1" ht="13.5" hidden="1" customHeight="1" outlineLevel="1" x14ac:dyDescent="0.3">
      <c r="A109" s="13">
        <f t="shared" si="1"/>
        <v>0</v>
      </c>
      <c r="B109" s="49"/>
      <c r="C109" s="49"/>
      <c r="D109" s="370" t="s">
        <v>718</v>
      </c>
      <c r="E109" s="67" t="str">
        <f>VLOOKUP(D109,'03. Insumos'!A:D,2,0)</f>
        <v>Máscara</v>
      </c>
      <c r="F109" s="68" t="s">
        <v>3809</v>
      </c>
      <c r="G109" s="68" t="str">
        <f>VLOOKUP(D109,'03. Insumos'!A:F,3,0)</f>
        <v>unid</v>
      </c>
      <c r="H109" s="705"/>
      <c r="I109" s="345">
        <f>$H$108*$I$3*4</f>
        <v>0</v>
      </c>
      <c r="J109" s="70">
        <f t="shared" ref="J109:J117" si="76">IFERROR(IF(K109&lt;&gt;0,K109*$K$5,0),0)</f>
        <v>0.47333333333333333</v>
      </c>
      <c r="K109" s="70">
        <f>IF(A109=0,VLOOKUP(D109,'03. Insumos'!A:F,4,0),"")</f>
        <v>0.47333333333333333</v>
      </c>
      <c r="L109" s="70">
        <f t="shared" ref="L109:L117" si="77">H109*J109*I109</f>
        <v>0</v>
      </c>
      <c r="M109" s="153">
        <f t="shared" ca="1" si="66"/>
        <v>0</v>
      </c>
      <c r="O109" s="148">
        <f>IF(I109&lt;&gt;0,I109*H109*K109,)</f>
        <v>0</v>
      </c>
      <c r="R109" s="356">
        <f>IF(J109&lt;&gt;0,J109/1.03-K109,0)</f>
        <v>-1.3786407766990305E-2</v>
      </c>
    </row>
    <row r="110" spans="1:18" s="51" customFormat="1" ht="13.5" hidden="1" customHeight="1" outlineLevel="1" x14ac:dyDescent="0.3">
      <c r="A110" s="13">
        <f t="shared" si="1"/>
        <v>0</v>
      </c>
      <c r="B110" s="49"/>
      <c r="C110" s="49"/>
      <c r="D110" s="370" t="s">
        <v>719</v>
      </c>
      <c r="E110" s="67" t="str">
        <f>VLOOKUP(D110,'03. Insumos'!A:D,2,0)</f>
        <v>Bota</v>
      </c>
      <c r="F110" s="68" t="s">
        <v>3809</v>
      </c>
      <c r="G110" s="68" t="str">
        <f>VLOOKUP(D110,'03. Insumos'!A:F,3,0)</f>
        <v>unid</v>
      </c>
      <c r="H110" s="705"/>
      <c r="I110" s="345">
        <f>$H$108*$I$3/5</f>
        <v>0</v>
      </c>
      <c r="J110" s="70">
        <f t="shared" si="76"/>
        <v>27</v>
      </c>
      <c r="K110" s="70">
        <f>IF(A110=0,VLOOKUP(D110,'03. Insumos'!A:F,4,0),"")</f>
        <v>27</v>
      </c>
      <c r="L110" s="70">
        <f t="shared" si="77"/>
        <v>0</v>
      </c>
      <c r="M110" s="153">
        <f t="shared" ca="1" si="66"/>
        <v>0</v>
      </c>
      <c r="O110" s="148"/>
      <c r="R110" s="356"/>
    </row>
    <row r="111" spans="1:18" s="51" customFormat="1" ht="13.5" hidden="1" customHeight="1" outlineLevel="1" x14ac:dyDescent="0.3">
      <c r="A111" s="13">
        <f t="shared" si="1"/>
        <v>0</v>
      </c>
      <c r="B111" s="49"/>
      <c r="C111" s="49"/>
      <c r="D111" s="370" t="s">
        <v>3068</v>
      </c>
      <c r="E111" s="67" t="str">
        <f>VLOOKUP(D111,'03. Insumos'!A:D,2,0)</f>
        <v xml:space="preserve">Uniforme - Calça </v>
      </c>
      <c r="F111" s="68" t="s">
        <v>3809</v>
      </c>
      <c r="G111" s="68" t="str">
        <f>VLOOKUP(D111,'03. Insumos'!A:F,3,0)</f>
        <v>unid</v>
      </c>
      <c r="H111" s="705"/>
      <c r="I111" s="345">
        <f>($H$108*$I$3/5)*3</f>
        <v>0</v>
      </c>
      <c r="J111" s="70">
        <f>IFERROR(IF(K111&lt;&gt;0,K111*$K$5,0),0)</f>
        <v>30</v>
      </c>
      <c r="K111" s="70">
        <f>IF(A111=0,VLOOKUP(D111,'03. Insumos'!A:F,4,0),"")</f>
        <v>30</v>
      </c>
      <c r="L111" s="70">
        <f>H111*J111*I111</f>
        <v>0</v>
      </c>
      <c r="M111" s="153">
        <f t="shared" ca="1" si="66"/>
        <v>0</v>
      </c>
      <c r="O111" s="148"/>
      <c r="R111" s="356"/>
    </row>
    <row r="112" spans="1:18" s="51" customFormat="1" ht="13.5" hidden="1" customHeight="1" outlineLevel="1" x14ac:dyDescent="0.3">
      <c r="A112" s="13">
        <f t="shared" si="1"/>
        <v>0</v>
      </c>
      <c r="B112" s="49"/>
      <c r="C112" s="49"/>
      <c r="D112" s="370" t="s">
        <v>3069</v>
      </c>
      <c r="E112" s="67" t="str">
        <f>VLOOKUP(D112,'03. Insumos'!A:D,2,0)</f>
        <v>Uniforme -  Camisa</v>
      </c>
      <c r="F112" s="68" t="s">
        <v>3809</v>
      </c>
      <c r="G112" s="68" t="str">
        <f>VLOOKUP(D112,'03. Insumos'!A:F,3,0)</f>
        <v>unid</v>
      </c>
      <c r="H112" s="705"/>
      <c r="I112" s="345">
        <f>($H$108*$I$3)</f>
        <v>0</v>
      </c>
      <c r="J112" s="70">
        <f>IFERROR(IF(K112&lt;&gt;0,K112*$K$5,0),0)</f>
        <v>43</v>
      </c>
      <c r="K112" s="70">
        <f>IF(A112=0,VLOOKUP(D112,'03. Insumos'!A:F,4,0),"")</f>
        <v>43</v>
      </c>
      <c r="L112" s="70">
        <f>H112*J112*I112</f>
        <v>0</v>
      </c>
      <c r="M112" s="153">
        <f t="shared" ca="1" si="66"/>
        <v>0</v>
      </c>
      <c r="O112" s="148"/>
      <c r="R112" s="356"/>
    </row>
    <row r="113" spans="1:18" s="51" customFormat="1" ht="13.5" hidden="1" customHeight="1" outlineLevel="1" x14ac:dyDescent="0.3">
      <c r="A113" s="13">
        <f t="shared" si="1"/>
        <v>0</v>
      </c>
      <c r="B113" s="49"/>
      <c r="C113" s="49"/>
      <c r="D113" s="370" t="s">
        <v>720</v>
      </c>
      <c r="E113" s="67" t="str">
        <f>VLOOKUP(D113,'03. Insumos'!A:D,2,0)</f>
        <v>Capacete</v>
      </c>
      <c r="F113" s="68" t="s">
        <v>3809</v>
      </c>
      <c r="G113" s="68" t="str">
        <f>VLOOKUP(D113,'03. Insumos'!A:F,3,0)</f>
        <v>unid</v>
      </c>
      <c r="H113" s="705"/>
      <c r="I113" s="345">
        <f>I110</f>
        <v>0</v>
      </c>
      <c r="J113" s="70">
        <f t="shared" si="76"/>
        <v>9.73</v>
      </c>
      <c r="K113" s="70">
        <f>IF(A113=0,VLOOKUP(D113,'03. Insumos'!A:F,4,0),"")</f>
        <v>9.73</v>
      </c>
      <c r="L113" s="70">
        <f t="shared" si="77"/>
        <v>0</v>
      </c>
      <c r="M113" s="153">
        <f t="shared" ca="1" si="66"/>
        <v>0</v>
      </c>
      <c r="O113" s="148"/>
      <c r="R113" s="356"/>
    </row>
    <row r="114" spans="1:18" s="51" customFormat="1" ht="13.5" hidden="1" customHeight="1" outlineLevel="1" x14ac:dyDescent="0.3">
      <c r="A114" s="13">
        <f t="shared" si="1"/>
        <v>0</v>
      </c>
      <c r="B114" s="49"/>
      <c r="C114" s="49"/>
      <c r="D114" s="370" t="s">
        <v>721</v>
      </c>
      <c r="E114" s="67" t="str">
        <f>VLOOKUP(D114,'03. Insumos'!A:D,2,0)</f>
        <v>Cinto de segurança</v>
      </c>
      <c r="F114" s="68" t="s">
        <v>3809</v>
      </c>
      <c r="G114" s="68" t="str">
        <f>VLOOKUP(D114,'03. Insumos'!A:F,3,0)</f>
        <v>unid</v>
      </c>
      <c r="H114" s="705"/>
      <c r="I114" s="345">
        <f>I110</f>
        <v>0</v>
      </c>
      <c r="J114" s="70">
        <f t="shared" si="76"/>
        <v>46.2</v>
      </c>
      <c r="K114" s="70">
        <f>IF(A114=0,VLOOKUP(D114,'03. Insumos'!A:F,4,0),"")</f>
        <v>46.2</v>
      </c>
      <c r="L114" s="70">
        <f>H114*J114*I114</f>
        <v>0</v>
      </c>
      <c r="M114" s="153">
        <f t="shared" ca="1" si="66"/>
        <v>0</v>
      </c>
      <c r="O114" s="148"/>
      <c r="R114" s="356"/>
    </row>
    <row r="115" spans="1:18" s="51" customFormat="1" ht="13.5" hidden="1" customHeight="1" outlineLevel="1" x14ac:dyDescent="0.3">
      <c r="A115" s="13">
        <f t="shared" si="1"/>
        <v>0</v>
      </c>
      <c r="B115" s="49"/>
      <c r="C115" s="49"/>
      <c r="D115" s="370" t="s">
        <v>722</v>
      </c>
      <c r="E115" s="67" t="str">
        <f>VLOOKUP(D115,'03. Insumos'!A:D,2,0)</f>
        <v>Corda de poliamida (50 m)</v>
      </c>
      <c r="F115" s="68" t="s">
        <v>3809</v>
      </c>
      <c r="G115" s="68" t="str">
        <f>VLOOKUP(D115,'03. Insumos'!A:F,3,0)</f>
        <v>rolo</v>
      </c>
      <c r="H115" s="705"/>
      <c r="I115" s="345"/>
      <c r="J115" s="70">
        <f t="shared" si="76"/>
        <v>350</v>
      </c>
      <c r="K115" s="70">
        <f>IF(A115=0,VLOOKUP(D115,'03. Insumos'!A:F,4,0),"")</f>
        <v>350</v>
      </c>
      <c r="L115" s="70">
        <f>H115*J115*I115</f>
        <v>0</v>
      </c>
      <c r="M115" s="153">
        <f t="shared" ca="1" si="66"/>
        <v>0</v>
      </c>
      <c r="O115" s="148"/>
      <c r="R115" s="356"/>
    </row>
    <row r="116" spans="1:18" s="51" customFormat="1" ht="13.5" hidden="1" customHeight="1" outlineLevel="1" x14ac:dyDescent="0.3">
      <c r="A116" s="13">
        <f t="shared" si="1"/>
        <v>0</v>
      </c>
      <c r="B116" s="49"/>
      <c r="C116" s="49"/>
      <c r="D116" s="370" t="s">
        <v>723</v>
      </c>
      <c r="E116" s="67" t="str">
        <f>VLOOKUP(D116,'03. Insumos'!A:D,2,0)</f>
        <v>Luva</v>
      </c>
      <c r="F116" s="68" t="s">
        <v>3809</v>
      </c>
      <c r="G116" s="68" t="str">
        <f>VLOOKUP(D116,'03. Insumos'!A:F,3,0)</f>
        <v>unid</v>
      </c>
      <c r="H116" s="705"/>
      <c r="I116" s="345">
        <f>H108*I3*2</f>
        <v>0</v>
      </c>
      <c r="J116" s="70">
        <f t="shared" si="76"/>
        <v>7.74</v>
      </c>
      <c r="K116" s="70">
        <f>IF(A116=0,VLOOKUP(D116,'03. Insumos'!A:F,4,0),"")</f>
        <v>7.74</v>
      </c>
      <c r="L116" s="70">
        <f t="shared" si="77"/>
        <v>0</v>
      </c>
      <c r="M116" s="153">
        <f t="shared" ca="1" si="66"/>
        <v>0</v>
      </c>
      <c r="O116" s="148"/>
      <c r="R116" s="356"/>
    </row>
    <row r="117" spans="1:18" s="51" customFormat="1" ht="13.5" hidden="1" customHeight="1" outlineLevel="1" x14ac:dyDescent="0.3">
      <c r="A117" s="13">
        <f t="shared" si="1"/>
        <v>0</v>
      </c>
      <c r="B117" s="49"/>
      <c r="C117" s="49"/>
      <c r="D117" s="370" t="s">
        <v>724</v>
      </c>
      <c r="E117" s="67" t="str">
        <f>VLOOKUP(D117,'03. Insumos'!A:D,2,0)</f>
        <v>Óculos</v>
      </c>
      <c r="F117" s="68" t="s">
        <v>3809</v>
      </c>
      <c r="G117" s="68" t="str">
        <f>VLOOKUP(D117,'03. Insumos'!A:F,3,0)</f>
        <v>unid</v>
      </c>
      <c r="H117" s="705"/>
      <c r="I117" s="345">
        <f>I110</f>
        <v>0</v>
      </c>
      <c r="J117" s="70">
        <f t="shared" si="76"/>
        <v>2</v>
      </c>
      <c r="K117" s="70">
        <f>IF(A117=0,VLOOKUP(D117,'03. Insumos'!A:F,4,0),"")</f>
        <v>2</v>
      </c>
      <c r="L117" s="70">
        <f t="shared" si="77"/>
        <v>0</v>
      </c>
      <c r="M117" s="153">
        <f t="shared" ca="1" si="66"/>
        <v>0</v>
      </c>
      <c r="O117" s="148"/>
      <c r="R117" s="356"/>
    </row>
    <row r="118" spans="1:18" s="51" customFormat="1" ht="13.5" hidden="1" customHeight="1" outlineLevel="1" x14ac:dyDescent="0.3">
      <c r="A118" s="13">
        <f t="shared" si="1"/>
        <v>0</v>
      </c>
      <c r="B118" s="49"/>
      <c r="C118" s="4"/>
      <c r="D118" s="370" t="s">
        <v>6399</v>
      </c>
      <c r="E118" s="67" t="str">
        <f>VLOOKUP(D118,'03. Insumos'!A:D,2,0)</f>
        <v>Uniforme</v>
      </c>
      <c r="F118" s="68" t="s">
        <v>5218</v>
      </c>
      <c r="G118" s="68" t="str">
        <f>VLOOKUP(D118,'03. Insumos'!A:F,3,0)</f>
        <v>mês</v>
      </c>
      <c r="H118" s="69"/>
      <c r="I118" s="69">
        <v>1</v>
      </c>
      <c r="J118" s="70">
        <f>IFERROR(IF(K118&lt;&gt;0,K118*$K$5,0),0)</f>
        <v>200</v>
      </c>
      <c r="K118" s="54">
        <f>IF(A118=0,VLOOKUP(D118,'03. Insumos'!A:F,4,0),"")</f>
        <v>200</v>
      </c>
      <c r="L118" s="485">
        <f>H118*J118*I118</f>
        <v>0</v>
      </c>
      <c r="M118" s="153">
        <f t="shared" ca="1" si="66"/>
        <v>0</v>
      </c>
      <c r="O118" s="148"/>
      <c r="R118" s="356"/>
    </row>
    <row r="119" spans="1:18" s="51" customFormat="1" ht="13.5" hidden="1" customHeight="1" outlineLevel="1" x14ac:dyDescent="0.3">
      <c r="A119" s="13">
        <f t="shared" si="1"/>
        <v>0</v>
      </c>
      <c r="B119" s="49"/>
      <c r="C119" s="49"/>
      <c r="D119" s="370" t="s">
        <v>6400</v>
      </c>
      <c r="E119" s="67" t="str">
        <f>VLOOKUP(D119,'03. Insumos'!A:D,2,0)</f>
        <v>EPI</v>
      </c>
      <c r="F119" s="68" t="s">
        <v>5218</v>
      </c>
      <c r="G119" s="68" t="str">
        <f>VLOOKUP(D119,'03. Insumos'!A:F,3,0)</f>
        <v>mês</v>
      </c>
      <c r="H119" s="69"/>
      <c r="I119" s="69">
        <v>1</v>
      </c>
      <c r="J119" s="70">
        <f>IFERROR(IF(K119&lt;&gt;0,K119*$K$5,0),0)</f>
        <v>350</v>
      </c>
      <c r="K119" s="54">
        <f>IF(A119=0,VLOOKUP(D119,'03. Insumos'!A:F,4,0),"")</f>
        <v>350</v>
      </c>
      <c r="L119" s="485">
        <f>H119*J119*I119</f>
        <v>0</v>
      </c>
      <c r="M119" s="153">
        <f t="shared" ca="1" si="66"/>
        <v>0</v>
      </c>
      <c r="O119" s="148"/>
      <c r="R119" s="356"/>
    </row>
    <row r="120" spans="1:18" s="18" customFormat="1" ht="13.5" customHeight="1" outlineLevel="1" x14ac:dyDescent="0.3">
      <c r="A120" s="290">
        <f>LEN(C120)</f>
        <v>4</v>
      </c>
      <c r="B120" s="45"/>
      <c r="C120" s="45" t="s">
        <v>1941</v>
      </c>
      <c r="D120" s="45" t="s">
        <v>47</v>
      </c>
      <c r="E120" s="347"/>
      <c r="F120" s="327"/>
      <c r="G120" s="327"/>
      <c r="H120" s="328"/>
      <c r="I120" s="328"/>
      <c r="J120" s="335"/>
      <c r="K120" s="335" t="str">
        <f>IF(A120=0,VLOOKUP(D120,'03. Insumos'!A:F,4,0),"")</f>
        <v/>
      </c>
      <c r="L120" s="335">
        <f>SUMIF(A121:A123,6,L121:L123)</f>
        <v>19800</v>
      </c>
      <c r="M120" s="153">
        <f t="shared" ca="1" si="66"/>
        <v>1.2022309411783547E-3</v>
      </c>
      <c r="O120" s="148">
        <f>IF(I120&lt;&gt;0,I120*H120*K120,)</f>
        <v>0</v>
      </c>
      <c r="R120" s="12">
        <f>IF(J120&lt;&gt;0,J120/1.03-K120,0)</f>
        <v>0</v>
      </c>
    </row>
    <row r="121" spans="1:18" ht="13.5" customHeight="1" outlineLevel="1" x14ac:dyDescent="0.3">
      <c r="A121" s="290">
        <f>LEN(C121)</f>
        <v>6</v>
      </c>
      <c r="B121" s="606"/>
      <c r="C121" s="606" t="s">
        <v>1942</v>
      </c>
      <c r="D121" s="606" t="s">
        <v>47</v>
      </c>
      <c r="E121" s="391"/>
      <c r="F121" s="325"/>
      <c r="G121" s="325"/>
      <c r="H121" s="326">
        <f>I3</f>
        <v>36</v>
      </c>
      <c r="I121" s="326"/>
      <c r="J121" s="334"/>
      <c r="K121" s="607" t="str">
        <f>IF(A121=0,VLOOKUP(D121,'03. Insumos'!A:F,4,0),"")</f>
        <v/>
      </c>
      <c r="L121" s="334">
        <f>SUM(L122:L123)</f>
        <v>19800</v>
      </c>
      <c r="M121" s="153">
        <f t="shared" ca="1" si="66"/>
        <v>1.2022309411783547E-3</v>
      </c>
      <c r="O121" s="148">
        <f>IF(I121&lt;&gt;0,I121*H121*K121,)</f>
        <v>0</v>
      </c>
      <c r="R121" s="12">
        <f>IF(J121&lt;&gt;0,J121/1.03-K121,0)</f>
        <v>0</v>
      </c>
    </row>
    <row r="122" spans="1:18" ht="13.5" customHeight="1" outlineLevel="1" x14ac:dyDescent="0.3">
      <c r="A122" s="290">
        <f>LEN(C122)</f>
        <v>0</v>
      </c>
      <c r="B122" s="4"/>
      <c r="C122" s="4"/>
      <c r="D122" s="370" t="s">
        <v>6399</v>
      </c>
      <c r="E122" s="67" t="str">
        <f>VLOOKUP(D122,'03. Insumos'!A:D,2,0)</f>
        <v>Uniforme</v>
      </c>
      <c r="F122" s="68" t="s">
        <v>5218</v>
      </c>
      <c r="G122" s="68" t="str">
        <f>VLOOKUP(D122,'03. Insumos'!A:F,3,0)</f>
        <v>mês</v>
      </c>
      <c r="H122" s="69">
        <v>1</v>
      </c>
      <c r="I122" s="69">
        <f>H121</f>
        <v>36</v>
      </c>
      <c r="J122" s="70">
        <f>IFERROR(IF(K122&lt;&gt;0,K122*$K$5,0),0)</f>
        <v>200</v>
      </c>
      <c r="K122" s="54">
        <f>IF(A122=0,VLOOKUP(D122,'03. Insumos'!A:F,4,0),"")</f>
        <v>200</v>
      </c>
      <c r="L122" s="485">
        <f>H122*J122*I122</f>
        <v>7200</v>
      </c>
      <c r="M122" s="153">
        <f t="shared" ca="1" si="66"/>
        <v>4.371748877012199E-4</v>
      </c>
      <c r="O122" s="148"/>
      <c r="R122" s="12"/>
    </row>
    <row r="123" spans="1:18" s="51" customFormat="1" ht="13.5" customHeight="1" outlineLevel="1" x14ac:dyDescent="0.3">
      <c r="A123" s="290">
        <f>LEN(C123)</f>
        <v>0</v>
      </c>
      <c r="B123" s="49"/>
      <c r="C123" s="49"/>
      <c r="D123" s="370" t="s">
        <v>6400</v>
      </c>
      <c r="E123" s="67" t="str">
        <f>VLOOKUP(D123,'03. Insumos'!A:D,2,0)</f>
        <v>EPI</v>
      </c>
      <c r="F123" s="68" t="s">
        <v>5218</v>
      </c>
      <c r="G123" s="68" t="str">
        <f>VLOOKUP(D123,'03. Insumos'!A:F,3,0)</f>
        <v>mês</v>
      </c>
      <c r="H123" s="69">
        <v>1</v>
      </c>
      <c r="I123" s="69">
        <f>H121</f>
        <v>36</v>
      </c>
      <c r="J123" s="70">
        <f>IFERROR(IF(K123&lt;&gt;0,K123*$K$5,0),0)</f>
        <v>350</v>
      </c>
      <c r="K123" s="54">
        <f>IF(A123=0,VLOOKUP(D123,'03. Insumos'!A:F,4,0),"")</f>
        <v>350</v>
      </c>
      <c r="L123" s="485">
        <f>H123*J123*I123</f>
        <v>12600</v>
      </c>
      <c r="M123" s="153">
        <f t="shared" ca="1" si="66"/>
        <v>7.6505605347713479E-4</v>
      </c>
      <c r="O123" s="148">
        <f>IF(I123&lt;&gt;0,I123*H123*K123,)</f>
        <v>12600</v>
      </c>
      <c r="R123" s="12">
        <f>IF(J123&lt;&gt;0,J123/1.03-K123,0)</f>
        <v>-10.194174757281587</v>
      </c>
    </row>
    <row r="124" spans="1:18" s="592" customFormat="1" ht="13.95" customHeight="1" x14ac:dyDescent="0.3">
      <c r="A124" s="478">
        <f t="shared" si="1"/>
        <v>3</v>
      </c>
      <c r="B124" s="390"/>
      <c r="C124" s="390" t="s">
        <v>356</v>
      </c>
      <c r="D124" s="390" t="s">
        <v>78</v>
      </c>
      <c r="E124" s="390"/>
      <c r="F124" s="323"/>
      <c r="G124" s="323"/>
      <c r="H124" s="324"/>
      <c r="I124" s="324"/>
      <c r="J124" s="333"/>
      <c r="K124" s="333"/>
      <c r="L124" s="333">
        <f>SUMIF(A125:A204,4,L125:L204)</f>
        <v>426714.52521875</v>
      </c>
      <c r="M124" s="153">
        <f t="shared" ca="1" si="66"/>
        <v>2.5909565922637001E-2</v>
      </c>
      <c r="O124" s="499">
        <f>IF(I124&lt;&gt;0,I124*H124*K124,)</f>
        <v>0</v>
      </c>
      <c r="R124" s="348">
        <f>IF(J124&lt;&gt;0,J124/1.03-K124,0)</f>
        <v>0</v>
      </c>
    </row>
    <row r="125" spans="1:18" s="18" customFormat="1" ht="13.95" customHeight="1" outlineLevel="1" x14ac:dyDescent="0.3">
      <c r="A125" s="290">
        <f t="shared" si="1"/>
        <v>4</v>
      </c>
      <c r="B125" s="45"/>
      <c r="C125" s="45" t="s">
        <v>382</v>
      </c>
      <c r="D125" s="45" t="s">
        <v>112</v>
      </c>
      <c r="E125" s="347"/>
      <c r="F125" s="327"/>
      <c r="G125" s="327"/>
      <c r="H125" s="328"/>
      <c r="I125" s="328"/>
      <c r="J125" s="335"/>
      <c r="K125" s="335" t="str">
        <f>IF(A125=0,VLOOKUP(D125,'03. Insumos'!A:F,4,0),"")</f>
        <v/>
      </c>
      <c r="L125" s="335">
        <f>SUMIF(A126:A178,6,L126:L178)</f>
        <v>104688</v>
      </c>
      <c r="M125" s="153">
        <f t="shared" ca="1" si="66"/>
        <v>6.3565228671757373E-3</v>
      </c>
      <c r="O125" s="148">
        <f>IF(I125&lt;&gt;0,I125*H125*K125,)</f>
        <v>0</v>
      </c>
      <c r="R125" s="12">
        <f>IF(J125&lt;&gt;0,J125/1.03-K125,0)</f>
        <v>0</v>
      </c>
    </row>
    <row r="126" spans="1:18" s="18" customFormat="1" ht="13.5" customHeight="1" outlineLevel="1" x14ac:dyDescent="0.3">
      <c r="A126" s="18">
        <f t="shared" si="1"/>
        <v>6</v>
      </c>
      <c r="B126" s="606"/>
      <c r="C126" s="606" t="s">
        <v>919</v>
      </c>
      <c r="D126" s="606" t="s">
        <v>2004</v>
      </c>
      <c r="E126" s="391"/>
      <c r="F126" s="325"/>
      <c r="G126" s="325"/>
      <c r="H126" s="326"/>
      <c r="I126" s="326"/>
      <c r="J126" s="334"/>
      <c r="K126" s="607" t="str">
        <f>IF(A126=0,VLOOKUP(D126,'03. Insumos'!A:F,4,0),"")</f>
        <v/>
      </c>
      <c r="L126" s="334">
        <f>SUM(L127:L154)</f>
        <v>23400</v>
      </c>
      <c r="M126" s="153">
        <f t="shared" ca="1" si="66"/>
        <v>1.4208183850289648E-3</v>
      </c>
      <c r="O126" s="600">
        <f>IF(I126&lt;&gt;0,I126*H126*K126,)</f>
        <v>0</v>
      </c>
      <c r="R126" s="601">
        <f>IF(J126&lt;&gt;0,J126/1.03-K126,0)</f>
        <v>0</v>
      </c>
    </row>
    <row r="127" spans="1:18" ht="13.5" customHeight="1" outlineLevel="1" x14ac:dyDescent="0.3">
      <c r="A127" s="13">
        <f t="shared" si="1"/>
        <v>0</v>
      </c>
      <c r="B127" s="4"/>
      <c r="C127" s="4"/>
      <c r="D127" s="370" t="s">
        <v>159</v>
      </c>
      <c r="E127" s="67" t="str">
        <f>VLOOKUP(D127,'03. Insumos'!A:D,2,0)</f>
        <v>Locação de máquinas geral</v>
      </c>
      <c r="F127" s="68" t="s">
        <v>5218</v>
      </c>
      <c r="G127" s="68" t="str">
        <f>VLOOKUP(D127,'03. Insumos'!A:F,3,0)</f>
        <v>mês</v>
      </c>
      <c r="H127" s="69">
        <v>1</v>
      </c>
      <c r="I127" s="69">
        <f>I3</f>
        <v>36</v>
      </c>
      <c r="J127" s="70">
        <v>650</v>
      </c>
      <c r="K127" s="70">
        <f>IF(A127=0,VLOOKUP(D127,'03. Insumos'!A:F,4,0),"")</f>
        <v>850</v>
      </c>
      <c r="L127" s="70">
        <f>H127*J127*I127</f>
        <v>23400</v>
      </c>
      <c r="M127" s="153">
        <f t="shared" ca="1" si="66"/>
        <v>1.4208183850289648E-3</v>
      </c>
      <c r="O127" s="148"/>
      <c r="R127" s="356"/>
    </row>
    <row r="128" spans="1:18" ht="13.5" hidden="1" customHeight="1" outlineLevel="1" x14ac:dyDescent="0.3">
      <c r="A128" s="13">
        <f t="shared" si="1"/>
        <v>0</v>
      </c>
      <c r="B128" s="4"/>
      <c r="C128" s="4"/>
      <c r="D128" s="370" t="s">
        <v>1987</v>
      </c>
      <c r="E128" s="67" t="str">
        <f>VLOOKUP(D128,'03. Insumos'!A:D,2,0)</f>
        <v>Torre de iluminação</v>
      </c>
      <c r="F128" s="68" t="s">
        <v>5218</v>
      </c>
      <c r="G128" s="68" t="str">
        <f>VLOOKUP(D128,'03. Insumos'!A:F,3,0)</f>
        <v>mês</v>
      </c>
      <c r="H128" s="69"/>
      <c r="I128" s="69"/>
      <c r="J128" s="70">
        <f t="shared" ref="J128:J154" si="78">IFERROR(IF(K128&lt;&gt;0,K128*$K$5,0),0)</f>
        <v>1490</v>
      </c>
      <c r="K128" s="70">
        <f>IF(A128=0,VLOOKUP(D128,'03. Insumos'!A:F,4,0),"")</f>
        <v>1490</v>
      </c>
      <c r="L128" s="70">
        <f t="shared" ref="L128:L154" si="79">H128*J128*I128</f>
        <v>0</v>
      </c>
      <c r="M128" s="153">
        <f t="shared" ca="1" si="66"/>
        <v>0</v>
      </c>
      <c r="O128" s="148"/>
      <c r="R128" s="356"/>
    </row>
    <row r="129" spans="1:18" ht="13.5" hidden="1" customHeight="1" outlineLevel="1" x14ac:dyDescent="0.3">
      <c r="A129" s="13">
        <f t="shared" si="1"/>
        <v>0</v>
      </c>
      <c r="B129" s="4"/>
      <c r="C129" s="4"/>
      <c r="D129" s="370" t="s">
        <v>2049</v>
      </c>
      <c r="E129" s="67" t="str">
        <f>VLOOKUP(D129,'03. Insumos'!A:D,2,0)</f>
        <v>Traçador</v>
      </c>
      <c r="F129" s="68" t="s">
        <v>5218</v>
      </c>
      <c r="G129" s="68" t="str">
        <f>VLOOKUP(D129,'03. Insumos'!A:F,3,0)</f>
        <v>mês</v>
      </c>
      <c r="H129" s="69"/>
      <c r="I129" s="69"/>
      <c r="J129" s="70">
        <f t="shared" si="78"/>
        <v>105</v>
      </c>
      <c r="K129" s="70">
        <f>IF(A129=0,VLOOKUP(D129,'03. Insumos'!A:F,4,0),"")</f>
        <v>105</v>
      </c>
      <c r="L129" s="70">
        <f>H129*J129*I129</f>
        <v>0</v>
      </c>
      <c r="M129" s="153">
        <f t="shared" ca="1" si="66"/>
        <v>0</v>
      </c>
      <c r="O129" s="148"/>
      <c r="R129" s="356"/>
    </row>
    <row r="130" spans="1:18" ht="13.5" hidden="1" customHeight="1" outlineLevel="1" x14ac:dyDescent="0.3">
      <c r="A130" s="13">
        <f t="shared" si="1"/>
        <v>0</v>
      </c>
      <c r="B130" s="4"/>
      <c r="C130" s="4"/>
      <c r="D130" s="370" t="s">
        <v>153</v>
      </c>
      <c r="E130" s="67" t="str">
        <f>VLOOKUP(D130,'03. Insumos'!A:D,2,0)</f>
        <v>Velox Locação</v>
      </c>
      <c r="F130" s="68" t="s">
        <v>5218</v>
      </c>
      <c r="G130" s="68" t="str">
        <f>VLOOKUP(D130,'03. Insumos'!A:F,3,0)</f>
        <v>mês</v>
      </c>
      <c r="H130" s="69"/>
      <c r="I130" s="69">
        <v>5</v>
      </c>
      <c r="J130" s="70">
        <f t="shared" si="78"/>
        <v>290</v>
      </c>
      <c r="K130" s="70">
        <f>IF(A130=0,VLOOKUP(D130,'03. Insumos'!A:F,4,0),"")</f>
        <v>290</v>
      </c>
      <c r="L130" s="70">
        <f>H130*J130*I130</f>
        <v>0</v>
      </c>
      <c r="M130" s="153">
        <f t="shared" ca="1" si="66"/>
        <v>0</v>
      </c>
      <c r="O130" s="148"/>
      <c r="R130" s="356"/>
    </row>
    <row r="131" spans="1:18" ht="13.5" hidden="1" customHeight="1" outlineLevel="1" x14ac:dyDescent="0.3">
      <c r="A131" s="13">
        <f t="shared" si="1"/>
        <v>0</v>
      </c>
      <c r="B131" s="4"/>
      <c r="C131" s="4"/>
      <c r="D131" s="370" t="s">
        <v>2044</v>
      </c>
      <c r="E131" s="67" t="str">
        <f>VLOOKUP(D131,'03. Insumos'!A:D,2,0)</f>
        <v>Bomba submersa</v>
      </c>
      <c r="F131" s="68" t="s">
        <v>5218</v>
      </c>
      <c r="G131" s="68" t="str">
        <f>VLOOKUP(D131,'03. Insumos'!A:F,3,0)</f>
        <v>mês</v>
      </c>
      <c r="H131" s="69"/>
      <c r="I131" s="69"/>
      <c r="J131" s="70">
        <f t="shared" si="78"/>
        <v>230</v>
      </c>
      <c r="K131" s="70">
        <f>IF(A131=0,VLOOKUP(D131,'03. Insumos'!A:F,4,0),"")</f>
        <v>230</v>
      </c>
      <c r="L131" s="70">
        <f>H131*J131*I131</f>
        <v>0</v>
      </c>
      <c r="M131" s="153">
        <f t="shared" ca="1" si="66"/>
        <v>0</v>
      </c>
      <c r="O131" s="148"/>
      <c r="R131" s="356"/>
    </row>
    <row r="132" spans="1:18" ht="13.5" hidden="1" customHeight="1" outlineLevel="1" x14ac:dyDescent="0.3">
      <c r="A132" s="13">
        <f t="shared" si="1"/>
        <v>0</v>
      </c>
      <c r="B132" s="4"/>
      <c r="C132" s="4"/>
      <c r="D132" s="370" t="s">
        <v>2047</v>
      </c>
      <c r="E132" s="67" t="str">
        <f>VLOOKUP(D132,'03. Insumos'!A:D,2,0)</f>
        <v>Mangote para bomba 20 m</v>
      </c>
      <c r="F132" s="68" t="s">
        <v>5218</v>
      </c>
      <c r="G132" s="68" t="str">
        <f>VLOOKUP(D132,'03. Insumos'!A:F,3,0)</f>
        <v>mês</v>
      </c>
      <c r="H132" s="69"/>
      <c r="I132" s="69"/>
      <c r="J132" s="70">
        <f t="shared" si="78"/>
        <v>96</v>
      </c>
      <c r="K132" s="70">
        <f>IF(A132=0,VLOOKUP(D132,'03. Insumos'!A:F,4,0),"")</f>
        <v>96</v>
      </c>
      <c r="L132" s="70">
        <f>H132*J132*I132</f>
        <v>0</v>
      </c>
      <c r="M132" s="153">
        <f t="shared" ca="1" si="66"/>
        <v>0</v>
      </c>
      <c r="O132" s="148"/>
      <c r="R132" s="356"/>
    </row>
    <row r="133" spans="1:18" ht="13.5" hidden="1" customHeight="1" outlineLevel="1" x14ac:dyDescent="0.3">
      <c r="A133" s="13">
        <f t="shared" si="1"/>
        <v>0</v>
      </c>
      <c r="B133" s="4"/>
      <c r="C133" s="4"/>
      <c r="D133" s="370" t="s">
        <v>1988</v>
      </c>
      <c r="E133" s="67" t="str">
        <f>VLOOKUP(D133,'03. Insumos'!A:D,2,0)</f>
        <v>Martelete 10 Kg</v>
      </c>
      <c r="F133" s="68" t="s">
        <v>5218</v>
      </c>
      <c r="G133" s="68" t="str">
        <f>VLOOKUP(D133,'03. Insumos'!A:F,3,0)</f>
        <v>mês</v>
      </c>
      <c r="H133" s="69"/>
      <c r="I133" s="69">
        <v>2</v>
      </c>
      <c r="J133" s="70">
        <f t="shared" si="78"/>
        <v>490</v>
      </c>
      <c r="K133" s="70">
        <f>IF(A133=0,VLOOKUP(D133,'03. Insumos'!A:F,4,0),"")</f>
        <v>490</v>
      </c>
      <c r="L133" s="70">
        <f t="shared" si="79"/>
        <v>0</v>
      </c>
      <c r="M133" s="153">
        <f t="shared" ca="1" si="66"/>
        <v>0</v>
      </c>
      <c r="O133" s="148"/>
      <c r="R133" s="356"/>
    </row>
    <row r="134" spans="1:18" ht="13.5" hidden="1" customHeight="1" outlineLevel="1" x14ac:dyDescent="0.3">
      <c r="A134" s="13">
        <f t="shared" si="1"/>
        <v>0</v>
      </c>
      <c r="B134" s="4"/>
      <c r="C134" s="4"/>
      <c r="D134" s="370" t="s">
        <v>727</v>
      </c>
      <c r="E134" s="67" t="str">
        <f>VLOOKUP(D134,'03. Insumos'!A:D,2,0)</f>
        <v>MARTELETE (SDS PLUS) 220VOLTS BIF</v>
      </c>
      <c r="F134" s="68" t="s">
        <v>5218</v>
      </c>
      <c r="G134" s="68" t="str">
        <f>VLOOKUP(D134,'03. Insumos'!A:F,3,0)</f>
        <v>mês</v>
      </c>
      <c r="H134" s="69"/>
      <c r="I134" s="69">
        <f>I3</f>
        <v>36</v>
      </c>
      <c r="J134" s="70">
        <f t="shared" si="78"/>
        <v>125</v>
      </c>
      <c r="K134" s="70">
        <f>IF(A134=0,VLOOKUP(D134,'03. Insumos'!A:F,4,0),"")</f>
        <v>125</v>
      </c>
      <c r="L134" s="70">
        <f>H134*J134*I134</f>
        <v>0</v>
      </c>
      <c r="M134" s="153">
        <f t="shared" ca="1" si="66"/>
        <v>0</v>
      </c>
      <c r="O134" s="148"/>
      <c r="R134" s="356"/>
    </row>
    <row r="135" spans="1:18" ht="13.5" hidden="1" customHeight="1" outlineLevel="1" x14ac:dyDescent="0.3">
      <c r="A135" s="13">
        <f t="shared" si="1"/>
        <v>0</v>
      </c>
      <c r="B135" s="4"/>
      <c r="C135" s="4"/>
      <c r="D135" s="370" t="s">
        <v>727</v>
      </c>
      <c r="E135" s="67" t="str">
        <f>VLOOKUP(D135,'03. Insumos'!A:D,2,0)</f>
        <v>MARTELETE (SDS PLUS) 220VOLTS BIF</v>
      </c>
      <c r="F135" s="68" t="s">
        <v>5218</v>
      </c>
      <c r="G135" s="68" t="str">
        <f>VLOOKUP(D135,'03. Insumos'!A:F,3,0)</f>
        <v>mês</v>
      </c>
      <c r="H135" s="69"/>
      <c r="I135" s="69">
        <f>I3</f>
        <v>36</v>
      </c>
      <c r="J135" s="70">
        <f t="shared" si="78"/>
        <v>125</v>
      </c>
      <c r="K135" s="70">
        <f>IF(A135=0,VLOOKUP(D135,'03. Insumos'!A:F,4,0),"")</f>
        <v>125</v>
      </c>
      <c r="L135" s="70">
        <f>H135*J135*I135</f>
        <v>0</v>
      </c>
      <c r="M135" s="153">
        <f t="shared" ca="1" si="66"/>
        <v>0</v>
      </c>
      <c r="O135" s="148"/>
      <c r="R135" s="356"/>
    </row>
    <row r="136" spans="1:18" ht="13.5" hidden="1" customHeight="1" outlineLevel="1" x14ac:dyDescent="0.3">
      <c r="A136" s="13">
        <f t="shared" si="1"/>
        <v>0</v>
      </c>
      <c r="B136" s="4"/>
      <c r="C136" s="4"/>
      <c r="D136" s="370" t="s">
        <v>1990</v>
      </c>
      <c r="E136" s="67" t="str">
        <f>VLOOKUP(D136,'03. Insumos'!A:D,2,0)</f>
        <v>Compressor 185 PCM para 2 marteletes</v>
      </c>
      <c r="F136" s="68" t="s">
        <v>5218</v>
      </c>
      <c r="G136" s="68" t="str">
        <f>VLOOKUP(D136,'03. Insumos'!A:F,3,0)</f>
        <v>mês</v>
      </c>
      <c r="H136" s="69"/>
      <c r="I136" s="69"/>
      <c r="J136" s="70">
        <f t="shared" si="78"/>
        <v>2100</v>
      </c>
      <c r="K136" s="70">
        <f>IF(A136=0,VLOOKUP(D136,'03. Insumos'!A:F,4,0),"")</f>
        <v>2100</v>
      </c>
      <c r="L136" s="70">
        <f t="shared" si="79"/>
        <v>0</v>
      </c>
      <c r="M136" s="153">
        <f t="shared" ca="1" si="66"/>
        <v>0</v>
      </c>
      <c r="O136" s="148"/>
      <c r="R136" s="356"/>
    </row>
    <row r="137" spans="1:18" ht="13.5" hidden="1" customHeight="1" outlineLevel="1" x14ac:dyDescent="0.3">
      <c r="A137" s="13">
        <f t="shared" si="1"/>
        <v>0</v>
      </c>
      <c r="B137" s="4"/>
      <c r="C137" s="4"/>
      <c r="D137" s="370" t="s">
        <v>1991</v>
      </c>
      <c r="E137" s="67" t="str">
        <f>VLOOKUP(D137,'03. Insumos'!A:D,2,0)</f>
        <v>Lance de mangueira c/ 20 m</v>
      </c>
      <c r="F137" s="68" t="s">
        <v>5218</v>
      </c>
      <c r="G137" s="68" t="str">
        <f>VLOOKUP(D137,'03. Insumos'!A:F,3,0)</f>
        <v>mês</v>
      </c>
      <c r="H137" s="69"/>
      <c r="I137" s="69"/>
      <c r="J137" s="70">
        <f t="shared" si="78"/>
        <v>98</v>
      </c>
      <c r="K137" s="70">
        <f>IF(A137=0,VLOOKUP(D137,'03. Insumos'!A:F,4,0),"")</f>
        <v>98</v>
      </c>
      <c r="L137" s="70">
        <f t="shared" si="79"/>
        <v>0</v>
      </c>
      <c r="M137" s="153">
        <f t="shared" ca="1" si="66"/>
        <v>0</v>
      </c>
      <c r="O137" s="148"/>
      <c r="R137" s="356"/>
    </row>
    <row r="138" spans="1:18" ht="13.5" hidden="1" customHeight="1" outlineLevel="1" x14ac:dyDescent="0.3">
      <c r="A138" s="13">
        <f t="shared" si="1"/>
        <v>0</v>
      </c>
      <c r="B138" s="4"/>
      <c r="C138" s="4"/>
      <c r="D138" s="370" t="s">
        <v>1992</v>
      </c>
      <c r="E138" s="67" t="str">
        <f>VLOOKUP(D138,'03. Insumos'!A:D,2,0)</f>
        <v>Mini escavadeira</v>
      </c>
      <c r="F138" s="68" t="s">
        <v>5218</v>
      </c>
      <c r="G138" s="68" t="str">
        <f>VLOOKUP(D138,'03. Insumos'!A:F,3,0)</f>
        <v>mês</v>
      </c>
      <c r="H138" s="69"/>
      <c r="I138" s="69"/>
      <c r="J138" s="70">
        <f t="shared" si="78"/>
        <v>24000</v>
      </c>
      <c r="K138" s="70">
        <f>IF(A138=0,VLOOKUP(D138,'03. Insumos'!A:F,4,0),"")</f>
        <v>24000</v>
      </c>
      <c r="L138" s="70">
        <f t="shared" si="79"/>
        <v>0</v>
      </c>
      <c r="M138" s="153">
        <f t="shared" ca="1" si="66"/>
        <v>0</v>
      </c>
      <c r="O138" s="148"/>
      <c r="R138" s="356"/>
    </row>
    <row r="139" spans="1:18" ht="13.5" hidden="1" customHeight="1" outlineLevel="1" x14ac:dyDescent="0.3">
      <c r="A139" s="13">
        <f t="shared" si="1"/>
        <v>0</v>
      </c>
      <c r="B139" s="4"/>
      <c r="C139" s="4"/>
      <c r="D139" s="370" t="s">
        <v>2043</v>
      </c>
      <c r="E139" s="67" t="str">
        <f>VLOOKUP(D139,'03. Insumos'!A:D,2,0)</f>
        <v>Retroescavadeira com operador</v>
      </c>
      <c r="F139" s="68" t="s">
        <v>5218</v>
      </c>
      <c r="G139" s="68" t="str">
        <f>VLOOKUP(D139,'03. Insumos'!A:F,3,0)</f>
        <v>mês</v>
      </c>
      <c r="H139" s="69"/>
      <c r="I139" s="69"/>
      <c r="J139" s="70">
        <f t="shared" si="78"/>
        <v>16000</v>
      </c>
      <c r="K139" s="70">
        <f>IF(A139=0,VLOOKUP(D139,'03. Insumos'!A:F,4,0),"")</f>
        <v>16000</v>
      </c>
      <c r="L139" s="70">
        <f>H139*J139*I139</f>
        <v>0</v>
      </c>
      <c r="M139" s="153">
        <f t="shared" ca="1" si="66"/>
        <v>0</v>
      </c>
      <c r="O139" s="148"/>
      <c r="R139" s="356"/>
    </row>
    <row r="140" spans="1:18" ht="13.5" hidden="1" customHeight="1" outlineLevel="1" x14ac:dyDescent="0.3">
      <c r="A140" s="13">
        <f t="shared" si="1"/>
        <v>0</v>
      </c>
      <c r="B140" s="4"/>
      <c r="C140" s="4"/>
      <c r="D140" s="370" t="s">
        <v>1970</v>
      </c>
      <c r="E140" s="67" t="str">
        <f>VLOOKUP(D140,'03. Insumos'!A:D,2,0)</f>
        <v>Plataforma elevatória de 7 m (tesourinha)</v>
      </c>
      <c r="F140" s="68" t="s">
        <v>5218</v>
      </c>
      <c r="G140" s="68" t="str">
        <f>VLOOKUP(D140,'03. Insumos'!A:F,3,0)</f>
        <v>mês</v>
      </c>
      <c r="H140" s="69"/>
      <c r="I140" s="69"/>
      <c r="J140" s="70">
        <f t="shared" si="78"/>
        <v>1600</v>
      </c>
      <c r="K140" s="70">
        <f>IF(A140=0,VLOOKUP(D140,'03. Insumos'!A:F,4,0),"")</f>
        <v>1600</v>
      </c>
      <c r="L140" s="70">
        <f>H140*J140*I140</f>
        <v>0</v>
      </c>
      <c r="M140" s="153">
        <f t="shared" ca="1" si="66"/>
        <v>0</v>
      </c>
      <c r="O140" s="148"/>
      <c r="R140" s="356"/>
    </row>
    <row r="141" spans="1:18" ht="13.5" hidden="1" customHeight="1" outlineLevel="1" x14ac:dyDescent="0.3">
      <c r="A141" s="13">
        <f t="shared" si="1"/>
        <v>0</v>
      </c>
      <c r="B141" s="4"/>
      <c r="C141" s="4"/>
      <c r="D141" s="370" t="s">
        <v>442</v>
      </c>
      <c r="E141" s="67" t="str">
        <f>VLOOKUP(D141,'03. Insumos'!A:D,2,0)</f>
        <v>Compactação com Sapinho</v>
      </c>
      <c r="F141" s="68" t="s">
        <v>5218</v>
      </c>
      <c r="G141" s="68" t="str">
        <f>VLOOKUP(D141,'03. Insumos'!A:F,3,0)</f>
        <v>mês</v>
      </c>
      <c r="H141" s="69"/>
      <c r="I141" s="69">
        <v>3</v>
      </c>
      <c r="J141" s="70">
        <f t="shared" si="78"/>
        <v>520</v>
      </c>
      <c r="K141" s="70">
        <f>IF(A141=0,VLOOKUP(D141,'03. Insumos'!A:F,4,0),"")</f>
        <v>520</v>
      </c>
      <c r="L141" s="70">
        <f t="shared" si="79"/>
        <v>0</v>
      </c>
      <c r="M141" s="153">
        <f t="shared" ca="1" si="66"/>
        <v>0</v>
      </c>
      <c r="O141" s="148"/>
      <c r="R141" s="356"/>
    </row>
    <row r="142" spans="1:18" ht="13.5" hidden="1" customHeight="1" outlineLevel="1" x14ac:dyDescent="0.3">
      <c r="A142" s="13">
        <f t="shared" si="1"/>
        <v>0</v>
      </c>
      <c r="B142" s="4"/>
      <c r="C142" s="4"/>
      <c r="D142" s="370" t="s">
        <v>1994</v>
      </c>
      <c r="E142" s="67" t="str">
        <f>VLOOKUP(D142,'03. Insumos'!A:D,2,0)</f>
        <v>Cortador de piso</v>
      </c>
      <c r="F142" s="68" t="s">
        <v>5218</v>
      </c>
      <c r="G142" s="68" t="str">
        <f>VLOOKUP(D142,'03. Insumos'!A:F,3,0)</f>
        <v>mês</v>
      </c>
      <c r="H142" s="69"/>
      <c r="I142" s="69"/>
      <c r="J142" s="70">
        <f t="shared" si="78"/>
        <v>350</v>
      </c>
      <c r="K142" s="70">
        <f>IF(A142=0,VLOOKUP(D142,'03. Insumos'!A:F,4,0),"")</f>
        <v>350</v>
      </c>
      <c r="L142" s="70">
        <f t="shared" si="79"/>
        <v>0</v>
      </c>
      <c r="M142" s="153">
        <f t="shared" ca="1" si="66"/>
        <v>0</v>
      </c>
      <c r="O142" s="148"/>
      <c r="R142" s="356"/>
    </row>
    <row r="143" spans="1:18" ht="13.5" hidden="1" customHeight="1" outlineLevel="1" x14ac:dyDescent="0.3">
      <c r="A143" s="13">
        <f t="shared" si="1"/>
        <v>0</v>
      </c>
      <c r="B143" s="4"/>
      <c r="C143" s="4"/>
      <c r="D143" s="370" t="s">
        <v>1995</v>
      </c>
      <c r="E143" s="67" t="str">
        <f>VLOOKUP(D143,'03. Insumos'!A:D,2,0)</f>
        <v>Disco corte</v>
      </c>
      <c r="F143" s="68" t="s">
        <v>5218</v>
      </c>
      <c r="G143" s="68" t="str">
        <f>VLOOKUP(D143,'03. Insumos'!A:F,3,0)</f>
        <v>unid</v>
      </c>
      <c r="H143" s="69"/>
      <c r="I143" s="69"/>
      <c r="J143" s="70">
        <f t="shared" si="78"/>
        <v>260</v>
      </c>
      <c r="K143" s="70">
        <f>IF(A143=0,VLOOKUP(D143,'03. Insumos'!A:F,4,0),"")</f>
        <v>260</v>
      </c>
      <c r="L143" s="70">
        <f t="shared" si="79"/>
        <v>0</v>
      </c>
      <c r="M143" s="153">
        <f t="shared" ca="1" si="66"/>
        <v>0</v>
      </c>
      <c r="O143" s="148"/>
      <c r="R143" s="356"/>
    </row>
    <row r="144" spans="1:18" ht="14.25" hidden="1" customHeight="1" outlineLevel="1" x14ac:dyDescent="0.3">
      <c r="A144" s="13">
        <f t="shared" si="1"/>
        <v>0</v>
      </c>
      <c r="B144" s="4"/>
      <c r="C144" s="4"/>
      <c r="D144" s="370" t="s">
        <v>2014</v>
      </c>
      <c r="E144" s="67" t="str">
        <f>VLOOKUP(D144,'03. Insumos'!A:D,2,0)</f>
        <v>Compactador de solo</v>
      </c>
      <c r="F144" s="68" t="s">
        <v>5218</v>
      </c>
      <c r="G144" s="68" t="str">
        <f>VLOOKUP(D144,'03. Insumos'!A:F,3,0)</f>
        <v>mês</v>
      </c>
      <c r="H144" s="69"/>
      <c r="I144" s="69"/>
      <c r="J144" s="70">
        <f t="shared" si="78"/>
        <v>495</v>
      </c>
      <c r="K144" s="70">
        <f>IF(A144=0,VLOOKUP(D144,'03. Insumos'!A:F,4,0),"")</f>
        <v>495</v>
      </c>
      <c r="L144" s="70">
        <f t="shared" si="79"/>
        <v>0</v>
      </c>
      <c r="M144" s="153">
        <f t="shared" ca="1" si="66"/>
        <v>0</v>
      </c>
      <c r="O144" s="148"/>
      <c r="R144" s="356"/>
    </row>
    <row r="145" spans="1:18" ht="13.5" hidden="1" customHeight="1" outlineLevel="1" x14ac:dyDescent="0.3">
      <c r="A145" s="13">
        <f t="shared" si="1"/>
        <v>0</v>
      </c>
      <c r="B145" s="4"/>
      <c r="C145" s="4"/>
      <c r="D145" s="370" t="s">
        <v>2016</v>
      </c>
      <c r="E145" s="67" t="str">
        <f>VLOOKUP(D145,'03. Insumos'!A:D,2,0)</f>
        <v>Giranda com 100 metros</v>
      </c>
      <c r="F145" s="68" t="s">
        <v>5218</v>
      </c>
      <c r="G145" s="68" t="str">
        <f>VLOOKUP(D145,'03. Insumos'!A:F,3,0)</f>
        <v>unid</v>
      </c>
      <c r="H145" s="69"/>
      <c r="I145" s="69"/>
      <c r="J145" s="70">
        <f t="shared" si="78"/>
        <v>1300</v>
      </c>
      <c r="K145" s="70">
        <f>IF(A145=0,VLOOKUP(D145,'03. Insumos'!A:F,4,0),"")</f>
        <v>1300</v>
      </c>
      <c r="L145" s="70">
        <f t="shared" si="79"/>
        <v>0</v>
      </c>
      <c r="M145" s="153">
        <f t="shared" ca="1" si="66"/>
        <v>0</v>
      </c>
      <c r="O145" s="148"/>
      <c r="R145" s="356"/>
    </row>
    <row r="146" spans="1:18" ht="13.5" hidden="1" customHeight="1" outlineLevel="1" x14ac:dyDescent="0.3">
      <c r="A146" s="13">
        <f t="shared" si="1"/>
        <v>0</v>
      </c>
      <c r="B146" s="4"/>
      <c r="C146" s="4"/>
      <c r="D146" s="370" t="s">
        <v>729</v>
      </c>
      <c r="E146" s="67" t="str">
        <f>VLOOKUP(D146,'03. Insumos'!A:D,2,0)</f>
        <v>Lixadeira</v>
      </c>
      <c r="F146" s="68" t="s">
        <v>5218</v>
      </c>
      <c r="G146" s="68" t="str">
        <f>VLOOKUP(D146,'03. Insumos'!A:F,3,0)</f>
        <v>mês</v>
      </c>
      <c r="H146" s="69"/>
      <c r="I146" s="69">
        <v>6</v>
      </c>
      <c r="J146" s="70">
        <f t="shared" si="78"/>
        <v>105</v>
      </c>
      <c r="K146" s="70">
        <f>IF(A146=0,VLOOKUP(D146,'03. Insumos'!A:F,4,0),"")</f>
        <v>105</v>
      </c>
      <c r="L146" s="70">
        <f t="shared" si="79"/>
        <v>0</v>
      </c>
      <c r="M146" s="153">
        <f t="shared" ca="1" si="66"/>
        <v>0</v>
      </c>
      <c r="O146" s="148"/>
      <c r="R146" s="356"/>
    </row>
    <row r="147" spans="1:18" ht="13.5" hidden="1" customHeight="1" outlineLevel="1" x14ac:dyDescent="0.3">
      <c r="A147" s="13">
        <f t="shared" si="1"/>
        <v>0</v>
      </c>
      <c r="B147" s="4"/>
      <c r="C147" s="4"/>
      <c r="D147" s="370" t="s">
        <v>2177</v>
      </c>
      <c r="E147" s="67" t="str">
        <f>VLOOKUP(D147,'03. Insumos'!A:D,2,0)</f>
        <v>Betoneira</v>
      </c>
      <c r="F147" s="68" t="s">
        <v>5218</v>
      </c>
      <c r="G147" s="68" t="str">
        <f>VLOOKUP(D147,'03. Insumos'!A:F,3,0)</f>
        <v>mês</v>
      </c>
      <c r="H147" s="69"/>
      <c r="I147" s="69">
        <v>3</v>
      </c>
      <c r="J147" s="70">
        <f t="shared" si="78"/>
        <v>500</v>
      </c>
      <c r="K147" s="70">
        <f>IF(A147=0,VLOOKUP(D147,'03. Insumos'!A:F,4,0),"")</f>
        <v>500</v>
      </c>
      <c r="L147" s="70">
        <f>H147*J147*I147</f>
        <v>0</v>
      </c>
      <c r="M147" s="153">
        <f t="shared" ca="1" si="66"/>
        <v>0</v>
      </c>
      <c r="O147" s="148"/>
      <c r="R147" s="356"/>
    </row>
    <row r="148" spans="1:18" ht="13.5" hidden="1" customHeight="1" outlineLevel="1" x14ac:dyDescent="0.3">
      <c r="A148" s="13">
        <f t="shared" si="1"/>
        <v>0</v>
      </c>
      <c r="B148" s="4"/>
      <c r="C148" s="4"/>
      <c r="D148" s="370" t="s">
        <v>730</v>
      </c>
      <c r="E148" s="67" t="str">
        <f>VLOOKUP(D148,'03. Insumos'!A:D,2,0)</f>
        <v>Furadeira</v>
      </c>
      <c r="F148" s="68" t="s">
        <v>5218</v>
      </c>
      <c r="G148" s="68" t="str">
        <f>VLOOKUP(D148,'03. Insumos'!A:F,3,0)</f>
        <v>mês</v>
      </c>
      <c r="H148" s="69"/>
      <c r="I148" s="69"/>
      <c r="J148" s="70">
        <f t="shared" si="78"/>
        <v>125</v>
      </c>
      <c r="K148" s="70">
        <f>IF(A148=0,VLOOKUP(D148,'03. Insumos'!A:F,4,0),"")</f>
        <v>125</v>
      </c>
      <c r="L148" s="70">
        <f t="shared" si="79"/>
        <v>0</v>
      </c>
      <c r="M148" s="153">
        <f t="shared" ca="1" si="66"/>
        <v>0</v>
      </c>
      <c r="O148" s="148"/>
      <c r="R148" s="356"/>
    </row>
    <row r="149" spans="1:18" ht="13.5" hidden="1" customHeight="1" outlineLevel="1" x14ac:dyDescent="0.3">
      <c r="A149" s="13">
        <f t="shared" si="1"/>
        <v>0</v>
      </c>
      <c r="B149" s="4"/>
      <c r="C149" s="4"/>
      <c r="D149" s="370" t="s">
        <v>2025</v>
      </c>
      <c r="E149" s="67" t="str">
        <f>VLOOKUP(D149,'03. Insumos'!A:D,2,0)</f>
        <v>Vibrador de concreto de 35 mm com motor</v>
      </c>
      <c r="F149" s="68" t="s">
        <v>5218</v>
      </c>
      <c r="G149" s="68" t="str">
        <f>VLOOKUP(D149,'03. Insumos'!A:F,3,0)</f>
        <v>mês</v>
      </c>
      <c r="H149" s="69"/>
      <c r="I149" s="69">
        <v>3</v>
      </c>
      <c r="J149" s="70">
        <f t="shared" si="78"/>
        <v>160</v>
      </c>
      <c r="K149" s="70">
        <f>IF(A149=0,VLOOKUP(D149,'03. Insumos'!A:F,4,0),"")</f>
        <v>160</v>
      </c>
      <c r="L149" s="70">
        <f>H149*J149*I149</f>
        <v>0</v>
      </c>
      <c r="M149" s="153">
        <f t="shared" ca="1" si="66"/>
        <v>0</v>
      </c>
      <c r="O149" s="148"/>
      <c r="R149" s="356"/>
    </row>
    <row r="150" spans="1:18" ht="13.5" hidden="1" customHeight="1" outlineLevel="1" x14ac:dyDescent="0.3">
      <c r="A150" s="13">
        <f t="shared" si="1"/>
        <v>0</v>
      </c>
      <c r="B150" s="4"/>
      <c r="C150" s="4"/>
      <c r="D150" s="370" t="s">
        <v>2027</v>
      </c>
      <c r="E150" s="67" t="str">
        <f>VLOOKUP(D150,'03. Insumos'!A:D,2,0)</f>
        <v>Hidrojato</v>
      </c>
      <c r="F150" s="68" t="s">
        <v>5218</v>
      </c>
      <c r="G150" s="68" t="str">
        <f>VLOOKUP(D150,'03. Insumos'!A:F,3,0)</f>
        <v>mês</v>
      </c>
      <c r="H150" s="69"/>
      <c r="I150" s="69"/>
      <c r="J150" s="70">
        <f t="shared" si="78"/>
        <v>400</v>
      </c>
      <c r="K150" s="70">
        <f>IF(A150=0,VLOOKUP(D150,'03. Insumos'!A:F,4,0),"")</f>
        <v>400</v>
      </c>
      <c r="L150" s="70">
        <f>H150*J150*I150</f>
        <v>0</v>
      </c>
      <c r="M150" s="153">
        <f t="shared" ca="1" si="66"/>
        <v>0</v>
      </c>
      <c r="O150" s="148"/>
      <c r="R150" s="356"/>
    </row>
    <row r="151" spans="1:18" ht="13.5" hidden="1" customHeight="1" outlineLevel="1" x14ac:dyDescent="0.3">
      <c r="A151" s="13">
        <f t="shared" si="1"/>
        <v>0</v>
      </c>
      <c r="B151" s="4"/>
      <c r="C151" s="4"/>
      <c r="D151" s="370" t="s">
        <v>2033</v>
      </c>
      <c r="E151" s="67" t="str">
        <f>VLOOKUP(D151,'03. Insumos'!A:D,2,0)</f>
        <v>Caminhão Munck  (com peça para transporte )</v>
      </c>
      <c r="F151" s="68" t="s">
        <v>5218</v>
      </c>
      <c r="G151" s="68" t="str">
        <f>VLOOKUP(D151,'03. Insumos'!A:F,3,0)</f>
        <v>Diária</v>
      </c>
      <c r="H151" s="69"/>
      <c r="I151" s="69"/>
      <c r="J151" s="70">
        <f t="shared" si="78"/>
        <v>1000</v>
      </c>
      <c r="K151" s="70">
        <f>IF(A151=0,VLOOKUP(D151,'03. Insumos'!A:F,4,0),"")</f>
        <v>1000</v>
      </c>
      <c r="L151" s="70">
        <f>H151*J151*I151</f>
        <v>0</v>
      </c>
      <c r="M151" s="153">
        <f t="shared" ca="1" si="66"/>
        <v>0</v>
      </c>
      <c r="O151" s="148"/>
      <c r="R151" s="356"/>
    </row>
    <row r="152" spans="1:18" ht="13.5" hidden="1" customHeight="1" outlineLevel="1" x14ac:dyDescent="0.3">
      <c r="A152" s="13">
        <f t="shared" si="1"/>
        <v>0</v>
      </c>
      <c r="B152" s="4"/>
      <c r="C152" s="4"/>
      <c r="D152" s="370" t="s">
        <v>2009</v>
      </c>
      <c r="E152" s="67" t="str">
        <f>VLOOKUP(D152,'03. Insumos'!A:D,2,0)</f>
        <v xml:space="preserve">Frete equipamentos </v>
      </c>
      <c r="F152" s="68" t="s">
        <v>5218</v>
      </c>
      <c r="G152" s="68" t="str">
        <f>VLOOKUP(D152,'03. Insumos'!A:F,3,0)</f>
        <v>vb</v>
      </c>
      <c r="H152" s="69"/>
      <c r="I152" s="69">
        <v>1</v>
      </c>
      <c r="J152" s="70">
        <f t="shared" si="78"/>
        <v>1</v>
      </c>
      <c r="K152" s="70">
        <f>IF(A152=0,VLOOKUP(D152,'03. Insumos'!A:F,4,0),"")</f>
        <v>1</v>
      </c>
      <c r="L152" s="70">
        <f t="shared" si="79"/>
        <v>0</v>
      </c>
      <c r="M152" s="153">
        <f t="shared" ca="1" si="66"/>
        <v>0</v>
      </c>
      <c r="O152" s="148"/>
      <c r="R152" s="356"/>
    </row>
    <row r="153" spans="1:18" s="290" customFormat="1" ht="13.5" hidden="1" customHeight="1" outlineLevel="1" x14ac:dyDescent="0.3">
      <c r="A153" s="290">
        <f t="shared" ref="A153" si="80">LEN(C153)</f>
        <v>0</v>
      </c>
      <c r="B153" s="289"/>
      <c r="C153" s="289"/>
      <c r="D153" s="370" t="s">
        <v>5445</v>
      </c>
      <c r="E153" s="67" t="str">
        <f>VLOOKUP(D153,'03. Insumos'!A:D,2,0)</f>
        <v>Guincho 500 kgs</v>
      </c>
      <c r="F153" s="68" t="s">
        <v>5218</v>
      </c>
      <c r="G153" s="482" t="str">
        <f>VLOOKUP(D153,'03. Insumos'!A:F,3,0)</f>
        <v>mês</v>
      </c>
      <c r="H153" s="483"/>
      <c r="I153" s="69">
        <v>15</v>
      </c>
      <c r="J153" s="485">
        <f t="shared" ref="J153" si="81">IFERROR(IF(K153&lt;&gt;0,K153*$K$5,0),0)</f>
        <v>750</v>
      </c>
      <c r="K153" s="485">
        <f>IF(A153=0,VLOOKUP(D153,'03. Insumos'!A:F,4,0),"")</f>
        <v>750</v>
      </c>
      <c r="L153" s="485">
        <f t="shared" ref="L153" si="82">H153*J153*I153</f>
        <v>0</v>
      </c>
      <c r="M153" s="153">
        <f t="shared" ref="M153" ca="1" si="83">L153/$L$7</f>
        <v>0</v>
      </c>
      <c r="O153" s="512"/>
      <c r="R153" s="487"/>
    </row>
    <row r="154" spans="1:18" s="290" customFormat="1" ht="13.5" hidden="1" customHeight="1" outlineLevel="1" x14ac:dyDescent="0.3">
      <c r="A154" s="290">
        <f t="shared" si="1"/>
        <v>0</v>
      </c>
      <c r="B154" s="289"/>
      <c r="C154" s="289"/>
      <c r="D154" s="370" t="s">
        <v>6802</v>
      </c>
      <c r="E154" s="67" t="str">
        <f>VLOOKUP(D154,'03. Insumos'!A:D,2,0)</f>
        <v>Montagem Guincho 500 kgs</v>
      </c>
      <c r="F154" s="68" t="s">
        <v>5218</v>
      </c>
      <c r="G154" s="482" t="s">
        <v>29</v>
      </c>
      <c r="H154" s="483"/>
      <c r="I154" s="69">
        <v>1</v>
      </c>
      <c r="J154" s="485">
        <f t="shared" si="78"/>
        <v>850</v>
      </c>
      <c r="K154" s="485">
        <f>IF(A154=0,VLOOKUP(D154,'03. Insumos'!A:F,4,0),"")</f>
        <v>850</v>
      </c>
      <c r="L154" s="485">
        <f t="shared" si="79"/>
        <v>0</v>
      </c>
      <c r="M154" s="153">
        <f t="shared" ca="1" si="66"/>
        <v>0</v>
      </c>
      <c r="O154" s="512"/>
      <c r="R154" s="487"/>
    </row>
    <row r="155" spans="1:18" s="18" customFormat="1" ht="13.5" hidden="1" customHeight="1" outlineLevel="1" x14ac:dyDescent="0.3">
      <c r="A155" s="18">
        <f t="shared" si="1"/>
        <v>6</v>
      </c>
      <c r="B155" s="606"/>
      <c r="C155" s="606" t="s">
        <v>1329</v>
      </c>
      <c r="D155" s="606" t="s">
        <v>6359</v>
      </c>
      <c r="E155" s="391"/>
      <c r="F155" s="325"/>
      <c r="G155" s="325" t="s">
        <v>37</v>
      </c>
      <c r="H155" s="326"/>
      <c r="I155" s="326"/>
      <c r="J155" s="673" t="e">
        <f>L155/H155</f>
        <v>#DIV/0!</v>
      </c>
      <c r="K155" s="607" t="str">
        <f>IF(A155=0,VLOOKUP(D155,'03. Insumos'!A:F,4,0),"")</f>
        <v/>
      </c>
      <c r="L155" s="334">
        <f>SUM(L156:L163)</f>
        <v>0</v>
      </c>
      <c r="M155" s="153">
        <f t="shared" ca="1" si="66"/>
        <v>0</v>
      </c>
      <c r="O155" s="600">
        <f>IF(I155&lt;&gt;0,I155*H155*K155,)</f>
        <v>0</v>
      </c>
      <c r="R155" s="601" t="e">
        <f>IF(J155&lt;&gt;0,J155/1.03-K155,0)</f>
        <v>#DIV/0!</v>
      </c>
    </row>
    <row r="156" spans="1:18" ht="13.5" hidden="1" customHeight="1" outlineLevel="1" x14ac:dyDescent="0.3">
      <c r="A156" s="13">
        <f t="shared" si="1"/>
        <v>0</v>
      </c>
      <c r="B156" s="4"/>
      <c r="C156" s="4"/>
      <c r="D156" s="370" t="s">
        <v>6142</v>
      </c>
      <c r="E156" s="67" t="str">
        <f>VLOOKUP(D156,'03. Insumos'!A:D,2,0)</f>
        <v>Cremalheira - Montagem e Desmontagem Cremalheira</v>
      </c>
      <c r="F156" s="68" t="s">
        <v>5218</v>
      </c>
      <c r="G156" s="68" t="str">
        <f>VLOOKUP(D156,'03. Insumos'!A:F,3,0)</f>
        <v>vb</v>
      </c>
      <c r="H156" s="69">
        <v>17000</v>
      </c>
      <c r="I156" s="69"/>
      <c r="J156" s="70">
        <f t="shared" ref="J156:J163" si="84">IFERROR(IF(K156&lt;&gt;0,K156*$K$5,0),0)</f>
        <v>1</v>
      </c>
      <c r="K156" s="70">
        <f>IF(A156=0,VLOOKUP(D156,'03. Insumos'!A:F,4,0),"")</f>
        <v>1</v>
      </c>
      <c r="L156" s="70">
        <f>H156*J156*I156</f>
        <v>0</v>
      </c>
      <c r="M156" s="153">
        <f t="shared" ca="1" si="66"/>
        <v>0</v>
      </c>
      <c r="O156" s="148"/>
      <c r="R156" s="356"/>
    </row>
    <row r="157" spans="1:18" ht="13.5" hidden="1" customHeight="1" outlineLevel="1" x14ac:dyDescent="0.3">
      <c r="A157" s="13">
        <f t="shared" si="1"/>
        <v>0</v>
      </c>
      <c r="B157" s="4"/>
      <c r="C157" s="4"/>
      <c r="D157" s="370" t="s">
        <v>6143</v>
      </c>
      <c r="E157" s="67" t="str">
        <f>VLOOKUP(D157,'03. Insumos'!A:D,2,0)</f>
        <v>Elevador Tipo Cremalheira Simples</v>
      </c>
      <c r="F157" s="68" t="s">
        <v>5218</v>
      </c>
      <c r="G157" s="68" t="str">
        <f>VLOOKUP(D157,'03. Insumos'!A:F,3,0)</f>
        <v>mês</v>
      </c>
      <c r="H157" s="69">
        <v>1</v>
      </c>
      <c r="I157" s="69">
        <f>H155</f>
        <v>0</v>
      </c>
      <c r="J157" s="70">
        <f t="shared" si="84"/>
        <v>12000</v>
      </c>
      <c r="K157" s="70">
        <f>IF(A157=0,VLOOKUP(D157,'03. Insumos'!A:F,4,0),"")</f>
        <v>12000</v>
      </c>
      <c r="L157" s="70">
        <f t="shared" ref="L157" si="85">H157*J157*I157</f>
        <v>0</v>
      </c>
      <c r="M157" s="153">
        <f t="shared" ca="1" si="66"/>
        <v>0</v>
      </c>
      <c r="O157" s="148"/>
      <c r="R157" s="356"/>
    </row>
    <row r="158" spans="1:18" ht="13.5" hidden="1" customHeight="1" outlineLevel="1" x14ac:dyDescent="0.3">
      <c r="A158" s="13">
        <f t="shared" si="1"/>
        <v>0</v>
      </c>
      <c r="B158" s="4"/>
      <c r="C158" s="4"/>
      <c r="D158" s="370" t="s">
        <v>7879</v>
      </c>
      <c r="E158" s="67" t="str">
        <f>VLOOKUP(D158,'03. Insumos'!A:D,2,0)</f>
        <v>Operador De Cremalheira</v>
      </c>
      <c r="F158" s="68" t="s">
        <v>5218</v>
      </c>
      <c r="G158" s="68" t="str">
        <f>VLOOKUP(D158,'03. Insumos'!A:F,3,0)</f>
        <v>mês</v>
      </c>
      <c r="H158" s="69">
        <v>1</v>
      </c>
      <c r="I158" s="69">
        <f>H155</f>
        <v>0</v>
      </c>
      <c r="J158" s="70">
        <f t="shared" si="84"/>
        <v>7292</v>
      </c>
      <c r="K158" s="70">
        <f>IF(A158=0,VLOOKUP(D158,'03. Insumos'!A:F,4,0),"")</f>
        <v>7292</v>
      </c>
      <c r="L158" s="70">
        <f t="shared" ref="L158:L163" si="86">H158*J158*I158</f>
        <v>0</v>
      </c>
      <c r="M158" s="153">
        <f t="shared" ca="1" si="66"/>
        <v>0</v>
      </c>
      <c r="O158" s="148"/>
      <c r="R158" s="356"/>
    </row>
    <row r="159" spans="1:18" ht="13.5" hidden="1" customHeight="1" outlineLevel="1" x14ac:dyDescent="0.3">
      <c r="A159" s="13">
        <f t="shared" ref="A159:A160" si="87">LEN(C159)</f>
        <v>0</v>
      </c>
      <c r="B159" s="4"/>
      <c r="C159" s="4"/>
      <c r="D159" s="370" t="s">
        <v>7880</v>
      </c>
      <c r="E159" s="67" t="str">
        <f>VLOOKUP(D159,'03. Insumos'!A:D,2,0)</f>
        <v>Cremalheira - Manutenção preventiva</v>
      </c>
      <c r="F159" s="68" t="s">
        <v>5218</v>
      </c>
      <c r="G159" s="68" t="str">
        <f>VLOOKUP(D159,'03. Insumos'!A:F,3,0)</f>
        <v>mês</v>
      </c>
      <c r="H159" s="69">
        <v>1</v>
      </c>
      <c r="I159" s="69">
        <f>H155</f>
        <v>0</v>
      </c>
      <c r="J159" s="70">
        <f t="shared" ref="J159:J160" si="88">IFERROR(IF(K159&lt;&gt;0,K159*$K$5,0),0)</f>
        <v>1000</v>
      </c>
      <c r="K159" s="70">
        <f>IF(A159=0,VLOOKUP(D159,'03. Insumos'!A:F,4,0),"")</f>
        <v>1000</v>
      </c>
      <c r="L159" s="70">
        <f t="shared" si="86"/>
        <v>0</v>
      </c>
      <c r="M159" s="153">
        <f t="shared" ref="M159:M160" ca="1" si="89">L159/$L$7</f>
        <v>0</v>
      </c>
      <c r="O159" s="148"/>
      <c r="R159" s="356"/>
    </row>
    <row r="160" spans="1:18" ht="13.5" hidden="1" customHeight="1" outlineLevel="1" x14ac:dyDescent="0.3">
      <c r="A160" s="13">
        <f t="shared" si="87"/>
        <v>0</v>
      </c>
      <c r="B160" s="4"/>
      <c r="C160" s="4"/>
      <c r="D160" s="370" t="s">
        <v>7923</v>
      </c>
      <c r="E160" s="67" t="str">
        <f>VLOOKUP(D160,'03. Insumos'!A:D,2,0)</f>
        <v>Cremalheira - Ascensão por Pavimento</v>
      </c>
      <c r="F160" s="68" t="s">
        <v>5218</v>
      </c>
      <c r="G160" s="68" t="str">
        <f>VLOOKUP(D160,'03. Insumos'!A:F,3,0)</f>
        <v>unid</v>
      </c>
      <c r="H160" s="69">
        <v>1</v>
      </c>
      <c r="I160" s="69"/>
      <c r="J160" s="70">
        <f t="shared" si="88"/>
        <v>1000</v>
      </c>
      <c r="K160" s="70">
        <f>IF(A160=0,VLOOKUP(D160,'03. Insumos'!A:F,4,0),"")</f>
        <v>1000</v>
      </c>
      <c r="L160" s="70">
        <f t="shared" si="86"/>
        <v>0</v>
      </c>
      <c r="M160" s="153">
        <f t="shared" ca="1" si="89"/>
        <v>0</v>
      </c>
      <c r="O160" s="148"/>
      <c r="R160" s="356"/>
    </row>
    <row r="161" spans="1:18" ht="13.5" hidden="1" customHeight="1" outlineLevel="1" x14ac:dyDescent="0.3">
      <c r="A161" s="13">
        <f t="shared" si="1"/>
        <v>0</v>
      </c>
      <c r="B161" s="4"/>
      <c r="C161" s="4"/>
      <c r="D161" s="370" t="s">
        <v>7924</v>
      </c>
      <c r="E161" s="67" t="str">
        <f>VLOOKUP(D161,'03. Insumos'!A:D,2,0)</f>
        <v>Cremalheira - Projeto Executivo com ART</v>
      </c>
      <c r="F161" s="68" t="s">
        <v>5218</v>
      </c>
      <c r="G161" s="68" t="str">
        <f>VLOOKUP(D161,'03. Insumos'!A:F,3,0)</f>
        <v>vb</v>
      </c>
      <c r="H161" s="69"/>
      <c r="I161" s="69">
        <v>1500</v>
      </c>
      <c r="J161" s="70">
        <f t="shared" si="84"/>
        <v>1</v>
      </c>
      <c r="K161" s="70">
        <f>IF(A161=0,VLOOKUP(D161,'03. Insumos'!A:F,4,0),"")</f>
        <v>1</v>
      </c>
      <c r="L161" s="70">
        <f t="shared" si="86"/>
        <v>0</v>
      </c>
      <c r="M161" s="153">
        <f t="shared" ref="M161" ca="1" si="90">L161/$L$7</f>
        <v>0</v>
      </c>
      <c r="O161" s="148"/>
      <c r="R161" s="356"/>
    </row>
    <row r="162" spans="1:18" ht="13.5" hidden="1" customHeight="1" outlineLevel="1" x14ac:dyDescent="0.3">
      <c r="A162" s="13">
        <f t="shared" ref="A162" si="91">LEN(C162)</f>
        <v>0</v>
      </c>
      <c r="B162" s="4"/>
      <c r="C162" s="4"/>
      <c r="D162" s="370" t="s">
        <v>7925</v>
      </c>
      <c r="E162" s="67" t="str">
        <f>VLOOKUP(D162,'03. Insumos'!A:D,2,0)</f>
        <v>Cremalheira - PPRA + PCMSO</v>
      </c>
      <c r="F162" s="68" t="s">
        <v>5218</v>
      </c>
      <c r="G162" s="68" t="str">
        <f>VLOOKUP(D162,'03. Insumos'!A:F,3,0)</f>
        <v>vb</v>
      </c>
      <c r="H162" s="69"/>
      <c r="I162" s="69">
        <v>2500</v>
      </c>
      <c r="J162" s="70">
        <f t="shared" ref="J162" si="92">IFERROR(IF(K162&lt;&gt;0,K162*$K$5,0),0)</f>
        <v>1</v>
      </c>
      <c r="K162" s="70">
        <f>IF(A162=0,VLOOKUP(D162,'03. Insumos'!A:F,4,0),"")</f>
        <v>1</v>
      </c>
      <c r="L162" s="70">
        <f t="shared" si="86"/>
        <v>0</v>
      </c>
      <c r="M162" s="153">
        <f t="shared" ref="M162" ca="1" si="93">L162/$L$7</f>
        <v>0</v>
      </c>
      <c r="O162" s="148"/>
      <c r="R162" s="356"/>
    </row>
    <row r="163" spans="1:18" ht="13.5" hidden="1" customHeight="1" outlineLevel="1" x14ac:dyDescent="0.3">
      <c r="A163" s="13">
        <f t="shared" si="1"/>
        <v>0</v>
      </c>
      <c r="B163" s="4"/>
      <c r="C163" s="4"/>
      <c r="D163" s="370" t="s">
        <v>6145</v>
      </c>
      <c r="E163" s="67" t="str">
        <f>VLOOKUP(D163,'03. Insumos'!A:D,2,0)</f>
        <v>Cremalheira - Frete</v>
      </c>
      <c r="F163" s="68" t="s">
        <v>5218</v>
      </c>
      <c r="G163" s="68" t="str">
        <f>VLOOKUP(D163,'03. Insumos'!A:F,3,0)</f>
        <v>vb</v>
      </c>
      <c r="H163" s="69"/>
      <c r="I163" s="69">
        <v>5000</v>
      </c>
      <c r="J163" s="70">
        <f t="shared" si="84"/>
        <v>1</v>
      </c>
      <c r="K163" s="70">
        <f>IF(A163=0,VLOOKUP(D163,'03. Insumos'!A:F,4,0),"")</f>
        <v>1</v>
      </c>
      <c r="L163" s="70">
        <f t="shared" si="86"/>
        <v>0</v>
      </c>
      <c r="M163" s="153">
        <f t="shared" ref="M163:M226" ca="1" si="94">L163/$L$7</f>
        <v>0</v>
      </c>
      <c r="O163" s="148"/>
      <c r="R163" s="356"/>
    </row>
    <row r="164" spans="1:18" s="18" customFormat="1" ht="13.5" customHeight="1" outlineLevel="1" x14ac:dyDescent="0.3">
      <c r="A164" s="18">
        <f t="shared" si="1"/>
        <v>6</v>
      </c>
      <c r="B164" s="606"/>
      <c r="C164" s="606" t="s">
        <v>1329</v>
      </c>
      <c r="D164" s="606" t="s">
        <v>8632</v>
      </c>
      <c r="E164" s="391"/>
      <c r="F164" s="325"/>
      <c r="G164" s="325" t="s">
        <v>37</v>
      </c>
      <c r="H164" s="326">
        <v>30</v>
      </c>
      <c r="I164" s="326"/>
      <c r="J164" s="673">
        <f>L164/H164</f>
        <v>1341.6</v>
      </c>
      <c r="K164" s="607" t="str">
        <f>IF(A164=0,VLOOKUP(D164,'03. Insumos'!A:F,4,0),"")</f>
        <v/>
      </c>
      <c r="L164" s="334">
        <f>SUM(L165:L166)</f>
        <v>40248</v>
      </c>
      <c r="M164" s="153">
        <f t="shared" ca="1" si="94"/>
        <v>2.4438076222498195E-3</v>
      </c>
      <c r="O164" s="600">
        <f>IF(I164&lt;&gt;0,I164*H164*K164,)</f>
        <v>0</v>
      </c>
      <c r="R164" s="601" t="e">
        <f>IF(J164&lt;&gt;0,J164/1.03-K164,0)</f>
        <v>#VALUE!</v>
      </c>
    </row>
    <row r="165" spans="1:18" ht="13.5" customHeight="1" outlineLevel="1" x14ac:dyDescent="0.3">
      <c r="A165" s="13">
        <f t="shared" si="1"/>
        <v>0</v>
      </c>
      <c r="B165" s="4"/>
      <c r="C165" s="4"/>
      <c r="D165" s="370" t="s">
        <v>6146</v>
      </c>
      <c r="E165" s="67" t="str">
        <f>VLOOKUP(D165,'03. Insumos'!A:D,2,0)</f>
        <v>Minigrua - Mobilização e Desmobilização</v>
      </c>
      <c r="F165" s="68" t="s">
        <v>5218</v>
      </c>
      <c r="G165" s="68" t="str">
        <f>VLOOKUP(D165,'03. Insumos'!A:F,3,0)</f>
        <v>vb</v>
      </c>
      <c r="H165" s="69">
        <v>1224</v>
      </c>
      <c r="I165" s="69">
        <v>2</v>
      </c>
      <c r="J165" s="70">
        <f t="shared" ref="J165:J166" si="95">IFERROR(IF(K165&lt;&gt;0,K165*$K$5,0),0)</f>
        <v>1</v>
      </c>
      <c r="K165" s="70">
        <f>IF(A165=0,VLOOKUP(D165,'03. Insumos'!A:F,4,0),"")</f>
        <v>1</v>
      </c>
      <c r="L165" s="70">
        <f>H165*J165*I165</f>
        <v>2448</v>
      </c>
      <c r="M165" s="153">
        <f t="shared" ca="1" si="94"/>
        <v>1.4863946181841478E-4</v>
      </c>
      <c r="O165" s="148"/>
      <c r="R165" s="356"/>
    </row>
    <row r="166" spans="1:18" ht="13.5" customHeight="1" outlineLevel="1" x14ac:dyDescent="0.3">
      <c r="A166" s="13">
        <f t="shared" si="1"/>
        <v>0</v>
      </c>
      <c r="B166" s="4"/>
      <c r="C166" s="4"/>
      <c r="D166" s="370" t="s">
        <v>6147</v>
      </c>
      <c r="E166" s="67" t="str">
        <f>VLOOKUP(D166,'03. Insumos'!A:D,2,0)</f>
        <v>Minigrua - Aluguel</v>
      </c>
      <c r="F166" s="68" t="s">
        <v>5218</v>
      </c>
      <c r="G166" s="68" t="str">
        <f>VLOOKUP(D166,'03. Insumos'!A:F,3,0)</f>
        <v>mês</v>
      </c>
      <c r="H166" s="69">
        <v>1</v>
      </c>
      <c r="I166" s="69">
        <f>H164</f>
        <v>30</v>
      </c>
      <c r="J166" s="70">
        <f t="shared" si="95"/>
        <v>1260</v>
      </c>
      <c r="K166" s="70">
        <f>IF(A166=0,VLOOKUP(D166,'03. Insumos'!A:F,4,0),"")</f>
        <v>1260</v>
      </c>
      <c r="L166" s="70">
        <f t="shared" ref="L166" si="96">H166*J166*I166</f>
        <v>37800</v>
      </c>
      <c r="M166" s="153">
        <f t="shared" ca="1" si="94"/>
        <v>2.2951681604314045E-3</v>
      </c>
      <c r="O166" s="148"/>
      <c r="R166" s="356"/>
    </row>
    <row r="167" spans="1:18" s="18" customFormat="1" ht="13.5" hidden="1" customHeight="1" outlineLevel="1" x14ac:dyDescent="0.3">
      <c r="A167" s="18">
        <f t="shared" si="1"/>
        <v>6</v>
      </c>
      <c r="B167" s="606"/>
      <c r="C167" s="606" t="s">
        <v>6365</v>
      </c>
      <c r="D167" s="391" t="s">
        <v>6366</v>
      </c>
      <c r="E167" s="391"/>
      <c r="F167" s="325"/>
      <c r="G167" s="325" t="s">
        <v>6372</v>
      </c>
      <c r="H167" s="326"/>
      <c r="I167" s="326"/>
      <c r="J167" s="673" t="e">
        <f>L167/H167</f>
        <v>#DIV/0!</v>
      </c>
      <c r="K167" s="607" t="str">
        <f>IF(A167=0,VLOOKUP(D167,'03. Insumos'!A:F,4,0),"")</f>
        <v/>
      </c>
      <c r="L167" s="334">
        <f>SUM(L168:L171)</f>
        <v>0</v>
      </c>
      <c r="M167" s="153">
        <f t="shared" ca="1" si="94"/>
        <v>0</v>
      </c>
      <c r="O167" s="600">
        <f>IF(I167&lt;&gt;0,I167*H167*K167,)</f>
        <v>0</v>
      </c>
      <c r="R167" s="601" t="e">
        <f>IF(J167&lt;&gt;0,J167/1.03-K167,0)</f>
        <v>#DIV/0!</v>
      </c>
    </row>
    <row r="168" spans="1:18" ht="13.5" hidden="1" customHeight="1" outlineLevel="1" x14ac:dyDescent="0.3">
      <c r="A168" s="13">
        <f t="shared" si="1"/>
        <v>0</v>
      </c>
      <c r="B168" s="4"/>
      <c r="C168" s="4"/>
      <c r="D168" s="370" t="s">
        <v>6148</v>
      </c>
      <c r="E168" s="67" t="str">
        <f>VLOOKUP(D168,'03. Insumos'!A:D,2,0)</f>
        <v>Andaime Suspenso Leve - Aluguel</v>
      </c>
      <c r="F168" s="68" t="s">
        <v>5218</v>
      </c>
      <c r="G168" s="68" t="str">
        <f>VLOOKUP(D168,'03. Insumos'!A:F,3,0)</f>
        <v>mês</v>
      </c>
      <c r="H168" s="69">
        <v>4</v>
      </c>
      <c r="I168" s="69">
        <f>H167</f>
        <v>0</v>
      </c>
      <c r="J168" s="70">
        <f t="shared" ref="J168:J170" si="97">IFERROR(IF(K168&lt;&gt;0,K168*$K$5,0),0)</f>
        <v>700</v>
      </c>
      <c r="K168" s="70">
        <f>IF(A168=0,VLOOKUP(D168,'03. Insumos'!A:F,4,0),"")</f>
        <v>700</v>
      </c>
      <c r="L168" s="70">
        <f>H168*J168*I168</f>
        <v>0</v>
      </c>
      <c r="M168" s="153">
        <f t="shared" ca="1" si="94"/>
        <v>0</v>
      </c>
      <c r="O168" s="148"/>
      <c r="R168" s="356"/>
    </row>
    <row r="169" spans="1:18" ht="13.5" hidden="1" customHeight="1" outlineLevel="1" x14ac:dyDescent="0.3">
      <c r="A169" s="13">
        <f t="shared" si="1"/>
        <v>0</v>
      </c>
      <c r="B169" s="4"/>
      <c r="C169" s="4"/>
      <c r="D169" s="370" t="s">
        <v>6149</v>
      </c>
      <c r="E169" s="67" t="str">
        <f>VLOOKUP(D169,'03. Insumos'!A:D,2,0)</f>
        <v>Andaime Suspenso Leve - Montagem</v>
      </c>
      <c r="F169" s="68" t="s">
        <v>5218</v>
      </c>
      <c r="G169" s="68" t="str">
        <f>VLOOKUP(D169,'03. Insumos'!A:F,3,0)</f>
        <v>cj</v>
      </c>
      <c r="H169" s="69">
        <v>1</v>
      </c>
      <c r="I169" s="69"/>
      <c r="J169" s="70">
        <f t="shared" si="97"/>
        <v>850</v>
      </c>
      <c r="K169" s="70">
        <f>IF(A169=0,VLOOKUP(D169,'03. Insumos'!A:F,4,0),"")</f>
        <v>850</v>
      </c>
      <c r="L169" s="70">
        <f t="shared" ref="L169" si="98">H169*J169*I169</f>
        <v>0</v>
      </c>
      <c r="M169" s="153">
        <f t="shared" ca="1" si="94"/>
        <v>0</v>
      </c>
      <c r="O169" s="148"/>
      <c r="R169" s="356"/>
    </row>
    <row r="170" spans="1:18" ht="13.5" hidden="1" customHeight="1" outlineLevel="1" x14ac:dyDescent="0.3">
      <c r="A170" s="13">
        <f t="shared" si="1"/>
        <v>0</v>
      </c>
      <c r="B170" s="4"/>
      <c r="C170" s="4"/>
      <c r="D170" s="370" t="s">
        <v>6150</v>
      </c>
      <c r="E170" s="67" t="str">
        <f>VLOOKUP(D170,'03. Insumos'!A:D,2,0)</f>
        <v>Andaime Suspenso Leve - Desmontagem</v>
      </c>
      <c r="F170" s="68" t="s">
        <v>5218</v>
      </c>
      <c r="G170" s="68" t="str">
        <f>VLOOKUP(D170,'03. Insumos'!A:F,3,0)</f>
        <v>cj</v>
      </c>
      <c r="H170" s="69">
        <v>1</v>
      </c>
      <c r="I170" s="69"/>
      <c r="J170" s="70">
        <f t="shared" si="97"/>
        <v>550</v>
      </c>
      <c r="K170" s="70">
        <f>IF(A170=0,VLOOKUP(D170,'03. Insumos'!A:F,4,0),"")</f>
        <v>550</v>
      </c>
      <c r="L170" s="70">
        <f>H170*J170*I170</f>
        <v>0</v>
      </c>
      <c r="M170" s="153">
        <f t="shared" ca="1" si="94"/>
        <v>0</v>
      </c>
      <c r="O170" s="148"/>
      <c r="R170" s="356"/>
    </row>
    <row r="171" spans="1:18" ht="13.5" hidden="1" customHeight="1" outlineLevel="1" x14ac:dyDescent="0.3">
      <c r="A171" s="13">
        <f t="shared" si="1"/>
        <v>0</v>
      </c>
      <c r="B171" s="4"/>
      <c r="C171" s="4"/>
      <c r="D171" s="370" t="s">
        <v>6151</v>
      </c>
      <c r="E171" s="67" t="str">
        <f>VLOOKUP(D171,'03. Insumos'!A:D,2,0)</f>
        <v>Andaime Suspenso Leve - Frete</v>
      </c>
      <c r="F171" s="68" t="s">
        <v>5218</v>
      </c>
      <c r="G171" s="68" t="str">
        <f>VLOOKUP(D171,'03. Insumos'!A:F,3,0)</f>
        <v>vb</v>
      </c>
      <c r="H171" s="69">
        <v>2550</v>
      </c>
      <c r="I171" s="69"/>
      <c r="J171" s="70">
        <v>1</v>
      </c>
      <c r="K171" s="70">
        <f>IF(A171=0,VLOOKUP(D171,'03. Insumos'!A:F,4,0),"")</f>
        <v>1</v>
      </c>
      <c r="L171" s="70">
        <f>H171*J171*I171</f>
        <v>0</v>
      </c>
      <c r="M171" s="153">
        <f t="shared" ca="1" si="94"/>
        <v>0</v>
      </c>
      <c r="O171" s="148"/>
      <c r="R171" s="356"/>
    </row>
    <row r="172" spans="1:18" ht="13.5" customHeight="1" outlineLevel="1" x14ac:dyDescent="0.3">
      <c r="A172" s="290">
        <f t="shared" si="1"/>
        <v>6</v>
      </c>
      <c r="B172" s="606"/>
      <c r="C172" s="606" t="s">
        <v>6365</v>
      </c>
      <c r="D172" s="606" t="s">
        <v>6376</v>
      </c>
      <c r="E172" s="593"/>
      <c r="F172" s="594"/>
      <c r="G172" s="325"/>
      <c r="H172" s="326"/>
      <c r="I172" s="326"/>
      <c r="J172" s="334"/>
      <c r="K172" s="629" t="str">
        <f>IF(A172=0,VLOOKUP(D172,'03. Insumos'!A:F,4,0),"")</f>
        <v/>
      </c>
      <c r="L172" s="334">
        <f>SUM(L173:L173)</f>
        <v>30240</v>
      </c>
      <c r="M172" s="153">
        <f t="shared" ca="1" si="94"/>
        <v>1.8361345283451236E-3</v>
      </c>
      <c r="O172" s="148">
        <f t="shared" ref="O172:O250" si="99">IF(I172&lt;&gt;0,I172*H172*K172,)</f>
        <v>0</v>
      </c>
      <c r="R172" s="12">
        <f t="shared" ref="R172:R181" si="100">IF(J172&lt;&gt;0,J172/1.03-K172,0)</f>
        <v>0</v>
      </c>
    </row>
    <row r="173" spans="1:18" s="51" customFormat="1" ht="13.5" customHeight="1" outlineLevel="1" x14ac:dyDescent="0.3">
      <c r="A173" s="13">
        <f t="shared" si="1"/>
        <v>0</v>
      </c>
      <c r="B173" s="49"/>
      <c r="C173" s="49"/>
      <c r="D173" s="370" t="s">
        <v>6156</v>
      </c>
      <c r="E173" s="67" t="str">
        <f>VLOOKUP(D173,'03. Insumos'!A:D,2,0)</f>
        <v>Ancoragem - MAT + MO</v>
      </c>
      <c r="F173" s="68" t="s">
        <v>5218</v>
      </c>
      <c r="G173" s="68" t="str">
        <f>VLOOKUP(D173,'03. Insumos'!A:F,3,0)</f>
        <v>vb</v>
      </c>
      <c r="H173" s="69">
        <f>H167*2+36*2</f>
        <v>72</v>
      </c>
      <c r="I173" s="69">
        <v>1</v>
      </c>
      <c r="J173" s="70">
        <f>IFERROR(IF(K173&lt;&gt;0,K173*$K$5,0),0)</f>
        <v>420</v>
      </c>
      <c r="K173" s="54">
        <f>IF(A173=0,VLOOKUP(D173,'03. Insumos'!A:F,4,0),"")</f>
        <v>420</v>
      </c>
      <c r="L173" s="485">
        <f>H173*J173*I173</f>
        <v>30240</v>
      </c>
      <c r="M173" s="153">
        <f t="shared" ca="1" si="94"/>
        <v>1.8361345283451236E-3</v>
      </c>
      <c r="O173" s="148">
        <f t="shared" si="99"/>
        <v>30240</v>
      </c>
      <c r="R173" s="12">
        <f t="shared" si="100"/>
        <v>-12.233009708737882</v>
      </c>
    </row>
    <row r="174" spans="1:18" ht="13.5" customHeight="1" outlineLevel="1" x14ac:dyDescent="0.3">
      <c r="A174" s="290">
        <f t="shared" si="1"/>
        <v>6</v>
      </c>
      <c r="B174" s="606"/>
      <c r="C174" s="606" t="s">
        <v>6367</v>
      </c>
      <c r="D174" s="606" t="s">
        <v>7498</v>
      </c>
      <c r="E174" s="593"/>
      <c r="F174" s="594"/>
      <c r="G174" s="325"/>
      <c r="H174" s="326"/>
      <c r="I174" s="326"/>
      <c r="J174" s="334"/>
      <c r="K174" s="629" t="str">
        <f>IF(A174=0,VLOOKUP(D174,'03. Insumos'!A:F,4,0),"")</f>
        <v/>
      </c>
      <c r="L174" s="334">
        <f>SUM(L175:L176)</f>
        <v>10800</v>
      </c>
      <c r="M174" s="153">
        <f t="shared" ca="1" si="94"/>
        <v>6.5576233155182988E-4</v>
      </c>
      <c r="O174" s="148">
        <f t="shared" si="99"/>
        <v>0</v>
      </c>
      <c r="R174" s="12">
        <f t="shared" si="100"/>
        <v>0</v>
      </c>
    </row>
    <row r="175" spans="1:18" s="51" customFormat="1" ht="13.5" hidden="1" customHeight="1" outlineLevel="1" x14ac:dyDescent="0.3">
      <c r="A175" s="13">
        <f t="shared" si="1"/>
        <v>0</v>
      </c>
      <c r="B175" s="49"/>
      <c r="C175" s="49"/>
      <c r="D175" s="370" t="s">
        <v>6157</v>
      </c>
      <c r="E175" s="67" t="str">
        <f>VLOOKUP(D175,'03. Insumos'!A:D,2,0)</f>
        <v>Compra de Equipamentos</v>
      </c>
      <c r="F175" s="68" t="s">
        <v>5218</v>
      </c>
      <c r="G175" s="68" t="str">
        <f>VLOOKUP(D175,'03. Insumos'!A:F,3,0)</f>
        <v>vb</v>
      </c>
      <c r="H175" s="69"/>
      <c r="I175" s="69">
        <v>1</v>
      </c>
      <c r="J175" s="70">
        <f>IFERROR(IF(K175&lt;&gt;0,K175*$K$5,0),0)</f>
        <v>1</v>
      </c>
      <c r="K175" s="54">
        <f>IF(A175=0,VLOOKUP(D175,'03. Insumos'!A:F,4,0),"")</f>
        <v>1</v>
      </c>
      <c r="L175" s="485">
        <f>H175*J175*I175</f>
        <v>0</v>
      </c>
      <c r="M175" s="153">
        <f t="shared" ca="1" si="94"/>
        <v>0</v>
      </c>
      <c r="O175" s="148">
        <f t="shared" si="99"/>
        <v>0</v>
      </c>
      <c r="R175" s="12">
        <f t="shared" si="100"/>
        <v>-2.9126213592232997E-2</v>
      </c>
    </row>
    <row r="176" spans="1:18" s="51" customFormat="1" ht="13.5" customHeight="1" outlineLevel="1" x14ac:dyDescent="0.3">
      <c r="A176" s="13">
        <f t="shared" si="1"/>
        <v>0</v>
      </c>
      <c r="B176" s="49"/>
      <c r="C176" s="49"/>
      <c r="D176" s="370" t="s">
        <v>6158</v>
      </c>
      <c r="E176" s="67" t="str">
        <f>VLOOKUP(D176,'03. Insumos'!A:D,2,0)</f>
        <v>Manutenção de Equipamentos</v>
      </c>
      <c r="F176" s="68" t="s">
        <v>5218</v>
      </c>
      <c r="G176" s="68" t="str">
        <f>VLOOKUP(D176,'03. Insumos'!A:F,3,0)</f>
        <v>mês</v>
      </c>
      <c r="H176" s="69">
        <v>1</v>
      </c>
      <c r="I176" s="69">
        <f>I3</f>
        <v>36</v>
      </c>
      <c r="J176" s="70">
        <f>IFERROR(IF(K176&lt;&gt;0,K176*$K$5,0),0)</f>
        <v>300</v>
      </c>
      <c r="K176" s="54">
        <f>IF(A176=0,VLOOKUP(D176,'03. Insumos'!A:F,4,0),"")</f>
        <v>300</v>
      </c>
      <c r="L176" s="485">
        <f>H176*J176*I176</f>
        <v>10800</v>
      </c>
      <c r="M176" s="153">
        <f t="shared" ca="1" si="94"/>
        <v>6.5576233155182988E-4</v>
      </c>
      <c r="O176" s="148">
        <f t="shared" si="99"/>
        <v>10800</v>
      </c>
      <c r="R176" s="12">
        <f t="shared" si="100"/>
        <v>-8.737864077669883</v>
      </c>
    </row>
    <row r="177" spans="1:18" ht="13.5" hidden="1" customHeight="1" outlineLevel="1" x14ac:dyDescent="0.3">
      <c r="A177" s="290">
        <f t="shared" si="1"/>
        <v>6</v>
      </c>
      <c r="B177" s="606"/>
      <c r="C177" s="606" t="s">
        <v>6383</v>
      </c>
      <c r="D177" s="606" t="s">
        <v>2003</v>
      </c>
      <c r="E177" s="593"/>
      <c r="F177" s="594"/>
      <c r="G177" s="325"/>
      <c r="H177" s="326"/>
      <c r="I177" s="326"/>
      <c r="J177" s="334"/>
      <c r="K177" s="629" t="str">
        <f>IF(A177=0,VLOOKUP(D177,'03. Insumos'!A:F,4,0),"")</f>
        <v/>
      </c>
      <c r="L177" s="334">
        <f>SUM(L178:L178)</f>
        <v>0</v>
      </c>
      <c r="M177" s="153">
        <f t="shared" ca="1" si="94"/>
        <v>0</v>
      </c>
      <c r="O177" s="148">
        <f t="shared" si="99"/>
        <v>0</v>
      </c>
      <c r="R177" s="12">
        <f t="shared" si="100"/>
        <v>0</v>
      </c>
    </row>
    <row r="178" spans="1:18" s="51" customFormat="1" ht="13.5" hidden="1" customHeight="1" outlineLevel="1" x14ac:dyDescent="0.3">
      <c r="A178" s="290">
        <f t="shared" si="1"/>
        <v>0</v>
      </c>
      <c r="B178" s="49"/>
      <c r="C178" s="49"/>
      <c r="D178" s="370" t="s">
        <v>1996</v>
      </c>
      <c r="E178" s="370" t="str">
        <f>VLOOKUP(D178,'03. Insumos'!A:D,2,0)</f>
        <v>Veículo (Kombi, Bongo,etc)</v>
      </c>
      <c r="F178" s="68"/>
      <c r="G178" s="68" t="str">
        <f>VLOOKUP(D178,'03. Insumos'!A:F,3,0)</f>
        <v>mês</v>
      </c>
      <c r="H178" s="69"/>
      <c r="I178" s="69"/>
      <c r="J178" s="70">
        <f>IFERROR(IF(K178&lt;&gt;0,K178*$K$5,0),0)</f>
        <v>8300</v>
      </c>
      <c r="K178" s="54">
        <f>IF(A178=0,VLOOKUP(D178,'03. Insumos'!A:F,4,0),"")</f>
        <v>8300</v>
      </c>
      <c r="L178" s="485">
        <f>H178*J178*I178</f>
        <v>0</v>
      </c>
      <c r="M178" s="153">
        <f t="shared" ca="1" si="94"/>
        <v>0</v>
      </c>
      <c r="O178" s="148">
        <f t="shared" si="99"/>
        <v>0</v>
      </c>
      <c r="R178" s="12">
        <f t="shared" si="100"/>
        <v>-241.74757281553411</v>
      </c>
    </row>
    <row r="179" spans="1:18" s="18" customFormat="1" ht="13.5" customHeight="1" outlineLevel="1" x14ac:dyDescent="0.3">
      <c r="A179" s="290">
        <f t="shared" si="1"/>
        <v>4</v>
      </c>
      <c r="B179" s="45"/>
      <c r="C179" s="45" t="s">
        <v>383</v>
      </c>
      <c r="D179" s="45" t="s">
        <v>48</v>
      </c>
      <c r="E179" s="347"/>
      <c r="F179" s="327"/>
      <c r="G179" s="327"/>
      <c r="H179" s="328"/>
      <c r="I179" s="328"/>
      <c r="J179" s="335"/>
      <c r="K179" s="335" t="str">
        <f>IF(A179=0,VLOOKUP(D179,'03. Insumos'!A:F,4,0),"")</f>
        <v/>
      </c>
      <c r="L179" s="335">
        <f>SUMIF(A180:A188,6,L180:L188)</f>
        <v>19800</v>
      </c>
      <c r="M179" s="153">
        <f t="shared" ca="1" si="94"/>
        <v>1.2022309411783547E-3</v>
      </c>
      <c r="O179" s="148">
        <f t="shared" si="99"/>
        <v>0</v>
      </c>
      <c r="R179" s="12">
        <f t="shared" si="100"/>
        <v>0</v>
      </c>
    </row>
    <row r="180" spans="1:18" s="18" customFormat="1" ht="13.5" customHeight="1" outlineLevel="1" x14ac:dyDescent="0.3">
      <c r="A180" s="18">
        <f t="shared" si="1"/>
        <v>6</v>
      </c>
      <c r="B180" s="606"/>
      <c r="C180" s="606" t="s">
        <v>920</v>
      </c>
      <c r="D180" s="606" t="s">
        <v>49</v>
      </c>
      <c r="E180" s="391"/>
      <c r="F180" s="325"/>
      <c r="G180" s="325"/>
      <c r="H180" s="326"/>
      <c r="I180" s="326"/>
      <c r="J180" s="334"/>
      <c r="K180" s="607" t="str">
        <f>IF(A180=0,VLOOKUP(D180,'03. Insumos'!A:F,4,0),"")</f>
        <v/>
      </c>
      <c r="L180" s="334">
        <f>SUM(L181:L181)</f>
        <v>19800</v>
      </c>
      <c r="M180" s="153">
        <f t="shared" ca="1" si="94"/>
        <v>1.2022309411783547E-3</v>
      </c>
      <c r="O180" s="600">
        <f t="shared" si="99"/>
        <v>0</v>
      </c>
      <c r="R180" s="601">
        <f t="shared" si="100"/>
        <v>0</v>
      </c>
    </row>
    <row r="181" spans="1:18" s="51" customFormat="1" ht="13.5" customHeight="1" outlineLevel="1" x14ac:dyDescent="0.3">
      <c r="A181" s="13">
        <f t="shared" si="1"/>
        <v>0</v>
      </c>
      <c r="B181" s="49"/>
      <c r="C181" s="49"/>
      <c r="D181" s="370" t="s">
        <v>6159</v>
      </c>
      <c r="E181" s="67" t="str">
        <f>VLOOKUP(D181,'03. Insumos'!A:D,2,0)</f>
        <v>Compra de Ferramentas</v>
      </c>
      <c r="F181" s="68" t="s">
        <v>3809</v>
      </c>
      <c r="G181" s="68" t="str">
        <f>VLOOKUP(D181,'03. Insumos'!A:F,3,0)</f>
        <v>mês</v>
      </c>
      <c r="H181" s="69">
        <v>1</v>
      </c>
      <c r="I181" s="69">
        <f>I3</f>
        <v>36</v>
      </c>
      <c r="J181" s="485">
        <v>550</v>
      </c>
      <c r="K181" s="70">
        <f>IF(A181=0,VLOOKUP(D181,'03. Insumos'!A:F,4,0),"")</f>
        <v>850</v>
      </c>
      <c r="L181" s="70">
        <f>H181*J181*I181</f>
        <v>19800</v>
      </c>
      <c r="M181" s="153">
        <f t="shared" ca="1" si="94"/>
        <v>1.2022309411783547E-3</v>
      </c>
      <c r="O181" s="148">
        <f t="shared" si="99"/>
        <v>30600</v>
      </c>
      <c r="R181" s="356">
        <f t="shared" si="100"/>
        <v>-316.01941747572812</v>
      </c>
    </row>
    <row r="182" spans="1:18" s="51" customFormat="1" ht="13.5" hidden="1" customHeight="1" outlineLevel="1" x14ac:dyDescent="0.3">
      <c r="A182" s="290">
        <f t="shared" si="1"/>
        <v>6</v>
      </c>
      <c r="B182" s="630"/>
      <c r="C182" s="606" t="s">
        <v>1890</v>
      </c>
      <c r="D182" s="606" t="s">
        <v>1962</v>
      </c>
      <c r="E182" s="593"/>
      <c r="F182" s="594"/>
      <c r="G182" s="594"/>
      <c r="H182" s="595"/>
      <c r="I182" s="633"/>
      <c r="J182" s="597"/>
      <c r="K182" s="597"/>
      <c r="L182" s="334">
        <f>SUM(L183:L186)</f>
        <v>0</v>
      </c>
      <c r="M182" s="153">
        <f t="shared" ca="1" si="94"/>
        <v>0</v>
      </c>
      <c r="O182" s="148"/>
      <c r="R182" s="12"/>
    </row>
    <row r="183" spans="1:18" s="486" customFormat="1" hidden="1" outlineLevel="1" x14ac:dyDescent="0.3">
      <c r="A183" s="290">
        <f t="shared" si="1"/>
        <v>0</v>
      </c>
      <c r="B183" s="480"/>
      <c r="C183" s="289"/>
      <c r="D183" s="708" t="s">
        <v>5089</v>
      </c>
      <c r="E183" s="481" t="str">
        <f>VLOOKUP(D183,'03. Insumos'!A:D,2,0)</f>
        <v>Lona Terreiro 4 x 100m 12kg</v>
      </c>
      <c r="F183" s="68" t="s">
        <v>3809</v>
      </c>
      <c r="G183" s="482" t="str">
        <f>VLOOKUP(D183,'03. Insumos'!A:F,3,0)</f>
        <v>rolo</v>
      </c>
      <c r="H183" s="483"/>
      <c r="I183" s="483">
        <v>20</v>
      </c>
      <c r="J183" s="485">
        <f>IFERROR(IF(K183&lt;&gt;0,K183*$K$5,0),0)</f>
        <v>167.5</v>
      </c>
      <c r="K183" s="485">
        <f>IF(A183=0,VLOOKUP(D183,'03. Insumos'!A:F,4,0),"")</f>
        <v>167.5</v>
      </c>
      <c r="L183" s="485">
        <f>H183*J183*I183</f>
        <v>0</v>
      </c>
      <c r="M183" s="153">
        <f t="shared" ca="1" si="94"/>
        <v>0</v>
      </c>
      <c r="O183" s="512"/>
      <c r="R183" s="487"/>
    </row>
    <row r="184" spans="1:18" s="51" customFormat="1" ht="13.5" hidden="1" customHeight="1" outlineLevel="1" x14ac:dyDescent="0.3">
      <c r="A184" s="290">
        <f t="shared" si="1"/>
        <v>0</v>
      </c>
      <c r="B184" s="49"/>
      <c r="C184" s="49"/>
      <c r="D184" s="370" t="s">
        <v>5090</v>
      </c>
      <c r="E184" s="67" t="str">
        <f>VLOOKUP(D184,'03. Insumos'!A:D,2,0)</f>
        <v>Madeirite Resinado 1,1 x 2,2m</v>
      </c>
      <c r="F184" s="68" t="s">
        <v>3809</v>
      </c>
      <c r="G184" s="68" t="str">
        <f>VLOOKUP(D184,'03. Insumos'!A:F,3,0)</f>
        <v>unid</v>
      </c>
      <c r="H184" s="69"/>
      <c r="I184" s="483">
        <v>20</v>
      </c>
      <c r="J184" s="70">
        <f>IFERROR(IF(K184&lt;&gt;0,K184*$K$5,0),0)</f>
        <v>97.9</v>
      </c>
      <c r="K184" s="70">
        <f>IF(A184=0,VLOOKUP(D184,'03. Insumos'!A:F,4,0),"")</f>
        <v>97.9</v>
      </c>
      <c r="L184" s="70">
        <f>H184*J184*I184</f>
        <v>0</v>
      </c>
      <c r="M184" s="153">
        <f t="shared" ca="1" si="94"/>
        <v>0</v>
      </c>
      <c r="O184" s="148"/>
      <c r="R184" s="12"/>
    </row>
    <row r="185" spans="1:18" s="51" customFormat="1" ht="13.5" hidden="1" customHeight="1" outlineLevel="1" x14ac:dyDescent="0.3">
      <c r="A185" s="290">
        <f t="shared" si="1"/>
        <v>0</v>
      </c>
      <c r="B185" s="49"/>
      <c r="C185" s="49"/>
      <c r="D185" s="370" t="s">
        <v>5199</v>
      </c>
      <c r="E185" s="67" t="str">
        <f>VLOOKUP(D185,'03. Insumos'!A:D,2,0)</f>
        <v xml:space="preserve">Fita crepe 48x50m </v>
      </c>
      <c r="F185" s="68" t="s">
        <v>3809</v>
      </c>
      <c r="G185" s="68" t="str">
        <f>VLOOKUP(D185,'03. Insumos'!A:F,3,0)</f>
        <v>uni</v>
      </c>
      <c r="H185" s="69"/>
      <c r="I185" s="483">
        <v>10</v>
      </c>
      <c r="J185" s="70">
        <f>IFERROR(IF(K185&lt;&gt;0,K185*$K$5,0),0)</f>
        <v>9.5</v>
      </c>
      <c r="K185" s="70">
        <f>IF(A185=0,VLOOKUP(D185,'03. Insumos'!A:F,4,0),"")</f>
        <v>9.5</v>
      </c>
      <c r="L185" s="70">
        <f>H185*J185*I185</f>
        <v>0</v>
      </c>
      <c r="M185" s="153">
        <f t="shared" ca="1" si="94"/>
        <v>0</v>
      </c>
      <c r="O185" s="148"/>
      <c r="R185" s="12"/>
    </row>
    <row r="186" spans="1:18" s="486" customFormat="1" ht="13.5" hidden="1" customHeight="1" outlineLevel="1" x14ac:dyDescent="0.3">
      <c r="A186" s="290">
        <f t="shared" si="1"/>
        <v>0</v>
      </c>
      <c r="B186" s="480"/>
      <c r="C186" s="480"/>
      <c r="D186" s="708" t="s">
        <v>5200</v>
      </c>
      <c r="E186" s="481" t="str">
        <f>VLOOKUP(D186,'03. Insumos'!A:D,2,0)</f>
        <v>Papelão ondulado 1,2m largura</v>
      </c>
      <c r="F186" s="68" t="s">
        <v>3809</v>
      </c>
      <c r="G186" s="482" t="str">
        <f>VLOOKUP(D186,'03. Insumos'!A:F,3,0)</f>
        <v>RL</v>
      </c>
      <c r="H186" s="483"/>
      <c r="I186" s="483">
        <v>20</v>
      </c>
      <c r="J186" s="485">
        <f>IFERROR(IF(K186&lt;&gt;0,K186*$K$5,0),0)</f>
        <v>184.5</v>
      </c>
      <c r="K186" s="485">
        <f>IF(A186=0,VLOOKUP(D186,'03. Insumos'!A:F,4,0),"")</f>
        <v>184.5</v>
      </c>
      <c r="L186" s="485">
        <f>H186*J186*I186</f>
        <v>0</v>
      </c>
      <c r="M186" s="153">
        <f t="shared" ca="1" si="94"/>
        <v>0</v>
      </c>
      <c r="O186" s="512"/>
      <c r="R186" s="487"/>
    </row>
    <row r="187" spans="1:18" s="51" customFormat="1" ht="13.5" hidden="1" customHeight="1" outlineLevel="1" x14ac:dyDescent="0.3">
      <c r="A187" s="290">
        <f t="shared" si="1"/>
        <v>6</v>
      </c>
      <c r="B187" s="630"/>
      <c r="C187" s="606" t="s">
        <v>1938</v>
      </c>
      <c r="D187" s="606" t="s">
        <v>1939</v>
      </c>
      <c r="E187" s="593"/>
      <c r="F187" s="594"/>
      <c r="G187" s="594"/>
      <c r="H187" s="595"/>
      <c r="I187" s="633"/>
      <c r="J187" s="597"/>
      <c r="K187" s="597"/>
      <c r="L187" s="334">
        <f>L188</f>
        <v>0</v>
      </c>
      <c r="M187" s="153">
        <f t="shared" ca="1" si="94"/>
        <v>0</v>
      </c>
      <c r="O187" s="148"/>
      <c r="R187" s="12"/>
    </row>
    <row r="188" spans="1:18" s="51" customFormat="1" ht="13.5" hidden="1" customHeight="1" outlineLevel="1" x14ac:dyDescent="0.3">
      <c r="A188" s="290">
        <f t="shared" si="1"/>
        <v>0</v>
      </c>
      <c r="B188" s="49"/>
      <c r="C188" s="49"/>
      <c r="D188" s="708" t="s">
        <v>1937</v>
      </c>
      <c r="E188" s="67" t="str">
        <f>VLOOKUP(D188,'03. Insumos'!A:D,2,0)</f>
        <v>Furos no concreto</v>
      </c>
      <c r="F188" s="68" t="s">
        <v>5218</v>
      </c>
      <c r="G188" s="68" t="str">
        <f>VLOOKUP(D188,'03. Insumos'!A:F,3,0)</f>
        <v>Unid</v>
      </c>
      <c r="H188" s="69">
        <v>1</v>
      </c>
      <c r="I188" s="483"/>
      <c r="J188" s="70">
        <f>IFERROR(IF(K188&lt;&gt;0,K188*$K$5,0),0)</f>
        <v>140</v>
      </c>
      <c r="K188" s="54">
        <f>IF(A188=0,VLOOKUP(D188,'03. Insumos'!A:F,4,0),"")</f>
        <v>140</v>
      </c>
      <c r="L188" s="485">
        <f>H188*J188*I188</f>
        <v>0</v>
      </c>
      <c r="M188" s="153">
        <f t="shared" ca="1" si="94"/>
        <v>0</v>
      </c>
      <c r="O188" s="148"/>
      <c r="R188" s="12"/>
    </row>
    <row r="189" spans="1:18" s="18" customFormat="1" ht="13.5" customHeight="1" outlineLevel="1" x14ac:dyDescent="0.3">
      <c r="A189" s="290">
        <f t="shared" si="1"/>
        <v>4</v>
      </c>
      <c r="B189" s="45"/>
      <c r="C189" s="45" t="s">
        <v>384</v>
      </c>
      <c r="D189" s="45" t="s">
        <v>1294</v>
      </c>
      <c r="E189" s="347"/>
      <c r="F189" s="327"/>
      <c r="G189" s="327"/>
      <c r="H189" s="328"/>
      <c r="I189" s="328"/>
      <c r="J189" s="335"/>
      <c r="K189" s="335" t="str">
        <f>IF(A189=0,VLOOKUP(D189,'03. Insumos'!A:F,4,0),"")</f>
        <v/>
      </c>
      <c r="L189" s="335">
        <f>SUMIF(A190:A204,6,L190:L204)</f>
        <v>302226.52521875</v>
      </c>
      <c r="M189" s="153">
        <f t="shared" ca="1" si="94"/>
        <v>1.8350812114282907E-2</v>
      </c>
      <c r="O189" s="148">
        <f t="shared" si="99"/>
        <v>0</v>
      </c>
      <c r="R189" s="12">
        <f>IF(J189&lt;&gt;0,J189/1.03-K189,0)</f>
        <v>0</v>
      </c>
    </row>
    <row r="190" spans="1:18" s="18" customFormat="1" ht="13.5" customHeight="1" outlineLevel="1" x14ac:dyDescent="0.3">
      <c r="A190" s="18">
        <f t="shared" si="1"/>
        <v>6</v>
      </c>
      <c r="B190" s="606"/>
      <c r="C190" s="606" t="s">
        <v>921</v>
      </c>
      <c r="D190" s="606" t="s">
        <v>2056</v>
      </c>
      <c r="E190" s="391"/>
      <c r="F190" s="325"/>
      <c r="G190" s="325"/>
      <c r="H190" s="326"/>
      <c r="I190" s="326"/>
      <c r="J190" s="334"/>
      <c r="K190" s="607" t="str">
        <f>IF(A190=0,VLOOKUP(D190,'03. Insumos'!A:F,4,0),"")</f>
        <v/>
      </c>
      <c r="L190" s="334">
        <f>SUM(L191:L204)</f>
        <v>302226.52521875</v>
      </c>
      <c r="M190" s="153">
        <f t="shared" ca="1" si="94"/>
        <v>1.8350812114282907E-2</v>
      </c>
      <c r="O190" s="600">
        <f t="shared" si="99"/>
        <v>0</v>
      </c>
      <c r="R190" s="601">
        <f>IF(J190&lt;&gt;0,J190/1.03-K190,0)</f>
        <v>0</v>
      </c>
    </row>
    <row r="191" spans="1:18" outlineLevel="1" x14ac:dyDescent="0.3">
      <c r="A191" s="13">
        <f t="shared" si="1"/>
        <v>0</v>
      </c>
      <c r="B191" s="4"/>
      <c r="C191" s="4"/>
      <c r="D191" s="370" t="s">
        <v>5287</v>
      </c>
      <c r="E191" s="67" t="str">
        <f>VLOOKUP(D191,'03. Insumos'!A:D,2,0)</f>
        <v>Andaime tubular 1,00 x 1,50m  com 3m de altura, plataforma metalica e rodízio</v>
      </c>
      <c r="F191" s="68" t="s">
        <v>5218</v>
      </c>
      <c r="G191" s="68" t="str">
        <f>VLOOKUP(D191,'03. Insumos'!A:F,3,0)</f>
        <v>CJ</v>
      </c>
      <c r="H191" s="69">
        <v>1</v>
      </c>
      <c r="I191" s="69">
        <f>L2-6</f>
        <v>30</v>
      </c>
      <c r="J191" s="70">
        <f t="shared" ref="J191:J204" si="101">IFERROR(IF(K191&lt;&gt;0,K191*$K$5,0),0)</f>
        <v>350</v>
      </c>
      <c r="K191" s="54">
        <f>IF(A191=0,VLOOKUP(D191,'03. Insumos'!A:F,4,0),"")</f>
        <v>350</v>
      </c>
      <c r="L191" s="70">
        <f t="shared" ref="L191:L203" si="102">H191*J191*I191</f>
        <v>10500</v>
      </c>
      <c r="M191" s="153">
        <f t="shared" ca="1" si="94"/>
        <v>6.3754671123094568E-4</v>
      </c>
      <c r="O191" s="148"/>
      <c r="R191" s="356"/>
    </row>
    <row r="192" spans="1:18" ht="24.6" outlineLevel="1" x14ac:dyDescent="0.3">
      <c r="A192" s="13">
        <f t="shared" si="1"/>
        <v>0</v>
      </c>
      <c r="B192" s="4"/>
      <c r="C192" s="4"/>
      <c r="D192" s="370" t="s">
        <v>3321</v>
      </c>
      <c r="E192" s="706" t="str">
        <f>VLOOKUP(D192,'03. Insumos'!A:D,2,0)</f>
        <v>Andaime Fachadeiro Multidirecional Medindo 146.51m - 13.15 Altura c/ 4 Níveis de Piso Met + Escada de Acesso + G.Corpo + Rodapé</v>
      </c>
      <c r="F192" s="68"/>
      <c r="G192" s="68" t="str">
        <f>VLOOKUP(D192,'03. Insumos'!A:F,3,0)</f>
        <v>m²</v>
      </c>
      <c r="H192" s="69">
        <v>8</v>
      </c>
      <c r="I192" s="69">
        <f>146.51*13.15</f>
        <v>1926.6064999999999</v>
      </c>
      <c r="J192" s="70">
        <f t="shared" si="101"/>
        <v>15.5</v>
      </c>
      <c r="K192" s="54">
        <f>IF(A192=0,VLOOKUP(D192,'03. Insumos'!A:F,4,0),"")</f>
        <v>15.5</v>
      </c>
      <c r="L192" s="70">
        <f t="shared" si="102"/>
        <v>238899.20599999998</v>
      </c>
      <c r="M192" s="153">
        <f t="shared" ca="1" si="94"/>
        <v>1.4505657438188971E-2</v>
      </c>
      <c r="O192" s="148"/>
      <c r="R192" s="356"/>
    </row>
    <row r="193" spans="1:20" hidden="1" outlineLevel="1" x14ac:dyDescent="0.3">
      <c r="A193" s="13">
        <f t="shared" si="1"/>
        <v>0</v>
      </c>
      <c r="B193" s="4"/>
      <c r="C193" s="4"/>
      <c r="D193" s="370" t="s">
        <v>3322</v>
      </c>
      <c r="E193" s="706" t="str">
        <f>VLOOKUP(D193,'03. Insumos'!A:D,2,0)</f>
        <v>Andaime Fachadeiro Multidirecional Medindo 5.5m - 6.5 Altura c/ 2 Níveis de Piso Met + Escada de Acesso + G.Corpo + Rodapé</v>
      </c>
      <c r="F193" s="68" t="s">
        <v>2612</v>
      </c>
      <c r="G193" s="68" t="str">
        <f>VLOOKUP(D193,'03. Insumos'!A:F,3,0)</f>
        <v>m²</v>
      </c>
      <c r="H193" s="69"/>
      <c r="I193" s="69"/>
      <c r="J193" s="70">
        <f t="shared" si="101"/>
        <v>7.5</v>
      </c>
      <c r="K193" s="70">
        <f>IF(A193=0,VLOOKUP(D193,'03. Insumos'!A:F,4,0),"")</f>
        <v>7.5</v>
      </c>
      <c r="L193" s="70">
        <f t="shared" si="102"/>
        <v>0</v>
      </c>
      <c r="M193" s="153">
        <f t="shared" ca="1" si="94"/>
        <v>0</v>
      </c>
      <c r="O193" s="148"/>
      <c r="R193" s="356"/>
    </row>
    <row r="194" spans="1:20" s="51" customFormat="1" hidden="1" outlineLevel="1" x14ac:dyDescent="0.3">
      <c r="A194" s="13">
        <f t="shared" si="1"/>
        <v>0</v>
      </c>
      <c r="B194" s="49"/>
      <c r="C194" s="49"/>
      <c r="D194" s="370" t="s">
        <v>3323</v>
      </c>
      <c r="E194" s="706" t="str">
        <f>VLOOKUP(D194,'03. Insumos'!A:D,2,0)</f>
        <v>Torre de Andaime Tubular Móvel Medindo 2x4 c/ nível piso metálico + escada + G. Corpo + Rodapé + Rodízios + Bases Ajust.</v>
      </c>
      <c r="F194" s="68" t="s">
        <v>2612</v>
      </c>
      <c r="G194" s="68" t="str">
        <f>VLOOKUP(D194,'03. Insumos'!A:F,3,0)</f>
        <v>Unid</v>
      </c>
      <c r="H194" s="69"/>
      <c r="I194" s="69">
        <v>1</v>
      </c>
      <c r="J194" s="70">
        <f t="shared" si="101"/>
        <v>250</v>
      </c>
      <c r="K194" s="70">
        <f>IF(A194=0,VLOOKUP(D194,'03. Insumos'!A:F,4,0),"")</f>
        <v>250</v>
      </c>
      <c r="L194" s="70">
        <f t="shared" si="102"/>
        <v>0</v>
      </c>
      <c r="M194" s="153">
        <f t="shared" ca="1" si="94"/>
        <v>0</v>
      </c>
      <c r="O194" s="148">
        <f t="shared" si="99"/>
        <v>0</v>
      </c>
      <c r="R194" s="356">
        <f>IF(J194&lt;&gt;0,J194/1.03-K194,0)</f>
        <v>-7.2815533980582643</v>
      </c>
      <c r="T194" s="51" t="e">
        <f>L189/#REF!</f>
        <v>#REF!</v>
      </c>
    </row>
    <row r="195" spans="1:20" s="51" customFormat="1" outlineLevel="1" x14ac:dyDescent="0.3">
      <c r="A195" s="13">
        <f t="shared" si="1"/>
        <v>0</v>
      </c>
      <c r="B195" s="49"/>
      <c r="C195" s="49"/>
      <c r="D195" s="370" t="s">
        <v>3324</v>
      </c>
      <c r="E195" s="67" t="str">
        <f>VLOOKUP(D195,'03. Insumos'!A:D,2,0)</f>
        <v>Montagem Andaime Fachadeiro + Forração + Travamento</v>
      </c>
      <c r="F195" s="68"/>
      <c r="G195" s="68" t="str">
        <f>VLOOKUP(D195,'03. Insumos'!A:F,3,0)</f>
        <v>m²</v>
      </c>
      <c r="H195" s="69">
        <v>1</v>
      </c>
      <c r="I195" s="69">
        <f>I192</f>
        <v>1926.6064999999999</v>
      </c>
      <c r="J195" s="70">
        <f t="shared" si="101"/>
        <v>13.928571428571429</v>
      </c>
      <c r="K195" s="70">
        <f>IF(A195=0,VLOOKUP(D195,'03. Insumos'!A:F,4,0),"")</f>
        <v>13.928571428571429</v>
      </c>
      <c r="L195" s="70">
        <f t="shared" si="102"/>
        <v>26834.876249999998</v>
      </c>
      <c r="M195" s="153">
        <f t="shared" ca="1" si="94"/>
        <v>1.6293797237597058E-3</v>
      </c>
      <c r="O195" s="148"/>
      <c r="R195" s="356"/>
    </row>
    <row r="196" spans="1:20" s="51" customFormat="1" outlineLevel="1" x14ac:dyDescent="0.3">
      <c r="A196" s="13">
        <f t="shared" si="1"/>
        <v>0</v>
      </c>
      <c r="B196" s="49"/>
      <c r="C196" s="49"/>
      <c r="D196" s="370" t="s">
        <v>3325</v>
      </c>
      <c r="E196" s="67" t="str">
        <f>VLOOKUP(D196,'03. Insumos'!A:D,2,0)</f>
        <v>Desmontagem Andaime Fachadeiro + Forração + Travamento</v>
      </c>
      <c r="F196" s="68"/>
      <c r="G196" s="68" t="str">
        <f>VLOOKUP(D196,'03. Insumos'!A:F,3,0)</f>
        <v>m²</v>
      </c>
      <c r="H196" s="69">
        <v>1</v>
      </c>
      <c r="I196" s="69">
        <f>I192</f>
        <v>1926.6064999999999</v>
      </c>
      <c r="J196" s="70">
        <f t="shared" si="101"/>
        <v>11.830357142857142</v>
      </c>
      <c r="K196" s="70">
        <f>IF(A196=0,VLOOKUP(D196,'03. Insumos'!A:F,4,0),"")</f>
        <v>11.830357142857142</v>
      </c>
      <c r="L196" s="70">
        <f t="shared" si="102"/>
        <v>22792.442968749998</v>
      </c>
      <c r="M196" s="153">
        <f t="shared" ca="1" si="94"/>
        <v>1.3839282910138528E-3</v>
      </c>
      <c r="O196" s="148">
        <f t="shared" si="99"/>
        <v>22792.442968749998</v>
      </c>
      <c r="R196" s="356">
        <f>IF(J196&lt;&gt;0,J196/1.03-K196,0)</f>
        <v>-0.34457350901525707</v>
      </c>
    </row>
    <row r="197" spans="1:20" s="51" customFormat="1" hidden="1" outlineLevel="1" x14ac:dyDescent="0.3">
      <c r="A197" s="13">
        <f t="shared" si="1"/>
        <v>0</v>
      </c>
      <c r="B197" s="49"/>
      <c r="C197" s="49"/>
      <c r="D197" s="370" t="s">
        <v>3326</v>
      </c>
      <c r="E197" s="67" t="str">
        <f>VLOOKUP(D197,'03. Insumos'!A:D,2,0)</f>
        <v>Montagem Plataforma para trabalho na Escada + Forração + Travamento</v>
      </c>
      <c r="F197" s="68"/>
      <c r="G197" s="68" t="str">
        <f>VLOOKUP(D197,'03. Insumos'!A:F,3,0)</f>
        <v>m²</v>
      </c>
      <c r="H197" s="69"/>
      <c r="I197" s="69"/>
      <c r="J197" s="70">
        <f t="shared" si="101"/>
        <v>43.75</v>
      </c>
      <c r="K197" s="70">
        <f>IF(A197=0,VLOOKUP(D197,'03. Insumos'!A:F,4,0),"")</f>
        <v>43.75</v>
      </c>
      <c r="L197" s="70">
        <f t="shared" si="102"/>
        <v>0</v>
      </c>
      <c r="M197" s="153">
        <f t="shared" ca="1" si="94"/>
        <v>0</v>
      </c>
      <c r="O197" s="148"/>
      <c r="R197" s="356"/>
    </row>
    <row r="198" spans="1:20" s="51" customFormat="1" hidden="1" outlineLevel="1" x14ac:dyDescent="0.3">
      <c r="A198" s="13">
        <f t="shared" si="1"/>
        <v>0</v>
      </c>
      <c r="B198" s="49"/>
      <c r="C198" s="49"/>
      <c r="D198" s="370" t="s">
        <v>3366</v>
      </c>
      <c r="E198" s="67" t="str">
        <f>VLOOKUP(D198,'03. Insumos'!A:D,2,0)</f>
        <v>Desmontagem Plataforma para trabalho na Escada + Forração + Travamento</v>
      </c>
      <c r="F198" s="68"/>
      <c r="G198" s="68" t="str">
        <f>VLOOKUP(D198,'03. Insumos'!A:F,3,0)</f>
        <v>m²</v>
      </c>
      <c r="H198" s="69"/>
      <c r="I198" s="69"/>
      <c r="J198" s="70">
        <f t="shared" si="101"/>
        <v>35</v>
      </c>
      <c r="K198" s="70">
        <f>IF(A198=0,VLOOKUP(D198,'03. Insumos'!A:F,4,0),"")</f>
        <v>35</v>
      </c>
      <c r="L198" s="70">
        <f>H198*J198*I198</f>
        <v>0</v>
      </c>
      <c r="M198" s="153">
        <f t="shared" ca="1" si="94"/>
        <v>0</v>
      </c>
      <c r="O198" s="148"/>
      <c r="R198" s="356"/>
    </row>
    <row r="199" spans="1:20" s="51" customFormat="1" hidden="1" outlineLevel="1" x14ac:dyDescent="0.3">
      <c r="A199" s="13">
        <f t="shared" si="1"/>
        <v>0</v>
      </c>
      <c r="B199" s="49"/>
      <c r="C199" s="49"/>
      <c r="D199" s="370" t="s">
        <v>3366</v>
      </c>
      <c r="E199" s="67" t="str">
        <f>VLOOKUP(D199,'03. Insumos'!A:D,2,0)</f>
        <v>Desmontagem Plataforma para trabalho na Escada + Forração + Travamento</v>
      </c>
      <c r="F199" s="68"/>
      <c r="G199" s="68" t="str">
        <f>VLOOKUP(D199,'03. Insumos'!A:F,3,0)</f>
        <v>m²</v>
      </c>
      <c r="H199" s="69"/>
      <c r="I199" s="69"/>
      <c r="J199" s="70">
        <f t="shared" si="101"/>
        <v>35</v>
      </c>
      <c r="K199" s="70">
        <f>IF(A199=0,VLOOKUP(D199,'03. Insumos'!A:F,4,0),"")</f>
        <v>35</v>
      </c>
      <c r="L199" s="70">
        <f>H199*J199*I199</f>
        <v>0</v>
      </c>
      <c r="M199" s="153">
        <f t="shared" ca="1" si="94"/>
        <v>0</v>
      </c>
      <c r="O199" s="148"/>
      <c r="R199" s="356"/>
    </row>
    <row r="200" spans="1:20" s="51" customFormat="1" outlineLevel="1" x14ac:dyDescent="0.3">
      <c r="A200" s="13">
        <f t="shared" si="1"/>
        <v>0</v>
      </c>
      <c r="B200" s="49"/>
      <c r="C200" s="49"/>
      <c r="D200" s="370" t="s">
        <v>3367</v>
      </c>
      <c r="E200" s="67" t="str">
        <f>VLOOKUP(D200,'03. Insumos'!A:D,2,0)</f>
        <v>Frete de Andaimes</v>
      </c>
      <c r="F200" s="68"/>
      <c r="G200" s="68" t="str">
        <f>VLOOKUP(D200,'03. Insumos'!A:F,3,0)</f>
        <v>vb</v>
      </c>
      <c r="H200" s="69">
        <v>4</v>
      </c>
      <c r="I200" s="69">
        <v>1</v>
      </c>
      <c r="J200" s="70">
        <f t="shared" si="101"/>
        <v>800</v>
      </c>
      <c r="K200" s="70">
        <f>IF(A200=0,VLOOKUP(D200,'03. Insumos'!A:F,4,0),"")</f>
        <v>800</v>
      </c>
      <c r="L200" s="70">
        <f>H200*J200*I200</f>
        <v>3200</v>
      </c>
      <c r="M200" s="153">
        <f t="shared" ca="1" si="94"/>
        <v>1.9429995008943108E-4</v>
      </c>
      <c r="O200" s="148"/>
      <c r="R200" s="356"/>
    </row>
    <row r="201" spans="1:20" s="51" customFormat="1" hidden="1" outlineLevel="1" x14ac:dyDescent="0.3">
      <c r="A201" s="290">
        <f t="shared" si="1"/>
        <v>0</v>
      </c>
      <c r="B201" s="49"/>
      <c r="C201" s="49"/>
      <c r="D201" s="370" t="s">
        <v>1926</v>
      </c>
      <c r="E201" s="67" t="str">
        <f>VLOOKUP(D201,'03. Insumos'!A:D,2,0)</f>
        <v>Locação balancim elétrico de 8 m</v>
      </c>
      <c r="F201" s="68"/>
      <c r="G201" s="68" t="str">
        <f>VLOOKUP(D201,'03. Insumos'!A:F,3,0)</f>
        <v>unid</v>
      </c>
      <c r="H201" s="69"/>
      <c r="I201" s="69"/>
      <c r="J201" s="70">
        <f t="shared" si="101"/>
        <v>850</v>
      </c>
      <c r="K201" s="70">
        <f>IF(A201=0,VLOOKUP(D201,'03. Insumos'!A:F,4,0),"")</f>
        <v>850</v>
      </c>
      <c r="L201" s="70">
        <f t="shared" si="102"/>
        <v>0</v>
      </c>
      <c r="M201" s="153">
        <f t="shared" ca="1" si="94"/>
        <v>0</v>
      </c>
      <c r="O201" s="148"/>
      <c r="R201" s="12"/>
    </row>
    <row r="202" spans="1:20" s="51" customFormat="1" hidden="1" outlineLevel="1" x14ac:dyDescent="0.3">
      <c r="A202" s="290">
        <f t="shared" si="1"/>
        <v>0</v>
      </c>
      <c r="B202" s="49"/>
      <c r="C202" s="49"/>
      <c r="D202" s="370" t="s">
        <v>1927</v>
      </c>
      <c r="E202" s="67" t="str">
        <f>VLOOKUP(D202,'03. Insumos'!A:D,2,0)</f>
        <v>Locação torre auxiliar para fixação balancim elétrico  com contrapeso</v>
      </c>
      <c r="F202" s="68"/>
      <c r="G202" s="68" t="str">
        <f>VLOOKUP(D202,'03. Insumos'!A:F,3,0)</f>
        <v>unid</v>
      </c>
      <c r="H202" s="69"/>
      <c r="I202" s="69"/>
      <c r="J202" s="70">
        <f t="shared" si="101"/>
        <v>610</v>
      </c>
      <c r="K202" s="70">
        <f>IF(A202=0,VLOOKUP(D202,'03. Insumos'!A:F,4,0),"")</f>
        <v>610</v>
      </c>
      <c r="L202" s="70">
        <f>H202*J202*I202</f>
        <v>0</v>
      </c>
      <c r="M202" s="153">
        <f t="shared" ca="1" si="94"/>
        <v>0</v>
      </c>
      <c r="O202" s="148"/>
      <c r="R202" s="12"/>
    </row>
    <row r="203" spans="1:20" s="51" customFormat="1" hidden="1" outlineLevel="1" x14ac:dyDescent="0.3">
      <c r="A203" s="290">
        <f t="shared" si="1"/>
        <v>0</v>
      </c>
      <c r="B203" s="49"/>
      <c r="C203" s="49"/>
      <c r="D203" s="370" t="s">
        <v>1931</v>
      </c>
      <c r="E203" s="67" t="str">
        <f>VLOOKUP(D203,'03. Insumos'!A:D,2,0)</f>
        <v>Montagem e desmontagem de balancim elétrico fixado em torre auxiliar com contrapeso</v>
      </c>
      <c r="F203" s="68"/>
      <c r="G203" s="68" t="str">
        <f>VLOOKUP(D203,'03. Insumos'!A:F,3,0)</f>
        <v>unid</v>
      </c>
      <c r="H203" s="69"/>
      <c r="I203" s="69"/>
      <c r="J203" s="70">
        <f t="shared" si="101"/>
        <v>2700</v>
      </c>
      <c r="K203" s="70">
        <f>IF(A203=0,VLOOKUP(D203,'03. Insumos'!A:F,4,0),"")</f>
        <v>2700</v>
      </c>
      <c r="L203" s="70">
        <f t="shared" si="102"/>
        <v>0</v>
      </c>
      <c r="M203" s="153">
        <f t="shared" ca="1" si="94"/>
        <v>0</v>
      </c>
      <c r="O203" s="148"/>
      <c r="R203" s="12"/>
    </row>
    <row r="204" spans="1:20" s="51" customFormat="1" ht="13.5" hidden="1" customHeight="1" outlineLevel="1" x14ac:dyDescent="0.3">
      <c r="A204" s="290">
        <f t="shared" si="1"/>
        <v>0</v>
      </c>
      <c r="B204" s="49"/>
      <c r="C204" s="49"/>
      <c r="D204" s="370" t="s">
        <v>1933</v>
      </c>
      <c r="E204" s="67" t="str">
        <f>VLOOKUP(D204,'03. Insumos'!A:D,2,0)</f>
        <v>Frete equipamentos de acesso</v>
      </c>
      <c r="F204" s="68" t="s">
        <v>2612</v>
      </c>
      <c r="G204" s="68" t="str">
        <f>VLOOKUP(D204,'03. Insumos'!A:F,3,0)</f>
        <v>vb</v>
      </c>
      <c r="H204" s="69"/>
      <c r="I204" s="69"/>
      <c r="J204" s="70">
        <f t="shared" si="101"/>
        <v>100</v>
      </c>
      <c r="K204" s="70">
        <f>IF(A204=0,VLOOKUP(D204,'03. Insumos'!A:F,4,0),"")</f>
        <v>100</v>
      </c>
      <c r="L204" s="70">
        <f>H204*J204*I204</f>
        <v>0</v>
      </c>
      <c r="M204" s="153">
        <f t="shared" ca="1" si="94"/>
        <v>0</v>
      </c>
      <c r="O204" s="148">
        <f t="shared" si="99"/>
        <v>0</v>
      </c>
      <c r="R204" s="12">
        <f t="shared" ref="R204:R259" si="103">IF(J204&lt;&gt;0,J204/1.03-K204,0)</f>
        <v>-2.9126213592233086</v>
      </c>
      <c r="T204" s="51">
        <v>31.5</v>
      </c>
    </row>
    <row r="205" spans="1:20" s="592" customFormat="1" ht="13.5" customHeight="1" x14ac:dyDescent="0.3">
      <c r="A205" s="478">
        <f t="shared" si="1"/>
        <v>3</v>
      </c>
      <c r="B205" s="390"/>
      <c r="C205" s="390" t="s">
        <v>357</v>
      </c>
      <c r="D205" s="390" t="s">
        <v>993</v>
      </c>
      <c r="E205" s="390"/>
      <c r="F205" s="323"/>
      <c r="G205" s="323"/>
      <c r="H205" s="324"/>
      <c r="I205" s="324"/>
      <c r="J205" s="333"/>
      <c r="K205" s="333"/>
      <c r="L205" s="333">
        <f>SUMIF(A206:A269,4,L206:L269)</f>
        <v>2895074.7151231868</v>
      </c>
      <c r="M205" s="153">
        <f t="shared" ca="1" si="94"/>
        <v>0.17578527270425284</v>
      </c>
      <c r="O205" s="499">
        <f t="shared" si="99"/>
        <v>0</v>
      </c>
      <c r="R205" s="348">
        <f t="shared" si="103"/>
        <v>0</v>
      </c>
    </row>
    <row r="206" spans="1:20" s="18" customFormat="1" ht="13.5" customHeight="1" outlineLevel="1" x14ac:dyDescent="0.3">
      <c r="A206" s="290">
        <f t="shared" si="1"/>
        <v>4</v>
      </c>
      <c r="B206" s="45"/>
      <c r="C206" s="45" t="s">
        <v>381</v>
      </c>
      <c r="D206" s="45" t="s">
        <v>994</v>
      </c>
      <c r="E206" s="347"/>
      <c r="F206" s="327"/>
      <c r="G206" s="327"/>
      <c r="H206" s="328"/>
      <c r="I206" s="328"/>
      <c r="J206" s="335"/>
      <c r="K206" s="335" t="str">
        <f>IF(A206=0,VLOOKUP(D206,'03. Insumos'!A:F,4,0),"")</f>
        <v/>
      </c>
      <c r="L206" s="335">
        <f>SUMIF(A207:A242,6,L207:L242)</f>
        <v>2417713.2911231872</v>
      </c>
      <c r="M206" s="153">
        <f t="shared" ca="1" si="94"/>
        <v>0.14680049118618418</v>
      </c>
      <c r="O206" s="148">
        <f t="shared" si="99"/>
        <v>0</v>
      </c>
      <c r="R206" s="12">
        <f t="shared" si="103"/>
        <v>0</v>
      </c>
    </row>
    <row r="207" spans="1:20" s="18" customFormat="1" ht="13.5" customHeight="1" outlineLevel="1" x14ac:dyDescent="0.3">
      <c r="A207" s="18">
        <f t="shared" si="1"/>
        <v>6</v>
      </c>
      <c r="B207" s="606"/>
      <c r="C207" s="606" t="s">
        <v>922</v>
      </c>
      <c r="D207" s="606" t="s">
        <v>7308</v>
      </c>
      <c r="E207" s="391"/>
      <c r="F207" s="325"/>
      <c r="G207" s="325"/>
      <c r="H207" s="326"/>
      <c r="I207" s="326"/>
      <c r="J207" s="334"/>
      <c r="K207" s="607" t="str">
        <f>IF(A207=0,VLOOKUP(D207,'03. Insumos'!A:F,4,0),"")</f>
        <v/>
      </c>
      <c r="L207" s="334">
        <f>SUM(L208:L214)</f>
        <v>320400</v>
      </c>
      <c r="M207" s="153">
        <f t="shared" ca="1" si="94"/>
        <v>1.9454282502704284E-2</v>
      </c>
      <c r="O207" s="600">
        <f t="shared" si="99"/>
        <v>0</v>
      </c>
      <c r="R207" s="601">
        <f t="shared" si="103"/>
        <v>0</v>
      </c>
    </row>
    <row r="208" spans="1:20" s="51" customFormat="1" ht="13.5" customHeight="1" outlineLevel="1" x14ac:dyDescent="0.3">
      <c r="A208" s="13">
        <f t="shared" si="1"/>
        <v>0</v>
      </c>
      <c r="B208" s="49"/>
      <c r="C208" s="49"/>
      <c r="D208" s="370" t="s">
        <v>6162</v>
      </c>
      <c r="E208" s="67" t="str">
        <f>VLOOKUP(D208,'03. Insumos'!A:D,2,0)</f>
        <v>Engenheiro - Part Time</v>
      </c>
      <c r="F208" s="68" t="s">
        <v>3809</v>
      </c>
      <c r="G208" s="68" t="str">
        <f>VLOOKUP(D208,'03. Insumos'!A:F,3,0)</f>
        <v>mês</v>
      </c>
      <c r="H208" s="69">
        <f>IF(I208=0,0,1)</f>
        <v>1</v>
      </c>
      <c r="I208" s="69">
        <f>'04. Histograma MO'!CD10</f>
        <v>18</v>
      </c>
      <c r="J208" s="70">
        <f t="shared" ref="J208:J214" si="104">IFERROR(IF(K208&lt;&gt;0,K208*$K$5,0),0)</f>
        <v>14000</v>
      </c>
      <c r="K208" s="70">
        <f>IF(A208=0,VLOOKUP(D208,'03. Insumos'!A:F,4,0),"")</f>
        <v>14000</v>
      </c>
      <c r="L208" s="70">
        <f t="shared" ref="L208:L214" si="105">H208*J208*I208</f>
        <v>252000</v>
      </c>
      <c r="M208" s="153">
        <f t="shared" ca="1" si="94"/>
        <v>1.5301121069542697E-2</v>
      </c>
      <c r="O208" s="148">
        <f t="shared" si="99"/>
        <v>252000</v>
      </c>
      <c r="R208" s="356">
        <f t="shared" si="103"/>
        <v>-407.76699029126212</v>
      </c>
    </row>
    <row r="209" spans="1:18" s="51" customFormat="1" ht="13.5" hidden="1" customHeight="1" outlineLevel="1" x14ac:dyDescent="0.3">
      <c r="A209" s="13">
        <f t="shared" si="1"/>
        <v>0</v>
      </c>
      <c r="B209" s="49"/>
      <c r="C209" s="49"/>
      <c r="D209" s="370" t="s">
        <v>6386</v>
      </c>
      <c r="E209" s="67" t="str">
        <f>VLOOKUP(D209,'03. Insumos'!A:D,2,0)</f>
        <v>Arquiteta</v>
      </c>
      <c r="F209" s="68" t="s">
        <v>3809</v>
      </c>
      <c r="G209" s="68" t="str">
        <f>VLOOKUP(D209,'03. Insumos'!A:F,3,0)</f>
        <v>mês</v>
      </c>
      <c r="H209" s="69">
        <f t="shared" ref="H209:H231" si="106">IF(I209=0,0,1)</f>
        <v>0</v>
      </c>
      <c r="I209" s="69">
        <f>'04. Histograma MO'!CD11</f>
        <v>0</v>
      </c>
      <c r="J209" s="70">
        <f t="shared" si="104"/>
        <v>4000</v>
      </c>
      <c r="K209" s="70">
        <f>IF(A209=0,VLOOKUP(D209,'03. Insumos'!A:F,4,0),"")</f>
        <v>4000</v>
      </c>
      <c r="L209" s="70">
        <f t="shared" si="105"/>
        <v>0</v>
      </c>
      <c r="M209" s="153">
        <f t="shared" ca="1" si="94"/>
        <v>0</v>
      </c>
      <c r="O209" s="148">
        <f t="shared" si="99"/>
        <v>0</v>
      </c>
      <c r="R209" s="356">
        <f t="shared" si="103"/>
        <v>-116.50485436893223</v>
      </c>
    </row>
    <row r="210" spans="1:18" s="51" customFormat="1" ht="13.5" customHeight="1" outlineLevel="1" x14ac:dyDescent="0.3">
      <c r="A210" s="13">
        <f t="shared" ref="A210" si="107">LEN(C210)</f>
        <v>0</v>
      </c>
      <c r="B210" s="49"/>
      <c r="C210" s="49"/>
      <c r="D210" s="370" t="s">
        <v>6387</v>
      </c>
      <c r="E210" s="67" t="str">
        <f>VLOOKUP(D210,'03. Insumos'!A:D,2,0)</f>
        <v>Estagiário</v>
      </c>
      <c r="F210" s="68" t="s">
        <v>3809</v>
      </c>
      <c r="G210" s="68" t="str">
        <f>VLOOKUP(D210,'03. Insumos'!A:F,3,0)</f>
        <v>mês</v>
      </c>
      <c r="H210" s="69">
        <f t="shared" si="106"/>
        <v>1</v>
      </c>
      <c r="I210" s="69">
        <f>'04. Histograma MO'!CD12</f>
        <v>36</v>
      </c>
      <c r="J210" s="70">
        <f t="shared" ref="J210" si="108">IFERROR(IF(K210&lt;&gt;0,K210*$K$5,0),0)</f>
        <v>1900</v>
      </c>
      <c r="K210" s="70">
        <f>IF(A210=0,VLOOKUP(D210,'03. Insumos'!A:F,4,0),"")</f>
        <v>1900</v>
      </c>
      <c r="L210" s="70">
        <f t="shared" ref="L210" si="109">H210*J210*I210</f>
        <v>68400</v>
      </c>
      <c r="M210" s="153">
        <f t="shared" ref="M210" ca="1" si="110">L210/$L$7</f>
        <v>4.1531614331615889E-3</v>
      </c>
      <c r="O210" s="148">
        <f t="shared" ref="O210" si="111">IF(I210&lt;&gt;0,I210*H210*K210,)</f>
        <v>68400</v>
      </c>
      <c r="R210" s="356">
        <f t="shared" ref="R210" si="112">IF(J210&lt;&gt;0,J210/1.03-K210,0)</f>
        <v>-55.33980582524282</v>
      </c>
    </row>
    <row r="211" spans="1:18" s="51" customFormat="1" ht="13.5" hidden="1" customHeight="1" outlineLevel="1" x14ac:dyDescent="0.3">
      <c r="A211" s="13">
        <f t="shared" si="1"/>
        <v>0</v>
      </c>
      <c r="B211" s="49"/>
      <c r="C211" s="49"/>
      <c r="D211" s="370" t="s">
        <v>6388</v>
      </c>
      <c r="E211" s="67" t="str">
        <f>VLOOKUP(D211,'03. Insumos'!A:D,2,0)</f>
        <v>Técnico De Edificações</v>
      </c>
      <c r="F211" s="68" t="s">
        <v>3809</v>
      </c>
      <c r="G211" s="68" t="str">
        <f>VLOOKUP(D211,'03. Insumos'!A:F,3,0)</f>
        <v>mês</v>
      </c>
      <c r="H211" s="69">
        <f t="shared" si="106"/>
        <v>0</v>
      </c>
      <c r="I211" s="69">
        <f>'04. Histograma MO'!CD13</f>
        <v>0</v>
      </c>
      <c r="J211" s="70">
        <f t="shared" si="104"/>
        <v>10000</v>
      </c>
      <c r="K211" s="70">
        <f>IF(A211=0,VLOOKUP(D211,'03. Insumos'!A:F,4,0),"")</f>
        <v>10000</v>
      </c>
      <c r="L211" s="70">
        <f t="shared" si="105"/>
        <v>0</v>
      </c>
      <c r="M211" s="153">
        <f t="shared" ca="1" si="94"/>
        <v>0</v>
      </c>
      <c r="O211" s="148">
        <f t="shared" si="99"/>
        <v>0</v>
      </c>
      <c r="R211" s="356">
        <f t="shared" si="103"/>
        <v>-291.26213592233034</v>
      </c>
    </row>
    <row r="212" spans="1:18" s="51" customFormat="1" ht="13.5" hidden="1" customHeight="1" outlineLevel="1" x14ac:dyDescent="0.3">
      <c r="A212" s="290">
        <f t="shared" ref="A212" si="113">LEN(C212)</f>
        <v>0</v>
      </c>
      <c r="B212" s="49"/>
      <c r="C212" s="49"/>
      <c r="D212" s="370" t="s">
        <v>6389</v>
      </c>
      <c r="E212" s="67" t="str">
        <f>VLOOKUP(D212,'03. Insumos'!A:D,2,0)</f>
        <v>Mestre De Obra</v>
      </c>
      <c r="F212" s="68" t="s">
        <v>3809</v>
      </c>
      <c r="G212" s="68" t="str">
        <f>VLOOKUP(D212,'03. Insumos'!A:F,3,0)</f>
        <v>mês</v>
      </c>
      <c r="H212" s="69">
        <f t="shared" si="106"/>
        <v>0</v>
      </c>
      <c r="I212" s="69">
        <f>'04. Histograma MO'!CD14</f>
        <v>0</v>
      </c>
      <c r="J212" s="70">
        <f t="shared" ref="J212" si="114">IFERROR(IF(K212&lt;&gt;0,K212*$K$5,0),0)</f>
        <v>16000</v>
      </c>
      <c r="K212" s="70">
        <f>IF(A212=0,VLOOKUP(D212,'03. Insumos'!A:F,4,0),"")</f>
        <v>16000</v>
      </c>
      <c r="L212" s="70">
        <f t="shared" ref="L212" si="115">H212*J212*I212</f>
        <v>0</v>
      </c>
      <c r="M212" s="153">
        <f t="shared" ref="M212" ca="1" si="116">L212/$L$7</f>
        <v>0</v>
      </c>
      <c r="O212" s="148">
        <f t="shared" ref="O212" si="117">IF(I212&lt;&gt;0,I212*H212*K212,)</f>
        <v>0</v>
      </c>
      <c r="R212" s="12">
        <f t="shared" ref="R212" si="118">IF(J212&lt;&gt;0,J212/1.03-K212,0)</f>
        <v>-466.01941747572891</v>
      </c>
    </row>
    <row r="213" spans="1:18" s="51" customFormat="1" ht="13.5" hidden="1" customHeight="1" outlineLevel="1" x14ac:dyDescent="0.3">
      <c r="A213" s="290">
        <f t="shared" si="1"/>
        <v>0</v>
      </c>
      <c r="B213" s="49"/>
      <c r="C213" s="49"/>
      <c r="D213" s="370" t="s">
        <v>6390</v>
      </c>
      <c r="E213" s="67" t="str">
        <f>VLOOKUP(D213,'03. Insumos'!A:D,2,0)</f>
        <v>Enc. Administrativo</v>
      </c>
      <c r="F213" s="68" t="s">
        <v>3809</v>
      </c>
      <c r="G213" s="68" t="str">
        <f>VLOOKUP(D213,'03. Insumos'!A:F,3,0)</f>
        <v>mês</v>
      </c>
      <c r="H213" s="69">
        <f t="shared" si="106"/>
        <v>0</v>
      </c>
      <c r="I213" s="69">
        <f>'04. Histograma MO'!CD15</f>
        <v>0</v>
      </c>
      <c r="J213" s="70">
        <f t="shared" si="104"/>
        <v>6000</v>
      </c>
      <c r="K213" s="70">
        <f>IF(A213=0,VLOOKUP(D213,'03. Insumos'!A:F,4,0),"")</f>
        <v>6000</v>
      </c>
      <c r="L213" s="70">
        <f t="shared" si="105"/>
        <v>0</v>
      </c>
      <c r="M213" s="153">
        <f t="shared" ca="1" si="94"/>
        <v>0</v>
      </c>
      <c r="O213" s="148">
        <f t="shared" si="99"/>
        <v>0</v>
      </c>
      <c r="R213" s="12">
        <f t="shared" si="103"/>
        <v>-174.75728155339857</v>
      </c>
    </row>
    <row r="214" spans="1:18" s="51" customFormat="1" ht="13.5" hidden="1" customHeight="1" outlineLevel="1" x14ac:dyDescent="0.3">
      <c r="A214" s="290">
        <f t="shared" si="1"/>
        <v>0</v>
      </c>
      <c r="B214" s="49"/>
      <c r="C214" s="49"/>
      <c r="D214" s="370" t="s">
        <v>6391</v>
      </c>
      <c r="E214" s="67" t="str">
        <f>VLOOKUP(D214,'03. Insumos'!A:D,2,0)</f>
        <v>Técnico Em Segurança Do Trabalho</v>
      </c>
      <c r="F214" s="68" t="s">
        <v>3809</v>
      </c>
      <c r="G214" s="68" t="str">
        <f>VLOOKUP(D214,'03. Insumos'!A:F,3,0)</f>
        <v>mês</v>
      </c>
      <c r="H214" s="69">
        <f t="shared" si="106"/>
        <v>0</v>
      </c>
      <c r="I214" s="69">
        <f>'04. Histograma MO'!CD16</f>
        <v>0</v>
      </c>
      <c r="J214" s="70">
        <f t="shared" si="104"/>
        <v>5000</v>
      </c>
      <c r="K214" s="70">
        <f>IF(A214=0,VLOOKUP(D214,'03. Insumos'!A:F,4,0),"")</f>
        <v>5000</v>
      </c>
      <c r="L214" s="70">
        <f t="shared" si="105"/>
        <v>0</v>
      </c>
      <c r="M214" s="153">
        <f t="shared" ca="1" si="94"/>
        <v>0</v>
      </c>
      <c r="O214" s="148">
        <f t="shared" si="99"/>
        <v>0</v>
      </c>
      <c r="R214" s="12">
        <f t="shared" si="103"/>
        <v>-145.63106796116517</v>
      </c>
    </row>
    <row r="215" spans="1:18" s="18" customFormat="1" ht="13.5" customHeight="1" outlineLevel="1" x14ac:dyDescent="0.3">
      <c r="A215" s="18">
        <f t="shared" ref="A215:A240" si="119">LEN(C215)</f>
        <v>6</v>
      </c>
      <c r="B215" s="606"/>
      <c r="C215" s="606" t="s">
        <v>6385</v>
      </c>
      <c r="D215" s="606" t="s">
        <v>7470</v>
      </c>
      <c r="E215" s="391"/>
      <c r="F215" s="325"/>
      <c r="G215" s="325"/>
      <c r="H215" s="326"/>
      <c r="I215" s="326"/>
      <c r="J215" s="334"/>
      <c r="K215" s="607" t="str">
        <f>IF(A215=0,VLOOKUP(D215,'03. Insumos'!A:F,4,0),"")</f>
        <v/>
      </c>
      <c r="L215" s="334">
        <f>SUM(L216:L231)</f>
        <v>1021021.5040000001</v>
      </c>
      <c r="M215" s="153">
        <f t="shared" ca="1" si="94"/>
        <v>6.1995133521073706E-2</v>
      </c>
      <c r="O215" s="600">
        <f t="shared" ref="O215:O240" si="120">IF(I215&lt;&gt;0,I215*H215*K215,)</f>
        <v>0</v>
      </c>
      <c r="R215" s="601">
        <f t="shared" ref="R215:R240" si="121">IF(J215&lt;&gt;0,J215/1.03-K215,0)</f>
        <v>0</v>
      </c>
    </row>
    <row r="216" spans="1:18" s="51" customFormat="1" ht="13.5" hidden="1" customHeight="1" outlineLevel="1" x14ac:dyDescent="0.3">
      <c r="A216" s="13">
        <f t="shared" si="119"/>
        <v>0</v>
      </c>
      <c r="B216" s="49"/>
      <c r="C216" s="49"/>
      <c r="D216" s="370" t="s">
        <v>3392</v>
      </c>
      <c r="E216" s="67" t="str">
        <f>VLOOKUP(D216,'03. Insumos'!A:D,2,0)</f>
        <v>Engenheiro</v>
      </c>
      <c r="F216" s="68" t="s">
        <v>3809</v>
      </c>
      <c r="G216" s="68" t="str">
        <f>VLOOKUP(D216,'03. Insumos'!A:F,3,0)</f>
        <v>mês</v>
      </c>
      <c r="H216" s="69">
        <f t="shared" si="106"/>
        <v>0</v>
      </c>
      <c r="I216" s="69">
        <f>'04. Histograma MO'!CD18</f>
        <v>0</v>
      </c>
      <c r="J216" s="70">
        <f t="shared" ref="J216:J234" si="122">IFERROR(IF(K216&lt;&gt;0,K216*$K$5,0),0)</f>
        <v>12900</v>
      </c>
      <c r="K216" s="70">
        <f>IF(A216=0,VLOOKUP(D216,'03. Insumos'!A:F,4,0),"")</f>
        <v>12900</v>
      </c>
      <c r="L216" s="70">
        <f t="shared" ref="L216:L231" si="123">H216*J216*I216</f>
        <v>0</v>
      </c>
      <c r="M216" s="153">
        <f t="shared" ca="1" si="94"/>
        <v>0</v>
      </c>
      <c r="O216" s="148">
        <f t="shared" si="120"/>
        <v>0</v>
      </c>
      <c r="R216" s="356">
        <f t="shared" si="121"/>
        <v>-375.72815533980611</v>
      </c>
    </row>
    <row r="217" spans="1:18" s="51" customFormat="1" ht="13.5" hidden="1" customHeight="1" outlineLevel="1" x14ac:dyDescent="0.3">
      <c r="A217" s="13">
        <f t="shared" ref="A217:A224" si="124">LEN(C217)</f>
        <v>0</v>
      </c>
      <c r="B217" s="49"/>
      <c r="C217" s="49"/>
      <c r="D217" s="370" t="s">
        <v>3393</v>
      </c>
      <c r="E217" s="67" t="str">
        <f>VLOOKUP(D217,'03. Insumos'!A:D,2,0)</f>
        <v>Arquiteta</v>
      </c>
      <c r="F217" s="68" t="s">
        <v>3809</v>
      </c>
      <c r="G217" s="68" t="str">
        <f>VLOOKUP(D217,'03. Insumos'!A:F,3,0)</f>
        <v>mês</v>
      </c>
      <c r="H217" s="69">
        <f t="shared" si="106"/>
        <v>0</v>
      </c>
      <c r="I217" s="69">
        <f>'04. Histograma MO'!CD19</f>
        <v>0</v>
      </c>
      <c r="J217" s="70">
        <f t="shared" ref="J217:J224" si="125">IFERROR(IF(K217&lt;&gt;0,K217*$K$5,0),0)</f>
        <v>9000</v>
      </c>
      <c r="K217" s="70">
        <f>IF(A217=0,VLOOKUP(D217,'03. Insumos'!A:F,4,0),"")</f>
        <v>9000</v>
      </c>
      <c r="L217" s="70">
        <f t="shared" ref="L217:L224" si="126">H217*J217*I217</f>
        <v>0</v>
      </c>
      <c r="M217" s="153">
        <f t="shared" ref="M217:M224" ca="1" si="127">L217/$L$7</f>
        <v>0</v>
      </c>
      <c r="O217" s="148">
        <f t="shared" ref="O217:O224" si="128">IF(I217&lt;&gt;0,I217*H217*K217,)</f>
        <v>0</v>
      </c>
      <c r="R217" s="356">
        <f t="shared" ref="R217:R224" si="129">IF(J217&lt;&gt;0,J217/1.03-K217,0)</f>
        <v>-262.13592233009695</v>
      </c>
    </row>
    <row r="218" spans="1:18" s="51" customFormat="1" ht="13.5" hidden="1" customHeight="1" outlineLevel="1" x14ac:dyDescent="0.3">
      <c r="A218" s="13">
        <f t="shared" si="124"/>
        <v>0</v>
      </c>
      <c r="B218" s="49"/>
      <c r="C218" s="49"/>
      <c r="D218" s="370" t="s">
        <v>3394</v>
      </c>
      <c r="E218" s="67" t="str">
        <f>VLOOKUP(D218,'03. Insumos'!A:D,2,0)</f>
        <v>Técnico De Edificações</v>
      </c>
      <c r="F218" s="68" t="s">
        <v>3809</v>
      </c>
      <c r="G218" s="68" t="str">
        <f>VLOOKUP(D218,'03. Insumos'!A:F,3,0)</f>
        <v>mês</v>
      </c>
      <c r="H218" s="69">
        <f t="shared" si="106"/>
        <v>0</v>
      </c>
      <c r="I218" s="69">
        <f>'04. Histograma MO'!CD20</f>
        <v>0</v>
      </c>
      <c r="J218" s="70">
        <f t="shared" si="125"/>
        <v>4000</v>
      </c>
      <c r="K218" s="70">
        <f>IF(A218=0,VLOOKUP(D218,'03. Insumos'!A:F,4,0),"")</f>
        <v>4000</v>
      </c>
      <c r="L218" s="70">
        <f t="shared" si="126"/>
        <v>0</v>
      </c>
      <c r="M218" s="153">
        <f t="shared" ca="1" si="127"/>
        <v>0</v>
      </c>
      <c r="O218" s="148">
        <f t="shared" si="128"/>
        <v>0</v>
      </c>
      <c r="R218" s="356">
        <f t="shared" si="129"/>
        <v>-116.50485436893223</v>
      </c>
    </row>
    <row r="219" spans="1:18" s="51" customFormat="1" ht="13.5" customHeight="1" outlineLevel="1" x14ac:dyDescent="0.3">
      <c r="A219" s="13">
        <f t="shared" si="124"/>
        <v>0</v>
      </c>
      <c r="B219" s="49"/>
      <c r="C219" s="49"/>
      <c r="D219" s="370" t="s">
        <v>3395</v>
      </c>
      <c r="E219" s="67" t="str">
        <f>VLOOKUP(D219,'03. Insumos'!A:D,2,0)</f>
        <v>Mestre De Obra</v>
      </c>
      <c r="F219" s="68" t="s">
        <v>3809</v>
      </c>
      <c r="G219" s="68" t="str">
        <f>VLOOKUP(D219,'03. Insumos'!A:F,3,0)</f>
        <v>mês</v>
      </c>
      <c r="H219" s="69">
        <f t="shared" si="106"/>
        <v>1</v>
      </c>
      <c r="I219" s="69">
        <f>'04. Histograma MO'!CD21</f>
        <v>36</v>
      </c>
      <c r="J219" s="70">
        <f t="shared" si="125"/>
        <v>10000</v>
      </c>
      <c r="K219" s="70">
        <f>IF(A219=0,VLOOKUP(D219,'03. Insumos'!A:F,4,0),"")</f>
        <v>10000</v>
      </c>
      <c r="L219" s="70">
        <f t="shared" si="126"/>
        <v>360000</v>
      </c>
      <c r="M219" s="153">
        <f t="shared" ca="1" si="127"/>
        <v>2.1858744385060996E-2</v>
      </c>
      <c r="O219" s="148">
        <f t="shared" si="128"/>
        <v>360000</v>
      </c>
      <c r="R219" s="356">
        <f t="shared" si="129"/>
        <v>-291.26213592233034</v>
      </c>
    </row>
    <row r="220" spans="1:18" s="51" customFormat="1" ht="13.5" customHeight="1" outlineLevel="1" x14ac:dyDescent="0.3">
      <c r="A220" s="13">
        <f t="shared" ref="A220:A221" si="130">LEN(C220)</f>
        <v>0</v>
      </c>
      <c r="B220" s="49"/>
      <c r="C220" s="49"/>
      <c r="D220" s="370" t="s">
        <v>3396</v>
      </c>
      <c r="E220" s="67" t="str">
        <f>VLOOKUP(D220,'03. Insumos'!A:D,2,0)</f>
        <v>Enc. Administrativo</v>
      </c>
      <c r="F220" s="68" t="s">
        <v>3809</v>
      </c>
      <c r="G220" s="68" t="str">
        <f>VLOOKUP(D220,'03. Insumos'!A:F,3,0)</f>
        <v>mês</v>
      </c>
      <c r="H220" s="69">
        <f t="shared" si="106"/>
        <v>1</v>
      </c>
      <c r="I220" s="69">
        <f>'04. Histograma MO'!CD22</f>
        <v>36</v>
      </c>
      <c r="J220" s="70">
        <f t="shared" ref="J220:J221" si="131">IFERROR(IF(K220&lt;&gt;0,K220*$K$5,0),0)</f>
        <v>4813.9520000000002</v>
      </c>
      <c r="K220" s="70">
        <f>IF(A220=0,VLOOKUP(D220,'03. Insumos'!A:F,4,0),"")</f>
        <v>4813.9520000000002</v>
      </c>
      <c r="L220" s="70">
        <f t="shared" ref="L220:L221" si="132">H220*J220*I220</f>
        <v>173302.272</v>
      </c>
      <c r="M220" s="153">
        <f t="shared" ref="M220:M221" ca="1" si="133">L220/$L$7</f>
        <v>1.0522694624995315E-2</v>
      </c>
      <c r="O220" s="148">
        <f t="shared" ref="O220:O221" si="134">IF(I220&lt;&gt;0,I220*H220*K220,)</f>
        <v>173302.272</v>
      </c>
      <c r="R220" s="12">
        <f t="shared" ref="R220:R221" si="135">IF(J220&lt;&gt;0,J220/1.03-K220,0)</f>
        <v>-140.21219417475731</v>
      </c>
    </row>
    <row r="221" spans="1:18" s="51" customFormat="1" ht="13.5" hidden="1" customHeight="1" outlineLevel="1" x14ac:dyDescent="0.3">
      <c r="A221" s="13">
        <f t="shared" si="130"/>
        <v>0</v>
      </c>
      <c r="B221" s="49"/>
      <c r="C221" s="49"/>
      <c r="D221" s="370" t="s">
        <v>3397</v>
      </c>
      <c r="E221" s="67" t="str">
        <f>VLOOKUP(D221,'03. Insumos'!A:D,2,0)</f>
        <v>Técnico Em Segurança Do Trabalho</v>
      </c>
      <c r="F221" s="68" t="s">
        <v>3809</v>
      </c>
      <c r="G221" s="68" t="str">
        <f>VLOOKUP(D221,'03. Insumos'!A:F,3,0)</f>
        <v>mês</v>
      </c>
      <c r="H221" s="69">
        <f t="shared" si="106"/>
        <v>0</v>
      </c>
      <c r="I221" s="69">
        <f>'04. Histograma MO'!CD23</f>
        <v>0</v>
      </c>
      <c r="J221" s="70">
        <f t="shared" si="131"/>
        <v>3580.7200000000003</v>
      </c>
      <c r="K221" s="70">
        <f>IF(A221=0,VLOOKUP(D221,'03. Insumos'!A:F,4,0),"")</f>
        <v>3580.7200000000003</v>
      </c>
      <c r="L221" s="70">
        <f t="shared" si="132"/>
        <v>0</v>
      </c>
      <c r="M221" s="153">
        <f t="shared" ca="1" si="133"/>
        <v>0</v>
      </c>
      <c r="O221" s="148">
        <f t="shared" si="134"/>
        <v>0</v>
      </c>
      <c r="R221" s="12">
        <f t="shared" si="135"/>
        <v>-104.2928155339805</v>
      </c>
    </row>
    <row r="222" spans="1:18" s="51" customFormat="1" ht="13.5" hidden="1" customHeight="1" outlineLevel="1" x14ac:dyDescent="0.3">
      <c r="A222" s="13">
        <f t="shared" si="124"/>
        <v>0</v>
      </c>
      <c r="B222" s="49"/>
      <c r="C222" s="49"/>
      <c r="D222" s="370" t="s">
        <v>3398</v>
      </c>
      <c r="E222" s="67" t="str">
        <f>VLOOKUP(D222,'03. Insumos'!A:D,2,0)</f>
        <v>Almoxarife</v>
      </c>
      <c r="F222" s="68" t="s">
        <v>3809</v>
      </c>
      <c r="G222" s="68" t="str">
        <f>VLOOKUP(D222,'03. Insumos'!A:F,3,0)</f>
        <v>mês</v>
      </c>
      <c r="H222" s="69">
        <f t="shared" si="106"/>
        <v>0</v>
      </c>
      <c r="I222" s="69">
        <f>'04. Histograma MO'!CD24</f>
        <v>0</v>
      </c>
      <c r="J222" s="70">
        <f t="shared" si="125"/>
        <v>3422.848</v>
      </c>
      <c r="K222" s="70">
        <f>IF(A222=0,VLOOKUP(D222,'03. Insumos'!A:F,4,0),"")</f>
        <v>3422.848</v>
      </c>
      <c r="L222" s="70">
        <f t="shared" si="126"/>
        <v>0</v>
      </c>
      <c r="M222" s="153">
        <f t="shared" ca="1" si="127"/>
        <v>0</v>
      </c>
      <c r="O222" s="148">
        <f t="shared" si="128"/>
        <v>0</v>
      </c>
      <c r="R222" s="12">
        <f t="shared" si="129"/>
        <v>-99.694601941747806</v>
      </c>
    </row>
    <row r="223" spans="1:18" s="51" customFormat="1" ht="13.5" customHeight="1" outlineLevel="1" x14ac:dyDescent="0.3">
      <c r="A223" s="13">
        <f t="shared" si="124"/>
        <v>0</v>
      </c>
      <c r="B223" s="49"/>
      <c r="C223" s="49"/>
      <c r="D223" s="370" t="s">
        <v>3399</v>
      </c>
      <c r="E223" s="67" t="str">
        <f>VLOOKUP(D223,'03. Insumos'!A:D,2,0)</f>
        <v>Auxiliar Almoxarife</v>
      </c>
      <c r="F223" s="68" t="s">
        <v>3809</v>
      </c>
      <c r="G223" s="68" t="str">
        <f>VLOOKUP(D223,'03. Insumos'!A:F,3,0)</f>
        <v>mês</v>
      </c>
      <c r="H223" s="69">
        <f t="shared" si="106"/>
        <v>1</v>
      </c>
      <c r="I223" s="69">
        <f>'04. Histograma MO'!CD25</f>
        <v>24</v>
      </c>
      <c r="J223" s="70">
        <f t="shared" si="125"/>
        <v>2203.3440000000001</v>
      </c>
      <c r="K223" s="70">
        <f>IF(A223=0,VLOOKUP(D223,'03. Insumos'!A:F,4,0),"")</f>
        <v>2203.3440000000001</v>
      </c>
      <c r="L223" s="70">
        <f t="shared" si="126"/>
        <v>52880.256000000001</v>
      </c>
      <c r="M223" s="153">
        <f t="shared" ca="1" si="127"/>
        <v>3.2108222192238555E-3</v>
      </c>
      <c r="O223" s="148">
        <f t="shared" si="128"/>
        <v>52880.256000000001</v>
      </c>
      <c r="R223" s="12">
        <f t="shared" si="129"/>
        <v>-64.175067961165041</v>
      </c>
    </row>
    <row r="224" spans="1:18" s="51" customFormat="1" ht="13.5" hidden="1" customHeight="1" outlineLevel="1" x14ac:dyDescent="0.3">
      <c r="A224" s="13">
        <f t="shared" si="124"/>
        <v>0</v>
      </c>
      <c r="B224" s="49"/>
      <c r="C224" s="49"/>
      <c r="D224" s="370" t="s">
        <v>3400</v>
      </c>
      <c r="E224" s="67" t="str">
        <f>VLOOKUP(D224,'03. Insumos'!A:D,2,0)</f>
        <v>Encarregado De Obra</v>
      </c>
      <c r="F224" s="68" t="s">
        <v>3809</v>
      </c>
      <c r="G224" s="68" t="str">
        <f>VLOOKUP(D224,'03. Insumos'!A:F,3,0)</f>
        <v>mês</v>
      </c>
      <c r="H224" s="69">
        <f t="shared" si="106"/>
        <v>0</v>
      </c>
      <c r="I224" s="69">
        <f>'04. Histograma MO'!CD26</f>
        <v>0</v>
      </c>
      <c r="J224" s="70">
        <f t="shared" si="125"/>
        <v>6240</v>
      </c>
      <c r="K224" s="70">
        <f>IF(A224=0,VLOOKUP(D224,'03. Insumos'!A:F,4,0),"")</f>
        <v>6240</v>
      </c>
      <c r="L224" s="70">
        <f t="shared" si="126"/>
        <v>0</v>
      </c>
      <c r="M224" s="153">
        <f t="shared" ca="1" si="127"/>
        <v>0</v>
      </c>
      <c r="O224" s="148">
        <f t="shared" si="128"/>
        <v>0</v>
      </c>
      <c r="R224" s="12">
        <f t="shared" si="129"/>
        <v>-181.74757281553411</v>
      </c>
    </row>
    <row r="225" spans="1:18" s="51" customFormat="1" ht="13.5" hidden="1" customHeight="1" outlineLevel="1" x14ac:dyDescent="0.3">
      <c r="A225" s="13">
        <f t="shared" si="119"/>
        <v>0</v>
      </c>
      <c r="B225" s="49"/>
      <c r="C225" s="49"/>
      <c r="D225" s="370" t="s">
        <v>3401</v>
      </c>
      <c r="E225" s="67" t="str">
        <f>VLOOKUP(D225,'03. Insumos'!A:D,2,0)</f>
        <v>Operador De Cremalheira</v>
      </c>
      <c r="F225" s="68" t="s">
        <v>3809</v>
      </c>
      <c r="G225" s="68" t="str">
        <f>VLOOKUP(D225,'03. Insumos'!A:F,3,0)</f>
        <v>mês</v>
      </c>
      <c r="H225" s="69">
        <f t="shared" si="106"/>
        <v>0</v>
      </c>
      <c r="I225" s="69">
        <f>'04. Histograma MO'!CD27</f>
        <v>0</v>
      </c>
      <c r="J225" s="70">
        <f t="shared" si="122"/>
        <v>2892.0320000000002</v>
      </c>
      <c r="K225" s="70">
        <f>IF(A225=0,VLOOKUP(D225,'03. Insumos'!A:F,4,0),"")</f>
        <v>2892.0320000000002</v>
      </c>
      <c r="L225" s="70">
        <f t="shared" si="123"/>
        <v>0</v>
      </c>
      <c r="M225" s="153">
        <f t="shared" ca="1" si="94"/>
        <v>0</v>
      </c>
      <c r="O225" s="148">
        <f t="shared" si="120"/>
        <v>0</v>
      </c>
      <c r="R225" s="356">
        <f t="shared" si="121"/>
        <v>-84.233941747572771</v>
      </c>
    </row>
    <row r="226" spans="1:18" s="51" customFormat="1" ht="13.5" hidden="1" customHeight="1" outlineLevel="1" x14ac:dyDescent="0.3">
      <c r="A226" s="13">
        <f t="shared" si="119"/>
        <v>0</v>
      </c>
      <c r="B226" s="49"/>
      <c r="C226" s="49"/>
      <c r="D226" s="370" t="s">
        <v>3402</v>
      </c>
      <c r="E226" s="67" t="str">
        <f>VLOOKUP(D226,'03. Insumos'!A:D,2,0)</f>
        <v>Operador De Grua</v>
      </c>
      <c r="F226" s="68" t="s">
        <v>3809</v>
      </c>
      <c r="G226" s="68" t="str">
        <f>VLOOKUP(D226,'03. Insumos'!A:F,3,0)</f>
        <v>mês</v>
      </c>
      <c r="H226" s="69">
        <f t="shared" si="106"/>
        <v>0</v>
      </c>
      <c r="I226" s="69">
        <f>'04. Histograma MO'!CD28</f>
        <v>0</v>
      </c>
      <c r="J226" s="70">
        <f t="shared" si="122"/>
        <v>0</v>
      </c>
      <c r="K226" s="70">
        <f>IF(A226=0,VLOOKUP(D226,'03. Insumos'!A:F,4,0),"")</f>
        <v>0</v>
      </c>
      <c r="L226" s="70">
        <f t="shared" si="123"/>
        <v>0</v>
      </c>
      <c r="M226" s="153">
        <f t="shared" ca="1" si="94"/>
        <v>0</v>
      </c>
      <c r="O226" s="148">
        <f t="shared" si="120"/>
        <v>0</v>
      </c>
      <c r="R226" s="356">
        <f t="shared" si="121"/>
        <v>0</v>
      </c>
    </row>
    <row r="227" spans="1:18" s="51" customFormat="1" ht="13.5" customHeight="1" outlineLevel="1" x14ac:dyDescent="0.3">
      <c r="A227" s="13">
        <f t="shared" si="119"/>
        <v>0</v>
      </c>
      <c r="B227" s="49"/>
      <c r="C227" s="49"/>
      <c r="D227" s="370" t="s">
        <v>3403</v>
      </c>
      <c r="E227" s="67" t="str">
        <f>VLOOKUP(D227,'03. Insumos'!A:D,2,0)</f>
        <v>Pedreiro</v>
      </c>
      <c r="F227" s="68" t="s">
        <v>3809</v>
      </c>
      <c r="G227" s="68" t="str">
        <f>VLOOKUP(D227,'03. Insumos'!A:F,3,0)</f>
        <v>mês</v>
      </c>
      <c r="H227" s="69">
        <f t="shared" si="106"/>
        <v>1</v>
      </c>
      <c r="I227" s="69">
        <f>'04. Histograma MO'!CD29</f>
        <v>48</v>
      </c>
      <c r="J227" s="70">
        <f t="shared" si="122"/>
        <v>3113.9679999999998</v>
      </c>
      <c r="K227" s="70">
        <f>IF(A227=0,VLOOKUP(D227,'03. Insumos'!A:F,4,0),"")</f>
        <v>3113.9679999999998</v>
      </c>
      <c r="L227" s="70">
        <f t="shared" si="123"/>
        <v>149470.46399999998</v>
      </c>
      <c r="M227" s="153">
        <f t="shared" ref="M227:M317" ca="1" si="136">L227/$L$7</f>
        <v>9.0756574047012803E-3</v>
      </c>
      <c r="O227" s="148">
        <f t="shared" si="120"/>
        <v>149470.46399999998</v>
      </c>
      <c r="R227" s="356">
        <f t="shared" si="121"/>
        <v>-90.698097087378756</v>
      </c>
    </row>
    <row r="228" spans="1:18" s="51" customFormat="1" ht="13.5" customHeight="1" outlineLevel="1" x14ac:dyDescent="0.3">
      <c r="A228" s="13">
        <f t="shared" si="119"/>
        <v>0</v>
      </c>
      <c r="B228" s="49"/>
      <c r="C228" s="49"/>
      <c r="D228" s="370" t="s">
        <v>3404</v>
      </c>
      <c r="E228" s="67" t="str">
        <f>VLOOKUP(D228,'03. Insumos'!A:D,2,0)</f>
        <v>Carpinteiro</v>
      </c>
      <c r="F228" s="68" t="s">
        <v>3809</v>
      </c>
      <c r="G228" s="68" t="str">
        <f>VLOOKUP(D228,'03. Insumos'!A:F,3,0)</f>
        <v>mês</v>
      </c>
      <c r="H228" s="69">
        <f t="shared" si="106"/>
        <v>1</v>
      </c>
      <c r="I228" s="69">
        <f>'04. Histograma MO'!CD30</f>
        <v>12</v>
      </c>
      <c r="J228" s="70">
        <f t="shared" si="122"/>
        <v>3113.9679999999998</v>
      </c>
      <c r="K228" s="70">
        <f>IF(A228=0,VLOOKUP(D228,'03. Insumos'!A:F,4,0),"")</f>
        <v>3113.9679999999998</v>
      </c>
      <c r="L228" s="70">
        <f t="shared" si="123"/>
        <v>37367.615999999995</v>
      </c>
      <c r="M228" s="153">
        <f t="shared" ca="1" si="136"/>
        <v>2.2689143511753201E-3</v>
      </c>
      <c r="O228" s="148">
        <f t="shared" si="120"/>
        <v>37367.615999999995</v>
      </c>
      <c r="R228" s="12">
        <f t="shared" si="121"/>
        <v>-90.698097087378756</v>
      </c>
    </row>
    <row r="229" spans="1:18" s="51" customFormat="1" ht="13.5" customHeight="1" outlineLevel="1" x14ac:dyDescent="0.3">
      <c r="A229" s="13">
        <f t="shared" ref="A229:A230" si="137">LEN(C229)</f>
        <v>0</v>
      </c>
      <c r="B229" s="49"/>
      <c r="C229" s="49"/>
      <c r="D229" s="370" t="s">
        <v>3405</v>
      </c>
      <c r="E229" s="67" t="str">
        <f>VLOOKUP(D229,'03. Insumos'!A:D,2,0)</f>
        <v>Eletricista</v>
      </c>
      <c r="F229" s="68" t="s">
        <v>3809</v>
      </c>
      <c r="G229" s="68" t="str">
        <f>VLOOKUP(D229,'03. Insumos'!A:F,3,0)</f>
        <v>mês</v>
      </c>
      <c r="H229" s="69">
        <f t="shared" si="106"/>
        <v>1</v>
      </c>
      <c r="I229" s="69">
        <f>'04. Histograma MO'!CD31</f>
        <v>8</v>
      </c>
      <c r="J229" s="70">
        <f t="shared" ref="J229:J230" si="138">IFERROR(IF(K229&lt;&gt;0,K229*$K$5,0),0)</f>
        <v>2768.48</v>
      </c>
      <c r="K229" s="70">
        <f>IF(A229=0,VLOOKUP(D229,'03. Insumos'!A:F,4,0),"")</f>
        <v>2768.48</v>
      </c>
      <c r="L229" s="70">
        <f t="shared" ref="L229:L230" si="139">H229*J229*I229</f>
        <v>22147.84</v>
      </c>
      <c r="M229" s="153">
        <f t="shared" ref="M229:M230" ca="1" si="140">L229/$L$7</f>
        <v>1.3447888145589704E-3</v>
      </c>
      <c r="O229" s="148">
        <f t="shared" ref="O229:O230" si="141">IF(I229&lt;&gt;0,I229*H229*K229,)</f>
        <v>22147.84</v>
      </c>
      <c r="R229" s="12">
        <f t="shared" ref="R229:R230" si="142">IF(J229&lt;&gt;0,J229/1.03-K229,0)</f>
        <v>-80.635339805825424</v>
      </c>
    </row>
    <row r="230" spans="1:18" s="51" customFormat="1" ht="13.5" hidden="1" customHeight="1" outlineLevel="1" x14ac:dyDescent="0.3">
      <c r="A230" s="13">
        <f t="shared" si="137"/>
        <v>0</v>
      </c>
      <c r="B230" s="49"/>
      <c r="C230" s="49"/>
      <c r="D230" s="370" t="s">
        <v>3406</v>
      </c>
      <c r="E230" s="67" t="str">
        <f>VLOOKUP(D230,'03. Insumos'!A:D,2,0)</f>
        <v>Bombeiro</v>
      </c>
      <c r="F230" s="68" t="s">
        <v>3809</v>
      </c>
      <c r="G230" s="68" t="str">
        <f>VLOOKUP(D230,'03. Insumos'!A:F,3,0)</f>
        <v>mês</v>
      </c>
      <c r="H230" s="69">
        <f t="shared" si="106"/>
        <v>0</v>
      </c>
      <c r="I230" s="69">
        <f>'04. Histograma MO'!CD32</f>
        <v>0</v>
      </c>
      <c r="J230" s="70">
        <f t="shared" si="138"/>
        <v>2768.48</v>
      </c>
      <c r="K230" s="70">
        <f>IF(A230=0,VLOOKUP(D230,'03. Insumos'!A:F,4,0),"")</f>
        <v>2768.48</v>
      </c>
      <c r="L230" s="70">
        <f t="shared" si="139"/>
        <v>0</v>
      </c>
      <c r="M230" s="153">
        <f t="shared" ca="1" si="140"/>
        <v>0</v>
      </c>
      <c r="O230" s="148">
        <f t="shared" si="141"/>
        <v>0</v>
      </c>
      <c r="R230" s="12">
        <f t="shared" si="142"/>
        <v>-80.635339805825424</v>
      </c>
    </row>
    <row r="231" spans="1:18" s="51" customFormat="1" ht="13.5" customHeight="1" outlineLevel="1" x14ac:dyDescent="0.3">
      <c r="A231" s="13">
        <f t="shared" si="119"/>
        <v>0</v>
      </c>
      <c r="B231" s="49"/>
      <c r="C231" s="49"/>
      <c r="D231" s="370" t="s">
        <v>3407</v>
      </c>
      <c r="E231" s="67" t="str">
        <f>VLOOKUP(D231,'03. Insumos'!A:D,2,0)</f>
        <v>Servente</v>
      </c>
      <c r="F231" s="68" t="s">
        <v>3809</v>
      </c>
      <c r="G231" s="68" t="str">
        <f>VLOOKUP(D231,'03. Insumos'!A:F,3,0)</f>
        <v>mês</v>
      </c>
      <c r="H231" s="69">
        <f t="shared" si="106"/>
        <v>1</v>
      </c>
      <c r="I231" s="69">
        <f>'04. Histograma MO'!CD33</f>
        <v>108</v>
      </c>
      <c r="J231" s="70">
        <f t="shared" si="122"/>
        <v>2091.232</v>
      </c>
      <c r="K231" s="70">
        <f>IF(A231=0,VLOOKUP(D231,'03. Insumos'!A:F,4,0),"")</f>
        <v>2091.232</v>
      </c>
      <c r="L231" s="70">
        <f t="shared" si="123"/>
        <v>225853.05599999998</v>
      </c>
      <c r="M231" s="153">
        <f t="shared" ca="1" si="136"/>
        <v>1.3713511721357962E-2</v>
      </c>
      <c r="O231" s="148">
        <f t="shared" si="120"/>
        <v>225853.05599999998</v>
      </c>
      <c r="R231" s="12">
        <f t="shared" si="121"/>
        <v>-60.909669902912583</v>
      </c>
    </row>
    <row r="232" spans="1:18" s="18" customFormat="1" ht="13.5" hidden="1" customHeight="1" outlineLevel="1" x14ac:dyDescent="0.3">
      <c r="A232" s="18">
        <f t="shared" ref="A232:A234" si="143">LEN(C232)</f>
        <v>6</v>
      </c>
      <c r="B232" s="606"/>
      <c r="C232" s="606" t="s">
        <v>6385</v>
      </c>
      <c r="D232" s="606" t="s">
        <v>7540</v>
      </c>
      <c r="E232" s="391"/>
      <c r="F232" s="325"/>
      <c r="G232" s="325"/>
      <c r="H232" s="326"/>
      <c r="I232" s="326"/>
      <c r="J232" s="334"/>
      <c r="K232" s="607" t="str">
        <f>IF(A232=0,VLOOKUP(D232,'03. Insumos'!A:F,4,0),"")</f>
        <v/>
      </c>
      <c r="L232" s="334">
        <f>SUM(L233:L234)</f>
        <v>0</v>
      </c>
      <c r="M232" s="153">
        <f t="shared" ca="1" si="136"/>
        <v>0</v>
      </c>
      <c r="O232" s="600">
        <f t="shared" ref="O232:O234" si="144">IF(I232&lt;&gt;0,I232*H232*K232,)</f>
        <v>0</v>
      </c>
      <c r="R232" s="601">
        <f t="shared" ref="R232:R234" si="145">IF(J232&lt;&gt;0,J232/1.03-K232,0)</f>
        <v>0</v>
      </c>
    </row>
    <row r="233" spans="1:18" s="51" customFormat="1" ht="13.5" hidden="1" customHeight="1" outlineLevel="1" x14ac:dyDescent="0.3">
      <c r="A233" s="13">
        <f t="shared" ref="A233" si="146">LEN(C233)</f>
        <v>0</v>
      </c>
      <c r="B233" s="49"/>
      <c r="C233" s="49"/>
      <c r="D233" s="370" t="s">
        <v>7549</v>
      </c>
      <c r="E233" s="67" t="str">
        <f>VLOOKUP(D233,'03. Insumos'!A:D,2,0)</f>
        <v>Carpinteiro - Temporário</v>
      </c>
      <c r="F233" s="68" t="s">
        <v>3809</v>
      </c>
      <c r="G233" s="68" t="str">
        <f>VLOOKUP(D233,'03. Insumos'!A:F,3,0)</f>
        <v>mês</v>
      </c>
      <c r="H233" s="69">
        <v>1</v>
      </c>
      <c r="I233" s="69"/>
      <c r="J233" s="70">
        <f t="shared" si="122"/>
        <v>6891.85</v>
      </c>
      <c r="K233" s="70">
        <f>IF(A233=0,VLOOKUP(D233,'03. Insumos'!A:F,4,0),"")</f>
        <v>6891.85</v>
      </c>
      <c r="L233" s="70">
        <f t="shared" ref="L233" si="147">H233*J233*I233</f>
        <v>0</v>
      </c>
      <c r="M233" s="153">
        <f t="shared" ref="M233" ca="1" si="148">L233/$L$7</f>
        <v>0</v>
      </c>
      <c r="O233" s="148">
        <f t="shared" ref="O233" si="149">IF(I233&lt;&gt;0,I233*H233*K233,)</f>
        <v>0</v>
      </c>
      <c r="R233" s="356">
        <f t="shared" ref="R233" si="150">IF(J233&lt;&gt;0,J233/1.03-K233,0)</f>
        <v>-200.73349514563142</v>
      </c>
    </row>
    <row r="234" spans="1:18" s="51" customFormat="1" ht="13.5" hidden="1" customHeight="1" outlineLevel="1" x14ac:dyDescent="0.3">
      <c r="A234" s="13">
        <f t="shared" si="143"/>
        <v>0</v>
      </c>
      <c r="B234" s="49"/>
      <c r="C234" s="49"/>
      <c r="D234" s="370" t="s">
        <v>7550</v>
      </c>
      <c r="E234" s="67" t="str">
        <f>VLOOKUP(D234,'03. Insumos'!A:D,2,0)</f>
        <v>Servente - Temporário</v>
      </c>
      <c r="F234" s="68" t="s">
        <v>3809</v>
      </c>
      <c r="G234" s="68" t="str">
        <f>VLOOKUP(D234,'03. Insumos'!A:F,3,0)</f>
        <v>mês</v>
      </c>
      <c r="H234" s="69">
        <v>1</v>
      </c>
      <c r="I234" s="69"/>
      <c r="J234" s="70">
        <f t="shared" si="122"/>
        <v>5386.7</v>
      </c>
      <c r="K234" s="70">
        <f>IF(A234=0,VLOOKUP(D234,'03. Insumos'!A:F,4,0),"")</f>
        <v>5386.7</v>
      </c>
      <c r="L234" s="70">
        <f t="shared" ref="L234" si="151">H234*J234*I234</f>
        <v>0</v>
      </c>
      <c r="M234" s="153">
        <f t="shared" ca="1" si="136"/>
        <v>0</v>
      </c>
      <c r="O234" s="148">
        <f t="shared" si="144"/>
        <v>0</v>
      </c>
      <c r="R234" s="356">
        <f t="shared" si="145"/>
        <v>-156.89417475728169</v>
      </c>
    </row>
    <row r="235" spans="1:18" s="18" customFormat="1" ht="13.5" customHeight="1" outlineLevel="1" x14ac:dyDescent="0.3">
      <c r="A235" s="18">
        <f t="shared" si="119"/>
        <v>6</v>
      </c>
      <c r="B235" s="606"/>
      <c r="C235" s="606" t="s">
        <v>7251</v>
      </c>
      <c r="D235" s="606" t="s">
        <v>7252</v>
      </c>
      <c r="E235" s="391"/>
      <c r="F235" s="325"/>
      <c r="G235" s="325"/>
      <c r="H235" s="326"/>
      <c r="I235" s="326"/>
      <c r="J235" s="334"/>
      <c r="K235" s="607" t="str">
        <f>IF(A235=0,VLOOKUP(D235,'03. Insumos'!A:F,4,0),"")</f>
        <v/>
      </c>
      <c r="L235" s="334">
        <f>SUM(L236:L236)</f>
        <v>979274.18193918711</v>
      </c>
      <c r="M235" s="153">
        <f t="shared" ref="M235:M240" ca="1" si="152">L235/$L$7</f>
        <v>5.9460288960828903E-2</v>
      </c>
      <c r="O235" s="600">
        <f t="shared" si="120"/>
        <v>0</v>
      </c>
      <c r="R235" s="601">
        <f t="shared" si="121"/>
        <v>0</v>
      </c>
    </row>
    <row r="236" spans="1:18" s="51" customFormat="1" ht="13.5" customHeight="1" outlineLevel="1" x14ac:dyDescent="0.3">
      <c r="A236" s="13">
        <f t="shared" si="119"/>
        <v>0</v>
      </c>
      <c r="B236" s="49"/>
      <c r="C236" s="49"/>
      <c r="D236" s="370" t="s">
        <v>6759</v>
      </c>
      <c r="E236" s="384" t="str">
        <f>VLOOKUP(D236,'03. Insumos'!A:D,2,0)</f>
        <v>Encargos Socias - 85,98%</v>
      </c>
      <c r="F236" s="68" t="s">
        <v>3809</v>
      </c>
      <c r="G236" s="68" t="str">
        <f>VLOOKUP(D236,'03. Insumos'!A:F,3,0)</f>
        <v>vb</v>
      </c>
      <c r="H236" s="69">
        <f>('04. Histograma MO'!CF38+'04. Histograma MO'!CF44)*1.02</f>
        <v>979274.18193918711</v>
      </c>
      <c r="I236" s="69">
        <v>1</v>
      </c>
      <c r="J236" s="70">
        <v>1</v>
      </c>
      <c r="K236" s="70">
        <f>IF(A236=0,VLOOKUP(D236,'03. Insumos'!A:F,4,0),"")</f>
        <v>1</v>
      </c>
      <c r="L236" s="70">
        <f t="shared" ref="L236" si="153">H236*J236*I236</f>
        <v>979274.18193918711</v>
      </c>
      <c r="M236" s="153">
        <f t="shared" ca="1" si="152"/>
        <v>5.9460288960828903E-2</v>
      </c>
      <c r="O236" s="148">
        <f t="shared" si="120"/>
        <v>979274.18193918711</v>
      </c>
      <c r="R236" s="356">
        <f t="shared" si="121"/>
        <v>-2.9126213592232997E-2</v>
      </c>
    </row>
    <row r="237" spans="1:18" s="18" customFormat="1" ht="13.5" customHeight="1" outlineLevel="1" x14ac:dyDescent="0.3">
      <c r="A237" s="18">
        <f t="shared" si="119"/>
        <v>6</v>
      </c>
      <c r="B237" s="606"/>
      <c r="C237" s="606" t="s">
        <v>7305</v>
      </c>
      <c r="D237" s="606" t="s">
        <v>7306</v>
      </c>
      <c r="E237" s="391"/>
      <c r="F237" s="325"/>
      <c r="G237" s="325"/>
      <c r="H237" s="326"/>
      <c r="I237" s="326"/>
      <c r="J237" s="334"/>
      <c r="K237" s="607" t="str">
        <f>IF(A237=0,VLOOKUP(D237,'03. Insumos'!A:F,4,0),"")</f>
        <v/>
      </c>
      <c r="L237" s="334">
        <f>SUM(L238:L238)</f>
        <v>68947.205184000006</v>
      </c>
      <c r="M237" s="153">
        <f t="shared" ca="1" si="152"/>
        <v>4.1863870393928013E-3</v>
      </c>
      <c r="O237" s="600">
        <f t="shared" si="120"/>
        <v>0</v>
      </c>
      <c r="R237" s="601">
        <f t="shared" si="121"/>
        <v>0</v>
      </c>
    </row>
    <row r="238" spans="1:18" s="51" customFormat="1" ht="13.5" customHeight="1" outlineLevel="1" x14ac:dyDescent="0.3">
      <c r="A238" s="13">
        <f t="shared" si="119"/>
        <v>0</v>
      </c>
      <c r="B238" s="49"/>
      <c r="C238" s="49"/>
      <c r="D238" s="370" t="s">
        <v>6803</v>
      </c>
      <c r="E238" s="67" t="str">
        <f>VLOOKUP(D238,'03. Insumos'!A:D,2,0)</f>
        <v>Horas Extras</v>
      </c>
      <c r="F238" s="68" t="s">
        <v>3809</v>
      </c>
      <c r="G238" s="68" t="str">
        <f>VLOOKUP(D238,'03. Insumos'!A:F,3,0)</f>
        <v>vb</v>
      </c>
      <c r="H238" s="69">
        <f>('04. Histograma MO'!CF39)*1.02</f>
        <v>68947.205184000006</v>
      </c>
      <c r="I238" s="69">
        <v>1</v>
      </c>
      <c r="J238" s="70">
        <v>1</v>
      </c>
      <c r="K238" s="70">
        <f>IF(A238=0,VLOOKUP(D238,'03. Insumos'!A:F,4,0),"")</f>
        <v>1</v>
      </c>
      <c r="L238" s="70">
        <f t="shared" ref="L238" si="154">H238*J238*I238</f>
        <v>68947.205184000006</v>
      </c>
      <c r="M238" s="153">
        <f t="shared" ca="1" si="152"/>
        <v>4.1863870393928013E-3</v>
      </c>
      <c r="O238" s="148">
        <f t="shared" si="120"/>
        <v>68947.205184000006</v>
      </c>
      <c r="R238" s="356">
        <f t="shared" si="121"/>
        <v>-2.9126213592232997E-2</v>
      </c>
    </row>
    <row r="239" spans="1:18" s="18" customFormat="1" ht="13.5" customHeight="1" outlineLevel="1" x14ac:dyDescent="0.3">
      <c r="A239" s="18">
        <f t="shared" si="119"/>
        <v>6</v>
      </c>
      <c r="B239" s="606"/>
      <c r="C239" s="606" t="s">
        <v>7760</v>
      </c>
      <c r="D239" s="606" t="s">
        <v>7309</v>
      </c>
      <c r="E239" s="391"/>
      <c r="F239" s="325"/>
      <c r="G239" s="325"/>
      <c r="H239" s="326"/>
      <c r="I239" s="326"/>
      <c r="J239" s="334"/>
      <c r="K239" s="607" t="str">
        <f>IF(A239=0,VLOOKUP(D239,'03. Insumos'!A:F,4,0),"")</f>
        <v/>
      </c>
      <c r="L239" s="334">
        <f>SUM(L240:L240)</f>
        <v>28070.400000000001</v>
      </c>
      <c r="M239" s="153">
        <f t="shared" ca="1" si="152"/>
        <v>1.7043991621844895E-3</v>
      </c>
      <c r="O239" s="600">
        <f t="shared" si="120"/>
        <v>0</v>
      </c>
      <c r="R239" s="601">
        <f t="shared" si="121"/>
        <v>0</v>
      </c>
    </row>
    <row r="240" spans="1:18" s="51" customFormat="1" ht="13.5" customHeight="1" outlineLevel="1" x14ac:dyDescent="0.3">
      <c r="A240" s="13">
        <f t="shared" si="119"/>
        <v>0</v>
      </c>
      <c r="B240" s="49"/>
      <c r="C240" s="49"/>
      <c r="D240" s="370" t="s">
        <v>6804</v>
      </c>
      <c r="E240" s="67" t="str">
        <f>VLOOKUP(D240,'03. Insumos'!A:D,2,0)</f>
        <v>Seguro de Vida</v>
      </c>
      <c r="F240" s="68" t="s">
        <v>3809</v>
      </c>
      <c r="G240" s="68" t="str">
        <f>VLOOKUP(D240,'03. Insumos'!A:F,3,0)</f>
        <v>vb</v>
      </c>
      <c r="H240" s="69">
        <f>('04. Histograma MO'!CF42)*1.02</f>
        <v>28070.400000000001</v>
      </c>
      <c r="I240" s="69">
        <v>1</v>
      </c>
      <c r="J240" s="70">
        <v>1</v>
      </c>
      <c r="K240" s="70">
        <f>IF(A240=0,VLOOKUP(D240,'03. Insumos'!A:F,4,0),"")</f>
        <v>1</v>
      </c>
      <c r="L240" s="70">
        <f t="shared" ref="L240" si="155">H240*J240*I240</f>
        <v>28070.400000000001</v>
      </c>
      <c r="M240" s="153">
        <f t="shared" ca="1" si="152"/>
        <v>1.7043991621844895E-3</v>
      </c>
      <c r="O240" s="148">
        <f t="shared" si="120"/>
        <v>28070.400000000001</v>
      </c>
      <c r="R240" s="356">
        <f t="shared" si="121"/>
        <v>-2.9126213592232997E-2</v>
      </c>
    </row>
    <row r="241" spans="1:18" s="18" customFormat="1" ht="13.5" customHeight="1" outlineLevel="1" x14ac:dyDescent="0.3">
      <c r="A241" s="18">
        <f t="shared" si="1"/>
        <v>6</v>
      </c>
      <c r="B241" s="606"/>
      <c r="C241" s="606" t="s">
        <v>7761</v>
      </c>
      <c r="D241" s="606" t="s">
        <v>7762</v>
      </c>
      <c r="E241" s="391"/>
      <c r="F241" s="325"/>
      <c r="G241" s="325"/>
      <c r="H241" s="326"/>
      <c r="I241" s="326"/>
      <c r="J241" s="334"/>
      <c r="K241" s="607" t="str">
        <f>IF(A241=0,VLOOKUP(D241,'03. Insumos'!A:F,4,0),"")</f>
        <v/>
      </c>
      <c r="L241" s="334">
        <f>SUM(L242:L242)</f>
        <v>0</v>
      </c>
      <c r="M241" s="153">
        <f t="shared" ca="1" si="136"/>
        <v>0</v>
      </c>
      <c r="O241" s="600">
        <f t="shared" si="99"/>
        <v>0</v>
      </c>
      <c r="R241" s="601">
        <f t="shared" si="103"/>
        <v>0</v>
      </c>
    </row>
    <row r="242" spans="1:18" s="51" customFormat="1" ht="13.5" customHeight="1" outlineLevel="1" x14ac:dyDescent="0.3">
      <c r="A242" s="13">
        <f t="shared" si="1"/>
        <v>0</v>
      </c>
      <c r="B242" s="49"/>
      <c r="C242" s="49"/>
      <c r="D242" s="370" t="s">
        <v>7670</v>
      </c>
      <c r="E242" s="67" t="str">
        <f>VLOOKUP(D242,'03. Insumos'!A:D,2,0)</f>
        <v>Imposto de emissão de NF</v>
      </c>
      <c r="F242" s="68" t="s">
        <v>3809</v>
      </c>
      <c r="G242" s="68" t="str">
        <f>VLOOKUP(D242,'03. Insumos'!A:F,3,0)</f>
        <v>vb</v>
      </c>
      <c r="H242" s="69">
        <f>('04. Histograma MO'!CF45)*1.02</f>
        <v>0</v>
      </c>
      <c r="I242" s="69">
        <v>1</v>
      </c>
      <c r="J242" s="70">
        <v>1</v>
      </c>
      <c r="K242" s="70">
        <f>IF(A242=0,VLOOKUP(D242,'03. Insumos'!A:F,4,0),"")</f>
        <v>1</v>
      </c>
      <c r="L242" s="70">
        <f t="shared" ref="L242" si="156">H242*J242*I242</f>
        <v>0</v>
      </c>
      <c r="M242" s="153">
        <f t="shared" ca="1" si="136"/>
        <v>0</v>
      </c>
      <c r="O242" s="148">
        <f t="shared" si="99"/>
        <v>0</v>
      </c>
      <c r="R242" s="356">
        <f t="shared" si="103"/>
        <v>-2.9126213592232997E-2</v>
      </c>
    </row>
    <row r="243" spans="1:18" s="18" customFormat="1" ht="13.5" customHeight="1" outlineLevel="1" x14ac:dyDescent="0.3">
      <c r="A243" s="13">
        <f t="shared" si="1"/>
        <v>4</v>
      </c>
      <c r="B243" s="45"/>
      <c r="C243" s="45" t="s">
        <v>54</v>
      </c>
      <c r="D243" s="45" t="s">
        <v>55</v>
      </c>
      <c r="E243" s="347"/>
      <c r="F243" s="327"/>
      <c r="G243" s="327"/>
      <c r="H243" s="328"/>
      <c r="I243" s="328"/>
      <c r="J243" s="335"/>
      <c r="K243" s="335"/>
      <c r="L243" s="335">
        <f>SUMIF(A244:A249,6,L244:L249)</f>
        <v>434135.66399999993</v>
      </c>
      <c r="M243" s="153">
        <f t="shared" ca="1" si="136"/>
        <v>2.6360168077263126E-2</v>
      </c>
      <c r="O243" s="148">
        <f t="shared" si="99"/>
        <v>0</v>
      </c>
      <c r="R243" s="12">
        <f t="shared" si="103"/>
        <v>0</v>
      </c>
    </row>
    <row r="244" spans="1:18" s="18" customFormat="1" ht="13.5" customHeight="1" outlineLevel="1" x14ac:dyDescent="0.3">
      <c r="A244" s="18">
        <f t="shared" si="1"/>
        <v>6</v>
      </c>
      <c r="B244" s="606"/>
      <c r="C244" s="606" t="s">
        <v>923</v>
      </c>
      <c r="D244" s="606" t="s">
        <v>56</v>
      </c>
      <c r="E244" s="391"/>
      <c r="F244" s="325"/>
      <c r="G244" s="325"/>
      <c r="H244" s="326"/>
      <c r="I244" s="326"/>
      <c r="J244" s="334"/>
      <c r="K244" s="607"/>
      <c r="L244" s="334">
        <f>SUM(L245)</f>
        <v>182886</v>
      </c>
      <c r="M244" s="153">
        <f t="shared" ca="1" si="136"/>
        <v>1.1104606460017404E-2</v>
      </c>
      <c r="O244" s="600">
        <f t="shared" si="99"/>
        <v>0</v>
      </c>
      <c r="R244" s="601">
        <f t="shared" si="103"/>
        <v>0</v>
      </c>
    </row>
    <row r="245" spans="1:18" s="51" customFormat="1" ht="13.5" customHeight="1" outlineLevel="1" x14ac:dyDescent="0.3">
      <c r="A245" s="13">
        <f t="shared" si="1"/>
        <v>0</v>
      </c>
      <c r="B245" s="49"/>
      <c r="C245" s="49"/>
      <c r="D245" s="370" t="s">
        <v>3408</v>
      </c>
      <c r="E245" s="67" t="str">
        <f>VLOOKUP(D245,'03. Insumos'!A:D,2,0)</f>
        <v>Refeição (almoço + café)</v>
      </c>
      <c r="F245" s="68" t="s">
        <v>5218</v>
      </c>
      <c r="G245" s="68" t="str">
        <f>VLOOKUP(D245,'03. Insumos'!A:F,3,0)</f>
        <v>VB</v>
      </c>
      <c r="H245" s="69">
        <f>('04. Histograma MO'!CF40)*1.02</f>
        <v>182886</v>
      </c>
      <c r="I245" s="69">
        <v>1</v>
      </c>
      <c r="J245" s="70">
        <f>IFERROR(IF(K245&lt;&gt;0,K245*$K$5,0),0)</f>
        <v>1</v>
      </c>
      <c r="K245" s="70">
        <f>IF(A245=0,VLOOKUP(D245,'03. Insumos'!A:F,4,0),"")</f>
        <v>1</v>
      </c>
      <c r="L245" s="70">
        <f>H245*J245*I245</f>
        <v>182886</v>
      </c>
      <c r="M245" s="153">
        <f t="shared" ca="1" si="136"/>
        <v>1.1104606460017404E-2</v>
      </c>
      <c r="O245" s="148">
        <f t="shared" si="99"/>
        <v>182886</v>
      </c>
      <c r="R245" s="356">
        <f t="shared" si="103"/>
        <v>-2.9126213592232997E-2</v>
      </c>
    </row>
    <row r="246" spans="1:18" s="18" customFormat="1" ht="13.5" customHeight="1" outlineLevel="1" x14ac:dyDescent="0.3">
      <c r="A246" s="18">
        <f t="shared" ref="A246:A247" si="157">LEN(C246)</f>
        <v>6</v>
      </c>
      <c r="B246" s="606"/>
      <c r="C246" s="606" t="s">
        <v>7467</v>
      </c>
      <c r="D246" s="606" t="s">
        <v>7468</v>
      </c>
      <c r="E246" s="391"/>
      <c r="F246" s="325"/>
      <c r="G246" s="325"/>
      <c r="H246" s="326"/>
      <c r="I246" s="326"/>
      <c r="J246" s="334"/>
      <c r="K246" s="607"/>
      <c r="L246" s="334">
        <f>SUM(L247)</f>
        <v>69360</v>
      </c>
      <c r="M246" s="153">
        <f t="shared" ca="1" si="136"/>
        <v>4.2114514181884185E-3</v>
      </c>
      <c r="O246" s="600">
        <f t="shared" si="99"/>
        <v>0</v>
      </c>
      <c r="R246" s="601">
        <f t="shared" si="103"/>
        <v>0</v>
      </c>
    </row>
    <row r="247" spans="1:18" s="51" customFormat="1" ht="13.5" customHeight="1" outlineLevel="1" x14ac:dyDescent="0.3">
      <c r="A247" s="13">
        <f t="shared" si="157"/>
        <v>0</v>
      </c>
      <c r="B247" s="49"/>
      <c r="C247" s="49"/>
      <c r="D247" s="370" t="s">
        <v>4042</v>
      </c>
      <c r="E247" s="67" t="str">
        <f>VLOOKUP(D247,'03. Insumos'!A:D,2,0)</f>
        <v>Alimentação - Assiduidade</v>
      </c>
      <c r="F247" s="68" t="s">
        <v>5218</v>
      </c>
      <c r="G247" s="68" t="str">
        <f>VLOOKUP(D247,'03. Insumos'!A:F,3,0)</f>
        <v>VB</v>
      </c>
      <c r="H247" s="69">
        <f>('04. Histograma MO'!CF43)*1.02</f>
        <v>69360</v>
      </c>
      <c r="I247" s="69">
        <v>1</v>
      </c>
      <c r="J247" s="70">
        <f>IFERROR(IF(K247&lt;&gt;0,K247*$K$5,0),0)</f>
        <v>1</v>
      </c>
      <c r="K247" s="70">
        <f>IF(A247=0,VLOOKUP(D247,'03. Insumos'!A:F,4,0),"")</f>
        <v>1</v>
      </c>
      <c r="L247" s="70">
        <f>H247*J247*I247</f>
        <v>69360</v>
      </c>
      <c r="M247" s="153">
        <f t="shared" ca="1" si="136"/>
        <v>4.2114514181884185E-3</v>
      </c>
      <c r="O247" s="148">
        <f t="shared" si="99"/>
        <v>69360</v>
      </c>
      <c r="R247" s="356">
        <f t="shared" si="103"/>
        <v>-2.9126213592232997E-2</v>
      </c>
    </row>
    <row r="248" spans="1:18" s="18" customFormat="1" ht="13.5" customHeight="1" outlineLevel="1" x14ac:dyDescent="0.3">
      <c r="A248" s="18">
        <f t="shared" ref="A248:A249" si="158">LEN(C248)</f>
        <v>6</v>
      </c>
      <c r="B248" s="606"/>
      <c r="C248" s="606" t="s">
        <v>7499</v>
      </c>
      <c r="D248" s="606" t="s">
        <v>7500</v>
      </c>
      <c r="E248" s="391"/>
      <c r="F248" s="325"/>
      <c r="G248" s="325"/>
      <c r="H248" s="326"/>
      <c r="I248" s="326"/>
      <c r="J248" s="334"/>
      <c r="K248" s="607"/>
      <c r="L248" s="334">
        <f>SUM(L249)</f>
        <v>181889.66399999993</v>
      </c>
      <c r="M248" s="153">
        <f t="shared" ref="M248:M249" ca="1" si="159">L248/$L$7</f>
        <v>1.1044110199057305E-2</v>
      </c>
      <c r="O248" s="600">
        <f t="shared" ref="O248:O249" si="160">IF(I248&lt;&gt;0,I248*H248*K248,)</f>
        <v>0</v>
      </c>
      <c r="R248" s="601">
        <f t="shared" ref="R248:R249" si="161">IF(J248&lt;&gt;0,J248/1.03-K248,0)</f>
        <v>0</v>
      </c>
    </row>
    <row r="249" spans="1:18" s="51" customFormat="1" ht="13.5" customHeight="1" outlineLevel="1" x14ac:dyDescent="0.3">
      <c r="A249" s="13">
        <f t="shared" si="158"/>
        <v>0</v>
      </c>
      <c r="B249" s="49"/>
      <c r="C249" s="49"/>
      <c r="D249" s="370" t="s">
        <v>7489</v>
      </c>
      <c r="E249" s="67" t="str">
        <f>VLOOKUP(D249,'03. Insumos'!A:D,2,0)</f>
        <v>Transporte</v>
      </c>
      <c r="F249" s="68" t="s">
        <v>5218</v>
      </c>
      <c r="G249" s="68" t="str">
        <f>VLOOKUP(D249,'03. Insumos'!A:F,3,0)</f>
        <v>VB</v>
      </c>
      <c r="H249" s="69">
        <f>('04. Histograma MO'!CF41)*1.02</f>
        <v>181889.66399999993</v>
      </c>
      <c r="I249" s="69">
        <v>1</v>
      </c>
      <c r="J249" s="70">
        <f>IFERROR(IF(K249&lt;&gt;0,K249*$K$5,0),0)</f>
        <v>1</v>
      </c>
      <c r="K249" s="70">
        <f>IF(A249=0,VLOOKUP(D249,'03. Insumos'!A:F,4,0),"")</f>
        <v>1</v>
      </c>
      <c r="L249" s="70">
        <f>H249*J249*I249</f>
        <v>181889.66399999993</v>
      </c>
      <c r="M249" s="153">
        <f t="shared" ca="1" si="159"/>
        <v>1.1044110199057305E-2</v>
      </c>
      <c r="O249" s="148">
        <f t="shared" si="160"/>
        <v>181889.66399999993</v>
      </c>
      <c r="R249" s="356">
        <f t="shared" si="161"/>
        <v>-2.9126213592232997E-2</v>
      </c>
    </row>
    <row r="250" spans="1:18" s="18" customFormat="1" ht="13.5" customHeight="1" outlineLevel="1" x14ac:dyDescent="0.3">
      <c r="A250" s="290">
        <f t="shared" ref="A250:A517" si="162">LEN(C250)</f>
        <v>4</v>
      </c>
      <c r="B250" s="45"/>
      <c r="C250" s="45" t="s">
        <v>57</v>
      </c>
      <c r="D250" s="45" t="s">
        <v>58</v>
      </c>
      <c r="E250" s="347"/>
      <c r="F250" s="327"/>
      <c r="G250" s="327"/>
      <c r="H250" s="328"/>
      <c r="I250" s="328"/>
      <c r="J250" s="335"/>
      <c r="K250" s="335"/>
      <c r="L250" s="335">
        <f>SUMIF(A251:A261,6,L251:L261)</f>
        <v>32900</v>
      </c>
      <c r="M250" s="153">
        <f t="shared" ca="1" si="136"/>
        <v>1.9976463618569633E-3</v>
      </c>
      <c r="O250" s="148">
        <f t="shared" si="99"/>
        <v>0</v>
      </c>
      <c r="R250" s="12">
        <f t="shared" si="103"/>
        <v>0</v>
      </c>
    </row>
    <row r="251" spans="1:18" s="18" customFormat="1" ht="13.5" hidden="1" customHeight="1" outlineLevel="1" x14ac:dyDescent="0.3">
      <c r="A251" s="18">
        <f t="shared" si="162"/>
        <v>6</v>
      </c>
      <c r="B251" s="606"/>
      <c r="C251" s="606" t="s">
        <v>924</v>
      </c>
      <c r="D251" s="606" t="s">
        <v>58</v>
      </c>
      <c r="E251" s="391"/>
      <c r="F251" s="325"/>
      <c r="G251" s="325" t="s">
        <v>37</v>
      </c>
      <c r="H251" s="326">
        <f>SUM(I252:I253)</f>
        <v>0</v>
      </c>
      <c r="I251" s="326"/>
      <c r="J251" s="334" t="e">
        <f>L251/H251</f>
        <v>#DIV/0!</v>
      </c>
      <c r="K251" s="607"/>
      <c r="L251" s="334">
        <f>SUM(L252:L253)</f>
        <v>0</v>
      </c>
      <c r="M251" s="153">
        <f t="shared" ca="1" si="136"/>
        <v>0</v>
      </c>
      <c r="O251" s="600"/>
      <c r="R251" s="601" t="e">
        <f t="shared" si="103"/>
        <v>#DIV/0!</v>
      </c>
    </row>
    <row r="252" spans="1:18" s="51" customFormat="1" ht="13.5" hidden="1" customHeight="1" outlineLevel="1" x14ac:dyDescent="0.3">
      <c r="A252" s="13">
        <f>LEN(C252)</f>
        <v>0</v>
      </c>
      <c r="B252" s="49"/>
      <c r="C252" s="49"/>
      <c r="D252" s="370" t="s">
        <v>6392</v>
      </c>
      <c r="E252" s="67" t="str">
        <f>VLOOKUP(D252,'03. Insumos'!A:D,2,0)</f>
        <v>Agente Especial</v>
      </c>
      <c r="F252" s="68" t="s">
        <v>5218</v>
      </c>
      <c r="G252" s="68" t="str">
        <f>VLOOKUP(D252,'03. Insumos'!A:F,3,0)</f>
        <v>mês</v>
      </c>
      <c r="H252" s="69">
        <v>1</v>
      </c>
      <c r="I252" s="69"/>
      <c r="J252" s="70">
        <v>17500</v>
      </c>
      <c r="K252" s="54">
        <f>IF(A252=0,VLOOKUP(D252,'03. Insumos'!A:F,4,0),"")</f>
        <v>16500</v>
      </c>
      <c r="L252" s="70">
        <f>H252*J252*I252</f>
        <v>0</v>
      </c>
      <c r="M252" s="153">
        <f t="shared" ca="1" si="136"/>
        <v>0</v>
      </c>
      <c r="O252" s="148">
        <f>IF(I252&lt;&gt;0,I252*H252*K252,)</f>
        <v>0</v>
      </c>
      <c r="R252" s="356">
        <f>IF(J252&lt;&gt;0,J252/1.03-K252,0)</f>
        <v>490.29126213592099</v>
      </c>
    </row>
    <row r="253" spans="1:18" s="51" customFormat="1" ht="13.5" hidden="1" customHeight="1" outlineLevel="1" x14ac:dyDescent="0.3">
      <c r="A253" s="13">
        <f t="shared" si="162"/>
        <v>0</v>
      </c>
      <c r="B253" s="49"/>
      <c r="C253" s="49"/>
      <c r="D253" s="370" t="s">
        <v>6393</v>
      </c>
      <c r="E253" s="67" t="str">
        <f>VLOOKUP(D253,'03. Insumos'!A:D,2,0)</f>
        <v>Auxiliar de Portaria</v>
      </c>
      <c r="F253" s="68" t="s">
        <v>5218</v>
      </c>
      <c r="G253" s="68" t="str">
        <f>VLOOKUP(D253,'03. Insumos'!A:F,3,0)</f>
        <v>mês</v>
      </c>
      <c r="H253" s="69">
        <v>1</v>
      </c>
      <c r="I253" s="69"/>
      <c r="J253" s="70">
        <v>8500</v>
      </c>
      <c r="K253" s="54">
        <f>IF(A253=0,VLOOKUP(D253,'03. Insumos'!A:F,4,0),"")</f>
        <v>6000</v>
      </c>
      <c r="L253" s="70">
        <f>H253*J253*I253</f>
        <v>0</v>
      </c>
      <c r="M253" s="153">
        <f t="shared" ca="1" si="136"/>
        <v>0</v>
      </c>
      <c r="O253" s="148">
        <f t="shared" ref="O253:O286" si="163">IF(I253&lt;&gt;0,I253*H253*K253,)</f>
        <v>0</v>
      </c>
      <c r="R253" s="356">
        <f t="shared" si="103"/>
        <v>2252.4271844660198</v>
      </c>
    </row>
    <row r="254" spans="1:18" s="18" customFormat="1" ht="13.5" customHeight="1" outlineLevel="1" x14ac:dyDescent="0.3">
      <c r="A254" s="18">
        <f t="shared" ref="A254" si="164">LEN(C254)</f>
        <v>6</v>
      </c>
      <c r="B254" s="606"/>
      <c r="C254" s="606" t="s">
        <v>6343</v>
      </c>
      <c r="D254" s="606" t="s">
        <v>6342</v>
      </c>
      <c r="E254" s="391"/>
      <c r="F254" s="325"/>
      <c r="G254" s="325" t="s">
        <v>37</v>
      </c>
      <c r="H254" s="326">
        <f>I3+2</f>
        <v>38</v>
      </c>
      <c r="I254" s="326"/>
      <c r="J254" s="334"/>
      <c r="K254" s="607"/>
      <c r="L254" s="334">
        <f>SUM(L255:L256)</f>
        <v>32900</v>
      </c>
      <c r="M254" s="153">
        <f t="shared" ref="M254:M258" ca="1" si="165">L254/$L$7</f>
        <v>1.9976463618569633E-3</v>
      </c>
      <c r="O254" s="600"/>
      <c r="R254" s="601">
        <f t="shared" ref="R254" si="166">IF(J254&lt;&gt;0,J254/1.03-K254,0)</f>
        <v>0</v>
      </c>
    </row>
    <row r="255" spans="1:18" s="51" customFormat="1" ht="13.5" customHeight="1" outlineLevel="1" x14ac:dyDescent="0.3">
      <c r="A255" s="13">
        <f>LEN(C255)</f>
        <v>0</v>
      </c>
      <c r="B255" s="49"/>
      <c r="C255" s="49"/>
      <c r="D255" s="370" t="s">
        <v>6129</v>
      </c>
      <c r="E255" s="67" t="str">
        <f>VLOOKUP(D255,'03. Insumos'!A:D,2,0)</f>
        <v>Implantação Sistema de Segurança do Canteiro</v>
      </c>
      <c r="F255" s="68" t="s">
        <v>5218</v>
      </c>
      <c r="G255" s="68" t="str">
        <f>VLOOKUP(D255,'03. Insumos'!A:F,3,0)</f>
        <v>unid</v>
      </c>
      <c r="H255" s="69">
        <v>1</v>
      </c>
      <c r="I255" s="69">
        <f>H253</f>
        <v>1</v>
      </c>
      <c r="J255" s="70">
        <f>IFERROR(IF(K255&lt;&gt;0,K255*$K$5,0),0)</f>
        <v>12000</v>
      </c>
      <c r="K255" s="54">
        <f>IF(A255=0,VLOOKUP(D255,'03. Insumos'!A:F,4,0),"")</f>
        <v>12000</v>
      </c>
      <c r="L255" s="70">
        <f>H255*J255*I255</f>
        <v>12000</v>
      </c>
      <c r="M255" s="153">
        <f t="shared" ref="M255" ca="1" si="167">L255/$L$7</f>
        <v>7.2862481283536649E-4</v>
      </c>
      <c r="O255" s="148">
        <f>IF(I255&lt;&gt;0,I255*H255*K255,)</f>
        <v>12000</v>
      </c>
      <c r="R255" s="356">
        <f>IF(J255&lt;&gt;0,J255/1.03-K255,0)</f>
        <v>-349.51456310679714</v>
      </c>
    </row>
    <row r="256" spans="1:18" s="51" customFormat="1" ht="13.5" customHeight="1" outlineLevel="1" x14ac:dyDescent="0.3">
      <c r="A256" s="13">
        <f>LEN(C256)</f>
        <v>0</v>
      </c>
      <c r="B256" s="49"/>
      <c r="C256" s="49"/>
      <c r="D256" s="370" t="s">
        <v>6128</v>
      </c>
      <c r="E256" s="67" t="str">
        <f>VLOOKUP(D256,'03. Insumos'!A:D,2,0)</f>
        <v>Monitoramento Sistema de Segurança</v>
      </c>
      <c r="F256" s="68" t="s">
        <v>5218</v>
      </c>
      <c r="G256" s="68" t="str">
        <f>VLOOKUP(D256,'03. Insumos'!A:F,3,0)</f>
        <v>mês</v>
      </c>
      <c r="H256" s="69">
        <v>1</v>
      </c>
      <c r="I256" s="69">
        <f>H254</f>
        <v>38</v>
      </c>
      <c r="J256" s="70">
        <f>IFERROR(IF(K256&lt;&gt;0,K256*$K$5,0),0)</f>
        <v>550</v>
      </c>
      <c r="K256" s="54">
        <f>IF(A256=0,VLOOKUP(D256,'03. Insumos'!A:F,4,0),"")</f>
        <v>550</v>
      </c>
      <c r="L256" s="70">
        <f>H256*J256*I256</f>
        <v>20900</v>
      </c>
      <c r="M256" s="153">
        <f t="shared" ca="1" si="165"/>
        <v>1.2690215490215966E-3</v>
      </c>
      <c r="O256" s="148">
        <f>IF(I256&lt;&gt;0,I256*H256*K256,)</f>
        <v>20900</v>
      </c>
      <c r="R256" s="356">
        <f>IF(J256&lt;&gt;0,J256/1.03-K256,0)</f>
        <v>-16.019417475728119</v>
      </c>
    </row>
    <row r="257" spans="1:18" s="18" customFormat="1" ht="13.5" hidden="1" customHeight="1" outlineLevel="1" x14ac:dyDescent="0.3">
      <c r="A257" s="18">
        <f t="shared" ref="A257" si="168">LEN(C257)</f>
        <v>6</v>
      </c>
      <c r="B257" s="606"/>
      <c r="C257" s="606" t="s">
        <v>7404</v>
      </c>
      <c r="D257" s="606" t="s">
        <v>8055</v>
      </c>
      <c r="E257" s="391"/>
      <c r="F257" s="325"/>
      <c r="G257" s="325"/>
      <c r="H257" s="325"/>
      <c r="I257" s="326"/>
      <c r="J257" s="334"/>
      <c r="K257" s="607"/>
      <c r="L257" s="334">
        <f>SUM(L258)</f>
        <v>0</v>
      </c>
      <c r="M257" s="153">
        <f t="shared" ca="1" si="165"/>
        <v>0</v>
      </c>
      <c r="O257" s="600"/>
      <c r="R257" s="601">
        <f t="shared" ref="R257" si="169">IF(J257&lt;&gt;0,J257/1.03-K257,0)</f>
        <v>0</v>
      </c>
    </row>
    <row r="258" spans="1:18" s="51" customFormat="1" ht="13.5" hidden="1" customHeight="1" outlineLevel="1" x14ac:dyDescent="0.3">
      <c r="A258" s="13">
        <f>LEN(C258)</f>
        <v>0</v>
      </c>
      <c r="B258" s="49"/>
      <c r="C258" s="49"/>
      <c r="D258" s="370" t="s">
        <v>7606</v>
      </c>
      <c r="E258" s="67" t="s">
        <v>8055</v>
      </c>
      <c r="F258" s="68" t="s">
        <v>5218</v>
      </c>
      <c r="G258" s="68" t="s">
        <v>251</v>
      </c>
      <c r="H258" s="69">
        <f>L2</f>
        <v>36</v>
      </c>
      <c r="I258" s="69"/>
      <c r="J258" s="70">
        <v>220</v>
      </c>
      <c r="K258" s="54">
        <f>IF(A258=0,VLOOKUP(D258,'03. Insumos'!A:F,4,0),"")</f>
        <v>22.54</v>
      </c>
      <c r="L258" s="70">
        <f>H258*J258*I258</f>
        <v>0</v>
      </c>
      <c r="M258" s="153">
        <f t="shared" ca="1" si="165"/>
        <v>0</v>
      </c>
      <c r="O258" s="148">
        <f>IF(I258&lt;&gt;0,I258*H258*K258,)</f>
        <v>0</v>
      </c>
      <c r="R258" s="356">
        <f>IF(J258&lt;&gt;0,J258/1.03-K258,0)</f>
        <v>191.05223300970874</v>
      </c>
    </row>
    <row r="259" spans="1:18" s="18" customFormat="1" ht="13.5" hidden="1" customHeight="1" outlineLevel="1" x14ac:dyDescent="0.3">
      <c r="A259" s="18">
        <f t="shared" si="162"/>
        <v>6</v>
      </c>
      <c r="B259" s="606"/>
      <c r="C259" s="606" t="s">
        <v>7404</v>
      </c>
      <c r="D259" s="606" t="s">
        <v>7614</v>
      </c>
      <c r="E259" s="391"/>
      <c r="F259" s="325"/>
      <c r="G259" s="325"/>
      <c r="H259" s="325"/>
      <c r="I259" s="326"/>
      <c r="J259" s="334"/>
      <c r="K259" s="607"/>
      <c r="L259" s="334">
        <f>SUM(L260:L261)</f>
        <v>0</v>
      </c>
      <c r="M259" s="153">
        <f t="shared" ca="1" si="136"/>
        <v>0</v>
      </c>
      <c r="O259" s="600"/>
      <c r="R259" s="601">
        <f t="shared" si="103"/>
        <v>0</v>
      </c>
    </row>
    <row r="260" spans="1:18" s="51" customFormat="1" ht="13.5" hidden="1" customHeight="1" outlineLevel="1" x14ac:dyDescent="0.3">
      <c r="A260" s="13">
        <f>LEN(C260)</f>
        <v>0</v>
      </c>
      <c r="B260" s="49"/>
      <c r="C260" s="49"/>
      <c r="D260" s="370" t="s">
        <v>7606</v>
      </c>
      <c r="E260" s="67" t="str">
        <f>VLOOKUP(D260,'03. Insumos'!A:D,2,0)</f>
        <v>Controle de acesso ao canteiro</v>
      </c>
      <c r="F260" s="68" t="s">
        <v>5218</v>
      </c>
      <c r="G260" s="68" t="str">
        <f>VLOOKUP(D260,'03. Insumos'!A:F,3,0)</f>
        <v>unid</v>
      </c>
      <c r="H260" s="69"/>
      <c r="I260" s="69">
        <f>SUM(I208:I231)</f>
        <v>326</v>
      </c>
      <c r="J260" s="70">
        <f>IFERROR(IF(K260&lt;&gt;0,K260*$K$5,0),0)</f>
        <v>22.54</v>
      </c>
      <c r="K260" s="54">
        <f>IF(A260=0,VLOOKUP(D260,'03. Insumos'!A:F,4,0),"")</f>
        <v>22.54</v>
      </c>
      <c r="L260" s="70">
        <f>H260*J260*I260</f>
        <v>0</v>
      </c>
      <c r="M260" s="153">
        <f t="shared" ca="1" si="136"/>
        <v>0</v>
      </c>
      <c r="O260" s="148">
        <f>IF(I260&lt;&gt;0,I260*H260*K260,)</f>
        <v>0</v>
      </c>
      <c r="R260" s="356">
        <f>IF(J260&lt;&gt;0,J260/1.03-K260,0)</f>
        <v>-0.65650485436893291</v>
      </c>
    </row>
    <row r="261" spans="1:18" s="51" customFormat="1" ht="13.5" hidden="1" customHeight="1" outlineLevel="1" x14ac:dyDescent="0.3">
      <c r="A261" s="13">
        <f t="shared" ref="A261:A264" si="170">LEN(C261)</f>
        <v>0</v>
      </c>
      <c r="B261" s="49"/>
      <c r="C261" s="49"/>
      <c r="D261" s="370" t="s">
        <v>6129</v>
      </c>
      <c r="E261" s="67" t="str">
        <f>VLOOKUP(D261,'03. Insumos'!A:D,2,0)</f>
        <v>Implantação Sistema de Segurança do Canteiro</v>
      </c>
      <c r="F261" s="68" t="s">
        <v>5218</v>
      </c>
      <c r="G261" s="68" t="str">
        <f>VLOOKUP(D261,'03. Insumos'!A:F,3,0)</f>
        <v>unid</v>
      </c>
      <c r="H261" s="69"/>
      <c r="I261" s="69">
        <v>1</v>
      </c>
      <c r="J261" s="70">
        <f>IFERROR(IF(K261&lt;&gt;0,K261*$K$5,0),0)</f>
        <v>12000</v>
      </c>
      <c r="K261" s="54">
        <f>IF(A261=0,VLOOKUP(D261,'03. Insumos'!A:F,4,0),"")</f>
        <v>12000</v>
      </c>
      <c r="L261" s="70">
        <f>H261*J261*I261</f>
        <v>0</v>
      </c>
      <c r="M261" s="153">
        <f t="shared" ca="1" si="136"/>
        <v>0</v>
      </c>
      <c r="O261" s="148">
        <f t="shared" ref="O261:O264" si="171">IF(I261&lt;&gt;0,I261*H261*K261,)</f>
        <v>0</v>
      </c>
      <c r="R261" s="356">
        <f t="shared" ref="R261:R264" si="172">IF(J261&lt;&gt;0,J261/1.03-K261,0)</f>
        <v>-349.51456310679714</v>
      </c>
    </row>
    <row r="262" spans="1:18" s="18" customFormat="1" ht="13.5" hidden="1" customHeight="1" outlineLevel="1" x14ac:dyDescent="0.3">
      <c r="A262" s="290">
        <f t="shared" si="170"/>
        <v>4</v>
      </c>
      <c r="B262" s="45"/>
      <c r="C262" s="45" t="s">
        <v>2028</v>
      </c>
      <c r="D262" s="45" t="s">
        <v>6417</v>
      </c>
      <c r="E262" s="347"/>
      <c r="F262" s="327"/>
      <c r="G262" s="327"/>
      <c r="H262" s="328"/>
      <c r="I262" s="328"/>
      <c r="J262" s="335"/>
      <c r="K262" s="335"/>
      <c r="L262" s="335">
        <f>SUMIF(A263:A264,6,L263:L264)</f>
        <v>0</v>
      </c>
      <c r="M262" s="153">
        <f t="shared" ca="1" si="136"/>
        <v>0</v>
      </c>
      <c r="O262" s="148">
        <f t="shared" si="171"/>
        <v>0</v>
      </c>
      <c r="R262" s="12">
        <f t="shared" si="172"/>
        <v>0</v>
      </c>
    </row>
    <row r="263" spans="1:18" s="18" customFormat="1" ht="13.5" hidden="1" customHeight="1" outlineLevel="1" x14ac:dyDescent="0.3">
      <c r="A263" s="18">
        <f t="shared" si="170"/>
        <v>6</v>
      </c>
      <c r="B263" s="606"/>
      <c r="C263" s="813" t="s">
        <v>6418</v>
      </c>
      <c r="D263" s="606" t="s">
        <v>6417</v>
      </c>
      <c r="E263" s="391"/>
      <c r="F263" s="325"/>
      <c r="G263" s="325" t="s">
        <v>37</v>
      </c>
      <c r="H263" s="326"/>
      <c r="I263" s="326"/>
      <c r="J263" s="334"/>
      <c r="K263" s="607"/>
      <c r="L263" s="334">
        <f>SUM(L264)</f>
        <v>0</v>
      </c>
      <c r="M263" s="153">
        <f t="shared" ca="1" si="136"/>
        <v>0</v>
      </c>
      <c r="O263" s="600">
        <f t="shared" si="171"/>
        <v>0</v>
      </c>
      <c r="R263" s="601">
        <f t="shared" si="172"/>
        <v>0</v>
      </c>
    </row>
    <row r="264" spans="1:18" s="51" customFormat="1" ht="13.5" hidden="1" customHeight="1" outlineLevel="1" x14ac:dyDescent="0.3">
      <c r="A264" s="13">
        <f t="shared" si="170"/>
        <v>0</v>
      </c>
      <c r="B264" s="49"/>
      <c r="C264" s="49"/>
      <c r="D264" s="370" t="s">
        <v>6393</v>
      </c>
      <c r="E264" s="67" t="str">
        <f>VLOOKUP(D264,'03. Insumos'!A:D,2,0)</f>
        <v>Auxiliar de Portaria</v>
      </c>
      <c r="F264" s="68" t="s">
        <v>5218</v>
      </c>
      <c r="G264" s="68" t="str">
        <f>VLOOKUP(D264,'03. Insumos'!A:F,3,0)</f>
        <v>mês</v>
      </c>
      <c r="H264" s="69"/>
      <c r="I264" s="69">
        <f>H263</f>
        <v>0</v>
      </c>
      <c r="J264" s="70">
        <f>IFERROR(IF(K264&lt;&gt;0,K264*$K$5,0),0)</f>
        <v>6000</v>
      </c>
      <c r="K264" s="70">
        <f>IF(A264=0,VLOOKUP(D264,'03. Insumos'!A:F,4,0),"")</f>
        <v>6000</v>
      </c>
      <c r="L264" s="70">
        <f>H264*J264*I264</f>
        <v>0</v>
      </c>
      <c r="M264" s="153">
        <f t="shared" ca="1" si="136"/>
        <v>0</v>
      </c>
      <c r="O264" s="148">
        <f t="shared" si="171"/>
        <v>0</v>
      </c>
      <c r="R264" s="356">
        <f t="shared" si="172"/>
        <v>-174.75728155339857</v>
      </c>
    </row>
    <row r="265" spans="1:18" s="51" customFormat="1" ht="13.5" customHeight="1" outlineLevel="1" x14ac:dyDescent="0.3">
      <c r="A265" s="290">
        <f t="shared" si="162"/>
        <v>4</v>
      </c>
      <c r="B265" s="45"/>
      <c r="C265" s="45" t="s">
        <v>6419</v>
      </c>
      <c r="D265" s="45" t="s">
        <v>2029</v>
      </c>
      <c r="E265" s="347"/>
      <c r="F265" s="327"/>
      <c r="G265" s="327"/>
      <c r="H265" s="328"/>
      <c r="I265" s="328"/>
      <c r="J265" s="335"/>
      <c r="K265" s="335"/>
      <c r="L265" s="335">
        <f>SUMIF(A266:A269,6,L266:L269)</f>
        <v>10325.759999999998</v>
      </c>
      <c r="M265" s="153">
        <f t="shared" ca="1" si="136"/>
        <v>6.2696707894857606E-4</v>
      </c>
      <c r="O265" s="148"/>
      <c r="R265" s="12"/>
    </row>
    <row r="266" spans="1:18" s="51" customFormat="1" ht="13.5" hidden="1" customHeight="1" outlineLevel="1" x14ac:dyDescent="0.3">
      <c r="A266" s="290">
        <f t="shared" si="162"/>
        <v>6</v>
      </c>
      <c r="B266" s="630"/>
      <c r="C266" s="606" t="s">
        <v>6420</v>
      </c>
      <c r="D266" s="606" t="s">
        <v>6430</v>
      </c>
      <c r="E266" s="593"/>
      <c r="F266" s="594"/>
      <c r="G266" s="594"/>
      <c r="H266" s="595"/>
      <c r="I266" s="633"/>
      <c r="J266" s="597"/>
      <c r="K266" s="597"/>
      <c r="L266" s="334">
        <f>SUM(L267)</f>
        <v>0</v>
      </c>
      <c r="M266" s="153">
        <f t="shared" ca="1" si="136"/>
        <v>0</v>
      </c>
      <c r="O266" s="148"/>
      <c r="R266" s="12"/>
    </row>
    <row r="267" spans="1:18" s="51" customFormat="1" ht="13.5" hidden="1" customHeight="1" outlineLevel="1" x14ac:dyDescent="0.3">
      <c r="A267" s="13">
        <f t="shared" si="162"/>
        <v>0</v>
      </c>
      <c r="B267" s="49"/>
      <c r="C267" s="49"/>
      <c r="D267" s="370"/>
      <c r="E267" s="67" t="e">
        <f>VLOOKUP(D267,'03. Insumos'!A:D,2,0)</f>
        <v>#N/A</v>
      </c>
      <c r="F267" s="68" t="s">
        <v>5218</v>
      </c>
      <c r="G267" s="68" t="e">
        <f>VLOOKUP(D267,'03. Insumos'!A:F,3,0)</f>
        <v>#N/A</v>
      </c>
      <c r="H267" s="69"/>
      <c r="I267" s="69">
        <v>1</v>
      </c>
      <c r="J267" s="70">
        <f>IFERROR(IF(K267&lt;&gt;0,K267*$K$5,0),0)</f>
        <v>0</v>
      </c>
      <c r="K267" s="54" t="e">
        <f>IF(A267=0,VLOOKUP(D267,'03. Insumos'!A:F,4,0),"")</f>
        <v>#N/A</v>
      </c>
      <c r="L267" s="70">
        <f>H267*J267*I267</f>
        <v>0</v>
      </c>
      <c r="M267" s="153">
        <f t="shared" ca="1" si="136"/>
        <v>0</v>
      </c>
      <c r="O267" s="148"/>
      <c r="R267" s="12"/>
    </row>
    <row r="268" spans="1:18" s="51" customFormat="1" ht="13.5" customHeight="1" outlineLevel="1" x14ac:dyDescent="0.3">
      <c r="A268" s="290">
        <f t="shared" si="162"/>
        <v>6</v>
      </c>
      <c r="B268" s="630"/>
      <c r="C268" s="606" t="s">
        <v>7404</v>
      </c>
      <c r="D268" s="391" t="s">
        <v>6431</v>
      </c>
      <c r="E268" s="593"/>
      <c r="F268" s="594"/>
      <c r="G268" s="594"/>
      <c r="H268" s="595"/>
      <c r="I268" s="633"/>
      <c r="J268" s="597"/>
      <c r="K268" s="597"/>
      <c r="L268" s="334">
        <f>SUM(L269)</f>
        <v>10325.759999999998</v>
      </c>
      <c r="M268" s="153">
        <f t="shared" ca="1" si="136"/>
        <v>6.2696707894857606E-4</v>
      </c>
      <c r="O268" s="148"/>
      <c r="R268" s="12"/>
    </row>
    <row r="269" spans="1:18" s="51" customFormat="1" ht="13.5" customHeight="1" outlineLevel="1" x14ac:dyDescent="0.3">
      <c r="A269" s="13">
        <f t="shared" si="162"/>
        <v>0</v>
      </c>
      <c r="B269" s="49"/>
      <c r="C269" s="49"/>
      <c r="D269" s="370" t="s">
        <v>2032</v>
      </c>
      <c r="E269" s="67" t="str">
        <f>VLOOKUP(D269,'03. Insumos'!A:D,2,0)</f>
        <v>Topógrafo</v>
      </c>
      <c r="F269" s="68" t="s">
        <v>5218</v>
      </c>
      <c r="G269" s="68" t="str">
        <f>VLOOKUP(D269,'03. Insumos'!A:F,3,0)</f>
        <v>diária</v>
      </c>
      <c r="H269" s="69">
        <v>1</v>
      </c>
      <c r="I269" s="69">
        <v>6</v>
      </c>
      <c r="J269" s="70">
        <f>IFERROR(IF(K269&lt;&gt;0,K269*$K$5,0),0)</f>
        <v>1720.9599999999998</v>
      </c>
      <c r="K269" s="54">
        <f>IF(A269=0,VLOOKUP(D269,'03. Insumos'!A:F,4,0),"")</f>
        <v>1720.9599999999998</v>
      </c>
      <c r="L269" s="70">
        <f>H269*J269*I269</f>
        <v>10325.759999999998</v>
      </c>
      <c r="M269" s="153">
        <f t="shared" ca="1" si="136"/>
        <v>6.2696707894857606E-4</v>
      </c>
      <c r="O269" s="148"/>
      <c r="R269" s="12"/>
    </row>
    <row r="270" spans="1:18" s="592" customFormat="1" ht="13.5" customHeight="1" x14ac:dyDescent="0.3">
      <c r="A270" s="478">
        <f t="shared" si="162"/>
        <v>3</v>
      </c>
      <c r="B270" s="390"/>
      <c r="C270" s="390" t="s">
        <v>358</v>
      </c>
      <c r="D270" s="390" t="s">
        <v>79</v>
      </c>
      <c r="E270" s="390"/>
      <c r="F270" s="323"/>
      <c r="G270" s="323"/>
      <c r="H270" s="324"/>
      <c r="I270" s="324"/>
      <c r="J270" s="333"/>
      <c r="K270" s="333"/>
      <c r="L270" s="333">
        <f>SUMIF(A271:A296,4,L271:L296)</f>
        <v>350120</v>
      </c>
      <c r="M270" s="153">
        <f t="shared" ca="1" si="136"/>
        <v>2.1258843289159876E-2</v>
      </c>
      <c r="O270" s="499">
        <f t="shared" si="163"/>
        <v>0</v>
      </c>
      <c r="R270" s="348">
        <f>IF(J270&lt;&gt;0,J270/1.03-K270,0)</f>
        <v>0</v>
      </c>
    </row>
    <row r="271" spans="1:18" s="18" customFormat="1" ht="13.5" customHeight="1" outlineLevel="1" x14ac:dyDescent="0.3">
      <c r="A271" s="290">
        <f t="shared" si="162"/>
        <v>4</v>
      </c>
      <c r="B271" s="45"/>
      <c r="C271" s="45" t="s">
        <v>380</v>
      </c>
      <c r="D271" s="45" t="s">
        <v>59</v>
      </c>
      <c r="E271" s="347"/>
      <c r="F271" s="327"/>
      <c r="G271" s="327"/>
      <c r="H271" s="328"/>
      <c r="I271" s="328"/>
      <c r="J271" s="335"/>
      <c r="K271" s="335" t="str">
        <f>IF(A271=0,VLOOKUP(D271,'03. Insumos'!A:F,4,0),"")</f>
        <v/>
      </c>
      <c r="L271" s="335">
        <f>SUMIF(A272:A278,6,L272:L278)</f>
        <v>72460</v>
      </c>
      <c r="M271" s="153">
        <f t="shared" ca="1" si="136"/>
        <v>4.3996794948375547E-3</v>
      </c>
      <c r="O271" s="148">
        <f t="shared" si="163"/>
        <v>0</v>
      </c>
      <c r="R271" s="12">
        <f t="shared" ref="R271:R517" si="173">IF(J271&lt;&gt;0,J271/1.03-K271,0)</f>
        <v>0</v>
      </c>
    </row>
    <row r="272" spans="1:18" s="18" customFormat="1" ht="13.5" customHeight="1" outlineLevel="1" x14ac:dyDescent="0.3">
      <c r="A272" s="18">
        <f t="shared" si="162"/>
        <v>6</v>
      </c>
      <c r="B272" s="606"/>
      <c r="C272" s="606" t="s">
        <v>926</v>
      </c>
      <c r="D272" s="606" t="s">
        <v>59</v>
      </c>
      <c r="E272" s="391"/>
      <c r="F272" s="325"/>
      <c r="G272" s="325"/>
      <c r="H272" s="326"/>
      <c r="I272" s="326"/>
      <c r="J272" s="334"/>
      <c r="K272" s="607" t="str">
        <f>IF(A272=0,VLOOKUP(D272,'03. Insumos'!A:F,4,0),"")</f>
        <v/>
      </c>
      <c r="L272" s="334">
        <f>SUM(L273:L275)</f>
        <v>57600</v>
      </c>
      <c r="M272" s="153">
        <f t="shared" ca="1" si="136"/>
        <v>3.4973991016097592E-3</v>
      </c>
      <c r="O272" s="600">
        <f t="shared" si="163"/>
        <v>0</v>
      </c>
      <c r="R272" s="601">
        <f t="shared" si="173"/>
        <v>0</v>
      </c>
    </row>
    <row r="273" spans="1:18" s="51" customFormat="1" ht="13.5" customHeight="1" outlineLevel="1" x14ac:dyDescent="0.3">
      <c r="A273" s="13">
        <f t="shared" si="162"/>
        <v>0</v>
      </c>
      <c r="B273" s="49"/>
      <c r="C273" s="49"/>
      <c r="D273" s="370" t="s">
        <v>166</v>
      </c>
      <c r="E273" s="67" t="str">
        <f>VLOOKUP(D273,'03. Insumos'!A:D,2,0)</f>
        <v>Material de escritório</v>
      </c>
      <c r="F273" s="68" t="s">
        <v>5218</v>
      </c>
      <c r="G273" s="68" t="str">
        <f>VLOOKUP(D273,'03. Insumos'!A:F,3,0)</f>
        <v>mês</v>
      </c>
      <c r="H273" s="69">
        <v>1</v>
      </c>
      <c r="I273" s="69">
        <f>I3</f>
        <v>36</v>
      </c>
      <c r="J273" s="70">
        <f>IFERROR(IF(K273&lt;&gt;0,K273*$K$5,0),0)</f>
        <v>550</v>
      </c>
      <c r="K273" s="70">
        <f>IF(A273=0,VLOOKUP(D273,'03. Insumos'!A:F,4,0),"")</f>
        <v>550</v>
      </c>
      <c r="L273" s="70">
        <f t="shared" ref="L273:L275" si="174">H273*J273*I273</f>
        <v>19800</v>
      </c>
      <c r="M273" s="153">
        <f t="shared" ca="1" si="136"/>
        <v>1.2022309411783547E-3</v>
      </c>
      <c r="O273" s="148">
        <f t="shared" si="163"/>
        <v>19800</v>
      </c>
      <c r="R273" s="356">
        <f t="shared" si="173"/>
        <v>-16.019417475728119</v>
      </c>
    </row>
    <row r="274" spans="1:18" s="51" customFormat="1" ht="13.5" customHeight="1" outlineLevel="1" x14ac:dyDescent="0.3">
      <c r="A274" s="13">
        <f t="shared" si="162"/>
        <v>0</v>
      </c>
      <c r="B274" s="49"/>
      <c r="C274" s="49"/>
      <c r="D274" s="370" t="s">
        <v>167</v>
      </c>
      <c r="E274" s="67" t="str">
        <f>VLOOKUP(D274,'03. Insumos'!A:D,2,0)</f>
        <v>Material de limpeza e higiene</v>
      </c>
      <c r="F274" s="68" t="s">
        <v>5218</v>
      </c>
      <c r="G274" s="68" t="str">
        <f>VLOOKUP(D274,'03. Insumos'!A:F,3,0)</f>
        <v>mês</v>
      </c>
      <c r="H274" s="69">
        <v>1</v>
      </c>
      <c r="I274" s="69">
        <f>I3</f>
        <v>36</v>
      </c>
      <c r="J274" s="70">
        <f>IFERROR(IF(K274&lt;&gt;0,K274*$K$5,0),0)</f>
        <v>600</v>
      </c>
      <c r="K274" s="70">
        <f>IF(A274=0,VLOOKUP(D274,'03. Insumos'!A:F,4,0),"")</f>
        <v>600</v>
      </c>
      <c r="L274" s="70">
        <f t="shared" si="174"/>
        <v>21600</v>
      </c>
      <c r="M274" s="153">
        <f t="shared" ca="1" si="136"/>
        <v>1.3115246631036598E-3</v>
      </c>
      <c r="O274" s="148">
        <f t="shared" si="163"/>
        <v>21600</v>
      </c>
      <c r="R274" s="356">
        <f t="shared" si="173"/>
        <v>-17.475728155339766</v>
      </c>
    </row>
    <row r="275" spans="1:18" s="51" customFormat="1" ht="13.5" customHeight="1" outlineLevel="1" x14ac:dyDescent="0.3">
      <c r="A275" s="13">
        <f t="shared" si="162"/>
        <v>0</v>
      </c>
      <c r="B275" s="49"/>
      <c r="C275" s="49"/>
      <c r="D275" s="370" t="s">
        <v>170</v>
      </c>
      <c r="E275" s="67" t="str">
        <f>VLOOKUP(D275,'03. Insumos'!A:D,2,0)</f>
        <v>Cópias e plotagens</v>
      </c>
      <c r="F275" s="68" t="s">
        <v>5218</v>
      </c>
      <c r="G275" s="68" t="str">
        <f>VLOOKUP(D275,'03. Insumos'!A:F,3,0)</f>
        <v>mês</v>
      </c>
      <c r="H275" s="69">
        <v>1</v>
      </c>
      <c r="I275" s="69">
        <f>I3</f>
        <v>36</v>
      </c>
      <c r="J275" s="70">
        <f>IFERROR(IF(K275&lt;&gt;0,K275*$K$5,0),0)</f>
        <v>450</v>
      </c>
      <c r="K275" s="70">
        <f>IF(A275=0,VLOOKUP(D275,'03. Insumos'!A:F,4,0),"")</f>
        <v>450</v>
      </c>
      <c r="L275" s="70">
        <f t="shared" si="174"/>
        <v>16200</v>
      </c>
      <c r="M275" s="153">
        <f t="shared" ca="1" si="136"/>
        <v>9.8364349732774472E-4</v>
      </c>
      <c r="O275" s="148">
        <f t="shared" si="163"/>
        <v>16200</v>
      </c>
      <c r="R275" s="356">
        <f t="shared" si="173"/>
        <v>-13.106796116504881</v>
      </c>
    </row>
    <row r="276" spans="1:18" ht="13.5" customHeight="1" outlineLevel="1" x14ac:dyDescent="0.3">
      <c r="A276" s="290">
        <f t="shared" si="162"/>
        <v>6</v>
      </c>
      <c r="B276" s="606"/>
      <c r="C276" s="606" t="s">
        <v>6384</v>
      </c>
      <c r="D276" s="606" t="s">
        <v>6381</v>
      </c>
      <c r="E276" s="593"/>
      <c r="F276" s="594"/>
      <c r="G276" s="325"/>
      <c r="H276" s="326"/>
      <c r="I276" s="326"/>
      <c r="J276" s="334"/>
      <c r="K276" s="629" t="str">
        <f>IF(A276=0,VLOOKUP(D276,'03. Insumos'!A:F,4,0),"")</f>
        <v/>
      </c>
      <c r="L276" s="334">
        <f>SUM(L277:L278)</f>
        <v>14860</v>
      </c>
      <c r="M276" s="153">
        <f t="shared" ca="1" si="136"/>
        <v>9.0228039322779558E-4</v>
      </c>
      <c r="O276" s="148">
        <f t="shared" si="163"/>
        <v>0</v>
      </c>
      <c r="R276" s="12">
        <f>IF(J276&lt;&gt;0,J276/1.03-K276,0)</f>
        <v>0</v>
      </c>
    </row>
    <row r="277" spans="1:18" s="51" customFormat="1" ht="13.5" customHeight="1" outlineLevel="1" x14ac:dyDescent="0.3">
      <c r="A277" s="13">
        <f t="shared" si="162"/>
        <v>0</v>
      </c>
      <c r="B277" s="49"/>
      <c r="C277" s="49"/>
      <c r="D277" s="370" t="s">
        <v>6160</v>
      </c>
      <c r="E277" s="67" t="str">
        <f>VLOOKUP(D277,'03. Insumos'!A:D,2,0)</f>
        <v>Equipamentos de Informática</v>
      </c>
      <c r="F277" s="68" t="s">
        <v>5218</v>
      </c>
      <c r="G277" s="68" t="str">
        <f>VLOOKUP(D277,'03. Insumos'!A:F,3,0)</f>
        <v>vb</v>
      </c>
      <c r="H277" s="69">
        <f>3000*1.03</f>
        <v>3090</v>
      </c>
      <c r="I277" s="69">
        <v>4</v>
      </c>
      <c r="J277" s="70">
        <v>1</v>
      </c>
      <c r="K277" s="54">
        <f>IF(A277=0,VLOOKUP(D277,'03. Insumos'!A:F,4,0),"")</f>
        <v>1</v>
      </c>
      <c r="L277" s="485">
        <f>H277*J277*I277</f>
        <v>12360</v>
      </c>
      <c r="M277" s="153">
        <f t="shared" ca="1" si="136"/>
        <v>7.5048355722042749E-4</v>
      </c>
      <c r="O277" s="148">
        <f t="shared" si="163"/>
        <v>12360</v>
      </c>
      <c r="R277" s="12">
        <f>IF(J277&lt;&gt;0,J277/1.03-K277,0)</f>
        <v>-2.9126213592232997E-2</v>
      </c>
    </row>
    <row r="278" spans="1:18" s="51" customFormat="1" ht="13.5" customHeight="1" outlineLevel="1" x14ac:dyDescent="0.3">
      <c r="A278" s="13">
        <f t="shared" si="162"/>
        <v>0</v>
      </c>
      <c r="B278" s="49"/>
      <c r="C278" s="49"/>
      <c r="D278" s="370" t="s">
        <v>144</v>
      </c>
      <c r="E278" s="67" t="str">
        <f>VLOOKUP(D278,'03. Insumos'!A:D,2,0)</f>
        <v>Compra de Impressora A3</v>
      </c>
      <c r="F278" s="68" t="s">
        <v>5218</v>
      </c>
      <c r="G278" s="68" t="str">
        <f>VLOOKUP(D278,'03. Insumos'!A:F,3,0)</f>
        <v>uni</v>
      </c>
      <c r="H278" s="69">
        <v>1</v>
      </c>
      <c r="I278" s="69">
        <v>1</v>
      </c>
      <c r="J278" s="70">
        <f>IFERROR(IF(K278&lt;&gt;0,K278*$K$5,0),0)</f>
        <v>2500</v>
      </c>
      <c r="K278" s="54">
        <f>IF(A278=0,VLOOKUP(D278,'03. Insumos'!A:F,4,0),"")</f>
        <v>2500</v>
      </c>
      <c r="L278" s="485">
        <f>H278*J278*I278</f>
        <v>2500</v>
      </c>
      <c r="M278" s="153">
        <f t="shared" ca="1" si="136"/>
        <v>1.5179683600736804E-4</v>
      </c>
      <c r="O278" s="148">
        <f t="shared" si="163"/>
        <v>2500</v>
      </c>
      <c r="R278" s="12">
        <f>IF(J278&lt;&gt;0,J278/1.03-K278,0)</f>
        <v>-72.815533980582586</v>
      </c>
    </row>
    <row r="279" spans="1:18" s="18" customFormat="1" ht="13.5" customHeight="1" outlineLevel="1" x14ac:dyDescent="0.3">
      <c r="A279" s="290">
        <f t="shared" si="162"/>
        <v>4</v>
      </c>
      <c r="B279" s="45"/>
      <c r="C279" s="45" t="s">
        <v>64</v>
      </c>
      <c r="D279" s="45" t="s">
        <v>65</v>
      </c>
      <c r="E279" s="347"/>
      <c r="F279" s="327"/>
      <c r="G279" s="327"/>
      <c r="H279" s="328"/>
      <c r="I279" s="328"/>
      <c r="J279" s="335"/>
      <c r="K279" s="335" t="str">
        <f>IF(A279=0,VLOOKUP(D279,'03. Insumos'!A:F,4,0),"")</f>
        <v/>
      </c>
      <c r="L279" s="335">
        <f>SUMIF(A280:A281,6,L280:L281)</f>
        <v>88560</v>
      </c>
      <c r="M279" s="153">
        <f t="shared" ca="1" si="136"/>
        <v>5.3772511187250051E-3</v>
      </c>
      <c r="O279" s="148">
        <f t="shared" si="163"/>
        <v>0</v>
      </c>
      <c r="R279" s="12">
        <f t="shared" si="173"/>
        <v>0</v>
      </c>
    </row>
    <row r="280" spans="1:18" s="18" customFormat="1" ht="13.5" customHeight="1" outlineLevel="1" x14ac:dyDescent="0.3">
      <c r="A280" s="18">
        <f t="shared" si="162"/>
        <v>6</v>
      </c>
      <c r="B280" s="606"/>
      <c r="C280" s="606" t="s">
        <v>927</v>
      </c>
      <c r="D280" s="606" t="s">
        <v>66</v>
      </c>
      <c r="E280" s="391"/>
      <c r="F280" s="325"/>
      <c r="G280" s="325" t="s">
        <v>1376</v>
      </c>
      <c r="H280" s="326">
        <f>6*L2</f>
        <v>216</v>
      </c>
      <c r="I280" s="326"/>
      <c r="J280" s="334"/>
      <c r="K280" s="607" t="str">
        <f>IF(A280=0,VLOOKUP(D280,'03. Insumos'!A:F,4,0),"")</f>
        <v/>
      </c>
      <c r="L280" s="334">
        <f>SUM(L281:L281)</f>
        <v>88560</v>
      </c>
      <c r="M280" s="153">
        <f t="shared" ca="1" si="136"/>
        <v>5.3772511187250051E-3</v>
      </c>
      <c r="O280" s="600">
        <f t="shared" si="163"/>
        <v>0</v>
      </c>
      <c r="R280" s="601">
        <f t="shared" si="173"/>
        <v>0</v>
      </c>
    </row>
    <row r="281" spans="1:18" s="51" customFormat="1" ht="13.5" customHeight="1" outlineLevel="1" x14ac:dyDescent="0.3">
      <c r="A281" s="13">
        <f t="shared" si="162"/>
        <v>0</v>
      </c>
      <c r="B281" s="49"/>
      <c r="C281" s="49"/>
      <c r="D281" s="370" t="s">
        <v>172</v>
      </c>
      <c r="E281" s="67" t="str">
        <f>VLOOKUP(D281,'03. Insumos'!A:D,2,0)</f>
        <v>Caçamba para entulho</v>
      </c>
      <c r="F281" s="68" t="s">
        <v>5218</v>
      </c>
      <c r="G281" s="68" t="str">
        <f>VLOOKUP(D281,'03. Insumos'!A:F,3,0)</f>
        <v>uni</v>
      </c>
      <c r="H281" s="69">
        <v>1</v>
      </c>
      <c r="I281" s="69">
        <f>H280</f>
        <v>216</v>
      </c>
      <c r="J281" s="70">
        <v>410</v>
      </c>
      <c r="K281" s="70">
        <f>IF(A281=0,VLOOKUP(D281,'03. Insumos'!A:F,4,0),"")</f>
        <v>400</v>
      </c>
      <c r="L281" s="70">
        <f>H281*J281*I281</f>
        <v>88560</v>
      </c>
      <c r="M281" s="153">
        <f t="shared" ca="1" si="136"/>
        <v>5.3772511187250051E-3</v>
      </c>
      <c r="O281" s="148">
        <f t="shared" si="163"/>
        <v>86400</v>
      </c>
      <c r="R281" s="356">
        <f t="shared" si="173"/>
        <v>-1.9417475728155296</v>
      </c>
    </row>
    <row r="282" spans="1:18" s="18" customFormat="1" ht="13.5" customHeight="1" outlineLevel="1" x14ac:dyDescent="0.3">
      <c r="A282" s="290">
        <f t="shared" si="162"/>
        <v>4</v>
      </c>
      <c r="B282" s="45"/>
      <c r="C282" s="45" t="s">
        <v>68</v>
      </c>
      <c r="D282" s="45" t="s">
        <v>69</v>
      </c>
      <c r="E282" s="347"/>
      <c r="F282" s="327"/>
      <c r="G282" s="327"/>
      <c r="H282" s="328"/>
      <c r="I282" s="328"/>
      <c r="J282" s="335"/>
      <c r="K282" s="335" t="str">
        <f>IF(A282=0,VLOOKUP(D282,'03. Insumos'!A:F,4,0),"")</f>
        <v/>
      </c>
      <c r="L282" s="335">
        <f>SUMIF(A283:A290,6,L283:L290)</f>
        <v>50400</v>
      </c>
      <c r="M282" s="153">
        <f t="shared" ca="1" si="136"/>
        <v>3.0602242139085392E-3</v>
      </c>
      <c r="O282" s="148">
        <f t="shared" si="163"/>
        <v>0</v>
      </c>
      <c r="R282" s="12">
        <f t="shared" si="173"/>
        <v>0</v>
      </c>
    </row>
    <row r="283" spans="1:18" ht="13.2" customHeight="1" outlineLevel="1" x14ac:dyDescent="0.3">
      <c r="A283" s="290">
        <f t="shared" si="162"/>
        <v>6</v>
      </c>
      <c r="B283" s="606"/>
      <c r="C283" s="606" t="s">
        <v>928</v>
      </c>
      <c r="D283" s="606" t="s">
        <v>70</v>
      </c>
      <c r="E283" s="391"/>
      <c r="F283" s="325"/>
      <c r="G283" s="325"/>
      <c r="H283" s="326">
        <f>I3</f>
        <v>36</v>
      </c>
      <c r="I283" s="491"/>
      <c r="J283" s="334"/>
      <c r="K283" s="607" t="str">
        <f>IF(A283=0,VLOOKUP(D283,'03. Insumos'!A:F,4,0),"")</f>
        <v/>
      </c>
      <c r="L283" s="334">
        <f>SUM(L284)</f>
        <v>36000</v>
      </c>
      <c r="M283" s="153">
        <f t="shared" ca="1" si="136"/>
        <v>2.1858744385060995E-3</v>
      </c>
      <c r="O283" s="148">
        <f t="shared" si="163"/>
        <v>0</v>
      </c>
      <c r="R283" s="12">
        <f t="shared" si="173"/>
        <v>0</v>
      </c>
    </row>
    <row r="284" spans="1:18" s="51" customFormat="1" ht="13.5" customHeight="1" outlineLevel="1" x14ac:dyDescent="0.3">
      <c r="A284" s="13">
        <f t="shared" si="162"/>
        <v>0</v>
      </c>
      <c r="B284" s="49"/>
      <c r="C284" s="49"/>
      <c r="D284" s="370" t="s">
        <v>174</v>
      </c>
      <c r="E284" s="67" t="str">
        <f>VLOOKUP(D284,'03. Insumos'!A:D,2,0)</f>
        <v>Caixinha de Obra</v>
      </c>
      <c r="F284" s="68" t="s">
        <v>5218</v>
      </c>
      <c r="G284" s="68" t="str">
        <f>VLOOKUP(D284,'03. Insumos'!A:F,3,0)</f>
        <v>mês</v>
      </c>
      <c r="H284" s="69">
        <v>1</v>
      </c>
      <c r="I284" s="483">
        <f>I3</f>
        <v>36</v>
      </c>
      <c r="J284" s="70">
        <f>IFERROR(IF(K284&lt;&gt;0,K284*$K$5,0),0)</f>
        <v>1000</v>
      </c>
      <c r="K284" s="54">
        <f>IF(A284=0,VLOOKUP(D284,'03. Insumos'!A:F,4,0),"")</f>
        <v>1000</v>
      </c>
      <c r="L284" s="485">
        <f>H284*J284*I284</f>
        <v>36000</v>
      </c>
      <c r="M284" s="153">
        <f t="shared" ca="1" si="136"/>
        <v>2.1858744385060995E-3</v>
      </c>
      <c r="O284" s="148">
        <f t="shared" si="163"/>
        <v>36000</v>
      </c>
      <c r="R284" s="12">
        <f t="shared" si="173"/>
        <v>-29.126213592233057</v>
      </c>
    </row>
    <row r="285" spans="1:18" ht="13.5" hidden="1" customHeight="1" outlineLevel="1" x14ac:dyDescent="0.3">
      <c r="A285" s="290">
        <f t="shared" si="162"/>
        <v>6</v>
      </c>
      <c r="B285" s="606"/>
      <c r="C285" s="606" t="s">
        <v>987</v>
      </c>
      <c r="D285" s="606" t="s">
        <v>988</v>
      </c>
      <c r="E285" s="391"/>
      <c r="F285" s="325"/>
      <c r="G285" s="325"/>
      <c r="H285" s="326"/>
      <c r="I285" s="491"/>
      <c r="J285" s="334"/>
      <c r="K285" s="607" t="str">
        <f>IF(A285=0,VLOOKUP(D285,'03. Insumos'!A:F,4,0),"")</f>
        <v/>
      </c>
      <c r="L285" s="334">
        <f>SUM(L286)</f>
        <v>0</v>
      </c>
      <c r="M285" s="153">
        <f t="shared" ca="1" si="136"/>
        <v>0</v>
      </c>
      <c r="O285" s="148">
        <f t="shared" si="163"/>
        <v>0</v>
      </c>
      <c r="R285" s="12">
        <f t="shared" si="173"/>
        <v>0</v>
      </c>
    </row>
    <row r="286" spans="1:18" s="51" customFormat="1" ht="13.5" hidden="1" customHeight="1" outlineLevel="1" x14ac:dyDescent="0.3">
      <c r="A286" s="290">
        <f t="shared" si="162"/>
        <v>0</v>
      </c>
      <c r="B286" s="49"/>
      <c r="C286" s="49"/>
      <c r="D286" s="140"/>
      <c r="E286" s="67" t="s">
        <v>988</v>
      </c>
      <c r="F286" s="68"/>
      <c r="G286" s="68" t="s">
        <v>29</v>
      </c>
      <c r="H286" s="69"/>
      <c r="I286" s="483">
        <f>I3</f>
        <v>36</v>
      </c>
      <c r="J286" s="70">
        <f>IFERROR(IF(K286&lt;&gt;0,K286*$K$5,0),0)</f>
        <v>200</v>
      </c>
      <c r="K286" s="54">
        <f>200</f>
        <v>200</v>
      </c>
      <c r="L286" s="485">
        <f>H286*J286*I286</f>
        <v>0</v>
      </c>
      <c r="M286" s="153">
        <f t="shared" ca="1" si="136"/>
        <v>0</v>
      </c>
      <c r="O286" s="148">
        <f t="shared" si="163"/>
        <v>0</v>
      </c>
      <c r="R286" s="12">
        <f t="shared" si="173"/>
        <v>-5.8252427184466171</v>
      </c>
    </row>
    <row r="287" spans="1:18" ht="13.5" customHeight="1" outlineLevel="1" x14ac:dyDescent="0.3">
      <c r="A287" s="290">
        <f t="shared" ref="A287:A288" si="175">LEN(C287)</f>
        <v>6</v>
      </c>
      <c r="B287" s="606"/>
      <c r="C287" s="606" t="s">
        <v>989</v>
      </c>
      <c r="D287" s="606" t="s">
        <v>990</v>
      </c>
      <c r="E287" s="391"/>
      <c r="F287" s="325"/>
      <c r="G287" s="325"/>
      <c r="H287" s="326">
        <f>$I$3</f>
        <v>36</v>
      </c>
      <c r="I287" s="633"/>
      <c r="J287" s="334"/>
      <c r="K287" s="607" t="str">
        <f>IF(A287=0,VLOOKUP(D287,'03. Insumos'!A:F,4,0),"")</f>
        <v/>
      </c>
      <c r="L287" s="334">
        <f>SUM(L288:L288)</f>
        <v>14400</v>
      </c>
      <c r="M287" s="153">
        <f t="shared" ref="M287:M288" ca="1" si="176">L287/$L$7</f>
        <v>8.7434977540243981E-4</v>
      </c>
      <c r="O287" s="148"/>
      <c r="R287" s="12">
        <f t="shared" ref="R287:R288" si="177">IF(J287&lt;&gt;0,J287/1.03-K287,0)</f>
        <v>0</v>
      </c>
    </row>
    <row r="288" spans="1:18" s="51" customFormat="1" ht="13.5" customHeight="1" outlineLevel="1" x14ac:dyDescent="0.3">
      <c r="A288" s="13">
        <f t="shared" si="175"/>
        <v>0</v>
      </c>
      <c r="B288" s="49"/>
      <c r="C288" s="49"/>
      <c r="D288" s="370" t="s">
        <v>6398</v>
      </c>
      <c r="E288" s="67" t="str">
        <f>VLOOKUP(D288,'03. Insumos'!A:D,2,0)</f>
        <v>Fretes e Carretos</v>
      </c>
      <c r="F288" s="68" t="s">
        <v>5218</v>
      </c>
      <c r="G288" s="68" t="str">
        <f>VLOOKUP(D288,'03. Insumos'!A:F,3,0)</f>
        <v>mês</v>
      </c>
      <c r="H288" s="69">
        <v>1</v>
      </c>
      <c r="I288" s="483">
        <f>H287</f>
        <v>36</v>
      </c>
      <c r="J288" s="70">
        <v>400</v>
      </c>
      <c r="K288" s="54">
        <f>IF(A288=0,VLOOKUP(D288,'03. Insumos'!A:F,4,0),"")</f>
        <v>100</v>
      </c>
      <c r="L288" s="485">
        <f>H288*J288*I288</f>
        <v>14400</v>
      </c>
      <c r="M288" s="153">
        <f t="shared" ca="1" si="176"/>
        <v>8.7434977540243981E-4</v>
      </c>
      <c r="O288" s="148">
        <f t="shared" ref="O288" si="178">IF(I288&lt;&gt;0,I288*H288*K288,)</f>
        <v>3600</v>
      </c>
      <c r="R288" s="12">
        <f t="shared" si="177"/>
        <v>288.34951456310677</v>
      </c>
    </row>
    <row r="289" spans="1:18" ht="13.5" hidden="1" customHeight="1" outlineLevel="1" x14ac:dyDescent="0.3">
      <c r="A289" s="290">
        <f t="shared" si="162"/>
        <v>6</v>
      </c>
      <c r="B289" s="606"/>
      <c r="C289" s="606" t="s">
        <v>7292</v>
      </c>
      <c r="D289" s="606" t="s">
        <v>7293</v>
      </c>
      <c r="E289" s="391"/>
      <c r="F289" s="325"/>
      <c r="G289" s="325"/>
      <c r="H289" s="326">
        <v>1</v>
      </c>
      <c r="I289" s="633"/>
      <c r="J289" s="334"/>
      <c r="K289" s="607" t="str">
        <f>IF(A289=0,VLOOKUP(D289,'03. Insumos'!A:F,4,0),"")</f>
        <v/>
      </c>
      <c r="L289" s="334">
        <f>SUM(L290:L290)</f>
        <v>0</v>
      </c>
      <c r="M289" s="153">
        <f t="shared" ca="1" si="136"/>
        <v>0</v>
      </c>
      <c r="O289" s="148"/>
      <c r="R289" s="12">
        <f t="shared" si="173"/>
        <v>0</v>
      </c>
    </row>
    <row r="290" spans="1:18" s="51" customFormat="1" ht="13.5" hidden="1" customHeight="1" outlineLevel="1" x14ac:dyDescent="0.3">
      <c r="A290" s="13">
        <f t="shared" si="162"/>
        <v>0</v>
      </c>
      <c r="B290" s="49"/>
      <c r="C290" s="49"/>
      <c r="D290" s="370" t="s">
        <v>6800</v>
      </c>
      <c r="E290" s="67" t="str">
        <f>VLOOKUP(D290,'03. Insumos'!A:D,2,0)</f>
        <v>Despesas com Vizinhos</v>
      </c>
      <c r="F290" s="68" t="s">
        <v>5218</v>
      </c>
      <c r="G290" s="68" t="str">
        <f>VLOOKUP(D290,'03. Insumos'!A:F,3,0)</f>
        <v>vb</v>
      </c>
      <c r="H290" s="69">
        <v>1</v>
      </c>
      <c r="I290" s="483"/>
      <c r="J290" s="70">
        <f>IFERROR(IF(K290&lt;&gt;0,K290*$K$5,0),0)</f>
        <v>40000</v>
      </c>
      <c r="K290" s="54">
        <f>IF(A290=0,VLOOKUP(D290,'03. Insumos'!A:F,4,0),"")</f>
        <v>40000</v>
      </c>
      <c r="L290" s="485">
        <f>H290*J290*I290</f>
        <v>0</v>
      </c>
      <c r="M290" s="153">
        <f t="shared" ca="1" si="136"/>
        <v>0</v>
      </c>
      <c r="O290" s="148">
        <f t="shared" ref="O290:O329" si="179">IF(I290&lt;&gt;0,I290*H290*K290,)</f>
        <v>0</v>
      </c>
      <c r="R290" s="12">
        <f t="shared" si="173"/>
        <v>-1165.0485436893214</v>
      </c>
    </row>
    <row r="291" spans="1:18" s="18" customFormat="1" ht="13.5" customHeight="1" outlineLevel="1" x14ac:dyDescent="0.3">
      <c r="A291" s="290">
        <f t="shared" si="162"/>
        <v>4</v>
      </c>
      <c r="B291" s="45"/>
      <c r="C291" s="45" t="s">
        <v>1362</v>
      </c>
      <c r="D291" s="45" t="s">
        <v>1363</v>
      </c>
      <c r="E291" s="347"/>
      <c r="F291" s="327"/>
      <c r="G291" s="327"/>
      <c r="H291" s="328"/>
      <c r="I291" s="328"/>
      <c r="J291" s="335"/>
      <c r="K291" s="335" t="str">
        <f>IF(A291=0,VLOOKUP(D291,'03. Insumos'!A:F,4,0),"")</f>
        <v/>
      </c>
      <c r="L291" s="335">
        <f>SUMIF(A292:A296,6,L292:L296)</f>
        <v>138700</v>
      </c>
      <c r="M291" s="153">
        <f t="shared" ca="1" si="136"/>
        <v>8.4216884616887776E-3</v>
      </c>
      <c r="O291" s="148">
        <f t="shared" si="179"/>
        <v>0</v>
      </c>
      <c r="R291" s="12">
        <f t="shared" si="173"/>
        <v>0</v>
      </c>
    </row>
    <row r="292" spans="1:18" ht="13.5" customHeight="1" outlineLevel="1" x14ac:dyDescent="0.3">
      <c r="A292" s="290">
        <f t="shared" si="162"/>
        <v>6</v>
      </c>
      <c r="B292" s="606"/>
      <c r="C292" s="606" t="s">
        <v>7405</v>
      </c>
      <c r="D292" s="606" t="s">
        <v>1363</v>
      </c>
      <c r="E292" s="391"/>
      <c r="F292" s="325"/>
      <c r="G292" s="325"/>
      <c r="H292" s="326"/>
      <c r="I292" s="491"/>
      <c r="J292" s="334"/>
      <c r="K292" s="607" t="str">
        <f>IF(A292=0,VLOOKUP(D292,'03. Insumos'!A:F,4,0),"")</f>
        <v/>
      </c>
      <c r="L292" s="334">
        <f>SUM(L293:L296)</f>
        <v>138700</v>
      </c>
      <c r="M292" s="153">
        <f t="shared" ca="1" si="136"/>
        <v>8.4216884616887776E-3</v>
      </c>
      <c r="O292" s="148">
        <f t="shared" si="179"/>
        <v>0</v>
      </c>
      <c r="R292" s="12">
        <f t="shared" si="173"/>
        <v>0</v>
      </c>
    </row>
    <row r="293" spans="1:18" s="51" customFormat="1" ht="13.5" customHeight="1" outlineLevel="1" x14ac:dyDescent="0.3">
      <c r="A293" s="13">
        <f t="shared" si="162"/>
        <v>0</v>
      </c>
      <c r="B293" s="49"/>
      <c r="C293" s="49"/>
      <c r="D293" s="370" t="s">
        <v>6394</v>
      </c>
      <c r="E293" s="67" t="str">
        <f>VLOOKUP(D293,'03. Insumos'!A:D,2,0)</f>
        <v>Consumo de Luz</v>
      </c>
      <c r="F293" s="68" t="s">
        <v>5218</v>
      </c>
      <c r="G293" s="68" t="str">
        <f>VLOOKUP(D293,'03. Insumos'!A:F,3,0)</f>
        <v>mês</v>
      </c>
      <c r="H293" s="69">
        <v>1</v>
      </c>
      <c r="I293" s="483">
        <f>$I$3+2</f>
        <v>38</v>
      </c>
      <c r="J293" s="70">
        <v>1500</v>
      </c>
      <c r="K293" s="54">
        <f>IF(A293=0,VLOOKUP(D293,'03. Insumos'!A:F,4,0),"")</f>
        <v>2500</v>
      </c>
      <c r="L293" s="485">
        <f>H293*J293*I293</f>
        <v>57000</v>
      </c>
      <c r="M293" s="153">
        <f t="shared" ca="1" si="136"/>
        <v>3.460967860967991E-3</v>
      </c>
      <c r="O293" s="148">
        <f t="shared" si="179"/>
        <v>95000</v>
      </c>
      <c r="R293" s="12">
        <f t="shared" si="173"/>
        <v>-1043.6893203883496</v>
      </c>
    </row>
    <row r="294" spans="1:18" s="51" customFormat="1" ht="12.75" customHeight="1" outlineLevel="1" x14ac:dyDescent="0.3">
      <c r="A294" s="13">
        <f t="shared" si="162"/>
        <v>0</v>
      </c>
      <c r="B294" s="49"/>
      <c r="C294" s="49"/>
      <c r="D294" s="370" t="s">
        <v>6395</v>
      </c>
      <c r="E294" s="67" t="str">
        <f>VLOOKUP(D294,'03. Insumos'!A:D,2,0)</f>
        <v>Consumo de Água</v>
      </c>
      <c r="F294" s="68" t="s">
        <v>5218</v>
      </c>
      <c r="G294" s="68" t="str">
        <f>VLOOKUP(D294,'03. Insumos'!A:F,3,0)</f>
        <v>mês</v>
      </c>
      <c r="H294" s="69">
        <v>1</v>
      </c>
      <c r="I294" s="483">
        <f>$I$3+2</f>
        <v>38</v>
      </c>
      <c r="J294" s="70">
        <v>2000</v>
      </c>
      <c r="K294" s="54">
        <f>IF(A294=0,VLOOKUP(D294,'03. Insumos'!A:F,4,0),"")</f>
        <v>35000</v>
      </c>
      <c r="L294" s="485">
        <f>H294*J294*I294</f>
        <v>76000</v>
      </c>
      <c r="M294" s="153">
        <f t="shared" ca="1" si="136"/>
        <v>4.614623814623988E-3</v>
      </c>
      <c r="O294" s="148">
        <f t="shared" si="179"/>
        <v>1330000</v>
      </c>
      <c r="R294" s="12">
        <f t="shared" si="173"/>
        <v>-33058.252427184467</v>
      </c>
    </row>
    <row r="295" spans="1:18" s="51" customFormat="1" ht="13.5" hidden="1" customHeight="1" outlineLevel="1" x14ac:dyDescent="0.3">
      <c r="A295" s="13">
        <f t="shared" si="162"/>
        <v>0</v>
      </c>
      <c r="B295" s="49"/>
      <c r="C295" s="49"/>
      <c r="D295" s="370" t="s">
        <v>6396</v>
      </c>
      <c r="E295" s="67" t="str">
        <f>VLOOKUP(D295,'03. Insumos'!A:D,2,0)</f>
        <v>Consumo de Telefone</v>
      </c>
      <c r="F295" s="68" t="s">
        <v>5218</v>
      </c>
      <c r="G295" s="68" t="str">
        <f>VLOOKUP(D295,'03. Insumos'!A:F,3,0)</f>
        <v>mês</v>
      </c>
      <c r="H295" s="69">
        <v>1</v>
      </c>
      <c r="I295" s="483"/>
      <c r="J295" s="70">
        <f>IFERROR(IF(K295&lt;&gt;0,K295*$K$5,0),0)</f>
        <v>70</v>
      </c>
      <c r="K295" s="54">
        <f>IF(A295=0,VLOOKUP(D295,'03. Insumos'!A:F,4,0),"")</f>
        <v>70</v>
      </c>
      <c r="L295" s="485">
        <f>H295*J295*I295</f>
        <v>0</v>
      </c>
      <c r="M295" s="153">
        <f t="shared" ca="1" si="136"/>
        <v>0</v>
      </c>
      <c r="O295" s="148">
        <f t="shared" si="179"/>
        <v>0</v>
      </c>
      <c r="R295" s="12">
        <f t="shared" si="173"/>
        <v>-2.0388349514563089</v>
      </c>
    </row>
    <row r="296" spans="1:18" s="51" customFormat="1" ht="12.75" customHeight="1" outlineLevel="1" x14ac:dyDescent="0.3">
      <c r="A296" s="13">
        <f t="shared" si="162"/>
        <v>0</v>
      </c>
      <c r="B296" s="49"/>
      <c r="C296" s="49"/>
      <c r="D296" s="370" t="s">
        <v>6397</v>
      </c>
      <c r="E296" s="67" t="str">
        <f>VLOOKUP(D296,'03. Insumos'!A:D,2,0)</f>
        <v>Provedor de Internet</v>
      </c>
      <c r="F296" s="68" t="s">
        <v>5218</v>
      </c>
      <c r="G296" s="68" t="str">
        <f>VLOOKUP(D296,'03. Insumos'!A:F,3,0)</f>
        <v>mês</v>
      </c>
      <c r="H296" s="69">
        <v>1</v>
      </c>
      <c r="I296" s="483">
        <f>$I$3+2</f>
        <v>38</v>
      </c>
      <c r="J296" s="70">
        <f>IFERROR(IF(K296&lt;&gt;0,K296*$K$5,0),0)</f>
        <v>150</v>
      </c>
      <c r="K296" s="54">
        <f>IF(A296=0,VLOOKUP(D296,'03. Insumos'!A:F,4,0),"")</f>
        <v>150</v>
      </c>
      <c r="L296" s="485">
        <f>H296*J296*I296</f>
        <v>5700</v>
      </c>
      <c r="M296" s="153">
        <f t="shared" ca="1" si="136"/>
        <v>3.4609678609679909E-4</v>
      </c>
      <c r="O296" s="148">
        <f t="shared" si="179"/>
        <v>5700</v>
      </c>
      <c r="R296" s="12">
        <f t="shared" si="173"/>
        <v>-4.3689320388349415</v>
      </c>
    </row>
    <row r="297" spans="1:18" ht="13.5" customHeight="1" x14ac:dyDescent="0.3">
      <c r="A297" s="290">
        <f t="shared" si="162"/>
        <v>1</v>
      </c>
      <c r="B297" s="20"/>
      <c r="C297" s="20" t="s">
        <v>353</v>
      </c>
      <c r="D297" s="20" t="s">
        <v>260</v>
      </c>
      <c r="E297" s="389"/>
      <c r="F297" s="331"/>
      <c r="G297" s="331"/>
      <c r="H297" s="332"/>
      <c r="I297" s="332"/>
      <c r="J297" s="337"/>
      <c r="K297" s="26">
        <f ca="1">L297/H773</f>
        <v>5470.692622073946</v>
      </c>
      <c r="L297" s="26">
        <f ca="1">SUMIF(A298:A1252,3,L298:L1252)</f>
        <v>12047647.370482458</v>
      </c>
      <c r="M297" s="153">
        <f t="shared" ca="1" si="136"/>
        <v>0.73151790086868973</v>
      </c>
      <c r="O297" s="148">
        <f t="shared" si="179"/>
        <v>0</v>
      </c>
      <c r="R297" s="12">
        <f t="shared" si="173"/>
        <v>0</v>
      </c>
    </row>
    <row r="298" spans="1:18" s="592" customFormat="1" x14ac:dyDescent="0.3">
      <c r="A298" s="478">
        <f t="shared" si="162"/>
        <v>3</v>
      </c>
      <c r="B298" s="390"/>
      <c r="C298" s="390" t="s">
        <v>343</v>
      </c>
      <c r="D298" s="390" t="s">
        <v>8463</v>
      </c>
      <c r="E298" s="390"/>
      <c r="F298" s="323"/>
      <c r="G298" s="678"/>
      <c r="H298" s="324"/>
      <c r="I298" s="324"/>
      <c r="J298" s="333"/>
      <c r="K298" s="333"/>
      <c r="L298" s="333">
        <f>SUMIF(A299:A327,4,L299:L327)</f>
        <v>255846.5</v>
      </c>
      <c r="M298" s="153">
        <f t="shared" ca="1" si="136"/>
        <v>1.5534675681423634E-2</v>
      </c>
      <c r="O298" s="499">
        <f t="shared" si="179"/>
        <v>0</v>
      </c>
      <c r="R298" s="348">
        <f t="shared" si="173"/>
        <v>0</v>
      </c>
    </row>
    <row r="299" spans="1:18" s="18" customFormat="1" outlineLevel="1" x14ac:dyDescent="0.3">
      <c r="A299" s="290">
        <f t="shared" si="162"/>
        <v>4</v>
      </c>
      <c r="B299" s="45"/>
      <c r="C299" s="45" t="s">
        <v>378</v>
      </c>
      <c r="D299" s="45" t="s">
        <v>2910</v>
      </c>
      <c r="E299" s="347"/>
      <c r="F299" s="327"/>
      <c r="G299" s="327"/>
      <c r="H299" s="328"/>
      <c r="I299" s="328"/>
      <c r="J299" s="335"/>
      <c r="K299" s="335" t="str">
        <f>IF(A299=0,VLOOKUP(D299,'03. Insumos'!A:F,4,0),"")</f>
        <v/>
      </c>
      <c r="L299" s="335">
        <f>SUMIF(A300:A310,6,L300:L310)</f>
        <v>19500</v>
      </c>
      <c r="M299" s="153">
        <f t="shared" ca="1" si="136"/>
        <v>1.1840153208574707E-3</v>
      </c>
      <c r="O299" s="148">
        <f t="shared" si="179"/>
        <v>0</v>
      </c>
      <c r="R299" s="12">
        <f t="shared" si="173"/>
        <v>0</v>
      </c>
    </row>
    <row r="300" spans="1:18" s="18" customFormat="1" ht="13.5" customHeight="1" outlineLevel="1" x14ac:dyDescent="0.3">
      <c r="A300" s="18">
        <f t="shared" si="162"/>
        <v>6</v>
      </c>
      <c r="B300" s="606"/>
      <c r="C300" s="606" t="s">
        <v>929</v>
      </c>
      <c r="D300" s="606" t="s">
        <v>2841</v>
      </c>
      <c r="E300" s="391"/>
      <c r="F300" s="325"/>
      <c r="G300" s="325"/>
      <c r="H300" s="326"/>
      <c r="I300" s="326"/>
      <c r="J300" s="334"/>
      <c r="K300" s="607" t="str">
        <f>IF(A300=0,VLOOKUP(D300,'03. Insumos'!A:F,4,0),"")</f>
        <v/>
      </c>
      <c r="L300" s="334">
        <f>SUMIF(A301:A310,,L301:L310)</f>
        <v>19500</v>
      </c>
      <c r="M300" s="153">
        <f t="shared" ca="1" si="136"/>
        <v>1.1840153208574707E-3</v>
      </c>
      <c r="O300" s="600">
        <f t="shared" si="179"/>
        <v>0</v>
      </c>
      <c r="R300" s="601">
        <f t="shared" si="173"/>
        <v>0</v>
      </c>
    </row>
    <row r="301" spans="1:18" s="51" customFormat="1" ht="13.5" hidden="1" customHeight="1" outlineLevel="1" x14ac:dyDescent="0.3">
      <c r="A301" s="13">
        <f>LEN(C301)</f>
        <v>0</v>
      </c>
      <c r="B301" s="49"/>
      <c r="C301" s="49"/>
      <c r="D301" s="370" t="s">
        <v>411</v>
      </c>
      <c r="E301" s="67" t="str">
        <f>VLOOKUP(D301,'03. Insumos'!A:D,2,0)</f>
        <v>Martelete de 2,5 Kg</v>
      </c>
      <c r="F301" s="68" t="s">
        <v>5218</v>
      </c>
      <c r="G301" s="68" t="str">
        <f>VLOOKUP(D301,'03. Insumos'!A:F,3,0)</f>
        <v>mês</v>
      </c>
      <c r="H301" s="69"/>
      <c r="I301" s="69">
        <v>1</v>
      </c>
      <c r="J301" s="70">
        <f t="shared" ref="J301:J310" si="180">IFERROR(IF(K301&lt;&gt;0,K301*$K$5,0),0)</f>
        <v>185</v>
      </c>
      <c r="K301" s="70">
        <f>IF(A301=0,VLOOKUP(D301,'03. Insumos'!A:F,4,0),"")</f>
        <v>185</v>
      </c>
      <c r="L301" s="70">
        <f t="shared" ref="L301:L310" si="181">H301*J301*I301</f>
        <v>0</v>
      </c>
      <c r="M301" s="153">
        <f t="shared" ca="1" si="136"/>
        <v>0</v>
      </c>
      <c r="O301" s="148">
        <f t="shared" si="179"/>
        <v>0</v>
      </c>
      <c r="R301" s="356">
        <f>IF(J301&lt;&gt;0,J301/1.03-K301,0)</f>
        <v>-5.3883495145631173</v>
      </c>
    </row>
    <row r="302" spans="1:18" ht="13.5" hidden="1" customHeight="1" outlineLevel="1" x14ac:dyDescent="0.3">
      <c r="A302" s="13">
        <f t="shared" ref="A302:A317" si="182">LEN(C302)</f>
        <v>0</v>
      </c>
      <c r="B302" s="4"/>
      <c r="C302" s="4"/>
      <c r="D302" s="370" t="s">
        <v>2913</v>
      </c>
      <c r="E302" s="67" t="str">
        <f>VLOOKUP(D302,'03. Insumos'!A:D,2,0)</f>
        <v>Demolição Diversos - MO</v>
      </c>
      <c r="F302" s="68" t="s">
        <v>3809</v>
      </c>
      <c r="G302" s="68" t="str">
        <f>VLOOKUP(D302,'03. Insumos'!A:F,3,0)</f>
        <v>vb</v>
      </c>
      <c r="H302" s="69">
        <v>1</v>
      </c>
      <c r="I302" s="69"/>
      <c r="J302" s="70">
        <v>400000</v>
      </c>
      <c r="K302" s="70">
        <f>IF(A302=0,VLOOKUP(D302,'03. Insumos'!A:F,4,0),"")</f>
        <v>130000</v>
      </c>
      <c r="L302" s="70">
        <f t="shared" si="181"/>
        <v>0</v>
      </c>
      <c r="M302" s="153">
        <f t="shared" ca="1" si="136"/>
        <v>0</v>
      </c>
      <c r="O302" s="148"/>
      <c r="R302" s="356"/>
    </row>
    <row r="303" spans="1:18" ht="13.5" customHeight="1" outlineLevel="1" x14ac:dyDescent="0.3">
      <c r="A303" s="13">
        <f t="shared" si="182"/>
        <v>0</v>
      </c>
      <c r="B303" s="4"/>
      <c r="C303" s="4"/>
      <c r="D303" s="370" t="s">
        <v>7442</v>
      </c>
      <c r="E303" s="67" t="str">
        <f>VLOOKUP(D303,'03. Insumos'!A:D,2,0)</f>
        <v>Demolição - Casa</v>
      </c>
      <c r="F303" s="68" t="s">
        <v>3809</v>
      </c>
      <c r="G303" s="68" t="str">
        <f>VLOOKUP(D303,'03. Insumos'!A:F,3,0)</f>
        <v>vb</v>
      </c>
      <c r="H303" s="69">
        <v>19500</v>
      </c>
      <c r="I303" s="69">
        <v>1</v>
      </c>
      <c r="J303" s="70">
        <f t="shared" si="180"/>
        <v>1</v>
      </c>
      <c r="K303" s="70">
        <f>IF(A303=0,VLOOKUP(D303,'03. Insumos'!A:F,4,0),"")</f>
        <v>1</v>
      </c>
      <c r="L303" s="70">
        <f t="shared" si="181"/>
        <v>19500</v>
      </c>
      <c r="M303" s="153">
        <f t="shared" ca="1" si="136"/>
        <v>1.1840153208574707E-3</v>
      </c>
      <c r="O303" s="148"/>
      <c r="R303" s="356"/>
    </row>
    <row r="304" spans="1:18" ht="13.5" hidden="1" customHeight="1" outlineLevel="1" x14ac:dyDescent="0.3">
      <c r="A304" s="13">
        <f t="shared" si="182"/>
        <v>0</v>
      </c>
      <c r="B304" s="4"/>
      <c r="C304" s="4"/>
      <c r="D304" s="370" t="s">
        <v>5475</v>
      </c>
      <c r="E304" s="67" t="str">
        <f>VLOOKUP(D304,'03. Insumos'!A:D,2,0)</f>
        <v>Demolição - Armário</v>
      </c>
      <c r="F304" s="68" t="s">
        <v>5218</v>
      </c>
      <c r="G304" s="68" t="str">
        <f>VLOOKUP(D304,'03. Insumos'!A:F,3,0)</f>
        <v>m²</v>
      </c>
      <c r="H304" s="69"/>
      <c r="I304" s="69"/>
      <c r="J304" s="70">
        <f t="shared" si="180"/>
        <v>15</v>
      </c>
      <c r="K304" s="70">
        <f>IF(A304=0,VLOOKUP(D304,'03. Insumos'!A:F,4,0),"")</f>
        <v>15</v>
      </c>
      <c r="L304" s="70">
        <f t="shared" si="181"/>
        <v>0</v>
      </c>
      <c r="M304" s="153">
        <f t="shared" ca="1" si="136"/>
        <v>0</v>
      </c>
      <c r="O304" s="148"/>
      <c r="R304" s="356"/>
    </row>
    <row r="305" spans="1:22" s="51" customFormat="1" ht="13.5" hidden="1" customHeight="1" outlineLevel="1" x14ac:dyDescent="0.3">
      <c r="A305" s="13">
        <f t="shared" si="182"/>
        <v>0</v>
      </c>
      <c r="B305" s="49"/>
      <c r="C305" s="49"/>
      <c r="D305" s="370" t="s">
        <v>5091</v>
      </c>
      <c r="E305" s="67" t="str">
        <f>VLOOKUP(D305,'03. Insumos'!A:D,2,0)</f>
        <v>Demolição - Forro Existete</v>
      </c>
      <c r="F305" s="68" t="s">
        <v>3809</v>
      </c>
      <c r="G305" s="68" t="str">
        <f>VLOOKUP(D305,'03. Insumos'!A:F,3,0)</f>
        <v>m²</v>
      </c>
      <c r="H305" s="69"/>
      <c r="I305" s="69">
        <v>63.84</v>
      </c>
      <c r="J305" s="70">
        <f t="shared" si="180"/>
        <v>18</v>
      </c>
      <c r="K305" s="70">
        <f>IF(A305=0,VLOOKUP(D305,'03. Insumos'!A:F,4,0),"")</f>
        <v>18</v>
      </c>
      <c r="L305" s="70">
        <f>H305*J305*I305</f>
        <v>0</v>
      </c>
      <c r="M305" s="153">
        <f t="shared" ca="1" si="136"/>
        <v>0</v>
      </c>
      <c r="O305" s="148">
        <f>IF(I305&lt;&gt;0,I305*H305*K305,)</f>
        <v>0</v>
      </c>
      <c r="R305" s="356">
        <f t="shared" ref="R305:R317" si="183">IF(J305&lt;&gt;0,J305/1.03-K305,0)</f>
        <v>-0.52427184466019483</v>
      </c>
      <c r="T305" s="224">
        <f>SUM(L302:L309)</f>
        <v>19500</v>
      </c>
      <c r="U305" s="224">
        <f>T305/120</f>
        <v>162.5</v>
      </c>
      <c r="V305" s="224">
        <f>U305/4</f>
        <v>40.625</v>
      </c>
    </row>
    <row r="306" spans="1:22" s="51" customFormat="1" ht="13.5" hidden="1" customHeight="1" outlineLevel="1" x14ac:dyDescent="0.3">
      <c r="A306" s="13">
        <f t="shared" si="182"/>
        <v>0</v>
      </c>
      <c r="B306" s="49"/>
      <c r="C306" s="49"/>
      <c r="D306" s="370" t="s">
        <v>5092</v>
      </c>
      <c r="E306" s="67" t="str">
        <f>VLOOKUP(D306,'03. Insumos'!A:D,2,0)</f>
        <v>Demolição - Contra piso existente</v>
      </c>
      <c r="F306" s="68" t="s">
        <v>3809</v>
      </c>
      <c r="G306" s="68" t="str">
        <f>VLOOKUP(D306,'03. Insumos'!A:F,3,0)</f>
        <v>m²</v>
      </c>
      <c r="H306" s="69"/>
      <c r="I306" s="69">
        <v>17.68</v>
      </c>
      <c r="J306" s="70">
        <f t="shared" si="180"/>
        <v>18</v>
      </c>
      <c r="K306" s="70">
        <f>IF(A306=0,VLOOKUP(D306,'03. Insumos'!A:F,4,0),"")</f>
        <v>18</v>
      </c>
      <c r="L306" s="70">
        <f t="shared" si="181"/>
        <v>0</v>
      </c>
      <c r="M306" s="153">
        <f t="shared" ca="1" si="136"/>
        <v>0</v>
      </c>
      <c r="O306" s="148">
        <f>IF(I306&lt;&gt;0,I306*H306*K306,)</f>
        <v>0</v>
      </c>
      <c r="R306" s="356">
        <f t="shared" si="183"/>
        <v>-0.52427184466019483</v>
      </c>
      <c r="T306" s="51">
        <f>3*10*120</f>
        <v>3600</v>
      </c>
      <c r="U306" s="224"/>
      <c r="V306" s="194"/>
    </row>
    <row r="307" spans="1:22" s="51" customFormat="1" ht="13.5" hidden="1" customHeight="1" outlineLevel="1" x14ac:dyDescent="0.3">
      <c r="A307" s="13">
        <f t="shared" si="182"/>
        <v>0</v>
      </c>
      <c r="B307" s="49"/>
      <c r="C307" s="49"/>
      <c r="D307" s="370" t="s">
        <v>5430</v>
      </c>
      <c r="E307" s="67" t="str">
        <f>VLOOKUP(D307,'03. Insumos'!A:D,2,0)</f>
        <v>Demolição - Revestimento existente</v>
      </c>
      <c r="F307" s="68" t="s">
        <v>3809</v>
      </c>
      <c r="G307" s="68" t="str">
        <f>VLOOKUP(D307,'03. Insumos'!A:F,3,0)</f>
        <v>m²</v>
      </c>
      <c r="H307" s="631"/>
      <c r="I307" s="69">
        <f>63.8+10.34+17.48</f>
        <v>91.62</v>
      </c>
      <c r="J307" s="70">
        <f t="shared" si="180"/>
        <v>10</v>
      </c>
      <c r="K307" s="70">
        <f>IF(A307=0,VLOOKUP(D307,'03. Insumos'!A:F,4,0),"")</f>
        <v>10</v>
      </c>
      <c r="L307" s="70">
        <f t="shared" si="181"/>
        <v>0</v>
      </c>
      <c r="M307" s="153">
        <f t="shared" ca="1" si="136"/>
        <v>0</v>
      </c>
      <c r="O307" s="148">
        <f>IF(I307&lt;&gt;0,I307*H307*K307,)</f>
        <v>0</v>
      </c>
      <c r="R307" s="356">
        <f t="shared" si="183"/>
        <v>-0.29126213592233086</v>
      </c>
    </row>
    <row r="308" spans="1:22" s="51" customFormat="1" ht="13.5" hidden="1" customHeight="1" outlineLevel="1" x14ac:dyDescent="0.3">
      <c r="A308" s="13">
        <f t="shared" si="182"/>
        <v>0</v>
      </c>
      <c r="B308" s="49"/>
      <c r="C308" s="49"/>
      <c r="D308" s="370" t="s">
        <v>5429</v>
      </c>
      <c r="E308" s="67" t="str">
        <f>VLOOKUP(D308,'03. Insumos'!A:D,2,0)</f>
        <v xml:space="preserve">Demolição - Rasgo para Rodapé </v>
      </c>
      <c r="F308" s="68" t="s">
        <v>3809</v>
      </c>
      <c r="G308" s="68" t="str">
        <f>VLOOKUP(D308,'03. Insumos'!A:F,3,0)</f>
        <v>m</v>
      </c>
      <c r="H308" s="69"/>
      <c r="I308" s="69"/>
      <c r="J308" s="70">
        <f t="shared" si="180"/>
        <v>12</v>
      </c>
      <c r="K308" s="70">
        <f>IF(A308=0,VLOOKUP(D308,'03. Insumos'!A:F,4,0),"")</f>
        <v>12</v>
      </c>
      <c r="L308" s="70">
        <f t="shared" si="181"/>
        <v>0</v>
      </c>
      <c r="M308" s="153">
        <f t="shared" ca="1" si="136"/>
        <v>0</v>
      </c>
      <c r="O308" s="148">
        <f>IF(I308&lt;&gt;0,I308*H308*K308,)</f>
        <v>0</v>
      </c>
      <c r="R308" s="356">
        <f t="shared" si="183"/>
        <v>-0.34951456310679596</v>
      </c>
    </row>
    <row r="309" spans="1:22" s="51" customFormat="1" ht="13.5" hidden="1" customHeight="1" outlineLevel="1" x14ac:dyDescent="0.3">
      <c r="A309" s="13">
        <f t="shared" si="182"/>
        <v>0</v>
      </c>
      <c r="B309" s="49"/>
      <c r="C309" s="49"/>
      <c r="D309" s="370" t="s">
        <v>5313</v>
      </c>
      <c r="E309" s="67" t="str">
        <f>VLOOKUP(D309,'03. Insumos'!A:D,2,0)</f>
        <v>Demolição - Paredes</v>
      </c>
      <c r="F309" s="68" t="s">
        <v>3809</v>
      </c>
      <c r="G309" s="68" t="str">
        <f>VLOOKUP(D309,'03. Insumos'!A:F,3,0)</f>
        <v>m²</v>
      </c>
      <c r="H309" s="69"/>
      <c r="I309" s="69">
        <v>15.5</v>
      </c>
      <c r="J309" s="70">
        <f t="shared" si="180"/>
        <v>18</v>
      </c>
      <c r="K309" s="70">
        <f>IF(A309=0,VLOOKUP(D309,'03. Insumos'!A:F,4,0),"")</f>
        <v>18</v>
      </c>
      <c r="L309" s="70">
        <f t="shared" si="181"/>
        <v>0</v>
      </c>
      <c r="M309" s="153">
        <f t="shared" ca="1" si="136"/>
        <v>0</v>
      </c>
      <c r="O309" s="148">
        <f>IF(I309&lt;&gt;0,I309*H309*K309,)</f>
        <v>0</v>
      </c>
      <c r="R309" s="356">
        <f t="shared" si="183"/>
        <v>-0.52427184466019483</v>
      </c>
    </row>
    <row r="310" spans="1:22" s="51" customFormat="1" ht="13.5" hidden="1" customHeight="1" outlineLevel="1" x14ac:dyDescent="0.3">
      <c r="A310" s="13">
        <f t="shared" si="182"/>
        <v>0</v>
      </c>
      <c r="B310" s="49"/>
      <c r="C310" s="49"/>
      <c r="D310" s="370" t="s">
        <v>172</v>
      </c>
      <c r="E310" s="67" t="str">
        <f>VLOOKUP(D310,'03. Insumos'!A:D,2,0)</f>
        <v>Caçamba para entulho</v>
      </c>
      <c r="F310" s="68" t="s">
        <v>5218</v>
      </c>
      <c r="G310" s="68" t="str">
        <f>VLOOKUP(D310,'03. Insumos'!A:F,3,0)</f>
        <v>uni</v>
      </c>
      <c r="H310" s="69"/>
      <c r="I310" s="69">
        <f>ROUNDUP((((((I305*0.04)*1.4)+((I306*0.02)*1.4)+((I308*0.03)*1.2)*1)+((I309*0.1)*1.5)+((I307*0.02)*1.3)*1)/4+((I304*0.2)*1.3))/5,0)</f>
        <v>1</v>
      </c>
      <c r="J310" s="70">
        <f t="shared" si="180"/>
        <v>400</v>
      </c>
      <c r="K310" s="70">
        <f>IF(A310=0,VLOOKUP(D310,'03. Insumos'!A:F,4,0),"")</f>
        <v>400</v>
      </c>
      <c r="L310" s="70">
        <f t="shared" si="181"/>
        <v>0</v>
      </c>
      <c r="M310" s="153">
        <f t="shared" ca="1" si="136"/>
        <v>0</v>
      </c>
      <c r="O310" s="148">
        <f t="shared" si="179"/>
        <v>0</v>
      </c>
      <c r="R310" s="356">
        <f t="shared" si="183"/>
        <v>-11.650485436893234</v>
      </c>
    </row>
    <row r="311" spans="1:22" s="18" customFormat="1" hidden="1" outlineLevel="1" x14ac:dyDescent="0.3">
      <c r="A311" s="290">
        <f t="shared" ref="A311" si="184">LEN(C311)</f>
        <v>4</v>
      </c>
      <c r="B311" s="45"/>
      <c r="C311" s="45" t="s">
        <v>378</v>
      </c>
      <c r="D311" s="45" t="s">
        <v>7616</v>
      </c>
      <c r="E311" s="347"/>
      <c r="F311" s="327"/>
      <c r="G311" s="327"/>
      <c r="H311" s="328"/>
      <c r="I311" s="328"/>
      <c r="J311" s="335"/>
      <c r="K311" s="335" t="str">
        <f>IF(A311=0,VLOOKUP(D311,'03. Insumos'!A:F,4,0),"")</f>
        <v/>
      </c>
      <c r="L311" s="335">
        <f>SUMIF(A312:A321,6,L312:L321)</f>
        <v>0</v>
      </c>
      <c r="M311" s="153">
        <f t="shared" ref="M311:M316" ca="1" si="185">L311/$L$7</f>
        <v>0</v>
      </c>
      <c r="O311" s="148">
        <f t="shared" ref="O311" si="186">IF(I311&lt;&gt;0,I311*H311*K311,)</f>
        <v>0</v>
      </c>
      <c r="R311" s="12">
        <f t="shared" ref="R311" si="187">IF(J311&lt;&gt;0,J311/1.03-K311,0)</f>
        <v>0</v>
      </c>
    </row>
    <row r="312" spans="1:22" s="18" customFormat="1" ht="13.5" hidden="1" customHeight="1" outlineLevel="1" x14ac:dyDescent="0.3">
      <c r="A312" s="18">
        <v>6</v>
      </c>
      <c r="B312" s="606"/>
      <c r="C312" s="606" t="s">
        <v>929</v>
      </c>
      <c r="D312" s="606" t="s">
        <v>8007</v>
      </c>
      <c r="E312" s="391"/>
      <c r="F312" s="325"/>
      <c r="G312" s="325" t="s">
        <v>37</v>
      </c>
      <c r="H312" s="326"/>
      <c r="I312" s="326"/>
      <c r="J312" s="812" t="e">
        <f>L312/H312</f>
        <v>#DIV/0!</v>
      </c>
      <c r="K312" s="607" t="s">
        <v>2787</v>
      </c>
      <c r="L312" s="334">
        <f>SUMIF(A313:A316,0,L313:L316)</f>
        <v>0</v>
      </c>
      <c r="M312" s="153">
        <f t="shared" ca="1" si="185"/>
        <v>0</v>
      </c>
      <c r="O312" s="600"/>
      <c r="R312" s="601"/>
    </row>
    <row r="313" spans="1:22" s="51" customFormat="1" ht="13.5" hidden="1" customHeight="1" outlineLevel="1" x14ac:dyDescent="0.3">
      <c r="A313" s="13">
        <v>0</v>
      </c>
      <c r="B313" s="49"/>
      <c r="C313" s="49"/>
      <c r="D313" s="370" t="s">
        <v>7607</v>
      </c>
      <c r="E313" s="67" t="str">
        <f>VLOOKUP(D313,'03. Insumos'!A:D,2,0)</f>
        <v>Mobilização do sistema de rebaixamento</v>
      </c>
      <c r="F313" s="68" t="s">
        <v>5218</v>
      </c>
      <c r="G313" s="68" t="str">
        <f>VLOOKUP(D313,'03. Insumos'!A:F,3,0)</f>
        <v>vb</v>
      </c>
      <c r="H313" s="69">
        <v>5610</v>
      </c>
      <c r="I313" s="69"/>
      <c r="J313" s="70">
        <f t="shared" ref="J313:J316" si="188">IFERROR(IF(K313&lt;&gt;0,K313*$K$5,0),0)</f>
        <v>1</v>
      </c>
      <c r="K313" s="70">
        <f>IF(A313=0,VLOOKUP(D313,'03. Insumos'!A:F,4,0),"")</f>
        <v>1</v>
      </c>
      <c r="L313" s="70">
        <f t="shared" ref="L313:L316" si="189">H313*J313*I313</f>
        <v>0</v>
      </c>
      <c r="M313" s="153">
        <f t="shared" ca="1" si="185"/>
        <v>0</v>
      </c>
      <c r="O313" s="148"/>
      <c r="R313" s="356"/>
    </row>
    <row r="314" spans="1:22" ht="13.5" hidden="1" customHeight="1" outlineLevel="1" x14ac:dyDescent="0.3">
      <c r="A314" s="13">
        <v>0</v>
      </c>
      <c r="B314" s="4"/>
      <c r="C314" s="4"/>
      <c r="D314" s="370" t="s">
        <v>7608</v>
      </c>
      <c r="E314" s="67" t="str">
        <f>VLOOKUP(D314,'03. Insumos'!A:D,2,0)</f>
        <v>Instalação do sistema de rebaixamento</v>
      </c>
      <c r="F314" s="68" t="s">
        <v>5218</v>
      </c>
      <c r="G314" s="68" t="str">
        <f>VLOOKUP(D314,'03. Insumos'!A:F,3,0)</f>
        <v>vb</v>
      </c>
      <c r="H314" s="69">
        <v>7800</v>
      </c>
      <c r="I314" s="69"/>
      <c r="J314" s="70">
        <f t="shared" si="188"/>
        <v>1</v>
      </c>
      <c r="K314" s="70">
        <f>IF(A314=0,VLOOKUP(D314,'03. Insumos'!A:F,4,0),"")</f>
        <v>1</v>
      </c>
      <c r="L314" s="70">
        <f t="shared" si="189"/>
        <v>0</v>
      </c>
      <c r="M314" s="153">
        <f t="shared" ca="1" si="185"/>
        <v>0</v>
      </c>
      <c r="O314" s="148"/>
      <c r="R314" s="356"/>
    </row>
    <row r="315" spans="1:22" hidden="1" outlineLevel="1" x14ac:dyDescent="0.3">
      <c r="A315" s="13">
        <v>0</v>
      </c>
      <c r="B315" s="4"/>
      <c r="C315" s="4"/>
      <c r="D315" s="370" t="s">
        <v>7617</v>
      </c>
      <c r="E315" s="706" t="str">
        <f>VLOOKUP(D315,'03. Insumos'!A:D,2,0)</f>
        <v>Locação mensal do sistema de rebaixamento - 50 ponteiras ligadas à 01 conjunto de bombas</v>
      </c>
      <c r="F315" s="68" t="s">
        <v>5218</v>
      </c>
      <c r="G315" s="68" t="str">
        <f>VLOOKUP(D315,'03. Insumos'!A:F,3,0)</f>
        <v>mês</v>
      </c>
      <c r="H315" s="69">
        <v>1</v>
      </c>
      <c r="I315" s="69">
        <f>H312</f>
        <v>0</v>
      </c>
      <c r="J315" s="70">
        <f t="shared" si="188"/>
        <v>21000</v>
      </c>
      <c r="K315" s="70">
        <f>IF(A315=0,VLOOKUP(D315,'03. Insumos'!A:F,4,0),"")</f>
        <v>21000</v>
      </c>
      <c r="L315" s="70">
        <f t="shared" si="189"/>
        <v>0</v>
      </c>
      <c r="M315" s="153">
        <f t="shared" ca="1" si="185"/>
        <v>0</v>
      </c>
      <c r="O315" s="148"/>
      <c r="R315" s="356"/>
    </row>
    <row r="316" spans="1:22" ht="13.5" hidden="1" customHeight="1" outlineLevel="1" x14ac:dyDescent="0.3">
      <c r="A316" s="13">
        <v>0</v>
      </c>
      <c r="B316" s="4"/>
      <c r="C316" s="4"/>
      <c r="D316" s="370" t="s">
        <v>7618</v>
      </c>
      <c r="E316" s="67" t="str">
        <f>VLOOKUP(D316,'03. Insumos'!A:D,2,0)</f>
        <v>Desmobilização do sistema de rebaixamento</v>
      </c>
      <c r="F316" s="68" t="s">
        <v>5218</v>
      </c>
      <c r="G316" s="68" t="str">
        <f>VLOOKUP(D316,'03. Insumos'!A:F,3,0)</f>
        <v>vb</v>
      </c>
      <c r="H316" s="69">
        <v>5610</v>
      </c>
      <c r="I316" s="69"/>
      <c r="J316" s="70">
        <f t="shared" si="188"/>
        <v>1</v>
      </c>
      <c r="K316" s="70">
        <f>IF(A316=0,VLOOKUP(D316,'03. Insumos'!A:F,4,0),"")</f>
        <v>1</v>
      </c>
      <c r="L316" s="70">
        <f t="shared" si="189"/>
        <v>0</v>
      </c>
      <c r="M316" s="153">
        <f t="shared" ca="1" si="185"/>
        <v>0</v>
      </c>
      <c r="O316" s="148"/>
      <c r="R316" s="356"/>
    </row>
    <row r="317" spans="1:22" s="18" customFormat="1" outlineLevel="1" x14ac:dyDescent="0.3">
      <c r="A317" s="290">
        <f t="shared" si="182"/>
        <v>4</v>
      </c>
      <c r="B317" s="45"/>
      <c r="C317" s="45" t="s">
        <v>5967</v>
      </c>
      <c r="D317" s="45" t="s">
        <v>5966</v>
      </c>
      <c r="E317" s="347"/>
      <c r="F317" s="327"/>
      <c r="G317" s="327"/>
      <c r="H317" s="328"/>
      <c r="I317" s="328"/>
      <c r="J317" s="335"/>
      <c r="K317" s="335" t="str">
        <f>IF(A317=0,VLOOKUP(D317,'03. Insumos'!A:F,4,0),"")</f>
        <v/>
      </c>
      <c r="L317" s="335">
        <f>SUMIF(A318:A327,6,L318:L327)</f>
        <v>236346.5</v>
      </c>
      <c r="M317" s="153">
        <f t="shared" ca="1" si="136"/>
        <v>1.4350660360566163E-2</v>
      </c>
      <c r="O317" s="148">
        <f t="shared" si="179"/>
        <v>0</v>
      </c>
      <c r="R317" s="12">
        <f t="shared" si="183"/>
        <v>0</v>
      </c>
    </row>
    <row r="318" spans="1:22" s="18" customFormat="1" ht="13.5" hidden="1" customHeight="1" outlineLevel="1" x14ac:dyDescent="0.3">
      <c r="A318" s="18">
        <v>6</v>
      </c>
      <c r="B318" s="606"/>
      <c r="C318" s="606" t="s">
        <v>5968</v>
      </c>
      <c r="D318" s="606" t="s">
        <v>5961</v>
      </c>
      <c r="E318" s="391"/>
      <c r="F318" s="325"/>
      <c r="G318" s="325"/>
      <c r="H318" s="326"/>
      <c r="I318" s="326"/>
      <c r="J318" s="334"/>
      <c r="K318" s="607" t="s">
        <v>2787</v>
      </c>
      <c r="L318" s="334">
        <f>SUMIF(A319:A322,0,L319:L322)</f>
        <v>0</v>
      </c>
      <c r="M318" s="153">
        <f t="shared" ref="M318:M494" ca="1" si="190">L318/$L$7</f>
        <v>0</v>
      </c>
      <c r="O318" s="600"/>
      <c r="R318" s="601"/>
    </row>
    <row r="319" spans="1:22" s="51" customFormat="1" ht="13.5" hidden="1" customHeight="1" outlineLevel="1" x14ac:dyDescent="0.3">
      <c r="A319" s="13">
        <v>0</v>
      </c>
      <c r="B319" s="49"/>
      <c r="C319" s="49"/>
      <c r="D319" s="370" t="s">
        <v>6405</v>
      </c>
      <c r="E319" s="67" t="str">
        <f>VLOOKUP(D319,'03. Insumos'!A:D,2,0)</f>
        <v>Retroescavadeira - Apoio hélice</v>
      </c>
      <c r="F319" s="68" t="s">
        <v>5218</v>
      </c>
      <c r="G319" s="68" t="str">
        <f>VLOOKUP(D319,'03. Insumos'!A:F,3,0)</f>
        <v>dia</v>
      </c>
      <c r="H319" s="69"/>
      <c r="I319" s="69">
        <v>193.25</v>
      </c>
      <c r="J319" s="70">
        <f t="shared" ref="J319:J322" si="191">IFERROR(IF(K319&lt;&gt;0,K319*$K$5,0),0)</f>
        <v>1500</v>
      </c>
      <c r="K319" s="70">
        <f>IF(A319=0,VLOOKUP(D319,'03. Insumos'!A:F,4,0),"")</f>
        <v>1500</v>
      </c>
      <c r="L319" s="70">
        <f t="shared" ref="L319:L322" si="192">H319*J319*I319</f>
        <v>0</v>
      </c>
      <c r="M319" s="153">
        <f t="shared" ca="1" si="190"/>
        <v>0</v>
      </c>
      <c r="O319" s="148"/>
      <c r="R319" s="356"/>
    </row>
    <row r="320" spans="1:22" ht="13.5" hidden="1" customHeight="1" outlineLevel="1" x14ac:dyDescent="0.3">
      <c r="A320" s="13">
        <v>0</v>
      </c>
      <c r="B320" s="4"/>
      <c r="C320" s="4"/>
      <c r="D320" s="370" t="s">
        <v>6406</v>
      </c>
      <c r="E320" s="67" t="str">
        <f>VLOOKUP(D320,'03. Insumos'!A:D,2,0)</f>
        <v>Caminhão - Apoio bota fora estaca hélice</v>
      </c>
      <c r="F320" s="68" t="s">
        <v>5218</v>
      </c>
      <c r="G320" s="68" t="str">
        <f>VLOOKUP(D320,'03. Insumos'!A:F,3,0)</f>
        <v>m³</v>
      </c>
      <c r="H320" s="69"/>
      <c r="I320" s="69">
        <f>((PI()*(0.5*0.5)*H436)+(PI()*0.6*0.6*H459)+H482)</f>
        <v>121.25999999999999</v>
      </c>
      <c r="J320" s="70">
        <f t="shared" si="191"/>
        <v>42</v>
      </c>
      <c r="K320" s="70">
        <f>IF(A320=0,VLOOKUP(D320,'03. Insumos'!A:F,4,0),"")</f>
        <v>42</v>
      </c>
      <c r="L320" s="70">
        <f t="shared" si="192"/>
        <v>0</v>
      </c>
      <c r="M320" s="153">
        <f t="shared" ca="1" si="190"/>
        <v>0</v>
      </c>
      <c r="O320" s="148"/>
      <c r="R320" s="356"/>
    </row>
    <row r="321" spans="1:22" ht="13.5" hidden="1" customHeight="1" outlineLevel="1" x14ac:dyDescent="0.3">
      <c r="A321" s="13">
        <v>0</v>
      </c>
      <c r="B321" s="4"/>
      <c r="C321" s="4"/>
      <c r="D321" s="370" t="s">
        <v>6407</v>
      </c>
      <c r="E321" s="67" t="str">
        <f>VLOOKUP(D321,'03. Insumos'!A:D,2,0)</f>
        <v>Escavação Manual - Blocos e Cintas - Mão de Obra</v>
      </c>
      <c r="F321" s="68" t="s">
        <v>5218</v>
      </c>
      <c r="G321" s="68" t="str">
        <f>VLOOKUP(D321,'03. Insumos'!A:F,3,0)</f>
        <v>m³</v>
      </c>
      <c r="H321" s="69"/>
      <c r="I321" s="69">
        <f>H482*3</f>
        <v>363.78</v>
      </c>
      <c r="J321" s="70">
        <f t="shared" si="191"/>
        <v>13.33</v>
      </c>
      <c r="K321" s="70">
        <f>IF(A321=0,VLOOKUP(D321,'03. Insumos'!A:F,4,0),"")</f>
        <v>13.33</v>
      </c>
      <c r="L321" s="70">
        <f t="shared" si="192"/>
        <v>0</v>
      </c>
      <c r="M321" s="153">
        <f t="shared" ca="1" si="190"/>
        <v>0</v>
      </c>
      <c r="O321" s="148"/>
      <c r="R321" s="356"/>
    </row>
    <row r="322" spans="1:22" ht="13.5" hidden="1" customHeight="1" outlineLevel="1" x14ac:dyDescent="0.3">
      <c r="A322" s="13">
        <v>0</v>
      </c>
      <c r="B322" s="4"/>
      <c r="C322" s="4"/>
      <c r="D322" s="370" t="s">
        <v>6408</v>
      </c>
      <c r="E322" s="67" t="str">
        <f>VLOOKUP(D322,'03. Insumos'!A:D,2,0)</f>
        <v>Reaterro Manual - Blocos e Cintas - Mão de Obra</v>
      </c>
      <c r="F322" s="68" t="s">
        <v>5218</v>
      </c>
      <c r="G322" s="68" t="str">
        <f>VLOOKUP(D322,'03. Insumos'!A:F,3,0)</f>
        <v>m³</v>
      </c>
      <c r="H322" s="69"/>
      <c r="I322" s="69">
        <f>I321</f>
        <v>363.78</v>
      </c>
      <c r="J322" s="70">
        <f t="shared" si="191"/>
        <v>7</v>
      </c>
      <c r="K322" s="70">
        <f>IF(A322=0,VLOOKUP(D322,'03. Insumos'!A:F,4,0),"")</f>
        <v>7</v>
      </c>
      <c r="L322" s="70">
        <f t="shared" si="192"/>
        <v>0</v>
      </c>
      <c r="M322" s="153">
        <f t="shared" ca="1" si="190"/>
        <v>0</v>
      </c>
      <c r="O322" s="148"/>
      <c r="R322" s="356"/>
    </row>
    <row r="323" spans="1:22" s="51" customFormat="1" ht="13.5" customHeight="1" outlineLevel="1" x14ac:dyDescent="0.3">
      <c r="A323" s="13">
        <v>6</v>
      </c>
      <c r="B323" s="49"/>
      <c r="C323" s="606" t="s">
        <v>5968</v>
      </c>
      <c r="D323" s="606" t="s">
        <v>7260</v>
      </c>
      <c r="E323" s="391"/>
      <c r="F323" s="68"/>
      <c r="G323" s="325" t="s">
        <v>72</v>
      </c>
      <c r="H323" s="326">
        <f>I327</f>
        <v>3596.1</v>
      </c>
      <c r="I323" s="69"/>
      <c r="J323" s="812">
        <f>L323/H323</f>
        <v>65.723005478156892</v>
      </c>
      <c r="K323" s="70" t="s">
        <v>2787</v>
      </c>
      <c r="L323" s="334">
        <f>SUMIF(A324:A327,0,L324:L327)</f>
        <v>236346.5</v>
      </c>
      <c r="M323" s="153">
        <f t="shared" ca="1" si="190"/>
        <v>1.4350660360566163E-2</v>
      </c>
      <c r="O323" s="148"/>
      <c r="R323" s="356"/>
      <c r="T323" s="224"/>
      <c r="U323" s="224"/>
      <c r="V323" s="224"/>
    </row>
    <row r="324" spans="1:22" s="51" customFormat="1" ht="13.5" hidden="1" customHeight="1" outlineLevel="1" x14ac:dyDescent="0.3">
      <c r="A324" s="13">
        <v>0</v>
      </c>
      <c r="B324" s="49"/>
      <c r="C324" s="49"/>
      <c r="D324" s="370" t="s">
        <v>6092</v>
      </c>
      <c r="E324" s="67" t="str">
        <f>VLOOKUP(D324,'03. Insumos'!A:D,2,0)</f>
        <v xml:space="preserve">Locação Miniescavadeira </v>
      </c>
      <c r="F324" s="68" t="s">
        <v>5218</v>
      </c>
      <c r="G324" s="68" t="str">
        <f>VLOOKUP(D324,'03. Insumos'!A:F,3,0)</f>
        <v>hr</v>
      </c>
      <c r="H324" s="69">
        <v>1</v>
      </c>
      <c r="I324" s="69"/>
      <c r="J324" s="70">
        <f t="shared" ref="J324:J327" si="193">IFERROR(IF(K324&lt;&gt;0,K324*$K$5,0),0)</f>
        <v>150</v>
      </c>
      <c r="K324" s="70">
        <f>IF(A324=0,VLOOKUP(D324,'03. Insumos'!A:F,4,0),"")</f>
        <v>150</v>
      </c>
      <c r="L324" s="70">
        <f t="shared" ref="L324" si="194">H324*J324*I324</f>
        <v>0</v>
      </c>
      <c r="M324" s="153">
        <f t="shared" ca="1" si="190"/>
        <v>0</v>
      </c>
      <c r="O324" s="148"/>
      <c r="R324" s="356"/>
      <c r="U324" s="224"/>
      <c r="V324" s="194"/>
    </row>
    <row r="325" spans="1:22" s="51" customFormat="1" ht="13.5" hidden="1" customHeight="1" outlineLevel="1" x14ac:dyDescent="0.3">
      <c r="A325" s="13">
        <v>0</v>
      </c>
      <c r="B325" s="49"/>
      <c r="C325" s="49"/>
      <c r="D325" s="370" t="s">
        <v>7391</v>
      </c>
      <c r="E325" s="67" t="str">
        <f>VLOOKUP(D325,'03. Insumos'!A:D,2,0)</f>
        <v>Locação Minicarregadeira</v>
      </c>
      <c r="F325" s="68" t="s">
        <v>5218</v>
      </c>
      <c r="G325" s="68" t="str">
        <f>VLOOKUP(D325,'03. Insumos'!A:F,3,0)</f>
        <v>hr</v>
      </c>
      <c r="H325" s="69">
        <v>1</v>
      </c>
      <c r="I325" s="69"/>
      <c r="J325" s="70">
        <f t="shared" ref="J325:J326" si="195">IFERROR(IF(K325&lt;&gt;0,K325*$K$5,0),0)</f>
        <v>120</v>
      </c>
      <c r="K325" s="70">
        <f>IF(A325=0,VLOOKUP(D325,'03. Insumos'!A:F,4,0),"")</f>
        <v>120</v>
      </c>
      <c r="L325" s="70">
        <f t="shared" ref="L325:L326" si="196">H325*J325*I325</f>
        <v>0</v>
      </c>
      <c r="M325" s="153">
        <f t="shared" ca="1" si="190"/>
        <v>0</v>
      </c>
      <c r="O325" s="148"/>
      <c r="R325" s="356"/>
      <c r="U325" s="224"/>
      <c r="V325" s="194"/>
    </row>
    <row r="326" spans="1:22" s="51" customFormat="1" ht="13.5" customHeight="1" outlineLevel="1" x14ac:dyDescent="0.3">
      <c r="A326" s="13">
        <v>0</v>
      </c>
      <c r="B326" s="49"/>
      <c r="C326" s="49"/>
      <c r="D326" s="370" t="s">
        <v>7392</v>
      </c>
      <c r="E326" s="67" t="str">
        <f>VLOOKUP(D326,'03. Insumos'!A:D,2,0)</f>
        <v>Frete de equipamentos</v>
      </c>
      <c r="F326" s="68" t="s">
        <v>5218</v>
      </c>
      <c r="G326" s="68" t="str">
        <f>VLOOKUP(D326,'03. Insumos'!A:F,3,0)</f>
        <v>unid</v>
      </c>
      <c r="H326" s="69">
        <v>1</v>
      </c>
      <c r="I326" s="69">
        <v>2</v>
      </c>
      <c r="J326" s="70">
        <f t="shared" si="195"/>
        <v>1300</v>
      </c>
      <c r="K326" s="70">
        <f>IF(A326=0,VLOOKUP(D326,'03. Insumos'!A:F,4,0),"")</f>
        <v>1300</v>
      </c>
      <c r="L326" s="70">
        <f t="shared" si="196"/>
        <v>2600</v>
      </c>
      <c r="M326" s="153">
        <f t="shared" ca="1" si="190"/>
        <v>1.5786870944766275E-4</v>
      </c>
      <c r="O326" s="148"/>
      <c r="R326" s="356"/>
      <c r="U326" s="224"/>
      <c r="V326" s="194"/>
    </row>
    <row r="327" spans="1:22" s="51" customFormat="1" ht="13.5" customHeight="1" outlineLevel="1" x14ac:dyDescent="0.3">
      <c r="A327" s="13">
        <v>0</v>
      </c>
      <c r="B327" s="49"/>
      <c r="C327" s="49"/>
      <c r="D327" s="370" t="s">
        <v>5946</v>
      </c>
      <c r="E327" s="67" t="str">
        <f>VLOOKUP(D327,'03. Insumos'!A:D,2,0)</f>
        <v>Carga e bota fora</v>
      </c>
      <c r="F327" s="68" t="s">
        <v>5218</v>
      </c>
      <c r="G327" s="68" t="str">
        <f>VLOOKUP(D327,'03. Insumos'!A:F,3,0)</f>
        <v>m³</v>
      </c>
      <c r="H327" s="69">
        <v>1.3</v>
      </c>
      <c r="I327" s="69">
        <f>3288.5+23.35+284.25</f>
        <v>3596.1</v>
      </c>
      <c r="J327" s="70">
        <f t="shared" si="193"/>
        <v>50</v>
      </c>
      <c r="K327" s="70">
        <f>IF(A327=0,VLOOKUP(D327,'03. Insumos'!A:F,4,0),"")</f>
        <v>50</v>
      </c>
      <c r="L327" s="70">
        <f>H327*J327*I327</f>
        <v>233746.5</v>
      </c>
      <c r="M327" s="153">
        <f t="shared" ca="1" si="190"/>
        <v>1.4192791651118499E-2</v>
      </c>
      <c r="O327" s="148"/>
      <c r="R327" s="356"/>
      <c r="U327" s="224"/>
      <c r="V327" s="194"/>
    </row>
    <row r="328" spans="1:22" s="592" customFormat="1" ht="13.5" customHeight="1" x14ac:dyDescent="0.3">
      <c r="A328" s="478">
        <f t="shared" si="162"/>
        <v>3</v>
      </c>
      <c r="B328" s="390"/>
      <c r="C328" s="390" t="s">
        <v>344</v>
      </c>
      <c r="D328" s="390" t="s">
        <v>114</v>
      </c>
      <c r="E328" s="390"/>
      <c r="F328" s="323"/>
      <c r="G328" s="562"/>
      <c r="H328" s="324"/>
      <c r="I328" s="324"/>
      <c r="J328" s="333"/>
      <c r="K328" s="333"/>
      <c r="L328" s="333">
        <f>SUMIF(A329:A515,4,L329:L515)</f>
        <v>970337.50762339332</v>
      </c>
      <c r="M328" s="153">
        <f t="shared" ca="1" si="190"/>
        <v>5.8917665406602579E-2</v>
      </c>
      <c r="O328" s="499">
        <f t="shared" si="179"/>
        <v>0</v>
      </c>
      <c r="R328" s="348"/>
      <c r="S328" s="609"/>
    </row>
    <row r="329" spans="1:22" s="18" customFormat="1" ht="13.5" hidden="1" customHeight="1" outlineLevel="1" x14ac:dyDescent="0.3">
      <c r="A329" s="290">
        <f t="shared" si="162"/>
        <v>4</v>
      </c>
      <c r="B329" s="45"/>
      <c r="C329" s="45" t="s">
        <v>377</v>
      </c>
      <c r="D329" s="45" t="s">
        <v>3509</v>
      </c>
      <c r="E329" s="347"/>
      <c r="F329" s="327"/>
      <c r="G329" s="327"/>
      <c r="H329" s="328"/>
      <c r="I329" s="328"/>
      <c r="J329" s="335"/>
      <c r="K329" s="335" t="str">
        <f>IF(A329=0,VLOOKUP(D329,'03. Insumos'!A:F,4,0),"")</f>
        <v/>
      </c>
      <c r="L329" s="335">
        <f>SUMIF(A330:A333,6,L330:L333)</f>
        <v>0</v>
      </c>
      <c r="M329" s="153">
        <f t="shared" ca="1" si="190"/>
        <v>0</v>
      </c>
      <c r="O329" s="148">
        <f t="shared" si="179"/>
        <v>0</v>
      </c>
      <c r="R329" s="12"/>
    </row>
    <row r="330" spans="1:22" s="18" customFormat="1" ht="13.5" hidden="1" customHeight="1" outlineLevel="1" x14ac:dyDescent="0.3">
      <c r="A330" s="18">
        <f>LEN(C330)</f>
        <v>6</v>
      </c>
      <c r="B330" s="606"/>
      <c r="C330" s="606" t="s">
        <v>930</v>
      </c>
      <c r="D330" s="606" t="s">
        <v>3523</v>
      </c>
      <c r="E330" s="391"/>
      <c r="F330" s="325"/>
      <c r="G330" s="325" t="s">
        <v>74</v>
      </c>
      <c r="H330" s="326"/>
      <c r="I330" s="326"/>
      <c r="J330" s="334"/>
      <c r="K330" s="607" t="str">
        <f>IF(A330=0,VLOOKUP(D330,'03. Insumos'!A:F,4,0),"")</f>
        <v/>
      </c>
      <c r="L330" s="334">
        <f>SUMIF(A331:A333,,L331:L333)</f>
        <v>0</v>
      </c>
      <c r="M330" s="153">
        <f t="shared" ca="1" si="190"/>
        <v>0</v>
      </c>
      <c r="O330" s="600"/>
      <c r="R330" s="601"/>
    </row>
    <row r="331" spans="1:22" ht="13.5" hidden="1" customHeight="1" outlineLevel="1" x14ac:dyDescent="0.3">
      <c r="A331" s="13">
        <v>0</v>
      </c>
      <c r="B331" s="67"/>
      <c r="C331" s="55"/>
      <c r="D331" s="140" t="s">
        <v>3383</v>
      </c>
      <c r="E331" s="67" t="str">
        <f>VLOOKUP(D331,'03. Insumos'!A:D,2,0)</f>
        <v>Fornecimento Estaca Pré Moldada de concreto (281mm)</v>
      </c>
      <c r="F331" s="68" t="s">
        <v>5218</v>
      </c>
      <c r="G331" s="68" t="str">
        <f>VLOOKUP(D331,'03. Insumos'!A:F,3,0)</f>
        <v>m</v>
      </c>
      <c r="H331" s="69"/>
      <c r="I331" s="69"/>
      <c r="J331" s="70">
        <f>IFERROR(IF(K331&lt;&gt;0,K331*$K$5,0),0)</f>
        <v>120</v>
      </c>
      <c r="K331" s="54">
        <f>IF(A331=0,VLOOKUP(D331,'03. Insumos'!A:F,4,0),"")</f>
        <v>120</v>
      </c>
      <c r="L331" s="70">
        <f>H331*J331*I331</f>
        <v>0</v>
      </c>
      <c r="M331" s="153">
        <f t="shared" ca="1" si="190"/>
        <v>0</v>
      </c>
      <c r="O331" s="148"/>
      <c r="R331" s="356"/>
    </row>
    <row r="332" spans="1:22" ht="13.5" hidden="1" customHeight="1" outlineLevel="1" x14ac:dyDescent="0.3">
      <c r="A332" s="13">
        <v>0</v>
      </c>
      <c r="B332" s="67"/>
      <c r="C332" s="55"/>
      <c r="D332" s="140" t="s">
        <v>4885</v>
      </c>
      <c r="E332" s="67" t="str">
        <f>VLOOKUP(D332,'03. Insumos'!A:D,2,0)</f>
        <v>Cravação Estaca Pré Moldada de concreto (281mm)</v>
      </c>
      <c r="F332" s="68" t="s">
        <v>5218</v>
      </c>
      <c r="G332" s="68" t="str">
        <f>VLOOKUP(D332,'03. Insumos'!A:F,3,0)</f>
        <v>m</v>
      </c>
      <c r="H332" s="69"/>
      <c r="I332" s="69"/>
      <c r="J332" s="70">
        <f>IFERROR(IF(K332&lt;&gt;0,K332*$K$5,0),0)</f>
        <v>50</v>
      </c>
      <c r="K332" s="54">
        <f>IF(A332=0,VLOOKUP(D332,'03. Insumos'!A:F,4,0),"")</f>
        <v>50</v>
      </c>
      <c r="L332" s="70">
        <f>H332*J332*I332</f>
        <v>0</v>
      </c>
      <c r="M332" s="153">
        <f t="shared" ca="1" si="190"/>
        <v>0</v>
      </c>
      <c r="O332" s="148"/>
      <c r="R332" s="356"/>
    </row>
    <row r="333" spans="1:22" ht="13.5" hidden="1" customHeight="1" outlineLevel="1" x14ac:dyDescent="0.3">
      <c r="A333" s="13">
        <v>0</v>
      </c>
      <c r="B333" s="67"/>
      <c r="C333" s="55"/>
      <c r="D333" s="140" t="s">
        <v>3384</v>
      </c>
      <c r="E333" s="67" t="str">
        <f>VLOOKUP(D333,'03. Insumos'!A:D,2,0)</f>
        <v>Mobilização para execução da estaca pré moldada</v>
      </c>
      <c r="F333" s="68" t="s">
        <v>5218</v>
      </c>
      <c r="G333" s="68" t="str">
        <f>VLOOKUP(D333,'03. Insumos'!A:F,3,0)</f>
        <v>vb</v>
      </c>
      <c r="H333" s="69"/>
      <c r="I333" s="69"/>
      <c r="J333" s="70">
        <f>IFERROR(IF(K333&lt;&gt;0,K333*$K$5,0),0)</f>
        <v>6000</v>
      </c>
      <c r="K333" s="54">
        <f>IF(A333=0,VLOOKUP(D333,'03. Insumos'!A:F,4,0),"")</f>
        <v>6000</v>
      </c>
      <c r="L333" s="70">
        <f>H333*J333*I333</f>
        <v>0</v>
      </c>
      <c r="M333" s="153">
        <f t="shared" ca="1" si="190"/>
        <v>0</v>
      </c>
      <c r="O333" s="148"/>
      <c r="R333" s="356"/>
    </row>
    <row r="334" spans="1:22" s="18" customFormat="1" ht="13.5" customHeight="1" outlineLevel="1" x14ac:dyDescent="0.3">
      <c r="A334" s="290">
        <f t="shared" ref="A334" si="197">LEN(C334)</f>
        <v>4</v>
      </c>
      <c r="B334" s="45"/>
      <c r="C334" s="45" t="s">
        <v>377</v>
      </c>
      <c r="D334" s="45" t="s">
        <v>8042</v>
      </c>
      <c r="E334" s="347"/>
      <c r="F334" s="327"/>
      <c r="G334" s="327"/>
      <c r="H334" s="328"/>
      <c r="I334" s="328"/>
      <c r="J334" s="335"/>
      <c r="K334" s="335" t="str">
        <f>IF(A334=0,VLOOKUP(D334,'03. Insumos'!A:F,4,0),"")</f>
        <v/>
      </c>
      <c r="L334" s="335">
        <f>SUMIF(A335:A434,6,L335:L434)</f>
        <v>588049.06624712003</v>
      </c>
      <c r="M334" s="153">
        <f t="shared" ca="1" si="190"/>
        <v>3.570559506935999E-2</v>
      </c>
      <c r="O334" s="148">
        <f t="shared" ref="O334" si="198">IF(I334&lt;&gt;0,I334*H334*K334,)</f>
        <v>0</v>
      </c>
      <c r="R334" s="12"/>
    </row>
    <row r="335" spans="1:22" s="18" customFormat="1" ht="13.5" hidden="1" customHeight="1" outlineLevel="1" x14ac:dyDescent="0.3">
      <c r="A335" s="18">
        <f>LEN(C335)</f>
        <v>6</v>
      </c>
      <c r="B335" s="606"/>
      <c r="C335" s="606" t="s">
        <v>4529</v>
      </c>
      <c r="D335" s="606" t="s">
        <v>3523</v>
      </c>
      <c r="E335" s="391"/>
      <c r="F335" s="325"/>
      <c r="G335" s="325"/>
      <c r="H335" s="326"/>
      <c r="I335" s="326"/>
      <c r="J335" s="334"/>
      <c r="K335" s="607" t="str">
        <f>IF(A335=0,VLOOKUP(D335,'03. Insumos'!A:F,4,0),"")</f>
        <v/>
      </c>
      <c r="L335" s="334">
        <f>SUMIF(A336:A340,,L336:L340)</f>
        <v>0</v>
      </c>
      <c r="M335" s="153">
        <f t="shared" ca="1" si="190"/>
        <v>0</v>
      </c>
      <c r="O335" s="600"/>
      <c r="R335" s="601"/>
    </row>
    <row r="336" spans="1:22" ht="13.5" hidden="1" customHeight="1" outlineLevel="1" x14ac:dyDescent="0.3">
      <c r="A336" s="13">
        <v>0</v>
      </c>
      <c r="B336" s="67"/>
      <c r="C336" s="55"/>
      <c r="D336" s="370" t="s">
        <v>6625</v>
      </c>
      <c r="E336" s="370" t="str">
        <f>VLOOKUP(D336,'03. Insumos'!A:D,2,0)</f>
        <v>Complemento da cortina dos fundos - Material e Mão de Obra</v>
      </c>
      <c r="F336" s="344" t="s">
        <v>5218</v>
      </c>
      <c r="G336" s="344" t="str">
        <f>VLOOKUP(D336,'03. Insumos'!A:F,3,0)</f>
        <v>vb</v>
      </c>
      <c r="H336" s="345"/>
      <c r="I336" s="345">
        <v>1</v>
      </c>
      <c r="J336" s="342">
        <f>IFERROR(IF(K336&lt;&gt;0,K336*$K$5,0),0)</f>
        <v>1</v>
      </c>
      <c r="K336" s="342">
        <f>IF(A336=0,VLOOKUP(D336,'03. Insumos'!A:F,4,0),"")</f>
        <v>1</v>
      </c>
      <c r="L336" s="342">
        <f>H336*J336*I336</f>
        <v>0</v>
      </c>
      <c r="M336" s="153">
        <f t="shared" ca="1" si="190"/>
        <v>0</v>
      </c>
      <c r="O336" s="148"/>
      <c r="R336" s="356"/>
    </row>
    <row r="337" spans="1:22" ht="13.5" hidden="1" customHeight="1" outlineLevel="1" x14ac:dyDescent="0.3">
      <c r="A337" s="13">
        <v>0</v>
      </c>
      <c r="B337" s="67"/>
      <c r="C337" s="55"/>
      <c r="D337" s="370" t="s">
        <v>6626</v>
      </c>
      <c r="E337" s="370" t="str">
        <f>VLOOKUP(D337,'03. Insumos'!A:D,2,0)</f>
        <v>Cortina Lateral Direita - Material e Mão de Obra</v>
      </c>
      <c r="F337" s="344" t="s">
        <v>5218</v>
      </c>
      <c r="G337" s="344" t="str">
        <f>VLOOKUP(D337,'03. Insumos'!A:F,3,0)</f>
        <v>vb</v>
      </c>
      <c r="H337" s="345"/>
      <c r="I337" s="345">
        <v>1</v>
      </c>
      <c r="J337" s="342">
        <f>IFERROR(IF(K337&lt;&gt;0,K337*$K$5,0),0)</f>
        <v>1</v>
      </c>
      <c r="K337" s="342">
        <f>IF(A337=0,VLOOKUP(D337,'03. Insumos'!A:F,4,0),"")</f>
        <v>1</v>
      </c>
      <c r="L337" s="342">
        <f>H337*J337*I337</f>
        <v>0</v>
      </c>
      <c r="M337" s="153">
        <f t="shared" ca="1" si="190"/>
        <v>0</v>
      </c>
      <c r="O337" s="148"/>
      <c r="R337" s="356"/>
    </row>
    <row r="338" spans="1:22" ht="13.5" hidden="1" customHeight="1" outlineLevel="1" x14ac:dyDescent="0.3">
      <c r="A338" s="13">
        <v>0</v>
      </c>
      <c r="B338" s="67"/>
      <c r="C338" s="55"/>
      <c r="D338" s="370" t="s">
        <v>6627</v>
      </c>
      <c r="E338" s="370" t="str">
        <f>VLOOKUP(D338,'03. Insumos'!A:D,2,0)</f>
        <v>Sistema de Drenagem - Material e Mão de Obra</v>
      </c>
      <c r="F338" s="344" t="s">
        <v>5218</v>
      </c>
      <c r="G338" s="344" t="str">
        <f>VLOOKUP(D338,'03. Insumos'!A:F,3,0)</f>
        <v>vb</v>
      </c>
      <c r="H338" s="345"/>
      <c r="I338" s="345">
        <v>1</v>
      </c>
      <c r="J338" s="342">
        <f>IFERROR(IF(K338&lt;&gt;0,K338*$K$5,0),0)</f>
        <v>1</v>
      </c>
      <c r="K338" s="342">
        <f>IF(A338=0,VLOOKUP(D338,'03. Insumos'!A:F,4,0),"")</f>
        <v>1</v>
      </c>
      <c r="L338" s="342">
        <f>H338*J338*I338</f>
        <v>0</v>
      </c>
      <c r="M338" s="153">
        <f t="shared" ca="1" si="190"/>
        <v>0</v>
      </c>
      <c r="O338" s="148"/>
      <c r="R338" s="356"/>
    </row>
    <row r="339" spans="1:22" ht="13.5" hidden="1" customHeight="1" outlineLevel="1" x14ac:dyDescent="0.3">
      <c r="A339" s="13">
        <v>0</v>
      </c>
      <c r="B339" s="67"/>
      <c r="C339" s="55"/>
      <c r="D339" s="370" t="s">
        <v>6628</v>
      </c>
      <c r="E339" s="370" t="str">
        <f>VLOOKUP(D339,'03. Insumos'!A:D,2,0)</f>
        <v>Escavação de Solo - Material e Mã de Obra</v>
      </c>
      <c r="F339" s="344" t="s">
        <v>5218</v>
      </c>
      <c r="G339" s="344" t="str">
        <f>VLOOKUP(D339,'03. Insumos'!A:F,3,0)</f>
        <v>m³</v>
      </c>
      <c r="H339" s="345"/>
      <c r="I339" s="345"/>
      <c r="J339" s="342">
        <f>IFERROR(IF(K339&lt;&gt;0,K339*$K$5,0),0)</f>
        <v>100</v>
      </c>
      <c r="K339" s="342">
        <f>IF(A339=0,VLOOKUP(D339,'03. Insumos'!A:F,4,0),"")</f>
        <v>100</v>
      </c>
      <c r="L339" s="342">
        <f>H339*J339*I339</f>
        <v>0</v>
      </c>
      <c r="M339" s="153">
        <f t="shared" ca="1" si="190"/>
        <v>0</v>
      </c>
      <c r="O339" s="148"/>
      <c r="R339" s="356"/>
    </row>
    <row r="340" spans="1:22" ht="13.5" hidden="1" customHeight="1" outlineLevel="1" x14ac:dyDescent="0.3">
      <c r="A340" s="13">
        <v>0</v>
      </c>
      <c r="B340" s="67"/>
      <c r="C340" s="55"/>
      <c r="D340" s="370" t="s">
        <v>6629</v>
      </c>
      <c r="E340" s="370" t="str">
        <f>VLOOKUP(D340,'03. Insumos'!A:D,2,0)</f>
        <v>Escavação em Rocha - Material e Mão de Obra</v>
      </c>
      <c r="F340" s="344" t="s">
        <v>5218</v>
      </c>
      <c r="G340" s="344" t="str">
        <f>VLOOKUP(D340,'03. Insumos'!A:F,3,0)</f>
        <v>m³</v>
      </c>
      <c r="H340" s="345"/>
      <c r="I340" s="345">
        <v>1</v>
      </c>
      <c r="J340" s="342">
        <f>IFERROR(IF(K340&lt;&gt;0,K340*$K$5,0),0)</f>
        <v>922.71539999999993</v>
      </c>
      <c r="K340" s="342">
        <f>IF(A340=0,VLOOKUP(D340,'03. Insumos'!A:F,4,0),"")</f>
        <v>922.71539999999993</v>
      </c>
      <c r="L340" s="342">
        <f>H340*J340*I340</f>
        <v>0</v>
      </c>
      <c r="M340" s="153">
        <f t="shared" ca="1" si="190"/>
        <v>0</v>
      </c>
      <c r="O340" s="148"/>
      <c r="R340" s="356"/>
    </row>
    <row r="341" spans="1:22" ht="13.5" customHeight="1" outlineLevel="1" x14ac:dyDescent="0.3">
      <c r="A341" s="290">
        <f t="shared" ref="A341:A344" si="199">LEN(C341)</f>
        <v>6</v>
      </c>
      <c r="B341" s="4"/>
      <c r="C341" s="606" t="s">
        <v>4529</v>
      </c>
      <c r="D341" s="606" t="s">
        <v>8657</v>
      </c>
      <c r="E341" s="4"/>
      <c r="F341" s="2"/>
      <c r="G341" s="782" t="s">
        <v>74</v>
      </c>
      <c r="H341" s="919">
        <f>SUM(I342:I344)</f>
        <v>1365</v>
      </c>
      <c r="I341" s="767"/>
      <c r="J341" s="673">
        <f>L341/H341</f>
        <v>285.44423900887909</v>
      </c>
      <c r="K341" s="768" t="s">
        <v>2787</v>
      </c>
      <c r="L341" s="786">
        <f>SUM(L342:L355)</f>
        <v>389631.38624711998</v>
      </c>
      <c r="M341" s="153">
        <f t="shared" ref="M341:M355" ca="1" si="200">L341/$L$7</f>
        <v>2.3657924656591018E-2</v>
      </c>
    </row>
    <row r="342" spans="1:22" s="51" customFormat="1" ht="13.5" hidden="1" customHeight="1" outlineLevel="1" x14ac:dyDescent="0.3">
      <c r="A342" s="13">
        <f t="shared" si="199"/>
        <v>0</v>
      </c>
      <c r="B342" s="49"/>
      <c r="C342" s="49"/>
      <c r="D342" s="370" t="s">
        <v>7551</v>
      </c>
      <c r="E342" s="67" t="str">
        <f>VLOOKUP(D342,'03. Insumos'!A:D,2,0)</f>
        <v>Execução de estaca hélice contínua 80 cm</v>
      </c>
      <c r="F342" s="68" t="s">
        <v>5218</v>
      </c>
      <c r="G342" s="68" t="str">
        <f>VLOOKUP(D342,'03. Insumos'!A:F,3,0)</f>
        <v>m</v>
      </c>
      <c r="H342" s="69">
        <v>1</v>
      </c>
      <c r="I342" s="69"/>
      <c r="J342" s="70">
        <f t="shared" ref="J342:J355" si="201">IFERROR(IF(K342&lt;&gt;0,K342*$K$5,0),0)</f>
        <v>125</v>
      </c>
      <c r="K342" s="54">
        <f>IF(A342=0,VLOOKUP(D342,'03. Insumos'!A:F,4,0),"")</f>
        <v>125</v>
      </c>
      <c r="L342" s="70">
        <f t="shared" ref="L342:L344" si="202">H342*J342*I342</f>
        <v>0</v>
      </c>
      <c r="M342" s="153">
        <f t="shared" ca="1" si="200"/>
        <v>0</v>
      </c>
      <c r="U342" s="224">
        <f>T325+T351</f>
        <v>-58434.752747999999</v>
      </c>
      <c r="V342" s="224" t="e">
        <f>#REF!+U342</f>
        <v>#REF!</v>
      </c>
    </row>
    <row r="343" spans="1:22" s="51" customFormat="1" ht="13.5" customHeight="1" outlineLevel="1" x14ac:dyDescent="0.3">
      <c r="A343" s="13">
        <f t="shared" si="199"/>
        <v>0</v>
      </c>
      <c r="B343" s="49"/>
      <c r="C343" s="49"/>
      <c r="D343" s="370" t="s">
        <v>2323</v>
      </c>
      <c r="E343" s="67" t="str">
        <f>VLOOKUP(D343,'03. Insumos'!A:D,2,0)</f>
        <v>Execução de estaca escavada 40 cm</v>
      </c>
      <c r="F343" s="68" t="s">
        <v>5218</v>
      </c>
      <c r="G343" s="68" t="str">
        <f>VLOOKUP(D343,'03. Insumos'!A:F,3,0)</f>
        <v>m</v>
      </c>
      <c r="H343" s="69">
        <v>1</v>
      </c>
      <c r="I343" s="69">
        <v>984</v>
      </c>
      <c r="J343" s="70">
        <f t="shared" si="201"/>
        <v>37.800000000000004</v>
      </c>
      <c r="K343" s="54">
        <f>IF(A343=0,VLOOKUP(D343,'03. Insumos'!A:F,4,0),"")</f>
        <v>37.800000000000004</v>
      </c>
      <c r="L343" s="70">
        <f t="shared" si="202"/>
        <v>37195.200000000004</v>
      </c>
      <c r="M343" s="153">
        <f t="shared" ca="1" si="200"/>
        <v>2.2584454698645023E-3</v>
      </c>
      <c r="U343" s="224">
        <f>T326+T355</f>
        <v>0</v>
      </c>
      <c r="V343" s="224" t="e">
        <f>#REF!+U343</f>
        <v>#REF!</v>
      </c>
    </row>
    <row r="344" spans="1:22" s="51" customFormat="1" ht="13.5" customHeight="1" outlineLevel="1" x14ac:dyDescent="0.3">
      <c r="A344" s="13">
        <f t="shared" si="199"/>
        <v>0</v>
      </c>
      <c r="B344" s="49"/>
      <c r="C344" s="49"/>
      <c r="D344" s="370" t="s">
        <v>6126</v>
      </c>
      <c r="E344" s="67" t="str">
        <f>VLOOKUP(D344,'03. Insumos'!A:D,2,0)</f>
        <v>Execução de estaca escavada 30 cm</v>
      </c>
      <c r="F344" s="68" t="s">
        <v>5218</v>
      </c>
      <c r="G344" s="68" t="str">
        <f>VLOOKUP(D344,'03. Insumos'!A:F,3,0)</f>
        <v>m</v>
      </c>
      <c r="H344" s="69">
        <v>1</v>
      </c>
      <c r="I344" s="69">
        <v>381</v>
      </c>
      <c r="J344" s="70">
        <f t="shared" si="201"/>
        <v>37.800000000000004</v>
      </c>
      <c r="K344" s="54">
        <f>IF(A344=0,VLOOKUP(D344,'03. Insumos'!A:F,4,0),"")</f>
        <v>37.800000000000004</v>
      </c>
      <c r="L344" s="70">
        <f t="shared" si="202"/>
        <v>14401.800000000001</v>
      </c>
      <c r="M344" s="153">
        <f t="shared" ca="1" si="200"/>
        <v>8.7445906912436515E-4</v>
      </c>
      <c r="U344" s="224">
        <f>T326+T355</f>
        <v>0</v>
      </c>
      <c r="V344" s="224" t="e">
        <f>#REF!+U344</f>
        <v>#REF!</v>
      </c>
    </row>
    <row r="345" spans="1:22" s="51" customFormat="1" ht="13.5" customHeight="1" outlineLevel="1" x14ac:dyDescent="0.3">
      <c r="A345" s="13">
        <f>LEN(C345)</f>
        <v>0</v>
      </c>
      <c r="B345" s="49"/>
      <c r="C345" s="49"/>
      <c r="D345" s="370" t="s">
        <v>5979</v>
      </c>
      <c r="E345" s="67" t="str">
        <f>VLOOKUP(D345,'03. Insumos'!A:D,2,0)</f>
        <v>Concreto Usinado 30 Mpa, fator AC 0,60</v>
      </c>
      <c r="F345" s="68" t="s">
        <v>5218</v>
      </c>
      <c r="G345" s="68" t="str">
        <f>VLOOKUP(D345,'03. Insumos'!A:F,3,0)</f>
        <v>m³</v>
      </c>
      <c r="H345" s="69">
        <v>1.35</v>
      </c>
      <c r="I345" s="69">
        <f>ROUNDUP(I342*PI()*(0.4^2)+I343*PI()*(0.2^2)+I344*PI()*(0.15^2),0)</f>
        <v>151</v>
      </c>
      <c r="J345" s="70">
        <f t="shared" si="201"/>
        <v>525</v>
      </c>
      <c r="K345" s="54">
        <f>IF(A345=0,VLOOKUP(D345,'03. Insumos'!A:F,4,0),"")</f>
        <v>525</v>
      </c>
      <c r="L345" s="70">
        <f>H345*J345*I345</f>
        <v>107021.25</v>
      </c>
      <c r="M345" s="153">
        <f t="shared" ca="1" si="200"/>
        <v>6.4981948542214138E-3</v>
      </c>
      <c r="R345" s="194"/>
    </row>
    <row r="346" spans="1:22" s="51" customFormat="1" ht="13.5" customHeight="1" outlineLevel="1" x14ac:dyDescent="0.3">
      <c r="A346" s="13">
        <f t="shared" ref="A346" si="203">LEN(C346)</f>
        <v>0</v>
      </c>
      <c r="B346" s="49"/>
      <c r="C346" s="49"/>
      <c r="D346" s="370" t="s">
        <v>134</v>
      </c>
      <c r="E346" s="67" t="str">
        <f>VLOOKUP(D346,'03. Insumos'!A:D,2,0)</f>
        <v>Bombeamento de concreto - até 40m³</v>
      </c>
      <c r="F346" s="68" t="s">
        <v>5218</v>
      </c>
      <c r="G346" s="68" t="str">
        <f>VLOOKUP(D346,'03. Insumos'!A:F,3,0)</f>
        <v>dia</v>
      </c>
      <c r="H346" s="69">
        <f>ROUNDUP(H355/7,0)</f>
        <v>25</v>
      </c>
      <c r="I346" s="69">
        <v>1</v>
      </c>
      <c r="J346" s="70">
        <f t="shared" si="201"/>
        <v>2400</v>
      </c>
      <c r="K346" s="54">
        <f>IF(A346=0,VLOOKUP(D346,'03. Insumos'!A:F,4,0),"")</f>
        <v>2400</v>
      </c>
      <c r="L346" s="70">
        <f t="shared" ref="L346" si="204">H346*J346*I346</f>
        <v>60000</v>
      </c>
      <c r="M346" s="153">
        <f t="shared" ca="1" si="200"/>
        <v>3.6431240641768324E-3</v>
      </c>
    </row>
    <row r="347" spans="1:22" s="51" customFormat="1" ht="13.5" customHeight="1" outlineLevel="1" x14ac:dyDescent="0.3">
      <c r="A347" s="13">
        <f>LEN(C347)</f>
        <v>0</v>
      </c>
      <c r="B347" s="49"/>
      <c r="C347" s="49"/>
      <c r="D347" s="370" t="s">
        <v>5767</v>
      </c>
      <c r="E347" s="67" t="str">
        <f>VLOOKUP(D347,'03. Insumos'!A:D,2,0)</f>
        <v>Aço CA50 6,3mm  - vergalhão</v>
      </c>
      <c r="F347" s="68" t="s">
        <v>5218</v>
      </c>
      <c r="G347" s="68" t="str">
        <f>VLOOKUP(D347,'03. Insumos'!A:F,3,0)</f>
        <v>kg</v>
      </c>
      <c r="H347" s="69">
        <v>1.03</v>
      </c>
      <c r="I347" s="32">
        <v>5535.4</v>
      </c>
      <c r="J347" s="70">
        <f t="shared" si="201"/>
        <v>6.6403600000000003</v>
      </c>
      <c r="K347" s="54">
        <f>IF(A347=0,VLOOKUP(D347,'03. Insumos'!A:F,4,0),"")</f>
        <v>6.6403600000000003</v>
      </c>
      <c r="L347" s="70">
        <f>H347*J347*I347</f>
        <v>37859.760206320003</v>
      </c>
      <c r="M347" s="153">
        <f t="shared" ca="1" si="200"/>
        <v>2.2987967245268141E-3</v>
      </c>
      <c r="R347" s="787">
        <v>22067.828999999998</v>
      </c>
      <c r="T347" s="224">
        <f>R347-L347</f>
        <v>-15791.931206320005</v>
      </c>
    </row>
    <row r="348" spans="1:22" s="51" customFormat="1" ht="13.5" customHeight="1" outlineLevel="1" x14ac:dyDescent="0.3">
      <c r="A348" s="13">
        <f>LEN(C348)</f>
        <v>0</v>
      </c>
      <c r="B348" s="49"/>
      <c r="C348" s="49"/>
      <c r="D348" s="370" t="s">
        <v>448</v>
      </c>
      <c r="E348" s="67" t="str">
        <f>VLOOKUP(D348,'03. Insumos'!A:D,2,0)</f>
        <v>Aço CA50 10mm - Vergalhão</v>
      </c>
      <c r="F348" s="68" t="s">
        <v>5218</v>
      </c>
      <c r="G348" s="68" t="str">
        <f>VLOOKUP(D348,'03. Insumos'!A:F,3,0)</f>
        <v>kg</v>
      </c>
      <c r="H348" s="69">
        <v>1.03</v>
      </c>
      <c r="I348" s="32">
        <v>1488</v>
      </c>
      <c r="J348" s="70">
        <f t="shared" si="201"/>
        <v>6.3385199999999999</v>
      </c>
      <c r="K348" s="54">
        <f>IF(A348=0,VLOOKUP(D348,'03. Insumos'!A:F,4,0),"")</f>
        <v>6.3385199999999999</v>
      </c>
      <c r="L348" s="70">
        <f>H348*J348*I348</f>
        <v>9714.6692927999993</v>
      </c>
      <c r="M348" s="153">
        <f t="shared" ca="1" si="200"/>
        <v>5.898624246019902E-4</v>
      </c>
      <c r="R348" s="787">
        <v>22067.828999999998</v>
      </c>
      <c r="T348" s="224">
        <f>R348-L348</f>
        <v>12353.159707199999</v>
      </c>
    </row>
    <row r="349" spans="1:22" s="51" customFormat="1" ht="13.5" customHeight="1" outlineLevel="1" x14ac:dyDescent="0.3">
      <c r="A349" s="13">
        <f>LEN(C349)</f>
        <v>0</v>
      </c>
      <c r="B349" s="49"/>
      <c r="C349" s="49"/>
      <c r="D349" s="370" t="s">
        <v>5766</v>
      </c>
      <c r="E349" s="67" t="str">
        <f>VLOOKUP(D349,'03. Insumos'!A:D,2,0)</f>
        <v>Aço CA50 12,5mm - Vergalhão</v>
      </c>
      <c r="F349" s="68" t="s">
        <v>5218</v>
      </c>
      <c r="G349" s="68" t="str">
        <f>VLOOKUP(D349,'03. Insumos'!A:F,3,0)</f>
        <v>kg</v>
      </c>
      <c r="H349" s="69">
        <v>1.03</v>
      </c>
      <c r="I349" s="32">
        <v>6480</v>
      </c>
      <c r="J349" s="70">
        <f t="shared" si="201"/>
        <v>6.03667</v>
      </c>
      <c r="K349" s="54">
        <f>IF(A349=0,VLOOKUP(D349,'03. Insumos'!A:F,4,0),"")</f>
        <v>6.03667</v>
      </c>
      <c r="L349" s="70">
        <f>H349*J349*I349</f>
        <v>40291.150247999998</v>
      </c>
      <c r="M349" s="153">
        <f t="shared" ca="1" si="200"/>
        <v>2.4464276506975524E-3</v>
      </c>
      <c r="R349" s="787">
        <v>22067.828999999998</v>
      </c>
      <c r="T349" s="224">
        <f>R349-L349</f>
        <v>-18223.321248</v>
      </c>
    </row>
    <row r="350" spans="1:22" s="51" customFormat="1" ht="13.5" customHeight="1" outlineLevel="1" x14ac:dyDescent="0.3">
      <c r="A350" s="13">
        <f>LEN(C350)</f>
        <v>0</v>
      </c>
      <c r="B350" s="49"/>
      <c r="C350" s="49"/>
      <c r="D350" s="370" t="s">
        <v>180</v>
      </c>
      <c r="E350" s="67" t="str">
        <f>VLOOKUP(D350,'03. Insumos'!A:D,2,0)</f>
        <v>Corte e Dobra de Aço - MO</v>
      </c>
      <c r="F350" s="68" t="s">
        <v>5218</v>
      </c>
      <c r="G350" s="68" t="str">
        <f>VLOOKUP(D350,'03. Insumos'!A:F,3,0)</f>
        <v>kg</v>
      </c>
      <c r="H350" s="69">
        <v>1.03</v>
      </c>
      <c r="I350" s="32">
        <f>SUM(I347:I349)</f>
        <v>13503.4</v>
      </c>
      <c r="J350" s="70">
        <f t="shared" si="201"/>
        <v>0.75</v>
      </c>
      <c r="K350" s="54">
        <f>IF(A350=0,VLOOKUP(D350,'03. Insumos'!A:F,4,0),"")</f>
        <v>0.75</v>
      </c>
      <c r="L350" s="70">
        <f>H350*J350*I350</f>
        <v>10431.376499999998</v>
      </c>
      <c r="M350" s="153">
        <f t="shared" ca="1" si="200"/>
        <v>6.3337997916064492E-4</v>
      </c>
      <c r="R350" s="787">
        <v>6679.125</v>
      </c>
      <c r="S350" s="224">
        <f>L350+L351</f>
        <v>46890.556499999999</v>
      </c>
      <c r="T350" s="224">
        <f>R350-S350</f>
        <v>-40211.431499999999</v>
      </c>
    </row>
    <row r="351" spans="1:22" s="51" customFormat="1" ht="13.5" customHeight="1" outlineLevel="1" x14ac:dyDescent="0.3">
      <c r="A351" s="13">
        <f>LEN(C351)</f>
        <v>0</v>
      </c>
      <c r="B351" s="49"/>
      <c r="C351" s="49"/>
      <c r="D351" s="370" t="s">
        <v>5976</v>
      </c>
      <c r="E351" s="67" t="str">
        <f>VLOOKUP(D351,'03. Insumos'!A:D,2,0)</f>
        <v>Lançamento e montagem de armadura - MO</v>
      </c>
      <c r="F351" s="68" t="s">
        <v>5218</v>
      </c>
      <c r="G351" s="68" t="str">
        <f>VLOOKUP(D351,'03. Insumos'!A:F,3,0)</f>
        <v>Kg</v>
      </c>
      <c r="H351" s="69">
        <v>1</v>
      </c>
      <c r="I351" s="32">
        <f>I350</f>
        <v>13503.4</v>
      </c>
      <c r="J351" s="70">
        <f t="shared" si="201"/>
        <v>2.7</v>
      </c>
      <c r="K351" s="54">
        <f>IF(A351=0,VLOOKUP(D351,'03. Insumos'!A:F,4,0),"")</f>
        <v>2.7</v>
      </c>
      <c r="L351" s="70">
        <f>H351*J351*I351</f>
        <v>36459.18</v>
      </c>
      <c r="M351" s="153">
        <f t="shared" ca="1" si="200"/>
        <v>2.2137552669692449E-3</v>
      </c>
      <c r="T351" s="224">
        <f>T350+T349</f>
        <v>-58434.752747999999</v>
      </c>
    </row>
    <row r="352" spans="1:22" s="51" customFormat="1" ht="13.5" customHeight="1" outlineLevel="1" x14ac:dyDescent="0.3">
      <c r="A352" s="13">
        <f t="shared" ref="A352:A353" si="205">LEN(C352)</f>
        <v>0</v>
      </c>
      <c r="B352" s="49"/>
      <c r="C352" s="49"/>
      <c r="D352" s="370" t="s">
        <v>7552</v>
      </c>
      <c r="E352" s="67" t="str">
        <f>VLOOKUP(D352,'03. Insumos'!A:D,2,0)</f>
        <v>Espaçador tipo Rolete</v>
      </c>
      <c r="F352" s="68" t="s">
        <v>5218</v>
      </c>
      <c r="G352" s="68" t="str">
        <f>VLOOKUP(D352,'03. Insumos'!A:F,3,0)</f>
        <v>unid</v>
      </c>
      <c r="H352" s="69">
        <f>H341/1.5*4</f>
        <v>3640</v>
      </c>
      <c r="I352" s="69">
        <v>1</v>
      </c>
      <c r="J352" s="70">
        <f t="shared" si="201"/>
        <v>0.3</v>
      </c>
      <c r="K352" s="54">
        <f>IF(A352=0,VLOOKUP(D352,'03. Insumos'!A:F,4,0),"")</f>
        <v>0.3</v>
      </c>
      <c r="L352" s="70">
        <f t="shared" ref="L352:L355" si="206">H352*J352*I352</f>
        <v>1092</v>
      </c>
      <c r="M352" s="153">
        <f t="shared" ca="1" si="200"/>
        <v>6.6304857968018348E-5</v>
      </c>
    </row>
    <row r="353" spans="1:20" s="51" customFormat="1" ht="13.5" hidden="1" customHeight="1" outlineLevel="1" x14ac:dyDescent="0.3">
      <c r="A353" s="13">
        <f t="shared" si="205"/>
        <v>0</v>
      </c>
      <c r="B353" s="49"/>
      <c r="C353" s="49"/>
      <c r="D353" s="370" t="s">
        <v>6405</v>
      </c>
      <c r="E353" s="67" t="str">
        <f>VLOOKUP(D353,'03. Insumos'!A:D,2,0)</f>
        <v>Retroescavadeira - Apoio hélice</v>
      </c>
      <c r="F353" s="68" t="s">
        <v>5218</v>
      </c>
      <c r="G353" s="68" t="str">
        <f>VLOOKUP(D353,'03. Insumos'!A:F,3,0)</f>
        <v>dia</v>
      </c>
      <c r="H353" s="69">
        <f>H346</f>
        <v>25</v>
      </c>
      <c r="I353" s="69"/>
      <c r="J353" s="70">
        <f t="shared" si="201"/>
        <v>1500</v>
      </c>
      <c r="K353" s="54">
        <f>IF(A353=0,VLOOKUP(D353,'03. Insumos'!A:F,4,0),"")</f>
        <v>1500</v>
      </c>
      <c r="L353" s="70">
        <f t="shared" si="206"/>
        <v>0</v>
      </c>
      <c r="M353" s="153">
        <f t="shared" ca="1" si="200"/>
        <v>0</v>
      </c>
    </row>
    <row r="354" spans="1:20" ht="13.5" customHeight="1" outlineLevel="1" x14ac:dyDescent="0.3">
      <c r="A354" s="13">
        <v>0</v>
      </c>
      <c r="B354" s="4"/>
      <c r="C354" s="4"/>
      <c r="D354" s="370" t="s">
        <v>5946</v>
      </c>
      <c r="E354" s="67" t="str">
        <f>VLOOKUP(D354,'03. Insumos'!A:D,2,0)</f>
        <v>Carga e bota fora</v>
      </c>
      <c r="F354" s="68" t="s">
        <v>5218</v>
      </c>
      <c r="G354" s="68" t="str">
        <f>VLOOKUP(D354,'03. Insumos'!A:F,3,0)</f>
        <v>m³</v>
      </c>
      <c r="H354" s="69">
        <v>1.3</v>
      </c>
      <c r="I354" s="69">
        <f>I345</f>
        <v>151</v>
      </c>
      <c r="J354" s="70">
        <f t="shared" si="201"/>
        <v>50</v>
      </c>
      <c r="K354" s="70">
        <f>IF(A354=0,VLOOKUP(D354,'03. Insumos'!A:F,4,0),"")</f>
        <v>50</v>
      </c>
      <c r="L354" s="70">
        <f t="shared" si="206"/>
        <v>9815</v>
      </c>
      <c r="M354" s="153">
        <f t="shared" ca="1" si="200"/>
        <v>5.9595437816492688E-4</v>
      </c>
      <c r="O354" s="148"/>
      <c r="R354" s="356"/>
    </row>
    <row r="355" spans="1:20" s="51" customFormat="1" ht="13.5" customHeight="1" outlineLevel="1" x14ac:dyDescent="0.3">
      <c r="A355" s="13">
        <f t="shared" ref="A355" si="207">LEN(C355)</f>
        <v>0</v>
      </c>
      <c r="B355" s="49"/>
      <c r="C355" s="49"/>
      <c r="D355" s="370" t="s">
        <v>178</v>
      </c>
      <c r="E355" s="67" t="str">
        <f>VLOOKUP(D355,'03. Insumos'!A:D,2,0)</f>
        <v>Arrasamento de estacas</v>
      </c>
      <c r="F355" s="68" t="s">
        <v>5218</v>
      </c>
      <c r="G355" s="68" t="str">
        <f>VLOOKUP(D355,'03. Insumos'!A:F,3,0)</f>
        <v>uni</v>
      </c>
      <c r="H355" s="69">
        <f>62+5+6+96</f>
        <v>169</v>
      </c>
      <c r="I355" s="69">
        <v>1</v>
      </c>
      <c r="J355" s="70">
        <f t="shared" si="201"/>
        <v>150</v>
      </c>
      <c r="K355" s="54">
        <f>IF(A355=0,VLOOKUP(D355,'03. Insumos'!A:F,4,0),"")</f>
        <v>150</v>
      </c>
      <c r="L355" s="70">
        <f t="shared" si="206"/>
        <v>25350</v>
      </c>
      <c r="M355" s="153">
        <f t="shared" ca="1" si="200"/>
        <v>1.5392199171147117E-3</v>
      </c>
    </row>
    <row r="356" spans="1:20" ht="13.5" hidden="1" customHeight="1" outlineLevel="1" x14ac:dyDescent="0.3">
      <c r="A356" s="290">
        <f t="shared" ref="A356:A357" si="208">LEN(C356)</f>
        <v>6</v>
      </c>
      <c r="B356" s="4"/>
      <c r="C356" s="606" t="s">
        <v>930</v>
      </c>
      <c r="D356" s="606" t="s">
        <v>7767</v>
      </c>
      <c r="E356" s="4"/>
      <c r="F356" s="2"/>
      <c r="G356" s="782" t="s">
        <v>74</v>
      </c>
      <c r="H356" s="926"/>
      <c r="I356" s="767"/>
      <c r="J356" s="673" t="e">
        <f>L356/H356</f>
        <v>#DIV/0!</v>
      </c>
      <c r="K356" s="768" t="s">
        <v>2787</v>
      </c>
      <c r="L356" s="786">
        <f>SUM(L357:L367)</f>
        <v>0</v>
      </c>
      <c r="M356" s="153">
        <f t="shared" ref="M356:M367" ca="1" si="209">L356/$L$7</f>
        <v>0</v>
      </c>
    </row>
    <row r="357" spans="1:20" s="51" customFormat="1" ht="13.5" hidden="1" customHeight="1" outlineLevel="1" x14ac:dyDescent="0.3">
      <c r="A357" s="13">
        <f t="shared" si="208"/>
        <v>0</v>
      </c>
      <c r="B357" s="49"/>
      <c r="C357" s="49"/>
      <c r="D357" s="370" t="s">
        <v>5969</v>
      </c>
      <c r="E357" s="67" t="str">
        <f>VLOOKUP(D357,'03. Insumos'!A:D,2,0)</f>
        <v>Execução de estaca raiz com diâmetro de 31 no solo</v>
      </c>
      <c r="F357" s="68" t="s">
        <v>5218</v>
      </c>
      <c r="G357" s="68" t="str">
        <f>VLOOKUP(D357,'03. Insumos'!A:F,3,0)</f>
        <v>m</v>
      </c>
      <c r="H357" s="69">
        <v>1</v>
      </c>
      <c r="I357" s="69">
        <f>H356</f>
        <v>0</v>
      </c>
      <c r="J357" s="70">
        <f>IFERROR(IF(K357&lt;&gt;0,K357*$K$5,0),0)</f>
        <v>220</v>
      </c>
      <c r="K357" s="54">
        <f>IF(A357=0,VLOOKUP(D357,'03. Insumos'!A:F,4,0),"")</f>
        <v>220</v>
      </c>
      <c r="L357" s="70">
        <f t="shared" ref="L357" si="210">H357*J357*I357</f>
        <v>0</v>
      </c>
      <c r="M357" s="153">
        <f t="shared" ca="1" si="209"/>
        <v>0</v>
      </c>
    </row>
    <row r="358" spans="1:20" s="51" customFormat="1" ht="13.5" hidden="1" customHeight="1" outlineLevel="1" x14ac:dyDescent="0.3">
      <c r="A358" s="13">
        <f>LEN(C358)</f>
        <v>0</v>
      </c>
      <c r="B358" s="49"/>
      <c r="C358" s="49"/>
      <c r="D358" s="370" t="s">
        <v>6456</v>
      </c>
      <c r="E358" s="67" t="str">
        <f>VLOOKUP(D358,'03. Insumos'!A:D,2,0)</f>
        <v>Cimento Portland CPIII 40 RS 50 KGs</v>
      </c>
      <c r="F358" s="68" t="s">
        <v>5218</v>
      </c>
      <c r="G358" s="68" t="str">
        <f>VLOOKUP(D358,'03. Insumos'!A:F,3,0)</f>
        <v>sc</v>
      </c>
      <c r="H358" s="69">
        <v>2.4</v>
      </c>
      <c r="I358" s="69">
        <f>ROUNDUP($H$356*H358,0)</f>
        <v>0</v>
      </c>
      <c r="J358" s="70">
        <f t="shared" ref="J358:J363" si="211">IFERROR(IF(K358&lt;&gt;0,K358*$K$5,0),0)</f>
        <v>29.8</v>
      </c>
      <c r="K358" s="54">
        <f>IF(A358=0,VLOOKUP(D358,'03. Insumos'!A:F,4,0),"")</f>
        <v>29.8</v>
      </c>
      <c r="L358" s="70">
        <f>J358*I358</f>
        <v>0</v>
      </c>
      <c r="M358" s="153">
        <f t="shared" ca="1" si="209"/>
        <v>0</v>
      </c>
    </row>
    <row r="359" spans="1:20" s="51" customFormat="1" ht="13.5" hidden="1" customHeight="1" outlineLevel="1" x14ac:dyDescent="0.3">
      <c r="A359" s="13">
        <f t="shared" ref="A359" si="212">LEN(C359)</f>
        <v>0</v>
      </c>
      <c r="B359" s="49"/>
      <c r="C359" s="49"/>
      <c r="D359" s="370" t="s">
        <v>4076</v>
      </c>
      <c r="E359" s="67" t="str">
        <f>VLOOKUP(D359,'03. Insumos'!A:D,2,0)</f>
        <v xml:space="preserve">Areia Lavada </v>
      </c>
      <c r="F359" s="68" t="s">
        <v>5218</v>
      </c>
      <c r="G359" s="68" t="str">
        <f>VLOOKUP(D359,'03. Insumos'!A:F,3,0)</f>
        <v>m³</v>
      </c>
      <c r="H359" s="69">
        <v>0.2</v>
      </c>
      <c r="I359" s="69">
        <f>ROUNDUP($H$356*H359,0)</f>
        <v>0</v>
      </c>
      <c r="J359" s="70">
        <f t="shared" si="211"/>
        <v>180</v>
      </c>
      <c r="K359" s="54">
        <f>IF(A359=0,VLOOKUP(D359,'03. Insumos'!A:F,4,0),"")</f>
        <v>180</v>
      </c>
      <c r="L359" s="70">
        <f>J359*I359</f>
        <v>0</v>
      </c>
      <c r="M359" s="153">
        <f t="shared" ca="1" si="209"/>
        <v>0</v>
      </c>
    </row>
    <row r="360" spans="1:20" s="51" customFormat="1" ht="13.5" hidden="1" customHeight="1" outlineLevel="1" x14ac:dyDescent="0.3">
      <c r="A360" s="13">
        <f>LEN(C360)</f>
        <v>0</v>
      </c>
      <c r="B360" s="49"/>
      <c r="C360" s="49"/>
      <c r="D360" s="370" t="s">
        <v>5767</v>
      </c>
      <c r="E360" s="67" t="str">
        <f>VLOOKUP(D360,'03. Insumos'!A:D,2,0)</f>
        <v>Aço CA50 6,3mm  - vergalhão</v>
      </c>
      <c r="F360" s="68" t="s">
        <v>5218</v>
      </c>
      <c r="G360" s="68" t="str">
        <f>VLOOKUP(D360,'03. Insumos'!A:F,3,0)</f>
        <v>kg</v>
      </c>
      <c r="H360" s="69">
        <v>1.03</v>
      </c>
      <c r="I360" s="32"/>
      <c r="J360" s="70">
        <f t="shared" si="211"/>
        <v>6.6403600000000003</v>
      </c>
      <c r="K360" s="54">
        <f>IF(A360=0,VLOOKUP(D360,'03. Insumos'!A:F,4,0),"")</f>
        <v>6.6403600000000003</v>
      </c>
      <c r="L360" s="70">
        <f>H360*J360*I360</f>
        <v>0</v>
      </c>
      <c r="M360" s="153">
        <f t="shared" ca="1" si="209"/>
        <v>0</v>
      </c>
      <c r="R360" s="787">
        <v>29520.985846153846</v>
      </c>
      <c r="T360" s="224">
        <f>R360-L360</f>
        <v>29520.985846153846</v>
      </c>
    </row>
    <row r="361" spans="1:20" s="51" customFormat="1" ht="13.5" hidden="1" customHeight="1" outlineLevel="1" x14ac:dyDescent="0.3">
      <c r="A361" s="13">
        <f>LEN(C361)</f>
        <v>0</v>
      </c>
      <c r="B361" s="49"/>
      <c r="C361" s="49"/>
      <c r="D361" s="370" t="s">
        <v>5433</v>
      </c>
      <c r="E361" s="67" t="str">
        <f>VLOOKUP(D361,'03. Insumos'!A:D,2,0)</f>
        <v>Aço CA50 16,0mm - vergalhão</v>
      </c>
      <c r="F361" s="68" t="s">
        <v>5218</v>
      </c>
      <c r="G361" s="68" t="str">
        <f>VLOOKUP(D361,'03. Insumos'!A:F,3,0)</f>
        <v>kg</v>
      </c>
      <c r="H361" s="69">
        <v>1.03</v>
      </c>
      <c r="I361" s="32"/>
      <c r="J361" s="70">
        <f t="shared" si="211"/>
        <v>6.03667</v>
      </c>
      <c r="K361" s="54">
        <f>IF(A361=0,VLOOKUP(D361,'03. Insumos'!A:F,4,0),"")</f>
        <v>6.03667</v>
      </c>
      <c r="L361" s="70">
        <f>H361*J361*I361</f>
        <v>0</v>
      </c>
      <c r="M361" s="153">
        <f t="shared" ca="1" si="209"/>
        <v>0</v>
      </c>
      <c r="R361" s="787">
        <v>29520.985846153846</v>
      </c>
      <c r="T361" s="224">
        <f>R361-L361</f>
        <v>29520.985846153846</v>
      </c>
    </row>
    <row r="362" spans="1:20" s="51" customFormat="1" ht="13.5" hidden="1" customHeight="1" outlineLevel="1" x14ac:dyDescent="0.3">
      <c r="A362" s="13">
        <f>LEN(C362)</f>
        <v>0</v>
      </c>
      <c r="B362" s="49"/>
      <c r="C362" s="49"/>
      <c r="D362" s="370" t="s">
        <v>180</v>
      </c>
      <c r="E362" s="67" t="str">
        <f>VLOOKUP(D362,'03. Insumos'!A:D,2,0)</f>
        <v>Corte e Dobra de Aço - MO</v>
      </c>
      <c r="F362" s="68" t="s">
        <v>5218</v>
      </c>
      <c r="G362" s="68" t="str">
        <f>VLOOKUP(D362,'03. Insumos'!A:F,3,0)</f>
        <v>kg</v>
      </c>
      <c r="H362" s="69">
        <v>1</v>
      </c>
      <c r="I362" s="32">
        <f>SUM(I360:I361)</f>
        <v>0</v>
      </c>
      <c r="J362" s="70">
        <f t="shared" si="211"/>
        <v>0.75</v>
      </c>
      <c r="K362" s="54">
        <f>IF(A362=0,VLOOKUP(D362,'03. Insumos'!A:F,4,0),"")</f>
        <v>0.75</v>
      </c>
      <c r="L362" s="70">
        <f>H362*J362*I362</f>
        <v>0</v>
      </c>
      <c r="M362" s="153">
        <f t="shared" ca="1" si="209"/>
        <v>0</v>
      </c>
      <c r="R362" s="787">
        <v>8934.9230769230762</v>
      </c>
      <c r="S362" s="224">
        <f>L362+L363</f>
        <v>0</v>
      </c>
      <c r="T362" s="224">
        <f>R362-S362</f>
        <v>8934.9230769230762</v>
      </c>
    </row>
    <row r="363" spans="1:20" s="51" customFormat="1" ht="13.5" hidden="1" customHeight="1" outlineLevel="1" x14ac:dyDescent="0.3">
      <c r="A363" s="13">
        <f>LEN(C363)</f>
        <v>0</v>
      </c>
      <c r="B363" s="49"/>
      <c r="C363" s="49"/>
      <c r="D363" s="370" t="s">
        <v>4041</v>
      </c>
      <c r="E363" s="67" t="str">
        <f>VLOOKUP(D363,'03. Insumos'!A:D,2,0)</f>
        <v>Pré montagem de armadura</v>
      </c>
      <c r="F363" s="68" t="s">
        <v>5218</v>
      </c>
      <c r="G363" s="68" t="str">
        <f>VLOOKUP(D363,'03. Insumos'!A:F,3,0)</f>
        <v>kg</v>
      </c>
      <c r="H363" s="69">
        <v>1</v>
      </c>
      <c r="I363" s="32">
        <f>I362</f>
        <v>0</v>
      </c>
      <c r="J363" s="70">
        <f t="shared" si="211"/>
        <v>3.5</v>
      </c>
      <c r="K363" s="54">
        <f>IF(A363=0,VLOOKUP(D363,'03. Insumos'!A:F,4,0),"")</f>
        <v>3.5</v>
      </c>
      <c r="L363" s="70">
        <f>H363*J363*I363</f>
        <v>0</v>
      </c>
      <c r="M363" s="153">
        <f t="shared" ca="1" si="209"/>
        <v>0</v>
      </c>
      <c r="T363" s="224" t="e">
        <f>T362+#REF!</f>
        <v>#REF!</v>
      </c>
    </row>
    <row r="364" spans="1:20" s="51" customFormat="1" ht="13.5" hidden="1" customHeight="1" outlineLevel="1" x14ac:dyDescent="0.3">
      <c r="A364" s="13">
        <f t="shared" ref="A364:A367" si="213">LEN(C364)</f>
        <v>0</v>
      </c>
      <c r="B364" s="49"/>
      <c r="C364" s="49"/>
      <c r="D364" s="370" t="s">
        <v>178</v>
      </c>
      <c r="E364" s="67" t="str">
        <f>VLOOKUP(D364,'03. Insumos'!A:D,2,0)</f>
        <v>Arrasamento de estacas</v>
      </c>
      <c r="F364" s="68" t="s">
        <v>5218</v>
      </c>
      <c r="G364" s="68" t="str">
        <f>VLOOKUP(D364,'03. Insumos'!A:F,3,0)</f>
        <v>uni</v>
      </c>
      <c r="H364" s="69">
        <v>1</v>
      </c>
      <c r="I364" s="69"/>
      <c r="J364" s="70">
        <f>IFERROR(IF(K364&lt;&gt;0,K364*$K$5,0),0)</f>
        <v>150</v>
      </c>
      <c r="K364" s="54">
        <f>IF(A364=0,VLOOKUP(D364,'03. Insumos'!A:F,4,0),"")</f>
        <v>150</v>
      </c>
      <c r="L364" s="70">
        <f t="shared" ref="L364:L367" si="214">H364*J364*I364</f>
        <v>0</v>
      </c>
      <c r="M364" s="153">
        <f t="shared" ca="1" si="209"/>
        <v>0</v>
      </c>
    </row>
    <row r="365" spans="1:20" s="51" customFormat="1" ht="13.5" hidden="1" customHeight="1" outlineLevel="1" x14ac:dyDescent="0.3">
      <c r="A365" s="13">
        <f t="shared" si="213"/>
        <v>0</v>
      </c>
      <c r="B365" s="49"/>
      <c r="C365" s="49"/>
      <c r="D365" s="370" t="s">
        <v>440</v>
      </c>
      <c r="E365" s="67" t="str">
        <f>VLOOKUP(D365,'03. Insumos'!A:D,2,0)</f>
        <v>Trilho TR-32</v>
      </c>
      <c r="F365" s="68" t="s">
        <v>5218</v>
      </c>
      <c r="G365" s="68" t="str">
        <f>VLOOKUP(D365,'03. Insumos'!A:F,3,0)</f>
        <v>kg</v>
      </c>
      <c r="H365" s="69">
        <v>1</v>
      </c>
      <c r="I365" s="69"/>
      <c r="J365" s="70">
        <f t="shared" ref="J365:J366" si="215">IFERROR(IF(K365&lt;&gt;0,K365*$K$5,0),0)</f>
        <v>6</v>
      </c>
      <c r="K365" s="54">
        <f>IF(A365=0,VLOOKUP(D365,'03. Insumos'!A:F,4,0),"")</f>
        <v>6</v>
      </c>
      <c r="L365" s="70">
        <f t="shared" si="214"/>
        <v>0</v>
      </c>
      <c r="M365" s="153">
        <f t="shared" ca="1" si="209"/>
        <v>0</v>
      </c>
    </row>
    <row r="366" spans="1:20" s="51" customFormat="1" ht="13.2" hidden="1" customHeight="1" outlineLevel="1" x14ac:dyDescent="0.3">
      <c r="A366" s="13">
        <f t="shared" si="213"/>
        <v>0</v>
      </c>
      <c r="B366" s="49"/>
      <c r="C366" s="49"/>
      <c r="D366" s="370" t="s">
        <v>439</v>
      </c>
      <c r="E366" s="67" t="str">
        <f>VLOOKUP(D366,'03. Insumos'!A:D,2,0)</f>
        <v>Perfil Metálico - Corte</v>
      </c>
      <c r="F366" s="68" t="s">
        <v>5218</v>
      </c>
      <c r="G366" s="68" t="str">
        <f>VLOOKUP(D366,'03. Insumos'!A:F,3,0)</f>
        <v>uni</v>
      </c>
      <c r="H366" s="69">
        <v>1</v>
      </c>
      <c r="I366" s="69"/>
      <c r="J366" s="70">
        <f t="shared" si="215"/>
        <v>200</v>
      </c>
      <c r="K366" s="54">
        <f>IF(A366=0,VLOOKUP(D366,'03. Insumos'!A:F,4,0),"")</f>
        <v>200</v>
      </c>
      <c r="L366" s="70">
        <f t="shared" si="214"/>
        <v>0</v>
      </c>
      <c r="M366" s="153">
        <f t="shared" ca="1" si="209"/>
        <v>0</v>
      </c>
    </row>
    <row r="367" spans="1:20" s="51" customFormat="1" ht="13.2" hidden="1" customHeight="1" outlineLevel="1" x14ac:dyDescent="0.3">
      <c r="A367" s="13">
        <f t="shared" si="213"/>
        <v>0</v>
      </c>
      <c r="B367" s="49"/>
      <c r="C367" s="49"/>
      <c r="D367" s="370" t="s">
        <v>7441</v>
      </c>
      <c r="E367" s="67" t="str">
        <f>VLOOKUP(D367,'03. Insumos'!A:D,2,0)</f>
        <v>Pranchão de madeira emperelhada 25x5 cm</v>
      </c>
      <c r="F367" s="68" t="s">
        <v>5218</v>
      </c>
      <c r="G367" s="68" t="str">
        <f>VLOOKUP(D367,'03. Insumos'!A:F,3,0)</f>
        <v>m</v>
      </c>
      <c r="H367" s="69">
        <v>1</v>
      </c>
      <c r="I367" s="69"/>
      <c r="J367" s="70">
        <f>IFERROR(IF(K367&lt;&gt;0,K367*$K$5,0),0)</f>
        <v>60.9</v>
      </c>
      <c r="K367" s="54">
        <f>IF(A367=0,VLOOKUP(D367,'03. Insumos'!A:F,4,0),"")</f>
        <v>60.9</v>
      </c>
      <c r="L367" s="70">
        <f t="shared" si="214"/>
        <v>0</v>
      </c>
      <c r="M367" s="153">
        <f t="shared" ca="1" si="209"/>
        <v>0</v>
      </c>
    </row>
    <row r="368" spans="1:20" ht="13.5" hidden="1" customHeight="1" outlineLevel="1" x14ac:dyDescent="0.3">
      <c r="A368" s="290">
        <f t="shared" ref="A368:A371" si="216">LEN(C368)</f>
        <v>6</v>
      </c>
      <c r="B368" s="4"/>
      <c r="C368" s="606" t="s">
        <v>930</v>
      </c>
      <c r="D368" s="606" t="s">
        <v>8394</v>
      </c>
      <c r="E368" s="4"/>
      <c r="F368" s="2"/>
      <c r="G368" s="782" t="s">
        <v>74</v>
      </c>
      <c r="H368" s="919">
        <f>SUM(I369:I371)</f>
        <v>0</v>
      </c>
      <c r="I368" s="767"/>
      <c r="J368" s="673" t="e">
        <f>L368/H368</f>
        <v>#DIV/0!</v>
      </c>
      <c r="K368" s="768" t="s">
        <v>2787</v>
      </c>
      <c r="L368" s="786">
        <f>SUM(L369:L392)</f>
        <v>0</v>
      </c>
      <c r="M368" s="153">
        <f t="shared" ref="M368:M386" ca="1" si="217">L368/$L$7</f>
        <v>0</v>
      </c>
    </row>
    <row r="369" spans="1:22" s="51" customFormat="1" ht="13.5" hidden="1" customHeight="1" outlineLevel="1" x14ac:dyDescent="0.3">
      <c r="A369" s="13">
        <f t="shared" si="216"/>
        <v>0</v>
      </c>
      <c r="B369" s="49"/>
      <c r="C369" s="49"/>
      <c r="D369" s="370" t="s">
        <v>7996</v>
      </c>
      <c r="E369" s="67" t="str">
        <f>VLOOKUP(D369,'03. Insumos'!A:D,2,0)</f>
        <v>Execução de estaca broca 25 cm</v>
      </c>
      <c r="F369" s="68" t="s">
        <v>5218</v>
      </c>
      <c r="G369" s="68" t="str">
        <f>VLOOKUP(D369,'03. Insumos'!A:F,3,0)</f>
        <v>m</v>
      </c>
      <c r="H369" s="69">
        <v>1</v>
      </c>
      <c r="I369" s="69"/>
      <c r="J369" s="70">
        <f t="shared" ref="J369:J386" si="218">IFERROR(IF(K369&lt;&gt;0,K369*$K$5,0),0)</f>
        <v>160</v>
      </c>
      <c r="K369" s="54">
        <f>IF(A369=0,VLOOKUP(D369,'03. Insumos'!A:F,4,0),"")</f>
        <v>160</v>
      </c>
      <c r="L369" s="70">
        <f t="shared" ref="L369:L371" si="219">H369*J369*I369</f>
        <v>0</v>
      </c>
      <c r="M369" s="153">
        <f t="shared" ca="1" si="217"/>
        <v>0</v>
      </c>
      <c r="U369" s="224">
        <f>T338+T379</f>
        <v>28746.953999999998</v>
      </c>
      <c r="V369" s="224" t="e">
        <f>#REF!+U369</f>
        <v>#REF!</v>
      </c>
    </row>
    <row r="370" spans="1:22" s="51" customFormat="1" ht="13.5" hidden="1" customHeight="1" outlineLevel="1" x14ac:dyDescent="0.3">
      <c r="A370" s="13">
        <f t="shared" si="216"/>
        <v>0</v>
      </c>
      <c r="B370" s="49"/>
      <c r="C370" s="49"/>
      <c r="D370" s="370" t="s">
        <v>2323</v>
      </c>
      <c r="E370" s="67" t="str">
        <f>VLOOKUP(D370,'03. Insumos'!A:D,2,0)</f>
        <v>Execução de estaca escavada 40 cm</v>
      </c>
      <c r="F370" s="68" t="s">
        <v>5218</v>
      </c>
      <c r="G370" s="68" t="str">
        <f>VLOOKUP(D370,'03. Insumos'!A:F,3,0)</f>
        <v>m</v>
      </c>
      <c r="H370" s="69">
        <v>1</v>
      </c>
      <c r="I370" s="69"/>
      <c r="J370" s="70">
        <f t="shared" si="218"/>
        <v>37.800000000000004</v>
      </c>
      <c r="K370" s="54">
        <f>IF(A370=0,VLOOKUP(D370,'03. Insumos'!A:F,4,0),"")</f>
        <v>37.800000000000004</v>
      </c>
      <c r="L370" s="70">
        <f t="shared" si="219"/>
        <v>0</v>
      </c>
      <c r="M370" s="153">
        <f t="shared" ca="1" si="217"/>
        <v>0</v>
      </c>
      <c r="U370" s="224" t="e">
        <f>T339+#REF!</f>
        <v>#REF!</v>
      </c>
      <c r="V370" s="224" t="e">
        <f>#REF!+U370</f>
        <v>#REF!</v>
      </c>
    </row>
    <row r="371" spans="1:22" s="51" customFormat="1" ht="13.5" hidden="1" customHeight="1" outlineLevel="1" x14ac:dyDescent="0.3">
      <c r="A371" s="13">
        <f t="shared" si="216"/>
        <v>0</v>
      </c>
      <c r="B371" s="49"/>
      <c r="C371" s="49"/>
      <c r="D371" s="370" t="s">
        <v>6126</v>
      </c>
      <c r="E371" s="67" t="str">
        <f>VLOOKUP(D371,'03. Insumos'!A:D,2,0)</f>
        <v>Execução de estaca escavada 30 cm</v>
      </c>
      <c r="F371" s="68" t="s">
        <v>5218</v>
      </c>
      <c r="G371" s="68" t="str">
        <f>VLOOKUP(D371,'03. Insumos'!A:F,3,0)</f>
        <v>m</v>
      </c>
      <c r="H371" s="69">
        <v>1</v>
      </c>
      <c r="I371" s="69"/>
      <c r="J371" s="70">
        <f t="shared" si="218"/>
        <v>37.800000000000004</v>
      </c>
      <c r="K371" s="54">
        <f>IF(A371=0,VLOOKUP(D371,'03. Insumos'!A:F,4,0),"")</f>
        <v>37.800000000000004</v>
      </c>
      <c r="L371" s="70">
        <f t="shared" si="219"/>
        <v>0</v>
      </c>
      <c r="M371" s="153">
        <f t="shared" ca="1" si="217"/>
        <v>0</v>
      </c>
      <c r="U371" s="224" t="e">
        <f>T339+#REF!</f>
        <v>#REF!</v>
      </c>
      <c r="V371" s="224" t="e">
        <f>#REF!+U371</f>
        <v>#REF!</v>
      </c>
    </row>
    <row r="372" spans="1:22" s="51" customFormat="1" ht="13.5" hidden="1" customHeight="1" outlineLevel="1" x14ac:dyDescent="0.3">
      <c r="A372" s="13">
        <f>LEN(C372)</f>
        <v>0</v>
      </c>
      <c r="B372" s="49"/>
      <c r="C372" s="49"/>
      <c r="D372" s="370" t="s">
        <v>5979</v>
      </c>
      <c r="E372" s="67" t="str">
        <f>VLOOKUP(D372,'03. Insumos'!A:D,2,0)</f>
        <v>Concreto Usinado 30 Mpa, fator AC 0,60</v>
      </c>
      <c r="F372" s="68" t="s">
        <v>5218</v>
      </c>
      <c r="G372" s="68" t="str">
        <f>VLOOKUP(D372,'03. Insumos'!A:F,3,0)</f>
        <v>m³</v>
      </c>
      <c r="H372" s="69">
        <v>1.05</v>
      </c>
      <c r="I372" s="69">
        <f>ROUNDUP(I369*PI()*(0.125^2)+I370*PI()*(0.25^2)+I371*PI()*(0.3^2),0)</f>
        <v>0</v>
      </c>
      <c r="J372" s="70">
        <f t="shared" si="218"/>
        <v>525</v>
      </c>
      <c r="K372" s="54">
        <f>IF(A372=0,VLOOKUP(D372,'03. Insumos'!A:F,4,0),"")</f>
        <v>525</v>
      </c>
      <c r="L372" s="70">
        <f>H372*J372*I372</f>
        <v>0</v>
      </c>
      <c r="M372" s="153">
        <f t="shared" ca="1" si="217"/>
        <v>0</v>
      </c>
    </row>
    <row r="373" spans="1:22" s="51" customFormat="1" ht="13.5" hidden="1" customHeight="1" outlineLevel="1" x14ac:dyDescent="0.3">
      <c r="A373" s="13">
        <f t="shared" ref="A373" si="220">LEN(C373)</f>
        <v>0</v>
      </c>
      <c r="B373" s="49"/>
      <c r="C373" s="49"/>
      <c r="D373" s="370" t="s">
        <v>134</v>
      </c>
      <c r="E373" s="67" t="str">
        <f>VLOOKUP(D373,'03. Insumos'!A:D,2,0)</f>
        <v>Bombeamento de concreto - até 40m³</v>
      </c>
      <c r="F373" s="68" t="s">
        <v>5218</v>
      </c>
      <c r="G373" s="68" t="str">
        <f>VLOOKUP(D373,'03. Insumos'!A:F,3,0)</f>
        <v>dia</v>
      </c>
      <c r="H373" s="69">
        <f>ROUNDUP(H387/10,0)</f>
        <v>8</v>
      </c>
      <c r="I373" s="69"/>
      <c r="J373" s="70">
        <f t="shared" si="218"/>
        <v>2400</v>
      </c>
      <c r="K373" s="54">
        <f>IF(A373=0,VLOOKUP(D373,'03. Insumos'!A:F,4,0),"")</f>
        <v>2400</v>
      </c>
      <c r="L373" s="70">
        <f t="shared" ref="L373" si="221">H373*J373*I373</f>
        <v>0</v>
      </c>
      <c r="M373" s="153">
        <f t="shared" ca="1" si="217"/>
        <v>0</v>
      </c>
    </row>
    <row r="374" spans="1:22" s="51" customFormat="1" ht="13.5" hidden="1" customHeight="1" outlineLevel="1" x14ac:dyDescent="0.3">
      <c r="A374" s="13">
        <f t="shared" ref="A374:A379" si="222">LEN(C374)</f>
        <v>0</v>
      </c>
      <c r="B374" s="49"/>
      <c r="C374" s="49"/>
      <c r="D374" s="370" t="s">
        <v>5814</v>
      </c>
      <c r="E374" s="67" t="str">
        <f>VLOOKUP(D374,'03. Insumos'!A:D,2,0)</f>
        <v>Aço CA50 8,0mm - Vergalhão</v>
      </c>
      <c r="F374" s="68" t="s">
        <v>5218</v>
      </c>
      <c r="G374" s="68" t="str">
        <f>VLOOKUP(D374,'03. Insumos'!A:F,3,0)</f>
        <v>kg</v>
      </c>
      <c r="H374" s="69">
        <v>1.03</v>
      </c>
      <c r="I374" s="32"/>
      <c r="J374" s="70">
        <f t="shared" ref="J374:J376" si="223">IFERROR(IF(K374&lt;&gt;0,K374*$K$5,0),0)</f>
        <v>6.6403600000000003</v>
      </c>
      <c r="K374" s="54">
        <f>IF(A374=0,VLOOKUP(D374,'03. Insumos'!A:F,4,0),"")</f>
        <v>6.6403600000000003</v>
      </c>
      <c r="L374" s="70">
        <f t="shared" ref="L374:L379" si="224">H374*J374*I374</f>
        <v>0</v>
      </c>
      <c r="M374" s="153">
        <f t="shared" ref="M374:M376" ca="1" si="225">L374/$L$7</f>
        <v>0</v>
      </c>
      <c r="R374" s="787">
        <v>22067.828999999998</v>
      </c>
      <c r="T374" s="224">
        <f>R374-L374</f>
        <v>22067.828999999998</v>
      </c>
    </row>
    <row r="375" spans="1:22" s="51" customFormat="1" ht="13.5" hidden="1" customHeight="1" outlineLevel="1" x14ac:dyDescent="0.3">
      <c r="A375" s="13">
        <f t="shared" si="222"/>
        <v>0</v>
      </c>
      <c r="B375" s="49"/>
      <c r="C375" s="49"/>
      <c r="D375" s="370" t="s">
        <v>448</v>
      </c>
      <c r="E375" s="67" t="str">
        <f>VLOOKUP(D375,'03. Insumos'!A:D,2,0)</f>
        <v>Aço CA50 10mm - Vergalhão</v>
      </c>
      <c r="F375" s="68" t="s">
        <v>5218</v>
      </c>
      <c r="G375" s="68" t="str">
        <f>VLOOKUP(D375,'03. Insumos'!A:F,3,0)</f>
        <v>kg</v>
      </c>
      <c r="H375" s="69">
        <v>1.03</v>
      </c>
      <c r="I375" s="32"/>
      <c r="J375" s="70">
        <f t="shared" ref="J375" si="226">IFERROR(IF(K375&lt;&gt;0,K375*$K$5,0),0)</f>
        <v>6.3385199999999999</v>
      </c>
      <c r="K375" s="54">
        <f>IF(A375=0,VLOOKUP(D375,'03. Insumos'!A:F,4,0),"")</f>
        <v>6.3385199999999999</v>
      </c>
      <c r="L375" s="70">
        <f t="shared" si="224"/>
        <v>0</v>
      </c>
      <c r="M375" s="153">
        <f t="shared" ref="M375" ca="1" si="227">L375/$L$7</f>
        <v>0</v>
      </c>
      <c r="R375" s="787">
        <v>22067.828999999998</v>
      </c>
      <c r="T375" s="224">
        <f>R375-L375</f>
        <v>22067.828999999998</v>
      </c>
    </row>
    <row r="376" spans="1:22" s="51" customFormat="1" ht="13.5" hidden="1" customHeight="1" outlineLevel="1" x14ac:dyDescent="0.3">
      <c r="A376" s="13">
        <f t="shared" si="222"/>
        <v>0</v>
      </c>
      <c r="B376" s="49"/>
      <c r="C376" s="49"/>
      <c r="D376" s="370" t="s">
        <v>5573</v>
      </c>
      <c r="E376" s="67" t="str">
        <f>VLOOKUP(D376,'03. Insumos'!A:D,2,0)</f>
        <v>Aço CA50 20,0mm - vergalhão</v>
      </c>
      <c r="F376" s="68" t="s">
        <v>5218</v>
      </c>
      <c r="G376" s="68" t="str">
        <f>VLOOKUP(D376,'03. Insumos'!A:F,3,0)</f>
        <v>kg</v>
      </c>
      <c r="H376" s="69">
        <v>1.03</v>
      </c>
      <c r="I376" s="32"/>
      <c r="J376" s="70">
        <f t="shared" si="223"/>
        <v>6.03667</v>
      </c>
      <c r="K376" s="54">
        <f>IF(A376=0,VLOOKUP(D376,'03. Insumos'!A:F,4,0),"")</f>
        <v>6.03667</v>
      </c>
      <c r="L376" s="70">
        <f t="shared" si="224"/>
        <v>0</v>
      </c>
      <c r="M376" s="153">
        <f t="shared" ca="1" si="225"/>
        <v>0</v>
      </c>
      <c r="R376" s="787">
        <v>22067.828999999998</v>
      </c>
      <c r="T376" s="224">
        <f>R376-L376</f>
        <v>22067.828999999998</v>
      </c>
    </row>
    <row r="377" spans="1:22" s="51" customFormat="1" ht="13.5" hidden="1" customHeight="1" outlineLevel="1" x14ac:dyDescent="0.3">
      <c r="A377" s="13">
        <f t="shared" si="222"/>
        <v>0</v>
      </c>
      <c r="B377" s="49"/>
      <c r="C377" s="49"/>
      <c r="D377" s="370" t="s">
        <v>6582</v>
      </c>
      <c r="E377" s="67" t="str">
        <f>VLOOKUP(D377,'03. Insumos'!A:D,2,0)</f>
        <v>Aço CA50 25,0 mm, vergalhão</v>
      </c>
      <c r="F377" s="68" t="s">
        <v>5218</v>
      </c>
      <c r="G377" s="68" t="str">
        <f>VLOOKUP(D377,'03. Insumos'!A:F,3,0)</f>
        <v>kg</v>
      </c>
      <c r="H377" s="69">
        <v>1.03</v>
      </c>
      <c r="I377" s="32"/>
      <c r="J377" s="70">
        <f t="shared" si="218"/>
        <v>6.6403600000000003</v>
      </c>
      <c r="K377" s="54">
        <f>IF(A377=0,VLOOKUP(D377,'03. Insumos'!A:F,4,0),"")</f>
        <v>6.6403600000000003</v>
      </c>
      <c r="L377" s="70">
        <f t="shared" si="224"/>
        <v>0</v>
      </c>
      <c r="M377" s="153">
        <f t="shared" ca="1" si="217"/>
        <v>0</v>
      </c>
      <c r="R377" s="787">
        <v>22067.828999999998</v>
      </c>
      <c r="T377" s="224">
        <f>R377-L377</f>
        <v>22067.828999999998</v>
      </c>
    </row>
    <row r="378" spans="1:22" s="51" customFormat="1" ht="13.5" hidden="1" customHeight="1" outlineLevel="1" x14ac:dyDescent="0.3">
      <c r="A378" s="13">
        <f t="shared" si="222"/>
        <v>0</v>
      </c>
      <c r="B378" s="49"/>
      <c r="C378" s="49"/>
      <c r="D378" s="370" t="s">
        <v>180</v>
      </c>
      <c r="E378" s="67" t="str">
        <f>VLOOKUP(D378,'03. Insumos'!A:D,2,0)</f>
        <v>Corte e Dobra de Aço - MO</v>
      </c>
      <c r="F378" s="68" t="s">
        <v>5218</v>
      </c>
      <c r="G378" s="68" t="str">
        <f>VLOOKUP(D378,'03. Insumos'!A:F,3,0)</f>
        <v>kg</v>
      </c>
      <c r="H378" s="69">
        <v>1.03</v>
      </c>
      <c r="I378" s="32">
        <f>SUM(I374:I377)</f>
        <v>0</v>
      </c>
      <c r="J378" s="70">
        <f t="shared" si="218"/>
        <v>0.75</v>
      </c>
      <c r="K378" s="54">
        <f>IF(A378=0,VLOOKUP(D378,'03. Insumos'!A:F,4,0),"")</f>
        <v>0.75</v>
      </c>
      <c r="L378" s="70">
        <f t="shared" si="224"/>
        <v>0</v>
      </c>
      <c r="M378" s="153">
        <f t="shared" ca="1" si="217"/>
        <v>0</v>
      </c>
      <c r="R378" s="787">
        <v>6679.125</v>
      </c>
      <c r="S378" s="224">
        <f>L378+L379</f>
        <v>0</v>
      </c>
      <c r="T378" s="224">
        <f>R378-S378</f>
        <v>6679.125</v>
      </c>
    </row>
    <row r="379" spans="1:22" s="51" customFormat="1" ht="13.5" hidden="1" customHeight="1" outlineLevel="1" x14ac:dyDescent="0.3">
      <c r="A379" s="13">
        <f t="shared" si="222"/>
        <v>0</v>
      </c>
      <c r="B379" s="49"/>
      <c r="C379" s="49"/>
      <c r="D379" s="370" t="s">
        <v>5976</v>
      </c>
      <c r="E379" s="67" t="str">
        <f>VLOOKUP(D379,'03. Insumos'!A:D,2,0)</f>
        <v>Lançamento e montagem de armadura - MO</v>
      </c>
      <c r="F379" s="68" t="s">
        <v>5218</v>
      </c>
      <c r="G379" s="68" t="str">
        <f>VLOOKUP(D379,'03. Insumos'!A:F,3,0)</f>
        <v>Kg</v>
      </c>
      <c r="H379" s="69">
        <v>1</v>
      </c>
      <c r="I379" s="32">
        <f>I378</f>
        <v>0</v>
      </c>
      <c r="J379" s="70">
        <f t="shared" si="218"/>
        <v>2.7</v>
      </c>
      <c r="K379" s="54">
        <f>IF(A379=0,VLOOKUP(D379,'03. Insumos'!A:F,4,0),"")</f>
        <v>2.7</v>
      </c>
      <c r="L379" s="70">
        <f t="shared" si="224"/>
        <v>0</v>
      </c>
      <c r="M379" s="153">
        <f t="shared" ca="1" si="217"/>
        <v>0</v>
      </c>
      <c r="T379" s="224">
        <f>T378+T377</f>
        <v>28746.953999999998</v>
      </c>
    </row>
    <row r="380" spans="1:22" s="51" customFormat="1" ht="13.5" hidden="1" customHeight="1" outlineLevel="1" x14ac:dyDescent="0.3">
      <c r="A380" s="13">
        <f t="shared" ref="A380:A410" si="228">LEN(C380)</f>
        <v>0</v>
      </c>
      <c r="B380" s="49"/>
      <c r="C380" s="49"/>
      <c r="D380" s="370" t="s">
        <v>7552</v>
      </c>
      <c r="E380" s="67" t="str">
        <f>VLOOKUP(D380,'03. Insumos'!A:D,2,0)</f>
        <v>Espaçador tipo Rolete</v>
      </c>
      <c r="F380" s="68" t="s">
        <v>5218</v>
      </c>
      <c r="G380" s="68" t="str">
        <f>VLOOKUP(D380,'03. Insumos'!A:F,3,0)</f>
        <v>unid</v>
      </c>
      <c r="H380" s="69">
        <f>H368/1.5*4</f>
        <v>0</v>
      </c>
      <c r="I380" s="69"/>
      <c r="J380" s="70">
        <f t="shared" si="218"/>
        <v>0.3</v>
      </c>
      <c r="K380" s="54">
        <f>IF(A380=0,VLOOKUP(D380,'03. Insumos'!A:F,4,0),"")</f>
        <v>0.3</v>
      </c>
      <c r="L380" s="70">
        <f t="shared" ref="L380:L392" si="229">H380*J380*I380</f>
        <v>0</v>
      </c>
      <c r="M380" s="153">
        <f t="shared" ca="1" si="217"/>
        <v>0</v>
      </c>
    </row>
    <row r="381" spans="1:22" s="51" customFormat="1" ht="13.5" hidden="1" customHeight="1" outlineLevel="1" x14ac:dyDescent="0.3">
      <c r="A381" s="13">
        <f t="shared" si="228"/>
        <v>0</v>
      </c>
      <c r="B381" s="49"/>
      <c r="C381" s="49"/>
      <c r="D381" s="370" t="s">
        <v>6405</v>
      </c>
      <c r="E381" s="67" t="str">
        <f>VLOOKUP(D381,'03. Insumos'!A:D,2,0)</f>
        <v>Retroescavadeira - Apoio hélice</v>
      </c>
      <c r="F381" s="68" t="s">
        <v>5218</v>
      </c>
      <c r="G381" s="68" t="str">
        <f>VLOOKUP(D381,'03. Insumos'!A:F,3,0)</f>
        <v>dia</v>
      </c>
      <c r="H381" s="69">
        <f>H373</f>
        <v>8</v>
      </c>
      <c r="I381" s="69"/>
      <c r="J381" s="70">
        <f t="shared" si="218"/>
        <v>1500</v>
      </c>
      <c r="K381" s="54">
        <f>IF(A381=0,VLOOKUP(D381,'03. Insumos'!A:F,4,0),"")</f>
        <v>1500</v>
      </c>
      <c r="L381" s="70">
        <f t="shared" si="229"/>
        <v>0</v>
      </c>
      <c r="M381" s="153">
        <f t="shared" ca="1" si="217"/>
        <v>0</v>
      </c>
    </row>
    <row r="382" spans="1:22" ht="13.5" hidden="1" customHeight="1" outlineLevel="1" x14ac:dyDescent="0.3">
      <c r="A382" s="13">
        <v>0</v>
      </c>
      <c r="B382" s="4"/>
      <c r="C382" s="4"/>
      <c r="D382" s="370" t="s">
        <v>5946</v>
      </c>
      <c r="E382" s="67" t="str">
        <f>VLOOKUP(D382,'03. Insumos'!A:D,2,0)</f>
        <v>Carga e bota fora</v>
      </c>
      <c r="F382" s="68" t="s">
        <v>5218</v>
      </c>
      <c r="G382" s="68" t="str">
        <f>VLOOKUP(D382,'03. Insumos'!A:F,3,0)</f>
        <v>m³</v>
      </c>
      <c r="H382" s="69">
        <v>1.3</v>
      </c>
      <c r="I382" s="69">
        <f>I372</f>
        <v>0</v>
      </c>
      <c r="J382" s="70">
        <f t="shared" si="218"/>
        <v>50</v>
      </c>
      <c r="K382" s="70">
        <f>IF(A382=0,VLOOKUP(D382,'03. Insumos'!A:F,4,0),"")</f>
        <v>50</v>
      </c>
      <c r="L382" s="70">
        <f t="shared" si="229"/>
        <v>0</v>
      </c>
      <c r="M382" s="153">
        <f t="shared" ca="1" si="217"/>
        <v>0</v>
      </c>
      <c r="O382" s="148"/>
      <c r="R382" s="356"/>
    </row>
    <row r="383" spans="1:22" s="51" customFormat="1" ht="13.5" hidden="1" customHeight="1" outlineLevel="1" x14ac:dyDescent="0.3">
      <c r="A383" s="13">
        <f>LEN(C383)</f>
        <v>0</v>
      </c>
      <c r="B383" s="49"/>
      <c r="C383" s="49"/>
      <c r="D383" s="370" t="s">
        <v>5767</v>
      </c>
      <c r="E383" s="67" t="str">
        <f>VLOOKUP(D383,'03. Insumos'!A:D,2,0)</f>
        <v>Aço CA50 6,3mm  - vergalhão</v>
      </c>
      <c r="F383" s="68" t="s">
        <v>5218</v>
      </c>
      <c r="G383" s="68" t="str">
        <f>VLOOKUP(D383,'03. Insumos'!A:F,3,0)</f>
        <v>kg</v>
      </c>
      <c r="H383" s="69">
        <v>1.03</v>
      </c>
      <c r="I383" s="32">
        <f>(H368/0.2*0.1)*0.25</f>
        <v>0</v>
      </c>
      <c r="J383" s="70">
        <f t="shared" si="218"/>
        <v>6.6403600000000003</v>
      </c>
      <c r="K383" s="54">
        <f>IF(A383=0,VLOOKUP(D383,'03. Insumos'!A:F,4,0),"")</f>
        <v>6.6403600000000003</v>
      </c>
      <c r="L383" s="70">
        <f>H383*J383*I383</f>
        <v>0</v>
      </c>
      <c r="M383" s="153">
        <f t="shared" ca="1" si="217"/>
        <v>0</v>
      </c>
      <c r="R383" s="787">
        <v>29520.985846153846</v>
      </c>
      <c r="T383" s="224">
        <f>R383-L383</f>
        <v>29520.985846153846</v>
      </c>
    </row>
    <row r="384" spans="1:22" s="51" customFormat="1" ht="13.5" hidden="1" customHeight="1" outlineLevel="1" x14ac:dyDescent="0.3">
      <c r="A384" s="13">
        <f>LEN(C384)</f>
        <v>0</v>
      </c>
      <c r="B384" s="49"/>
      <c r="C384" s="49"/>
      <c r="D384" s="370" t="s">
        <v>448</v>
      </c>
      <c r="E384" s="67" t="str">
        <f>VLOOKUP(D384,'03. Insumos'!A:D,2,0)</f>
        <v>Aço CA50 10mm - Vergalhão</v>
      </c>
      <c r="F384" s="68" t="s">
        <v>5218</v>
      </c>
      <c r="G384" s="68" t="str">
        <f>VLOOKUP(D384,'03. Insumos'!A:F,3,0)</f>
        <v>kg</v>
      </c>
      <c r="H384" s="69">
        <v>1.03</v>
      </c>
      <c r="I384" s="32">
        <f>H368*4*0.62</f>
        <v>0</v>
      </c>
      <c r="J384" s="70">
        <f t="shared" si="218"/>
        <v>6.3385199999999999</v>
      </c>
      <c r="K384" s="54">
        <f>IF(A384=0,VLOOKUP(D384,'03. Insumos'!A:F,4,0),"")</f>
        <v>6.3385199999999999</v>
      </c>
      <c r="L384" s="70">
        <f>H384*J384*I384</f>
        <v>0</v>
      </c>
      <c r="M384" s="153">
        <f t="shared" ca="1" si="217"/>
        <v>0</v>
      </c>
      <c r="R384" s="787">
        <v>29520.985846153846</v>
      </c>
      <c r="T384" s="224">
        <f>R384-L384</f>
        <v>29520.985846153846</v>
      </c>
    </row>
    <row r="385" spans="1:20" s="51" customFormat="1" ht="13.5" hidden="1" customHeight="1" outlineLevel="1" x14ac:dyDescent="0.3">
      <c r="A385" s="13">
        <f>LEN(C385)</f>
        <v>0</v>
      </c>
      <c r="B385" s="49"/>
      <c r="C385" s="49"/>
      <c r="D385" s="370" t="s">
        <v>180</v>
      </c>
      <c r="E385" s="67" t="str">
        <f>VLOOKUP(D385,'03. Insumos'!A:D,2,0)</f>
        <v>Corte e Dobra de Aço - MO</v>
      </c>
      <c r="F385" s="68" t="s">
        <v>5218</v>
      </c>
      <c r="G385" s="68" t="str">
        <f>VLOOKUP(D385,'03. Insumos'!A:F,3,0)</f>
        <v>kg</v>
      </c>
      <c r="H385" s="69">
        <v>1</v>
      </c>
      <c r="I385" s="32">
        <f>SUM(I383:I384)</f>
        <v>0</v>
      </c>
      <c r="J385" s="70">
        <f t="shared" si="218"/>
        <v>0.75</v>
      </c>
      <c r="K385" s="54">
        <f>IF(A385=0,VLOOKUP(D385,'03. Insumos'!A:F,4,0),"")</f>
        <v>0.75</v>
      </c>
      <c r="L385" s="70">
        <f>H385*J385*I385</f>
        <v>0</v>
      </c>
      <c r="M385" s="153">
        <f t="shared" ca="1" si="217"/>
        <v>0</v>
      </c>
      <c r="R385" s="787">
        <v>8934.9230769230762</v>
      </c>
      <c r="S385" s="224">
        <f>L385+L386</f>
        <v>0</v>
      </c>
      <c r="T385" s="224">
        <f>R385-S385</f>
        <v>8934.9230769230762</v>
      </c>
    </row>
    <row r="386" spans="1:20" s="51" customFormat="1" ht="13.5" hidden="1" customHeight="1" outlineLevel="1" x14ac:dyDescent="0.3">
      <c r="A386" s="13">
        <f>LEN(C386)</f>
        <v>0</v>
      </c>
      <c r="B386" s="49"/>
      <c r="C386" s="49"/>
      <c r="D386" s="370" t="s">
        <v>4041</v>
      </c>
      <c r="E386" s="67" t="str">
        <f>VLOOKUP(D386,'03. Insumos'!A:D,2,0)</f>
        <v>Pré montagem de armadura</v>
      </c>
      <c r="F386" s="68" t="s">
        <v>5218</v>
      </c>
      <c r="G386" s="68" t="str">
        <f>VLOOKUP(D386,'03. Insumos'!A:F,3,0)</f>
        <v>kg</v>
      </c>
      <c r="H386" s="69">
        <v>1</v>
      </c>
      <c r="I386" s="32">
        <f>I385</f>
        <v>0</v>
      </c>
      <c r="J386" s="70">
        <f t="shared" si="218"/>
        <v>3.5</v>
      </c>
      <c r="K386" s="54">
        <f>IF(A386=0,VLOOKUP(D386,'03. Insumos'!A:F,4,0),"")</f>
        <v>3.5</v>
      </c>
      <c r="L386" s="70">
        <f>H386*J386*I386</f>
        <v>0</v>
      </c>
      <c r="M386" s="153">
        <f t="shared" ca="1" si="217"/>
        <v>0</v>
      </c>
      <c r="T386" s="224" t="e">
        <f>T385+#REF!</f>
        <v>#REF!</v>
      </c>
    </row>
    <row r="387" spans="1:20" s="51" customFormat="1" ht="13.5" hidden="1" customHeight="1" outlineLevel="1" x14ac:dyDescent="0.3">
      <c r="A387" s="13">
        <f t="shared" si="228"/>
        <v>0</v>
      </c>
      <c r="B387" s="49"/>
      <c r="C387" s="49"/>
      <c r="D387" s="370" t="s">
        <v>655</v>
      </c>
      <c r="E387" s="67" t="str">
        <f>VLOOKUP(D387,'03. Insumos'!A:D,2,0)</f>
        <v>Arrasamento de estacas broca</v>
      </c>
      <c r="F387" s="68" t="s">
        <v>5218</v>
      </c>
      <c r="G387" s="68" t="str">
        <f>VLOOKUP(D387,'03. Insumos'!A:F,3,0)</f>
        <v>uni</v>
      </c>
      <c r="H387" s="69">
        <v>74</v>
      </c>
      <c r="I387" s="69"/>
      <c r="J387" s="70">
        <f t="shared" ref="J387:J392" si="230">IFERROR(IF(K387&lt;&gt;0,K387*$K$5,0),0)</f>
        <v>120</v>
      </c>
      <c r="K387" s="54">
        <f>IF(A387=0,VLOOKUP(D387,'03. Insumos'!A:F,4,0),"")</f>
        <v>120</v>
      </c>
      <c r="L387" s="70">
        <f t="shared" si="229"/>
        <v>0</v>
      </c>
      <c r="M387" s="153">
        <f t="shared" ref="M387:M434" ca="1" si="231">L387/$L$7</f>
        <v>0</v>
      </c>
    </row>
    <row r="388" spans="1:20" s="51" customFormat="1" ht="13.5" hidden="1" customHeight="1" outlineLevel="1" x14ac:dyDescent="0.3">
      <c r="A388" s="13">
        <f t="shared" si="228"/>
        <v>0</v>
      </c>
      <c r="B388" s="49"/>
      <c r="C388" s="49"/>
      <c r="D388" s="370" t="s">
        <v>7441</v>
      </c>
      <c r="E388" s="67" t="str">
        <f>VLOOKUP(D388,'03. Insumos'!A:D,2,0)</f>
        <v>Pranchão de madeira emperelhada 25x5 cm</v>
      </c>
      <c r="F388" s="68" t="s">
        <v>5218</v>
      </c>
      <c r="G388" s="68" t="str">
        <f>VLOOKUP(D388,'03. Insumos'!A:F,3,0)</f>
        <v>m</v>
      </c>
      <c r="H388" s="69">
        <v>1</v>
      </c>
      <c r="I388" s="69"/>
      <c r="J388" s="70">
        <f>IFERROR(IF(K388&lt;&gt;0,K388*$K$5,0),0)</f>
        <v>60.9</v>
      </c>
      <c r="K388" s="54">
        <f>IF(A388=0,VLOOKUP(D388,'03. Insumos'!A:F,4,0),"")</f>
        <v>60.9</v>
      </c>
      <c r="L388" s="70">
        <f t="shared" si="229"/>
        <v>0</v>
      </c>
      <c r="M388" s="153">
        <f t="shared" ca="1" si="231"/>
        <v>0</v>
      </c>
    </row>
    <row r="389" spans="1:20" s="51" customFormat="1" ht="13.5" hidden="1" customHeight="1" outlineLevel="1" x14ac:dyDescent="0.3">
      <c r="A389" s="13">
        <f t="shared" si="228"/>
        <v>0</v>
      </c>
      <c r="B389" s="49"/>
      <c r="C389" s="49"/>
      <c r="D389" s="370" t="s">
        <v>7396</v>
      </c>
      <c r="E389" s="67" t="str">
        <f>VLOOKUP(D389,'03. Insumos'!A:D,2,0)</f>
        <v>EA1 - Alçapão Anodizado Preto 1x1</v>
      </c>
      <c r="F389" s="68" t="s">
        <v>5218</v>
      </c>
      <c r="G389" s="68" t="str">
        <f>VLOOKUP(D389,'03. Insumos'!A:F,3,0)</f>
        <v>unid</v>
      </c>
      <c r="H389" s="69">
        <v>1</v>
      </c>
      <c r="I389" s="69"/>
      <c r="J389" s="70">
        <f>IFERROR(IF(K389&lt;&gt;0,K389*$K$5,0),0)</f>
        <v>1100</v>
      </c>
      <c r="K389" s="54">
        <f>IF(A389=0,VLOOKUP(D389,'03. Insumos'!A:F,4,0),"")</f>
        <v>1100</v>
      </c>
      <c r="L389" s="70">
        <f t="shared" si="229"/>
        <v>0</v>
      </c>
      <c r="M389" s="153">
        <f t="shared" ref="M389" ca="1" si="232">L389/$L$7</f>
        <v>0</v>
      </c>
    </row>
    <row r="390" spans="1:20" s="51" customFormat="1" ht="13.5" hidden="1" customHeight="1" outlineLevel="1" x14ac:dyDescent="0.3">
      <c r="A390" s="13">
        <f t="shared" si="228"/>
        <v>0</v>
      </c>
      <c r="B390" s="49"/>
      <c r="C390" s="49"/>
      <c r="D390" s="370" t="s">
        <v>440</v>
      </c>
      <c r="E390" s="67" t="str">
        <f>VLOOKUP(D390,'03. Insumos'!A:D,2,0)</f>
        <v>Trilho TR-32</v>
      </c>
      <c r="F390" s="68" t="s">
        <v>5218</v>
      </c>
      <c r="G390" s="68" t="str">
        <f>VLOOKUP(D390,'03. Insumos'!A:F,3,0)</f>
        <v>kg</v>
      </c>
      <c r="H390" s="69">
        <v>1</v>
      </c>
      <c r="I390" s="69"/>
      <c r="J390" s="70">
        <f t="shared" si="230"/>
        <v>6</v>
      </c>
      <c r="K390" s="54">
        <f>IF(A390=0,VLOOKUP(D390,'03. Insumos'!A:F,4,0),"")</f>
        <v>6</v>
      </c>
      <c r="L390" s="70">
        <f t="shared" si="229"/>
        <v>0</v>
      </c>
      <c r="M390" s="153">
        <f t="shared" ca="1" si="231"/>
        <v>0</v>
      </c>
    </row>
    <row r="391" spans="1:20" s="51" customFormat="1" ht="13.5" hidden="1" customHeight="1" outlineLevel="1" x14ac:dyDescent="0.3">
      <c r="A391" s="13">
        <f t="shared" ref="A391" si="233">LEN(C391)</f>
        <v>0</v>
      </c>
      <c r="B391" s="49"/>
      <c r="C391" s="49"/>
      <c r="D391" s="370" t="s">
        <v>439</v>
      </c>
      <c r="E391" s="67" t="str">
        <f>VLOOKUP(D391,'03. Insumos'!A:D,2,0)</f>
        <v>Perfil Metálico - Corte</v>
      </c>
      <c r="F391" s="68" t="s">
        <v>5218</v>
      </c>
      <c r="G391" s="68" t="str">
        <f>VLOOKUP(D391,'03. Insumos'!A:F,3,0)</f>
        <v>uni</v>
      </c>
      <c r="H391" s="69">
        <v>1</v>
      </c>
      <c r="I391" s="69"/>
      <c r="J391" s="70">
        <f t="shared" ref="J391" si="234">IFERROR(IF(K391&lt;&gt;0,K391*$K$5,0),0)</f>
        <v>200</v>
      </c>
      <c r="K391" s="54">
        <f>IF(A391=0,VLOOKUP(D391,'03. Insumos'!A:F,4,0),"")</f>
        <v>200</v>
      </c>
      <c r="L391" s="70">
        <f t="shared" ref="L391" si="235">H391*J391*I391</f>
        <v>0</v>
      </c>
      <c r="M391" s="153">
        <f t="shared" ref="M391" ca="1" si="236">L391/$L$7</f>
        <v>0</v>
      </c>
    </row>
    <row r="392" spans="1:20" s="51" customFormat="1" ht="13.5" hidden="1" customHeight="1" outlineLevel="1" x14ac:dyDescent="0.3">
      <c r="A392" s="13">
        <f t="shared" si="228"/>
        <v>0</v>
      </c>
      <c r="B392" s="49"/>
      <c r="C392" s="49"/>
      <c r="D392" s="370" t="s">
        <v>732</v>
      </c>
      <c r="E392" s="67" t="str">
        <f>VLOOKUP(D392,'03. Insumos'!A:D,2,0)</f>
        <v>Perfil Metálico - Solda</v>
      </c>
      <c r="F392" s="68" t="s">
        <v>5218</v>
      </c>
      <c r="G392" s="68" t="str">
        <f>VLOOKUP(D392,'03. Insumos'!A:F,3,0)</f>
        <v>unid</v>
      </c>
      <c r="H392" s="69">
        <v>1</v>
      </c>
      <c r="I392" s="69"/>
      <c r="J392" s="70">
        <f t="shared" si="230"/>
        <v>320</v>
      </c>
      <c r="K392" s="54">
        <f>IF(A392=0,VLOOKUP(D392,'03. Insumos'!A:F,4,0),"")</f>
        <v>320</v>
      </c>
      <c r="L392" s="70">
        <f t="shared" si="229"/>
        <v>0</v>
      </c>
      <c r="M392" s="153">
        <f t="shared" ca="1" si="231"/>
        <v>0</v>
      </c>
    </row>
    <row r="393" spans="1:20" ht="13.5" hidden="1" customHeight="1" outlineLevel="1" x14ac:dyDescent="0.3">
      <c r="A393" s="290">
        <f t="shared" si="228"/>
        <v>6</v>
      </c>
      <c r="B393" s="4"/>
      <c r="C393" s="606" t="s">
        <v>4529</v>
      </c>
      <c r="D393" s="606" t="s">
        <v>7766</v>
      </c>
      <c r="E393" s="4"/>
      <c r="F393" s="2"/>
      <c r="G393" s="782" t="s">
        <v>74</v>
      </c>
      <c r="H393" s="919"/>
      <c r="I393" s="767"/>
      <c r="J393" s="673" t="e">
        <f>L393/H393</f>
        <v>#DIV/0!</v>
      </c>
      <c r="K393" s="768" t="s">
        <v>2787</v>
      </c>
      <c r="L393" s="786">
        <f>SUM(L394:L403)</f>
        <v>0</v>
      </c>
      <c r="M393" s="153">
        <f t="shared" ca="1" si="231"/>
        <v>0</v>
      </c>
    </row>
    <row r="394" spans="1:20" s="51" customFormat="1" ht="13.5" hidden="1" customHeight="1" outlineLevel="1" x14ac:dyDescent="0.3">
      <c r="A394" s="13">
        <f t="shared" si="228"/>
        <v>0</v>
      </c>
      <c r="B394" s="49"/>
      <c r="C394" s="49"/>
      <c r="D394" s="370" t="s">
        <v>5969</v>
      </c>
      <c r="E394" s="67" t="str">
        <f>VLOOKUP(D394,'03. Insumos'!A:D,2,0)</f>
        <v>Execução de estaca raiz com diâmetro de 31 no solo</v>
      </c>
      <c r="F394" s="68" t="s">
        <v>5218</v>
      </c>
      <c r="G394" s="68" t="str">
        <f>VLOOKUP(D394,'03. Insumos'!A:F,3,0)</f>
        <v>m</v>
      </c>
      <c r="H394" s="69">
        <v>1</v>
      </c>
      <c r="I394" s="69">
        <f>H393</f>
        <v>0</v>
      </c>
      <c r="J394" s="70">
        <f>IFERROR(IF(K394&lt;&gt;0,K394*$K$5,0),0)</f>
        <v>220</v>
      </c>
      <c r="K394" s="54">
        <f>IF(A394=0,VLOOKUP(D394,'03. Insumos'!A:F,4,0),"")</f>
        <v>220</v>
      </c>
      <c r="L394" s="70">
        <f t="shared" ref="L394" si="237">H394*J394*I394</f>
        <v>0</v>
      </c>
      <c r="M394" s="153">
        <f t="shared" ca="1" si="231"/>
        <v>0</v>
      </c>
    </row>
    <row r="395" spans="1:20" s="51" customFormat="1" ht="13.5" hidden="1" customHeight="1" outlineLevel="1" x14ac:dyDescent="0.3">
      <c r="A395" s="13">
        <f>LEN(C395)</f>
        <v>0</v>
      </c>
      <c r="B395" s="49"/>
      <c r="C395" s="49"/>
      <c r="D395" s="370" t="s">
        <v>6456</v>
      </c>
      <c r="E395" s="67" t="str">
        <f>VLOOKUP(D395,'03. Insumos'!A:D,2,0)</f>
        <v>Cimento Portland CPIII 40 RS 50 KGs</v>
      </c>
      <c r="F395" s="68" t="s">
        <v>5218</v>
      </c>
      <c r="G395" s="68" t="str">
        <f>VLOOKUP(D395,'03. Insumos'!A:F,3,0)</f>
        <v>sc</v>
      </c>
      <c r="H395" s="69">
        <v>2.4</v>
      </c>
      <c r="I395" s="69">
        <f>ROUNDUP($H$393*H395,0)</f>
        <v>0</v>
      </c>
      <c r="J395" s="70">
        <f t="shared" ref="J395:J400" si="238">IFERROR(IF(K395&lt;&gt;0,K395*$K$5,0),0)</f>
        <v>29.8</v>
      </c>
      <c r="K395" s="54">
        <f>IF(A395=0,VLOOKUP(D395,'03. Insumos'!A:F,4,0),"")</f>
        <v>29.8</v>
      </c>
      <c r="L395" s="70">
        <f>J395*I395</f>
        <v>0</v>
      </c>
      <c r="M395" s="153">
        <f t="shared" ca="1" si="231"/>
        <v>0</v>
      </c>
    </row>
    <row r="396" spans="1:20" s="51" customFormat="1" ht="13.5" hidden="1" customHeight="1" outlineLevel="1" x14ac:dyDescent="0.3">
      <c r="A396" s="13">
        <f t="shared" ref="A396" si="239">LEN(C396)</f>
        <v>0</v>
      </c>
      <c r="B396" s="49"/>
      <c r="C396" s="49"/>
      <c r="D396" s="370" t="s">
        <v>4076</v>
      </c>
      <c r="E396" s="67" t="str">
        <f>VLOOKUP(D396,'03. Insumos'!A:D,2,0)</f>
        <v xml:space="preserve">Areia Lavada </v>
      </c>
      <c r="F396" s="68" t="s">
        <v>5218</v>
      </c>
      <c r="G396" s="68" t="str">
        <f>VLOOKUP(D396,'03. Insumos'!A:F,3,0)</f>
        <v>m³</v>
      </c>
      <c r="H396" s="69">
        <v>0.2</v>
      </c>
      <c r="I396" s="69">
        <f>ROUNDUP($H$393*H396,0)</f>
        <v>0</v>
      </c>
      <c r="J396" s="70">
        <f t="shared" si="238"/>
        <v>180</v>
      </c>
      <c r="K396" s="54">
        <f>IF(A396=0,VLOOKUP(D396,'03. Insumos'!A:F,4,0),"")</f>
        <v>180</v>
      </c>
      <c r="L396" s="70">
        <f>J396*I396</f>
        <v>0</v>
      </c>
      <c r="M396" s="153">
        <f t="shared" ca="1" si="231"/>
        <v>0</v>
      </c>
    </row>
    <row r="397" spans="1:20" s="51" customFormat="1" ht="13.5" hidden="1" customHeight="1" outlineLevel="1" x14ac:dyDescent="0.3">
      <c r="A397" s="13">
        <f>LEN(C397)</f>
        <v>0</v>
      </c>
      <c r="B397" s="49"/>
      <c r="C397" s="49"/>
      <c r="D397" s="370" t="s">
        <v>5767</v>
      </c>
      <c r="E397" s="67" t="str">
        <f>VLOOKUP(D397,'03. Insumos'!A:D,2,0)</f>
        <v>Aço CA50 6,3mm  - vergalhão</v>
      </c>
      <c r="F397" s="68" t="s">
        <v>5218</v>
      </c>
      <c r="G397" s="68" t="str">
        <f>VLOOKUP(D397,'03. Insumos'!A:F,3,0)</f>
        <v>kg</v>
      </c>
      <c r="H397" s="69">
        <v>1.03</v>
      </c>
      <c r="I397" s="32">
        <f>168.15/171*H393</f>
        <v>0</v>
      </c>
      <c r="J397" s="70">
        <f t="shared" si="238"/>
        <v>6.6403600000000003</v>
      </c>
      <c r="K397" s="54">
        <f>IF(A397=0,VLOOKUP(D397,'03. Insumos'!A:F,4,0),"")</f>
        <v>6.6403600000000003</v>
      </c>
      <c r="L397" s="70">
        <f>H397*J397*I397</f>
        <v>0</v>
      </c>
      <c r="M397" s="153">
        <f t="shared" ca="1" si="231"/>
        <v>0</v>
      </c>
      <c r="R397" s="787">
        <v>29520.985846153846</v>
      </c>
      <c r="T397" s="224">
        <f>R397-L397</f>
        <v>29520.985846153846</v>
      </c>
    </row>
    <row r="398" spans="1:20" s="51" customFormat="1" ht="13.5" hidden="1" customHeight="1" outlineLevel="1" x14ac:dyDescent="0.3">
      <c r="A398" s="13">
        <f>LEN(C398)</f>
        <v>0</v>
      </c>
      <c r="B398" s="49"/>
      <c r="C398" s="49"/>
      <c r="D398" s="370" t="s">
        <v>5573</v>
      </c>
      <c r="E398" s="67" t="str">
        <f>VLOOKUP(D398,'03. Insumos'!A:D,2,0)</f>
        <v>Aço CA50 20,0mm - vergalhão</v>
      </c>
      <c r="F398" s="68" t="s">
        <v>5218</v>
      </c>
      <c r="G398" s="68" t="str">
        <f>VLOOKUP(D398,'03. Insumos'!A:F,3,0)</f>
        <v>kg</v>
      </c>
      <c r="H398" s="69">
        <v>1.03</v>
      </c>
      <c r="I398" s="32">
        <f>3329.1/171*H393</f>
        <v>0</v>
      </c>
      <c r="J398" s="70">
        <f t="shared" si="238"/>
        <v>6.03667</v>
      </c>
      <c r="K398" s="54">
        <f>IF(A398=0,VLOOKUP(D398,'03. Insumos'!A:F,4,0),"")</f>
        <v>6.03667</v>
      </c>
      <c r="L398" s="70">
        <f>H398*J398*I398</f>
        <v>0</v>
      </c>
      <c r="M398" s="153">
        <f t="shared" ca="1" si="231"/>
        <v>0</v>
      </c>
      <c r="R398" s="787">
        <v>29520.985846153846</v>
      </c>
      <c r="T398" s="224">
        <f>R398-L398</f>
        <v>29520.985846153846</v>
      </c>
    </row>
    <row r="399" spans="1:20" s="51" customFormat="1" ht="13.5" hidden="1" customHeight="1" outlineLevel="1" x14ac:dyDescent="0.3">
      <c r="A399" s="13">
        <f>LEN(C399)</f>
        <v>0</v>
      </c>
      <c r="B399" s="49"/>
      <c r="C399" s="49"/>
      <c r="D399" s="370" t="s">
        <v>180</v>
      </c>
      <c r="E399" s="67" t="str">
        <f>VLOOKUP(D399,'03. Insumos'!A:D,2,0)</f>
        <v>Corte e Dobra de Aço - MO</v>
      </c>
      <c r="F399" s="68" t="s">
        <v>5218</v>
      </c>
      <c r="G399" s="68" t="str">
        <f>VLOOKUP(D399,'03. Insumos'!A:F,3,0)</f>
        <v>kg</v>
      </c>
      <c r="H399" s="69">
        <v>1</v>
      </c>
      <c r="I399" s="32">
        <f>SUM(I397:I398)</f>
        <v>0</v>
      </c>
      <c r="J399" s="70">
        <f t="shared" si="238"/>
        <v>0.75</v>
      </c>
      <c r="K399" s="54">
        <f>IF(A399=0,VLOOKUP(D399,'03. Insumos'!A:F,4,0),"")</f>
        <v>0.75</v>
      </c>
      <c r="L399" s="70">
        <f>H399*J399*I399</f>
        <v>0</v>
      </c>
      <c r="M399" s="153">
        <f t="shared" ca="1" si="231"/>
        <v>0</v>
      </c>
      <c r="R399" s="787">
        <v>8934.9230769230762</v>
      </c>
      <c r="S399" s="224">
        <f>L399+L400</f>
        <v>0</v>
      </c>
      <c r="T399" s="224">
        <f>R399-S399</f>
        <v>8934.9230769230762</v>
      </c>
    </row>
    <row r="400" spans="1:20" s="51" customFormat="1" ht="13.5" hidden="1" customHeight="1" outlineLevel="1" x14ac:dyDescent="0.3">
      <c r="A400" s="13">
        <f>LEN(C400)</f>
        <v>0</v>
      </c>
      <c r="B400" s="49"/>
      <c r="C400" s="49"/>
      <c r="D400" s="370" t="s">
        <v>4041</v>
      </c>
      <c r="E400" s="67" t="str">
        <f>VLOOKUP(D400,'03. Insumos'!A:D,2,0)</f>
        <v>Pré montagem de armadura</v>
      </c>
      <c r="F400" s="68" t="s">
        <v>5218</v>
      </c>
      <c r="G400" s="68" t="str">
        <f>VLOOKUP(D400,'03. Insumos'!A:F,3,0)</f>
        <v>kg</v>
      </c>
      <c r="H400" s="69">
        <v>1</v>
      </c>
      <c r="I400" s="32">
        <f>I399</f>
        <v>0</v>
      </c>
      <c r="J400" s="70">
        <f t="shared" si="238"/>
        <v>3.5</v>
      </c>
      <c r="K400" s="54">
        <f>IF(A400=0,VLOOKUP(D400,'03. Insumos'!A:F,4,0),"")</f>
        <v>3.5</v>
      </c>
      <c r="L400" s="70">
        <f>H400*J400*I400</f>
        <v>0</v>
      </c>
      <c r="M400" s="153">
        <f t="shared" ca="1" si="231"/>
        <v>0</v>
      </c>
      <c r="T400" s="224" t="e">
        <f>T399+#REF!</f>
        <v>#REF!</v>
      </c>
    </row>
    <row r="401" spans="1:22" s="51" customFormat="1" ht="13.5" hidden="1" customHeight="1" outlineLevel="1" x14ac:dyDescent="0.3">
      <c r="A401" s="13">
        <f t="shared" ref="A401:A403" si="240">LEN(C401)</f>
        <v>0</v>
      </c>
      <c r="B401" s="49"/>
      <c r="C401" s="49"/>
      <c r="D401" s="370" t="s">
        <v>178</v>
      </c>
      <c r="E401" s="67" t="str">
        <f>VLOOKUP(D401,'03. Insumos'!A:D,2,0)</f>
        <v>Arrasamento de estacas</v>
      </c>
      <c r="F401" s="68" t="s">
        <v>5218</v>
      </c>
      <c r="G401" s="68" t="str">
        <f>VLOOKUP(D401,'03. Insumos'!A:F,3,0)</f>
        <v>uni</v>
      </c>
      <c r="H401" s="69">
        <v>1</v>
      </c>
      <c r="I401" s="69"/>
      <c r="J401" s="70">
        <f>IFERROR(IF(K401&lt;&gt;0,K401*$K$5,0),0)</f>
        <v>150</v>
      </c>
      <c r="K401" s="54">
        <f>IF(A401=0,VLOOKUP(D401,'03. Insumos'!A:F,4,0),"")</f>
        <v>150</v>
      </c>
      <c r="L401" s="70">
        <f t="shared" ref="L401:L403" si="241">H401*J401*I401</f>
        <v>0</v>
      </c>
      <c r="M401" s="153">
        <f t="shared" ca="1" si="231"/>
        <v>0</v>
      </c>
    </row>
    <row r="402" spans="1:22" s="51" customFormat="1" ht="13.5" hidden="1" customHeight="1" outlineLevel="1" x14ac:dyDescent="0.3">
      <c r="A402" s="13">
        <f t="shared" ref="A402" si="242">LEN(C402)</f>
        <v>0</v>
      </c>
      <c r="B402" s="49"/>
      <c r="C402" s="49"/>
      <c r="D402" s="370" t="s">
        <v>7441</v>
      </c>
      <c r="E402" s="67" t="str">
        <f>VLOOKUP(D402,'03. Insumos'!A:D,2,0)</f>
        <v>Pranchão de madeira emperelhada 25x5 cm</v>
      </c>
      <c r="F402" s="68" t="s">
        <v>5218</v>
      </c>
      <c r="G402" s="68" t="str">
        <f>VLOOKUP(D402,'03. Insumos'!A:F,3,0)</f>
        <v>m</v>
      </c>
      <c r="H402" s="69">
        <v>1</v>
      </c>
      <c r="I402" s="69"/>
      <c r="J402" s="70">
        <f>IFERROR(IF(K402&lt;&gt;0,K402*$K$5,0),0)</f>
        <v>60.9</v>
      </c>
      <c r="K402" s="54">
        <f>IF(A402=0,VLOOKUP(D402,'03. Insumos'!A:F,4,0),"")</f>
        <v>60.9</v>
      </c>
      <c r="L402" s="70">
        <f t="shared" ref="L402" si="243">H402*J402*I402</f>
        <v>0</v>
      </c>
      <c r="M402" s="153">
        <f t="shared" ref="M402" ca="1" si="244">L402/$L$7</f>
        <v>0</v>
      </c>
    </row>
    <row r="403" spans="1:22" s="51" customFormat="1" ht="13.5" hidden="1" customHeight="1" outlineLevel="1" x14ac:dyDescent="0.3">
      <c r="A403" s="13">
        <f t="shared" si="240"/>
        <v>0</v>
      </c>
      <c r="B403" s="49"/>
      <c r="C403" s="49"/>
      <c r="D403" s="370" t="s">
        <v>7396</v>
      </c>
      <c r="E403" s="67" t="str">
        <f>VLOOKUP(D403,'03. Insumos'!A:D,2,0)</f>
        <v>EA1 - Alçapão Anodizado Preto 1x1</v>
      </c>
      <c r="F403" s="68" t="s">
        <v>5218</v>
      </c>
      <c r="G403" s="68" t="str">
        <f>VLOOKUP(D403,'03. Insumos'!A:F,3,0)</f>
        <v>unid</v>
      </c>
      <c r="H403" s="69">
        <v>1</v>
      </c>
      <c r="I403" s="69"/>
      <c r="J403" s="70">
        <f>IFERROR(IF(K403&lt;&gt;0,K403*$K$5,0),0)</f>
        <v>1100</v>
      </c>
      <c r="K403" s="54">
        <f>IF(A403=0,VLOOKUP(D403,'03. Insumos'!A:F,4,0),"")</f>
        <v>1100</v>
      </c>
      <c r="L403" s="70">
        <f t="shared" si="241"/>
        <v>0</v>
      </c>
      <c r="M403" s="153">
        <f t="shared" ca="1" si="231"/>
        <v>0</v>
      </c>
    </row>
    <row r="404" spans="1:22" ht="13.5" customHeight="1" outlineLevel="1" x14ac:dyDescent="0.3">
      <c r="A404" s="290">
        <f t="shared" si="228"/>
        <v>6</v>
      </c>
      <c r="B404" s="4"/>
      <c r="C404" s="606" t="s">
        <v>931</v>
      </c>
      <c r="D404" s="606" t="s">
        <v>8657</v>
      </c>
      <c r="E404" s="4"/>
      <c r="F404" s="2"/>
      <c r="G404" s="782" t="s">
        <v>7636</v>
      </c>
      <c r="H404" s="919">
        <f>I406*0.07</f>
        <v>19.327000000000002</v>
      </c>
      <c r="I404" s="767"/>
      <c r="J404" s="673">
        <f>L404/H404</f>
        <v>10266.346561804728</v>
      </c>
      <c r="K404" s="768" t="s">
        <v>2787</v>
      </c>
      <c r="L404" s="786">
        <f>SUM(L405:L412)</f>
        <v>198417.68</v>
      </c>
      <c r="M404" s="153">
        <f t="shared" ca="1" si="231"/>
        <v>1.204767041276897E-2</v>
      </c>
    </row>
    <row r="405" spans="1:22" s="51" customFormat="1" ht="13.5" customHeight="1" outlineLevel="1" x14ac:dyDescent="0.3">
      <c r="A405" s="13">
        <f t="shared" si="228"/>
        <v>0</v>
      </c>
      <c r="B405" s="49"/>
      <c r="C405" s="49"/>
      <c r="D405" s="370" t="s">
        <v>5949</v>
      </c>
      <c r="E405" s="67" t="str">
        <f>VLOOKUP(D405,'03. Insumos'!A:D,2,0)</f>
        <v xml:space="preserve">Mobilização de equipamento </v>
      </c>
      <c r="F405" s="68" t="s">
        <v>5218</v>
      </c>
      <c r="G405" s="68" t="str">
        <f>VLOOKUP(D405,'03. Insumos'!A:F,3,0)</f>
        <v>vb</v>
      </c>
      <c r="H405" s="69">
        <v>25000</v>
      </c>
      <c r="I405" s="69">
        <v>1</v>
      </c>
      <c r="J405" s="70">
        <f t="shared" ref="J405:J412" si="245">IFERROR(IF(K405&lt;&gt;0,K405*$K$5,0),0)</f>
        <v>1</v>
      </c>
      <c r="K405" s="54">
        <f>IF(A405=0,VLOOKUP(D405,'03. Insumos'!A:F,4,0),"")</f>
        <v>1</v>
      </c>
      <c r="L405" s="70">
        <f t="shared" ref="L405:L410" si="246">H405*J405*I405</f>
        <v>25000</v>
      </c>
      <c r="M405" s="153">
        <f t="shared" ca="1" si="231"/>
        <v>1.5179683600736803E-3</v>
      </c>
      <c r="U405" s="224">
        <f>T390+T438</f>
        <v>0</v>
      </c>
      <c r="V405" s="224" t="e">
        <f>#REF!+U405</f>
        <v>#REF!</v>
      </c>
    </row>
    <row r="406" spans="1:22" s="51" customFormat="1" ht="13.5" customHeight="1" outlineLevel="1" x14ac:dyDescent="0.3">
      <c r="A406" s="13">
        <f t="shared" si="228"/>
        <v>0</v>
      </c>
      <c r="B406" s="49"/>
      <c r="C406" s="49"/>
      <c r="D406" s="370" t="s">
        <v>7619</v>
      </c>
      <c r="E406" s="67" t="str">
        <f>VLOOKUP(D406,'03. Insumos'!A:D,2,0)</f>
        <v>Apiacoamento e limpeza manual da superfície das estacas</v>
      </c>
      <c r="F406" s="68" t="s">
        <v>5218</v>
      </c>
      <c r="G406" s="68" t="str">
        <f>VLOOKUP(D406,'03. Insumos'!A:F,3,0)</f>
        <v>m²</v>
      </c>
      <c r="H406" s="69">
        <v>1</v>
      </c>
      <c r="I406" s="69">
        <v>276.10000000000002</v>
      </c>
      <c r="J406" s="70">
        <f t="shared" si="245"/>
        <v>240</v>
      </c>
      <c r="K406" s="54">
        <f>IF(A406=0,VLOOKUP(D406,'03. Insumos'!A:F,4,0),"")</f>
        <v>240</v>
      </c>
      <c r="L406" s="70">
        <f t="shared" si="246"/>
        <v>66264</v>
      </c>
      <c r="M406" s="153">
        <f t="shared" ca="1" si="231"/>
        <v>4.0234662164768936E-3</v>
      </c>
      <c r="U406" s="224" t="e">
        <f>T391+#REF!</f>
        <v>#REF!</v>
      </c>
      <c r="V406" s="224" t="e">
        <f>#REF!+U406</f>
        <v>#REF!</v>
      </c>
    </row>
    <row r="407" spans="1:22" s="51" customFormat="1" ht="22.8" customHeight="1" outlineLevel="1" x14ac:dyDescent="0.3">
      <c r="A407" s="13">
        <f t="shared" ref="A407" si="247">LEN(C407)</f>
        <v>0</v>
      </c>
      <c r="B407" s="49"/>
      <c r="C407" s="49"/>
      <c r="D407" s="370" t="s">
        <v>7620</v>
      </c>
      <c r="E407" s="706" t="str">
        <f>VLOOKUP(D407,'03. Insumos'!A:D,2,0)</f>
        <v>Execução dos serviços de acabamento do revestimento  + instalação dos grampos de fixação e da tela eletrosoldada</v>
      </c>
      <c r="F407" s="68" t="s">
        <v>5218</v>
      </c>
      <c r="G407" s="68" t="str">
        <f>VLOOKUP(D407,'03. Insumos'!A:F,3,0)</f>
        <v>m²</v>
      </c>
      <c r="H407" s="69">
        <v>1</v>
      </c>
      <c r="I407" s="69">
        <f>I406</f>
        <v>276.10000000000002</v>
      </c>
      <c r="J407" s="70">
        <f>IFERROR(IF(K407&lt;&gt;0,K407*$K$5,0),0)-170</f>
        <v>250</v>
      </c>
      <c r="K407" s="54">
        <f>IF(A407=0,VLOOKUP(D407,'03. Insumos'!A:F,4,0),"")</f>
        <v>420</v>
      </c>
      <c r="L407" s="70">
        <f t="shared" ref="L407" si="248">H407*J407*I407</f>
        <v>69025</v>
      </c>
      <c r="M407" s="153">
        <f t="shared" ref="M407:M409" ca="1" si="249">L407/$L$7</f>
        <v>4.1911106421634314E-3</v>
      </c>
      <c r="U407" s="224" t="e">
        <f>T387+#REF!</f>
        <v>#REF!</v>
      </c>
      <c r="V407" s="224" t="e">
        <f>#REF!+U407</f>
        <v>#REF!</v>
      </c>
    </row>
    <row r="408" spans="1:22" s="51" customFormat="1" ht="13.5" customHeight="1" outlineLevel="1" x14ac:dyDescent="0.3">
      <c r="A408" s="13">
        <f>LEN(C408)</f>
        <v>0</v>
      </c>
      <c r="B408" s="49"/>
      <c r="C408" s="49"/>
      <c r="D408" s="370" t="s">
        <v>2282</v>
      </c>
      <c r="E408" s="67" t="str">
        <f>VLOOKUP(D408,'03. Insumos'!A:D,2,0)</f>
        <v>Tela Soldada Nervurada - Q335 - 2,45 x 6,00 m</v>
      </c>
      <c r="F408" s="68" t="s">
        <v>5218</v>
      </c>
      <c r="G408" s="68" t="str">
        <f>VLOOKUP(D408,'03. Insumos'!A:F,3,0)</f>
        <v>Painel</v>
      </c>
      <c r="H408" s="69">
        <v>1</v>
      </c>
      <c r="I408" s="69">
        <f>ROUNDUP(I407/(2.45*6),0)</f>
        <v>19</v>
      </c>
      <c r="J408" s="70">
        <f t="shared" ref="J408:J409" si="250">IFERROR(IF(K408&lt;&gt;0,K408*$K$5,0),0)</f>
        <v>578</v>
      </c>
      <c r="K408" s="54">
        <f>IF(A408=0,VLOOKUP(D408,'03. Insumos'!A:F,4,0),"")</f>
        <v>578</v>
      </c>
      <c r="L408" s="70">
        <f>H408*J408*I408</f>
        <v>10982</v>
      </c>
      <c r="M408" s="153">
        <f t="shared" ca="1" si="249"/>
        <v>6.6681314121316631E-4</v>
      </c>
    </row>
    <row r="409" spans="1:22" s="51" customFormat="1" ht="13.5" customHeight="1" outlineLevel="1" x14ac:dyDescent="0.3">
      <c r="A409" s="13">
        <f t="shared" ref="A409" si="251">LEN(C409)</f>
        <v>0</v>
      </c>
      <c r="B409" s="49"/>
      <c r="C409" s="49"/>
      <c r="D409" s="370" t="s">
        <v>3385</v>
      </c>
      <c r="E409" s="67" t="str">
        <f>VLOOKUP(D409,'03. Insumos'!A:D,2,0)</f>
        <v>Concreto Usinado 35 Mpa, fator AC 0,45</v>
      </c>
      <c r="F409" s="68" t="s">
        <v>5218</v>
      </c>
      <c r="G409" s="68" t="str">
        <f>VLOOKUP(D409,'03. Insumos'!A:F,3,0)</f>
        <v>m³</v>
      </c>
      <c r="H409" s="69">
        <v>1.1000000000000001</v>
      </c>
      <c r="I409" s="69">
        <v>47.92</v>
      </c>
      <c r="J409" s="70">
        <f t="shared" si="250"/>
        <v>515</v>
      </c>
      <c r="K409" s="54">
        <f>IF(A409=0,VLOOKUP(D409,'03. Insumos'!A:F,4,0),"")</f>
        <v>515</v>
      </c>
      <c r="L409" s="70">
        <f t="shared" ref="L409" si="252">H409*J409*I409</f>
        <v>27146.68</v>
      </c>
      <c r="M409" s="153">
        <f t="shared" ca="1" si="249"/>
        <v>1.6483120528417989E-3</v>
      </c>
      <c r="U409" s="224" t="e">
        <f>T390+#REF!</f>
        <v>#REF!</v>
      </c>
      <c r="V409" s="224" t="e">
        <f>#REF!+U409</f>
        <v>#REF!</v>
      </c>
    </row>
    <row r="410" spans="1:22" s="51" customFormat="1" ht="13.5" hidden="1" customHeight="1" outlineLevel="1" x14ac:dyDescent="0.3">
      <c r="A410" s="13">
        <f t="shared" si="228"/>
        <v>0</v>
      </c>
      <c r="B410" s="49"/>
      <c r="C410" s="49"/>
      <c r="D410" s="370" t="s">
        <v>6456</v>
      </c>
      <c r="E410" s="67" t="str">
        <f>VLOOKUP(D410,'03. Insumos'!A:D,2,0)</f>
        <v>Cimento Portland CPIII 40 RS 50 KGs</v>
      </c>
      <c r="F410" s="68" t="s">
        <v>5218</v>
      </c>
      <c r="G410" s="68" t="str">
        <f>VLOOKUP(D410,'03. Insumos'!A:F,3,0)</f>
        <v>sc</v>
      </c>
      <c r="H410" s="69">
        <f>350/50</f>
        <v>7</v>
      </c>
      <c r="I410" s="69"/>
      <c r="J410" s="70">
        <f t="shared" si="245"/>
        <v>29.8</v>
      </c>
      <c r="K410" s="54">
        <f>IF(A410=0,VLOOKUP(D410,'03. Insumos'!A:F,4,0),"")</f>
        <v>29.8</v>
      </c>
      <c r="L410" s="70">
        <f t="shared" si="246"/>
        <v>0</v>
      </c>
      <c r="M410" s="153">
        <f t="shared" ca="1" si="231"/>
        <v>0</v>
      </c>
      <c r="U410" s="224" t="e">
        <f>T391+#REF!</f>
        <v>#REF!</v>
      </c>
      <c r="V410" s="224" t="e">
        <f>#REF!+U410</f>
        <v>#REF!</v>
      </c>
    </row>
    <row r="411" spans="1:22" s="51" customFormat="1" ht="13.5" hidden="1" customHeight="1" outlineLevel="1" x14ac:dyDescent="0.3">
      <c r="A411" s="13">
        <f>LEN(C411)</f>
        <v>0</v>
      </c>
      <c r="B411" s="49"/>
      <c r="C411" s="49"/>
      <c r="D411" s="370" t="s">
        <v>4076</v>
      </c>
      <c r="E411" s="67" t="str">
        <f>VLOOKUP(D411,'03. Insumos'!A:D,2,0)</f>
        <v xml:space="preserve">Areia Lavada </v>
      </c>
      <c r="F411" s="68" t="s">
        <v>5218</v>
      </c>
      <c r="G411" s="68" t="str">
        <f>VLOOKUP(D411,'03. Insumos'!A:F,3,0)</f>
        <v>m³</v>
      </c>
      <c r="H411" s="69">
        <v>0.79</v>
      </c>
      <c r="I411" s="69"/>
      <c r="J411" s="70">
        <f t="shared" si="245"/>
        <v>180</v>
      </c>
      <c r="K411" s="54">
        <f>IF(A411=0,VLOOKUP(D411,'03. Insumos'!A:F,4,0),"")</f>
        <v>180</v>
      </c>
      <c r="L411" s="70">
        <f>H411*J411*I411</f>
        <v>0</v>
      </c>
      <c r="M411" s="153">
        <f t="shared" ca="1" si="231"/>
        <v>0</v>
      </c>
    </row>
    <row r="412" spans="1:22" s="51" customFormat="1" ht="13.5" hidden="1" customHeight="1" outlineLevel="1" x14ac:dyDescent="0.3">
      <c r="A412" s="13">
        <f t="shared" ref="A412:A424" si="253">LEN(C412)</f>
        <v>0</v>
      </c>
      <c r="B412" s="49"/>
      <c r="C412" s="49"/>
      <c r="D412" s="370" t="s">
        <v>184</v>
      </c>
      <c r="E412" s="67" t="str">
        <f>VLOOKUP(D412,'03. Insumos'!A:D,2,0)</f>
        <v>Brita 0</v>
      </c>
      <c r="F412" s="68" t="s">
        <v>5218</v>
      </c>
      <c r="G412" s="68" t="str">
        <f>VLOOKUP(D412,'03. Insumos'!A:F,3,0)</f>
        <v>m³</v>
      </c>
      <c r="H412" s="69">
        <v>0.53</v>
      </c>
      <c r="I412" s="69"/>
      <c r="J412" s="70">
        <f t="shared" si="245"/>
        <v>210</v>
      </c>
      <c r="K412" s="54">
        <f>IF(A412=0,VLOOKUP(D412,'03. Insumos'!A:F,4,0),"")</f>
        <v>210</v>
      </c>
      <c r="L412" s="70">
        <f t="shared" ref="L412" si="254">H412*J412*I412</f>
        <v>0</v>
      </c>
      <c r="M412" s="153">
        <f t="shared" ca="1" si="231"/>
        <v>0</v>
      </c>
    </row>
    <row r="413" spans="1:22" ht="13.5" hidden="1" customHeight="1" outlineLevel="1" x14ac:dyDescent="0.3">
      <c r="A413" s="290">
        <f t="shared" si="253"/>
        <v>6</v>
      </c>
      <c r="B413" s="4"/>
      <c r="C413" s="606" t="s">
        <v>1346</v>
      </c>
      <c r="D413" s="606" t="s">
        <v>7948</v>
      </c>
      <c r="E413" s="4"/>
      <c r="F413" s="2"/>
      <c r="G413" s="782" t="s">
        <v>73</v>
      </c>
      <c r="H413" s="783"/>
      <c r="I413" s="767"/>
      <c r="J413" s="673" t="e">
        <f>L413/H413</f>
        <v>#DIV/0!</v>
      </c>
      <c r="K413" s="768" t="s">
        <v>2787</v>
      </c>
      <c r="L413" s="786">
        <f>SUM(L414:L422)</f>
        <v>0</v>
      </c>
      <c r="M413" s="153">
        <f t="shared" ca="1" si="231"/>
        <v>0</v>
      </c>
    </row>
    <row r="414" spans="1:22" s="51" customFormat="1" ht="13.5" hidden="1" customHeight="1" outlineLevel="1" x14ac:dyDescent="0.3">
      <c r="A414" s="13">
        <f t="shared" si="253"/>
        <v>0</v>
      </c>
      <c r="B414" s="49"/>
      <c r="C414" s="49"/>
      <c r="D414" s="370" t="s">
        <v>3385</v>
      </c>
      <c r="E414" s="67" t="str">
        <f>VLOOKUP(D414,'03. Insumos'!A:D,2,0)</f>
        <v>Concreto Usinado 35 Mpa, fator AC 0,45</v>
      </c>
      <c r="F414" s="68" t="s">
        <v>5218</v>
      </c>
      <c r="G414" s="68" t="str">
        <f>VLOOKUP(D414,'03. Insumos'!A:F,3,0)</f>
        <v>m³</v>
      </c>
      <c r="H414" s="69">
        <v>1.1000000000000001</v>
      </c>
      <c r="I414" s="69">
        <f>H413*0.2</f>
        <v>0</v>
      </c>
      <c r="J414" s="70">
        <f t="shared" ref="J414:J420" si="255">IFERROR(IF(K414&lt;&gt;0,K414*$K$5,0),0)</f>
        <v>515</v>
      </c>
      <c r="K414" s="70">
        <f>IF(A414=0,VLOOKUP(D414,'03. Insumos'!A:F,4,0),"")</f>
        <v>515</v>
      </c>
      <c r="L414" s="70">
        <f t="shared" ref="L414:L416" si="256">H414*J414*I414</f>
        <v>0</v>
      </c>
      <c r="M414" s="153">
        <f t="shared" ca="1" si="231"/>
        <v>0</v>
      </c>
      <c r="O414" s="148">
        <f t="shared" ref="O414" si="257">IF(I414&lt;&gt;0,I414*H414*K414,)</f>
        <v>0</v>
      </c>
      <c r="R414" s="356">
        <f t="shared" ref="R414" si="258">IF(J414&lt;&gt;0,J414/1.03-K414,0)</f>
        <v>-15</v>
      </c>
    </row>
    <row r="415" spans="1:22" s="51" customFormat="1" ht="13.5" hidden="1" customHeight="1" outlineLevel="1" x14ac:dyDescent="0.3">
      <c r="A415" s="13">
        <v>0</v>
      </c>
      <c r="B415" s="49"/>
      <c r="C415" s="49"/>
      <c r="D415" s="370" t="s">
        <v>6411</v>
      </c>
      <c r="E415" s="67" t="str">
        <f>VLOOKUP(D415,'03. Insumos'!A:D,2,0)</f>
        <v>Lançamento de Concreto - Mão de Obra</v>
      </c>
      <c r="F415" s="68" t="s">
        <v>5218</v>
      </c>
      <c r="G415" s="68" t="str">
        <f>VLOOKUP(D415,'03. Insumos'!A:F,3,0)</f>
        <v>m³</v>
      </c>
      <c r="H415" s="69">
        <v>1</v>
      </c>
      <c r="I415" s="69">
        <f>$H$413</f>
        <v>0</v>
      </c>
      <c r="J415" s="70">
        <f t="shared" si="255"/>
        <v>40</v>
      </c>
      <c r="K415" s="70">
        <f>IF(A415=0,VLOOKUP(D415,'03. Insumos'!A:F,4,0),"")</f>
        <v>40</v>
      </c>
      <c r="L415" s="70">
        <f t="shared" si="256"/>
        <v>0</v>
      </c>
      <c r="M415" s="153">
        <f t="shared" ca="1" si="231"/>
        <v>0</v>
      </c>
      <c r="O415" s="148"/>
      <c r="R415" s="356"/>
    </row>
    <row r="416" spans="1:22" s="51" customFormat="1" ht="13.5" hidden="1" customHeight="1" outlineLevel="1" x14ac:dyDescent="0.3">
      <c r="A416" s="13">
        <v>0</v>
      </c>
      <c r="B416" s="49"/>
      <c r="C416" s="49"/>
      <c r="D416" s="370" t="s">
        <v>135</v>
      </c>
      <c r="E416" s="67" t="str">
        <f>VLOOKUP(D416,'03. Insumos'!A:D,2,0)</f>
        <v>Bombeamento de concreto - acima 40m³</v>
      </c>
      <c r="F416" s="68" t="s">
        <v>5218</v>
      </c>
      <c r="G416" s="68" t="str">
        <f>VLOOKUP(D416,'03. Insumos'!A:F,3,0)</f>
        <v>m²</v>
      </c>
      <c r="H416" s="69">
        <v>1.1000000000000001</v>
      </c>
      <c r="I416" s="69">
        <f>I414</f>
        <v>0</v>
      </c>
      <c r="J416" s="70">
        <f t="shared" si="255"/>
        <v>65</v>
      </c>
      <c r="K416" s="70">
        <f>IF(A416=0,VLOOKUP(D416,'03. Insumos'!A:F,4,0),"")</f>
        <v>65</v>
      </c>
      <c r="L416" s="70">
        <f t="shared" si="256"/>
        <v>0</v>
      </c>
      <c r="M416" s="153">
        <f t="shared" ca="1" si="231"/>
        <v>0</v>
      </c>
      <c r="O416" s="148"/>
      <c r="R416" s="356"/>
    </row>
    <row r="417" spans="1:20" s="51" customFormat="1" hidden="1" outlineLevel="1" x14ac:dyDescent="0.3">
      <c r="A417" s="13">
        <f>LEN(C417)</f>
        <v>0</v>
      </c>
      <c r="B417" s="49"/>
      <c r="C417" s="49"/>
      <c r="D417" s="370" t="s">
        <v>6412</v>
      </c>
      <c r="E417" s="67" t="str">
        <f>VLOOKUP(D417,'03. Insumos'!A:D,2,0)</f>
        <v>Corte e Dobra de Aço - MO</v>
      </c>
      <c r="F417" s="68" t="s">
        <v>5218</v>
      </c>
      <c r="G417" s="68" t="str">
        <f>VLOOKUP(D417,'03. Insumos'!A:F,3,0)</f>
        <v>kg</v>
      </c>
      <c r="H417" s="69">
        <v>1</v>
      </c>
      <c r="I417" s="69">
        <f>I414*100</f>
        <v>0</v>
      </c>
      <c r="J417" s="70">
        <f t="shared" si="255"/>
        <v>0.8</v>
      </c>
      <c r="K417" s="70">
        <f>IF(A417=0,VLOOKUP(D417,'03. Insumos'!A:F,4,0),"")</f>
        <v>0.8</v>
      </c>
      <c r="L417" s="70">
        <f>H417*J417*I417</f>
        <v>0</v>
      </c>
      <c r="M417" s="153">
        <f t="shared" ca="1" si="231"/>
        <v>0</v>
      </c>
      <c r="O417" s="148">
        <f t="shared" ref="O417:O421" si="259">IF(I417&lt;&gt;0,I417*H417*K417,)</f>
        <v>0</v>
      </c>
      <c r="R417" s="356">
        <f t="shared" ref="R417:R418" si="260">IF(J417&lt;&gt;0,J417/1.03-K417,0)</f>
        <v>-2.3300970873786464E-2</v>
      </c>
    </row>
    <row r="418" spans="1:20" s="51" customFormat="1" hidden="1" outlineLevel="1" x14ac:dyDescent="0.3">
      <c r="A418" s="13">
        <f>LEN(C418)</f>
        <v>0</v>
      </c>
      <c r="B418" s="49"/>
      <c r="C418" s="49"/>
      <c r="D418" s="370" t="s">
        <v>6413</v>
      </c>
      <c r="E418" s="67" t="str">
        <f>VLOOKUP(D418,'03. Insumos'!A:D,2,0)</f>
        <v>Lançamento e montagem de armadura - MO</v>
      </c>
      <c r="F418" s="68" t="s">
        <v>5218</v>
      </c>
      <c r="G418" s="68" t="str">
        <f>VLOOKUP(D418,'03. Insumos'!A:F,3,0)</f>
        <v>kg</v>
      </c>
      <c r="H418" s="69">
        <v>1</v>
      </c>
      <c r="I418" s="69">
        <f>I417</f>
        <v>0</v>
      </c>
      <c r="J418" s="70">
        <f t="shared" si="255"/>
        <v>3.5</v>
      </c>
      <c r="K418" s="70">
        <f>IF(A418=0,VLOOKUP(D418,'03. Insumos'!A:F,4,0),"")</f>
        <v>3.5</v>
      </c>
      <c r="L418" s="70">
        <f>H418*J418*I418</f>
        <v>0</v>
      </c>
      <c r="M418" s="153">
        <f t="shared" ca="1" si="231"/>
        <v>0</v>
      </c>
      <c r="O418" s="148">
        <f t="shared" si="259"/>
        <v>0</v>
      </c>
      <c r="R418" s="356">
        <f t="shared" si="260"/>
        <v>-0.10194174757281571</v>
      </c>
    </row>
    <row r="419" spans="1:20" ht="13.5" hidden="1" customHeight="1" outlineLevel="1" x14ac:dyDescent="0.3">
      <c r="A419" s="13">
        <f t="shared" ref="A419:A421" si="261">LEN(C419)</f>
        <v>0</v>
      </c>
      <c r="B419" s="4"/>
      <c r="C419" s="4"/>
      <c r="D419" s="370" t="s">
        <v>6566</v>
      </c>
      <c r="E419" s="67" t="str">
        <f>VLOOKUP(D419,'03. Insumos'!A:D,2,0)</f>
        <v>Aço CA50 12,5mm - Manufaturado</v>
      </c>
      <c r="F419" s="68" t="s">
        <v>5218</v>
      </c>
      <c r="G419" s="68" t="str">
        <f>VLOOKUP(D419,'03. Insumos'!A:F,3,0)</f>
        <v>kg</v>
      </c>
      <c r="H419" s="69">
        <v>1.03</v>
      </c>
      <c r="I419" s="69">
        <f>I418</f>
        <v>0</v>
      </c>
      <c r="J419" s="70">
        <f t="shared" si="255"/>
        <v>5.6366699999999996</v>
      </c>
      <c r="K419" s="70">
        <f>IF(A419=0,VLOOKUP(D419,'03. Insumos'!A:F,4,0),"")</f>
        <v>5.6366699999999996</v>
      </c>
      <c r="L419" s="70">
        <f>H419*J419*I419</f>
        <v>0</v>
      </c>
      <c r="M419" s="153">
        <f t="shared" ca="1" si="231"/>
        <v>0</v>
      </c>
      <c r="O419" s="148">
        <f t="shared" si="259"/>
        <v>0</v>
      </c>
      <c r="R419" s="356">
        <f>IF(J419&lt;&gt;0,J419/1.03-K419,0)</f>
        <v>-0.16417485436893209</v>
      </c>
    </row>
    <row r="420" spans="1:20" s="51" customFormat="1" ht="13.5" hidden="1" customHeight="1" outlineLevel="1" x14ac:dyDescent="0.3">
      <c r="A420" s="13">
        <f t="shared" si="261"/>
        <v>0</v>
      </c>
      <c r="B420" s="49"/>
      <c r="C420" s="49"/>
      <c r="D420" s="370" t="s">
        <v>6441</v>
      </c>
      <c r="E420" s="67" t="str">
        <f>VLOOKUP(D420,'03. Insumos'!A:D,2,0)</f>
        <v>Arame Galv. 18</v>
      </c>
      <c r="F420" s="68" t="s">
        <v>5218</v>
      </c>
      <c r="G420" s="68" t="str">
        <f>VLOOKUP(D420,'03. Insumos'!A:F,3,0)</f>
        <v>kg</v>
      </c>
      <c r="H420" s="69">
        <v>1.03</v>
      </c>
      <c r="I420" s="69">
        <f>I419*0.03</f>
        <v>0</v>
      </c>
      <c r="J420" s="70">
        <f t="shared" si="255"/>
        <v>14.246274000000001</v>
      </c>
      <c r="K420" s="70">
        <f>IF(A420=0,VLOOKUP(D420,'03. Insumos'!A:F,4,0),"")</f>
        <v>14.246274000000001</v>
      </c>
      <c r="L420" s="70">
        <f t="shared" ref="L420:L422" si="262">H420*J420*I420</f>
        <v>0</v>
      </c>
      <c r="M420" s="153">
        <f t="shared" ca="1" si="231"/>
        <v>0</v>
      </c>
      <c r="O420" s="148">
        <f t="shared" si="259"/>
        <v>0</v>
      </c>
      <c r="R420" s="356">
        <f>IF(J420&lt;&gt;0,J420/1.03-K420,0)</f>
        <v>-0.41494001941747527</v>
      </c>
    </row>
    <row r="421" spans="1:20" s="51" customFormat="1" ht="13.5" hidden="1" customHeight="1" outlineLevel="1" x14ac:dyDescent="0.3">
      <c r="A421" s="13">
        <f t="shared" si="261"/>
        <v>0</v>
      </c>
      <c r="B421" s="49"/>
      <c r="C421" s="49"/>
      <c r="D421" s="370" t="s">
        <v>6442</v>
      </c>
      <c r="E421" s="67" t="str">
        <f>VLOOKUP(D421,'03. Insumos'!A:D,2,0)</f>
        <v>Espaçadore Genérico</v>
      </c>
      <c r="F421" s="68" t="s">
        <v>5218</v>
      </c>
      <c r="G421" s="68" t="str">
        <f>VLOOKUP(D421,'03. Insumos'!A:F,3,0)</f>
        <v>vb</v>
      </c>
      <c r="H421" s="69">
        <f>I418*1.03</f>
        <v>0</v>
      </c>
      <c r="I421" s="69">
        <v>0.10172034009009008</v>
      </c>
      <c r="J421" s="70">
        <v>1</v>
      </c>
      <c r="K421" s="70">
        <f>IF(A421=0,VLOOKUP(D421,'03. Insumos'!A:F,4,0),"")</f>
        <v>1</v>
      </c>
      <c r="L421" s="70">
        <f t="shared" si="262"/>
        <v>0</v>
      </c>
      <c r="M421" s="153">
        <f t="shared" ca="1" si="231"/>
        <v>0</v>
      </c>
      <c r="O421" s="148">
        <f t="shared" si="259"/>
        <v>0</v>
      </c>
      <c r="R421" s="356">
        <f>IF(J421&lt;&gt;0,J421/1.03-K421,0)</f>
        <v>-2.9126213592232997E-2</v>
      </c>
    </row>
    <row r="422" spans="1:20" s="51" customFormat="1" ht="13.5" hidden="1" customHeight="1" outlineLevel="1" x14ac:dyDescent="0.3">
      <c r="A422" s="13">
        <v>0</v>
      </c>
      <c r="B422" s="67"/>
      <c r="C422" s="67"/>
      <c r="D422" s="370" t="s">
        <v>3146</v>
      </c>
      <c r="E422" s="67" t="str">
        <f>VLOOKUP(D422,'03. Insumos'!A:D,2,0)</f>
        <v>Forma - Material e Mão de obra</v>
      </c>
      <c r="F422" s="68" t="s">
        <v>5218</v>
      </c>
      <c r="G422" s="68" t="s">
        <v>73</v>
      </c>
      <c r="H422" s="69">
        <v>1</v>
      </c>
      <c r="I422" s="69">
        <f>H413</f>
        <v>0</v>
      </c>
      <c r="J422" s="70">
        <f>IFERROR(IF(K422&lt;&gt;0,K422*$K$5,0),0)</f>
        <v>140</v>
      </c>
      <c r="K422" s="70">
        <f>IF(A422=0,VLOOKUP(D422,'03. Insumos'!A:F,4,0),"")</f>
        <v>140</v>
      </c>
      <c r="L422" s="70">
        <f t="shared" si="262"/>
        <v>0</v>
      </c>
      <c r="M422" s="153">
        <f t="shared" ca="1" si="231"/>
        <v>0</v>
      </c>
      <c r="O422" s="148"/>
      <c r="R422" s="356"/>
    </row>
    <row r="423" spans="1:20" ht="13.5" hidden="1" customHeight="1" outlineLevel="1" x14ac:dyDescent="0.3">
      <c r="A423" s="290">
        <f t="shared" si="253"/>
        <v>6</v>
      </c>
      <c r="B423" s="4"/>
      <c r="C423" s="606" t="s">
        <v>931</v>
      </c>
      <c r="D423" s="606" t="s">
        <v>7852</v>
      </c>
      <c r="E423" s="4"/>
      <c r="F423" s="2"/>
      <c r="G423" s="782" t="s">
        <v>74</v>
      </c>
      <c r="H423" s="926"/>
      <c r="I423" s="767"/>
      <c r="J423" s="673" t="e">
        <f>L423/H423</f>
        <v>#DIV/0!</v>
      </c>
      <c r="K423" s="768" t="s">
        <v>2787</v>
      </c>
      <c r="L423" s="786">
        <f>SUM(L424:L434)</f>
        <v>0</v>
      </c>
      <c r="M423" s="153">
        <f t="shared" ca="1" si="231"/>
        <v>0</v>
      </c>
    </row>
    <row r="424" spans="1:20" s="51" customFormat="1" ht="13.5" hidden="1" customHeight="1" outlineLevel="1" x14ac:dyDescent="0.3">
      <c r="A424" s="13">
        <f t="shared" si="253"/>
        <v>0</v>
      </c>
      <c r="B424" s="49"/>
      <c r="C424" s="49"/>
      <c r="D424" s="370" t="s">
        <v>7821</v>
      </c>
      <c r="E424" s="67" t="str">
        <f>VLOOKUP(D424,'03. Insumos'!A:D,2,0)</f>
        <v>Bancada Cozinha 2,80x0,65 em Marmore Branco Prime - Material</v>
      </c>
      <c r="F424" s="68" t="s">
        <v>5218</v>
      </c>
      <c r="G424" s="68" t="str">
        <f>VLOOKUP(D424,'03. Insumos'!A:F,3,0)</f>
        <v>unid</v>
      </c>
      <c r="H424" s="69">
        <v>1</v>
      </c>
      <c r="I424" s="69">
        <f>H423</f>
        <v>0</v>
      </c>
      <c r="J424" s="70">
        <f>IFERROR(IF(K424&lt;&gt;0,K424*$K$5,0),0)</f>
        <v>2513.4199999999996</v>
      </c>
      <c r="K424" s="54">
        <f>IF(A424=0,VLOOKUP(D424,'03. Insumos'!A:F,4,0),"")</f>
        <v>2513.4199999999996</v>
      </c>
      <c r="L424" s="70">
        <f t="shared" ref="L424" si="263">H424*J424*I424</f>
        <v>0</v>
      </c>
      <c r="M424" s="153">
        <f t="shared" ca="1" si="231"/>
        <v>0</v>
      </c>
    </row>
    <row r="425" spans="1:20" s="51" customFormat="1" ht="13.5" hidden="1" customHeight="1" outlineLevel="1" x14ac:dyDescent="0.3">
      <c r="A425" s="13">
        <f>LEN(C425)</f>
        <v>0</v>
      </c>
      <c r="B425" s="49"/>
      <c r="C425" s="49"/>
      <c r="D425" s="370" t="s">
        <v>6456</v>
      </c>
      <c r="E425" s="67" t="str">
        <f>VLOOKUP(D425,'03. Insumos'!A:D,2,0)</f>
        <v>Cimento Portland CPIII 40 RS 50 KGs</v>
      </c>
      <c r="F425" s="68" t="s">
        <v>5218</v>
      </c>
      <c r="G425" s="68" t="str">
        <f>VLOOKUP(D425,'03. Insumos'!A:F,3,0)</f>
        <v>sc</v>
      </c>
      <c r="H425" s="69">
        <v>2.2000000000000002</v>
      </c>
      <c r="I425" s="69">
        <f>ROUNDUP($H$423*H425,0)</f>
        <v>0</v>
      </c>
      <c r="J425" s="70">
        <f t="shared" ref="J425:J430" si="264">IFERROR(IF(K425&lt;&gt;0,K425*$K$5,0),0)</f>
        <v>29.8</v>
      </c>
      <c r="K425" s="54">
        <f>IF(A425=0,VLOOKUP(D425,'03. Insumos'!A:F,4,0),"")</f>
        <v>29.8</v>
      </c>
      <c r="L425" s="70">
        <f>J425*I425</f>
        <v>0</v>
      </c>
      <c r="M425" s="153">
        <f t="shared" ca="1" si="231"/>
        <v>0</v>
      </c>
    </row>
    <row r="426" spans="1:20" s="51" customFormat="1" ht="13.5" hidden="1" customHeight="1" outlineLevel="1" x14ac:dyDescent="0.3">
      <c r="A426" s="13">
        <f t="shared" ref="A426" si="265">LEN(C426)</f>
        <v>0</v>
      </c>
      <c r="B426" s="49"/>
      <c r="C426" s="49"/>
      <c r="D426" s="370" t="s">
        <v>4076</v>
      </c>
      <c r="E426" s="67" t="str">
        <f>VLOOKUP(D426,'03. Insumos'!A:D,2,0)</f>
        <v xml:space="preserve">Areia Lavada </v>
      </c>
      <c r="F426" s="68" t="s">
        <v>5218</v>
      </c>
      <c r="G426" s="68" t="str">
        <f>VLOOKUP(D426,'03. Insumos'!A:F,3,0)</f>
        <v>m³</v>
      </c>
      <c r="H426" s="69">
        <v>0.2</v>
      </c>
      <c r="I426" s="69">
        <f>ROUNDUP($H$423*H426,0)</f>
        <v>0</v>
      </c>
      <c r="J426" s="70">
        <f t="shared" si="264"/>
        <v>180</v>
      </c>
      <c r="K426" s="54">
        <f>IF(A426=0,VLOOKUP(D426,'03. Insumos'!A:F,4,0),"")</f>
        <v>180</v>
      </c>
      <c r="L426" s="70">
        <f>J426*I426</f>
        <v>0</v>
      </c>
      <c r="M426" s="153">
        <f t="shared" ca="1" si="231"/>
        <v>0</v>
      </c>
    </row>
    <row r="427" spans="1:20" s="51" customFormat="1" ht="13.5" hidden="1" customHeight="1" outlineLevel="1" x14ac:dyDescent="0.3">
      <c r="A427" s="13">
        <f>LEN(C427)</f>
        <v>0</v>
      </c>
      <c r="B427" s="49"/>
      <c r="C427" s="49"/>
      <c r="D427" s="370" t="s">
        <v>5767</v>
      </c>
      <c r="E427" s="67" t="str">
        <f>VLOOKUP(D427,'03. Insumos'!A:D,2,0)</f>
        <v>Aço CA50 6,3mm  - vergalhão</v>
      </c>
      <c r="F427" s="68" t="s">
        <v>5218</v>
      </c>
      <c r="G427" s="68" t="str">
        <f>VLOOKUP(D427,'03. Insumos'!A:F,3,0)</f>
        <v>kg</v>
      </c>
      <c r="H427" s="69">
        <v>1.03</v>
      </c>
      <c r="I427" s="32"/>
      <c r="J427" s="70">
        <f t="shared" si="264"/>
        <v>6.6403600000000003</v>
      </c>
      <c r="K427" s="54">
        <f>IF(A427=0,VLOOKUP(D427,'03. Insumos'!A:F,4,0),"")</f>
        <v>6.6403600000000003</v>
      </c>
      <c r="L427" s="70">
        <f>H427*J427*I427</f>
        <v>0</v>
      </c>
      <c r="M427" s="153">
        <f t="shared" ca="1" si="231"/>
        <v>0</v>
      </c>
      <c r="R427" s="787">
        <v>29520.985846153846</v>
      </c>
      <c r="T427" s="224">
        <f>R427-L427</f>
        <v>29520.985846153846</v>
      </c>
    </row>
    <row r="428" spans="1:20" s="51" customFormat="1" ht="13.5" hidden="1" customHeight="1" outlineLevel="1" x14ac:dyDescent="0.3">
      <c r="A428" s="13">
        <f>LEN(C428)</f>
        <v>0</v>
      </c>
      <c r="B428" s="49"/>
      <c r="C428" s="49"/>
      <c r="D428" s="370" t="s">
        <v>5814</v>
      </c>
      <c r="E428" s="67" t="str">
        <f>VLOOKUP(D428,'03. Insumos'!A:D,2,0)</f>
        <v>Aço CA50 8,0mm - Vergalhão</v>
      </c>
      <c r="F428" s="68" t="s">
        <v>5218</v>
      </c>
      <c r="G428" s="68" t="str">
        <f>VLOOKUP(D428,'03. Insumos'!A:F,3,0)</f>
        <v>kg</v>
      </c>
      <c r="H428" s="69">
        <v>1.03</v>
      </c>
      <c r="I428" s="32"/>
      <c r="J428" s="70">
        <f t="shared" si="264"/>
        <v>6.6403600000000003</v>
      </c>
      <c r="K428" s="54">
        <f>IF(A428=0,VLOOKUP(D428,'03. Insumos'!A:F,4,0),"")</f>
        <v>6.6403600000000003</v>
      </c>
      <c r="L428" s="70">
        <f>H428*J428*I428</f>
        <v>0</v>
      </c>
      <c r="M428" s="153">
        <f t="shared" ca="1" si="231"/>
        <v>0</v>
      </c>
      <c r="R428" s="787">
        <v>29520.985846153846</v>
      </c>
      <c r="T428" s="224">
        <f>R428-L428</f>
        <v>29520.985846153846</v>
      </c>
    </row>
    <row r="429" spans="1:20" s="51" customFormat="1" ht="13.5" hidden="1" customHeight="1" outlineLevel="1" x14ac:dyDescent="0.3">
      <c r="A429" s="13">
        <f>LEN(C429)</f>
        <v>0</v>
      </c>
      <c r="B429" s="49"/>
      <c r="C429" s="49"/>
      <c r="D429" s="370" t="s">
        <v>180</v>
      </c>
      <c r="E429" s="67" t="str">
        <f>VLOOKUP(D429,'03. Insumos'!A:D,2,0)</f>
        <v>Corte e Dobra de Aço - MO</v>
      </c>
      <c r="F429" s="68" t="s">
        <v>5218</v>
      </c>
      <c r="G429" s="68" t="str">
        <f>VLOOKUP(D429,'03. Insumos'!A:F,3,0)</f>
        <v>kg</v>
      </c>
      <c r="H429" s="69">
        <v>1</v>
      </c>
      <c r="I429" s="32">
        <f>SUM(I427:I428)</f>
        <v>0</v>
      </c>
      <c r="J429" s="70">
        <f t="shared" si="264"/>
        <v>0.75</v>
      </c>
      <c r="K429" s="54">
        <f>IF(A429=0,VLOOKUP(D429,'03. Insumos'!A:F,4,0),"")</f>
        <v>0.75</v>
      </c>
      <c r="L429" s="70">
        <f>H429*J429*I429</f>
        <v>0</v>
      </c>
      <c r="M429" s="153">
        <f t="shared" ca="1" si="231"/>
        <v>0</v>
      </c>
      <c r="R429" s="787">
        <v>8934.9230769230762</v>
      </c>
      <c r="S429" s="224">
        <f>L429+L430</f>
        <v>0</v>
      </c>
      <c r="T429" s="224">
        <f>R429-S429</f>
        <v>8934.9230769230762</v>
      </c>
    </row>
    <row r="430" spans="1:20" s="51" customFormat="1" ht="13.5" hidden="1" customHeight="1" outlineLevel="1" x14ac:dyDescent="0.3">
      <c r="A430" s="13">
        <f>LEN(C430)</f>
        <v>0</v>
      </c>
      <c r="B430" s="49"/>
      <c r="C430" s="49"/>
      <c r="D430" s="370" t="s">
        <v>4041</v>
      </c>
      <c r="E430" s="67" t="str">
        <f>VLOOKUP(D430,'03. Insumos'!A:D,2,0)</f>
        <v>Pré montagem de armadura</v>
      </c>
      <c r="F430" s="68" t="s">
        <v>5218</v>
      </c>
      <c r="G430" s="68" t="str">
        <f>VLOOKUP(D430,'03. Insumos'!A:F,3,0)</f>
        <v>kg</v>
      </c>
      <c r="H430" s="69">
        <v>1</v>
      </c>
      <c r="I430" s="32">
        <f>I429</f>
        <v>0</v>
      </c>
      <c r="J430" s="70">
        <f t="shared" si="264"/>
        <v>3.5</v>
      </c>
      <c r="K430" s="54">
        <f>IF(A430=0,VLOOKUP(D430,'03. Insumos'!A:F,4,0),"")</f>
        <v>3.5</v>
      </c>
      <c r="L430" s="70">
        <f>H430*J430*I430</f>
        <v>0</v>
      </c>
      <c r="M430" s="153">
        <f t="shared" ca="1" si="231"/>
        <v>0</v>
      </c>
      <c r="T430" s="224" t="e">
        <f>T429+#REF!</f>
        <v>#REF!</v>
      </c>
    </row>
    <row r="431" spans="1:20" s="51" customFormat="1" ht="13.5" hidden="1" customHeight="1" outlineLevel="1" x14ac:dyDescent="0.3">
      <c r="A431" s="13">
        <f t="shared" ref="A431:A434" si="266">LEN(C431)</f>
        <v>0</v>
      </c>
      <c r="B431" s="49"/>
      <c r="C431" s="49"/>
      <c r="D431" s="370" t="s">
        <v>178</v>
      </c>
      <c r="E431" s="67" t="str">
        <f>VLOOKUP(D431,'03. Insumos'!A:D,2,0)</f>
        <v>Arrasamento de estacas</v>
      </c>
      <c r="F431" s="68" t="s">
        <v>5218</v>
      </c>
      <c r="G431" s="68" t="str">
        <f>VLOOKUP(D431,'03. Insumos'!A:F,3,0)</f>
        <v>uni</v>
      </c>
      <c r="H431" s="69">
        <v>1</v>
      </c>
      <c r="I431" s="69"/>
      <c r="J431" s="70">
        <f>IFERROR(IF(K431&lt;&gt;0,K431*$K$5,0),0)</f>
        <v>150</v>
      </c>
      <c r="K431" s="54">
        <f>IF(A431=0,VLOOKUP(D431,'03. Insumos'!A:F,4,0),"")</f>
        <v>150</v>
      </c>
      <c r="L431" s="70">
        <f t="shared" ref="L431:L434" si="267">H431*J431*I431</f>
        <v>0</v>
      </c>
      <c r="M431" s="153">
        <f t="shared" ca="1" si="231"/>
        <v>0</v>
      </c>
    </row>
    <row r="432" spans="1:20" s="51" customFormat="1" ht="13.5" hidden="1" customHeight="1" outlineLevel="1" x14ac:dyDescent="0.3">
      <c r="A432" s="13">
        <f t="shared" si="266"/>
        <v>0</v>
      </c>
      <c r="B432" s="49"/>
      <c r="C432" s="49"/>
      <c r="D432" s="370" t="s">
        <v>440</v>
      </c>
      <c r="E432" s="67" t="str">
        <f>VLOOKUP(D432,'03. Insumos'!A:D,2,0)</f>
        <v>Trilho TR-32</v>
      </c>
      <c r="F432" s="68" t="s">
        <v>5218</v>
      </c>
      <c r="G432" s="68" t="str">
        <f>VLOOKUP(D432,'03. Insumos'!A:F,3,0)</f>
        <v>kg</v>
      </c>
      <c r="H432" s="69">
        <v>1</v>
      </c>
      <c r="I432" s="69"/>
      <c r="J432" s="70">
        <f t="shared" ref="J432:J433" si="268">IFERROR(IF(K432&lt;&gt;0,K432*$K$5,0),0)</f>
        <v>6</v>
      </c>
      <c r="K432" s="54">
        <f>IF(A432=0,VLOOKUP(D432,'03. Insumos'!A:F,4,0),"")</f>
        <v>6</v>
      </c>
      <c r="L432" s="70">
        <f t="shared" si="267"/>
        <v>0</v>
      </c>
      <c r="M432" s="153">
        <f t="shared" ca="1" si="231"/>
        <v>0</v>
      </c>
    </row>
    <row r="433" spans="1:20" s="51" customFormat="1" ht="13.5" hidden="1" customHeight="1" outlineLevel="1" x14ac:dyDescent="0.3">
      <c r="A433" s="13">
        <f t="shared" si="266"/>
        <v>0</v>
      </c>
      <c r="B433" s="49"/>
      <c r="C433" s="49"/>
      <c r="D433" s="370" t="s">
        <v>439</v>
      </c>
      <c r="E433" s="67" t="str">
        <f>VLOOKUP(D433,'03. Insumos'!A:D,2,0)</f>
        <v>Perfil Metálico - Corte</v>
      </c>
      <c r="F433" s="68" t="s">
        <v>5218</v>
      </c>
      <c r="G433" s="68" t="str">
        <f>VLOOKUP(D433,'03. Insumos'!A:F,3,0)</f>
        <v>uni</v>
      </c>
      <c r="H433" s="69">
        <v>1</v>
      </c>
      <c r="I433" s="69"/>
      <c r="J433" s="70">
        <f t="shared" si="268"/>
        <v>200</v>
      </c>
      <c r="K433" s="54">
        <f>IF(A433=0,VLOOKUP(D433,'03. Insumos'!A:F,4,0),"")</f>
        <v>200</v>
      </c>
      <c r="L433" s="70">
        <f t="shared" si="267"/>
        <v>0</v>
      </c>
      <c r="M433" s="153">
        <f t="shared" ca="1" si="231"/>
        <v>0</v>
      </c>
    </row>
    <row r="434" spans="1:20" s="51" customFormat="1" ht="13.2" hidden="1" customHeight="1" outlineLevel="1" x14ac:dyDescent="0.3">
      <c r="A434" s="13">
        <f t="shared" si="266"/>
        <v>0</v>
      </c>
      <c r="B434" s="49"/>
      <c r="C434" s="49"/>
      <c r="D434" s="370" t="s">
        <v>7441</v>
      </c>
      <c r="E434" s="67" t="str">
        <f>VLOOKUP(D434,'03. Insumos'!A:D,2,0)</f>
        <v>Pranchão de madeira emperelhada 25x5 cm</v>
      </c>
      <c r="F434" s="68" t="s">
        <v>5218</v>
      </c>
      <c r="G434" s="68" t="str">
        <f>VLOOKUP(D434,'03. Insumos'!A:F,3,0)</f>
        <v>m</v>
      </c>
      <c r="H434" s="69">
        <v>1</v>
      </c>
      <c r="I434" s="69"/>
      <c r="J434" s="70">
        <f>IFERROR(IF(K434&lt;&gt;0,K434*$K$5,0),0)</f>
        <v>60.9</v>
      </c>
      <c r="K434" s="54">
        <f>IF(A434=0,VLOOKUP(D434,'03. Insumos'!A:F,4,0),"")</f>
        <v>60.9</v>
      </c>
      <c r="L434" s="70">
        <f t="shared" si="267"/>
        <v>0</v>
      </c>
      <c r="M434" s="153">
        <f t="shared" ca="1" si="231"/>
        <v>0</v>
      </c>
    </row>
    <row r="435" spans="1:20" s="18" customFormat="1" ht="13.5" customHeight="1" outlineLevel="1" x14ac:dyDescent="0.3">
      <c r="A435" s="290">
        <f t="shared" si="162"/>
        <v>4</v>
      </c>
      <c r="B435" s="45"/>
      <c r="C435" s="45" t="s">
        <v>3467</v>
      </c>
      <c r="D435" s="45" t="s">
        <v>107</v>
      </c>
      <c r="E435" s="347"/>
      <c r="F435" s="327"/>
      <c r="G435" s="327"/>
      <c r="H435" s="328"/>
      <c r="I435" s="328"/>
      <c r="J435" s="335"/>
      <c r="K435" s="335" t="str">
        <f>IF(A435=0,VLOOKUP(D435,'03. Insumos'!A:F,4,0),"")</f>
        <v/>
      </c>
      <c r="L435" s="335">
        <f>SUMIF(A436:A515,6,L436:L515)</f>
        <v>382288.44137627329</v>
      </c>
      <c r="M435" s="153">
        <f t="shared" ca="1" si="190"/>
        <v>2.3212070337242593E-2</v>
      </c>
      <c r="O435" s="148">
        <f>IF(I435&lt;&gt;0,I435*H435*K435,)</f>
        <v>0</v>
      </c>
      <c r="R435" s="12">
        <f t="shared" si="173"/>
        <v>0</v>
      </c>
    </row>
    <row r="436" spans="1:20" ht="13.5" hidden="1" customHeight="1" outlineLevel="1" x14ac:dyDescent="0.3">
      <c r="A436" s="290">
        <f t="shared" si="162"/>
        <v>6</v>
      </c>
      <c r="B436" s="4"/>
      <c r="C436" s="606" t="s">
        <v>4529</v>
      </c>
      <c r="D436" s="606" t="s">
        <v>7766</v>
      </c>
      <c r="E436" s="4"/>
      <c r="F436" s="2"/>
      <c r="G436" s="782" t="s">
        <v>74</v>
      </c>
      <c r="H436" s="919"/>
      <c r="I436" s="767"/>
      <c r="J436" s="673" t="e">
        <f>L436/H436</f>
        <v>#DIV/0!</v>
      </c>
      <c r="K436" s="768" t="s">
        <v>2787</v>
      </c>
      <c r="L436" s="786">
        <f>SUM(L437:L446)</f>
        <v>0</v>
      </c>
      <c r="M436" s="153">
        <f t="shared" ca="1" si="190"/>
        <v>0</v>
      </c>
    </row>
    <row r="437" spans="1:20" s="51" customFormat="1" ht="13.5" hidden="1" customHeight="1" outlineLevel="1" x14ac:dyDescent="0.3">
      <c r="A437" s="13">
        <f t="shared" si="162"/>
        <v>0</v>
      </c>
      <c r="B437" s="49"/>
      <c r="C437" s="49"/>
      <c r="D437" s="370" t="s">
        <v>5969</v>
      </c>
      <c r="E437" s="67" t="str">
        <f>VLOOKUP(D437,'03. Insumos'!A:D,2,0)</f>
        <v>Execução de estaca raiz com diâmetro de 31 no solo</v>
      </c>
      <c r="F437" s="68" t="s">
        <v>5218</v>
      </c>
      <c r="G437" s="68" t="str">
        <f>VLOOKUP(D437,'03. Insumos'!A:F,3,0)</f>
        <v>m</v>
      </c>
      <c r="H437" s="69">
        <v>1</v>
      </c>
      <c r="I437" s="69">
        <f>H436</f>
        <v>0</v>
      </c>
      <c r="J437" s="70">
        <f>IFERROR(IF(K437&lt;&gt;0,K437*$K$5,0),0)</f>
        <v>220</v>
      </c>
      <c r="K437" s="54">
        <f>IF(A437=0,VLOOKUP(D437,'03. Insumos'!A:F,4,0),"")</f>
        <v>220</v>
      </c>
      <c r="L437" s="70">
        <f t="shared" ref="L437:L446" si="269">H437*J437*I437</f>
        <v>0</v>
      </c>
      <c r="M437" s="153">
        <f t="shared" ca="1" si="190"/>
        <v>0</v>
      </c>
    </row>
    <row r="438" spans="1:20" s="51" customFormat="1" ht="13.5" hidden="1" customHeight="1" outlineLevel="1" x14ac:dyDescent="0.3">
      <c r="A438" s="13">
        <f>LEN(C438)</f>
        <v>0</v>
      </c>
      <c r="B438" s="49"/>
      <c r="C438" s="49"/>
      <c r="D438" s="370" t="s">
        <v>6456</v>
      </c>
      <c r="E438" s="67" t="str">
        <f>VLOOKUP(D438,'03. Insumos'!A:D,2,0)</f>
        <v>Cimento Portland CPIII 40 RS 50 KGs</v>
      </c>
      <c r="F438" s="68" t="s">
        <v>5218</v>
      </c>
      <c r="G438" s="68" t="str">
        <f>VLOOKUP(D438,'03. Insumos'!A:F,3,0)</f>
        <v>sc</v>
      </c>
      <c r="H438" s="69">
        <v>2.4</v>
      </c>
      <c r="I438" s="69">
        <f>ROUNDUP($H$436*H438,0)</f>
        <v>0</v>
      </c>
      <c r="J438" s="70">
        <f t="shared" ref="J438:J443" si="270">IFERROR(IF(K438&lt;&gt;0,K438*$K$5,0),0)</f>
        <v>29.8</v>
      </c>
      <c r="K438" s="54">
        <f>IF(A438=0,VLOOKUP(D438,'03. Insumos'!A:F,4,0),"")</f>
        <v>29.8</v>
      </c>
      <c r="L438" s="70">
        <f>J438*I438</f>
        <v>0</v>
      </c>
      <c r="M438" s="153">
        <f t="shared" ca="1" si="190"/>
        <v>0</v>
      </c>
    </row>
    <row r="439" spans="1:20" s="51" customFormat="1" ht="13.5" hidden="1" customHeight="1" outlineLevel="1" x14ac:dyDescent="0.3">
      <c r="A439" s="13">
        <f t="shared" si="162"/>
        <v>0</v>
      </c>
      <c r="B439" s="49"/>
      <c r="C439" s="49"/>
      <c r="D439" s="370" t="s">
        <v>4076</v>
      </c>
      <c r="E439" s="67" t="str">
        <f>VLOOKUP(D439,'03. Insumos'!A:D,2,0)</f>
        <v xml:space="preserve">Areia Lavada </v>
      </c>
      <c r="F439" s="68" t="s">
        <v>5218</v>
      </c>
      <c r="G439" s="68" t="str">
        <f>VLOOKUP(D439,'03. Insumos'!A:F,3,0)</f>
        <v>m³</v>
      </c>
      <c r="H439" s="69">
        <v>0.2</v>
      </c>
      <c r="I439" s="69">
        <f>ROUNDUP($H$436*H439,0)</f>
        <v>0</v>
      </c>
      <c r="J439" s="70">
        <f t="shared" si="270"/>
        <v>180</v>
      </c>
      <c r="K439" s="54">
        <f>IF(A439=0,VLOOKUP(D439,'03. Insumos'!A:F,4,0),"")</f>
        <v>180</v>
      </c>
      <c r="L439" s="70">
        <f>J439*I439</f>
        <v>0</v>
      </c>
      <c r="M439" s="153">
        <f t="shared" ca="1" si="190"/>
        <v>0</v>
      </c>
    </row>
    <row r="440" spans="1:20" s="51" customFormat="1" ht="13.5" hidden="1" customHeight="1" outlineLevel="1" x14ac:dyDescent="0.3">
      <c r="A440" s="13">
        <f>LEN(C440)</f>
        <v>0</v>
      </c>
      <c r="B440" s="49"/>
      <c r="C440" s="49"/>
      <c r="D440" s="370" t="s">
        <v>5767</v>
      </c>
      <c r="E440" s="67" t="str">
        <f>VLOOKUP(D440,'03. Insumos'!A:D,2,0)</f>
        <v>Aço CA50 6,3mm  - vergalhão</v>
      </c>
      <c r="F440" s="68" t="s">
        <v>5218</v>
      </c>
      <c r="G440" s="68" t="str">
        <f>VLOOKUP(D440,'03. Insumos'!A:F,3,0)</f>
        <v>kg</v>
      </c>
      <c r="H440" s="69">
        <v>1.03</v>
      </c>
      <c r="I440" s="32"/>
      <c r="J440" s="70">
        <f t="shared" si="270"/>
        <v>6.6403600000000003</v>
      </c>
      <c r="K440" s="54">
        <f>IF(A440=0,VLOOKUP(D440,'03. Insumos'!A:F,4,0),"")</f>
        <v>6.6403600000000003</v>
      </c>
      <c r="L440" s="70">
        <f>H440*J440*I440</f>
        <v>0</v>
      </c>
      <c r="M440" s="153">
        <f t="shared" ca="1" si="190"/>
        <v>0</v>
      </c>
      <c r="R440" s="787">
        <v>29520.985846153846</v>
      </c>
      <c r="T440" s="224">
        <f>R440-L440</f>
        <v>29520.985846153846</v>
      </c>
    </row>
    <row r="441" spans="1:20" s="51" customFormat="1" ht="13.5" hidden="1" customHeight="1" outlineLevel="1" x14ac:dyDescent="0.3">
      <c r="A441" s="13">
        <f>LEN(C441)</f>
        <v>0</v>
      </c>
      <c r="B441" s="49"/>
      <c r="C441" s="49"/>
      <c r="D441" s="370" t="s">
        <v>5433</v>
      </c>
      <c r="E441" s="67" t="str">
        <f>VLOOKUP(D441,'03. Insumos'!A:D,2,0)</f>
        <v>Aço CA50 16,0mm - vergalhão</v>
      </c>
      <c r="F441" s="68" t="s">
        <v>5218</v>
      </c>
      <c r="G441" s="68" t="str">
        <f>VLOOKUP(D441,'03. Insumos'!A:F,3,0)</f>
        <v>kg</v>
      </c>
      <c r="H441" s="69">
        <v>1.03</v>
      </c>
      <c r="I441" s="32"/>
      <c r="J441" s="70">
        <f t="shared" ref="J441" si="271">IFERROR(IF(K441&lt;&gt;0,K441*$K$5,0),0)</f>
        <v>6.03667</v>
      </c>
      <c r="K441" s="54">
        <f>IF(A441=0,VLOOKUP(D441,'03. Insumos'!A:F,4,0),"")</f>
        <v>6.03667</v>
      </c>
      <c r="L441" s="70">
        <f>H441*J441*I441</f>
        <v>0</v>
      </c>
      <c r="M441" s="153">
        <f t="shared" ref="M441" ca="1" si="272">L441/$L$7</f>
        <v>0</v>
      </c>
      <c r="R441" s="787">
        <v>29520.985846153846</v>
      </c>
      <c r="T441" s="224">
        <f>R441-L441</f>
        <v>29520.985846153846</v>
      </c>
    </row>
    <row r="442" spans="1:20" s="51" customFormat="1" ht="13.5" hidden="1" customHeight="1" outlineLevel="1" x14ac:dyDescent="0.3">
      <c r="A442" s="13">
        <f>LEN(C442)</f>
        <v>0</v>
      </c>
      <c r="B442" s="49"/>
      <c r="C442" s="49"/>
      <c r="D442" s="370" t="s">
        <v>180</v>
      </c>
      <c r="E442" s="67" t="str">
        <f>VLOOKUP(D442,'03. Insumos'!A:D,2,0)</f>
        <v>Corte e Dobra de Aço - MO</v>
      </c>
      <c r="F442" s="68" t="s">
        <v>5218</v>
      </c>
      <c r="G442" s="68" t="str">
        <f>VLOOKUP(D442,'03. Insumos'!A:F,3,0)</f>
        <v>kg</v>
      </c>
      <c r="H442" s="69">
        <v>1</v>
      </c>
      <c r="I442" s="32">
        <f>SUM(I440:I441)</f>
        <v>0</v>
      </c>
      <c r="J442" s="70">
        <f t="shared" si="270"/>
        <v>0.75</v>
      </c>
      <c r="K442" s="54">
        <f>IF(A442=0,VLOOKUP(D442,'03. Insumos'!A:F,4,0),"")</f>
        <v>0.75</v>
      </c>
      <c r="L442" s="70">
        <f>H442*J442*I442</f>
        <v>0</v>
      </c>
      <c r="M442" s="153">
        <f t="shared" ca="1" si="190"/>
        <v>0</v>
      </c>
      <c r="R442" s="787">
        <v>8934.9230769230762</v>
      </c>
      <c r="S442" s="224">
        <f>L442+L443</f>
        <v>0</v>
      </c>
      <c r="T442" s="224">
        <f>R442-S442</f>
        <v>8934.9230769230762</v>
      </c>
    </row>
    <row r="443" spans="1:20" s="51" customFormat="1" ht="13.5" hidden="1" customHeight="1" outlineLevel="1" x14ac:dyDescent="0.3">
      <c r="A443" s="13">
        <f>LEN(C443)</f>
        <v>0</v>
      </c>
      <c r="B443" s="49"/>
      <c r="C443" s="49"/>
      <c r="D443" s="370" t="s">
        <v>4041</v>
      </c>
      <c r="E443" s="67" t="str">
        <f>VLOOKUP(D443,'03. Insumos'!A:D,2,0)</f>
        <v>Pré montagem de armadura</v>
      </c>
      <c r="F443" s="68" t="s">
        <v>5218</v>
      </c>
      <c r="G443" s="68" t="str">
        <f>VLOOKUP(D443,'03. Insumos'!A:F,3,0)</f>
        <v>kg</v>
      </c>
      <c r="H443" s="69">
        <v>1</v>
      </c>
      <c r="I443" s="32">
        <f>I442</f>
        <v>0</v>
      </c>
      <c r="J443" s="70">
        <f t="shared" si="270"/>
        <v>3.5</v>
      </c>
      <c r="K443" s="54">
        <f>IF(A443=0,VLOOKUP(D443,'03. Insumos'!A:F,4,0),"")</f>
        <v>3.5</v>
      </c>
      <c r="L443" s="70">
        <f>H443*J443*I443</f>
        <v>0</v>
      </c>
      <c r="M443" s="153">
        <f t="shared" ca="1" si="190"/>
        <v>0</v>
      </c>
      <c r="T443" s="224" t="e">
        <f>T442+#REF!</f>
        <v>#REF!</v>
      </c>
    </row>
    <row r="444" spans="1:20" s="51" customFormat="1" ht="13.5" hidden="1" customHeight="1" outlineLevel="1" x14ac:dyDescent="0.3">
      <c r="A444" s="13">
        <f t="shared" ref="A444:A445" si="273">LEN(C444)</f>
        <v>0</v>
      </c>
      <c r="B444" s="49"/>
      <c r="C444" s="49"/>
      <c r="D444" s="370" t="s">
        <v>178</v>
      </c>
      <c r="E444" s="67" t="str">
        <f>VLOOKUP(D444,'03. Insumos'!A:D,2,0)</f>
        <v>Arrasamento de estacas</v>
      </c>
      <c r="F444" s="68" t="s">
        <v>5218</v>
      </c>
      <c r="G444" s="68" t="str">
        <f>VLOOKUP(D444,'03. Insumos'!A:F,3,0)</f>
        <v>uni</v>
      </c>
      <c r="H444" s="69">
        <v>1</v>
      </c>
      <c r="I444" s="69"/>
      <c r="J444" s="70">
        <f>IFERROR(IF(K444&lt;&gt;0,K444*$K$5,0),0)</f>
        <v>150</v>
      </c>
      <c r="K444" s="54">
        <f>IF(A444=0,VLOOKUP(D444,'03. Insumos'!A:F,4,0),"")</f>
        <v>150</v>
      </c>
      <c r="L444" s="70">
        <f t="shared" ref="L444:L445" si="274">H444*J444*I444</f>
        <v>0</v>
      </c>
      <c r="M444" s="153">
        <f t="shared" ref="M444:M445" ca="1" si="275">L444/$L$7</f>
        <v>0</v>
      </c>
    </row>
    <row r="445" spans="1:20" s="51" customFormat="1" ht="13.5" hidden="1" customHeight="1" outlineLevel="1" x14ac:dyDescent="0.3">
      <c r="A445" s="13">
        <f t="shared" si="273"/>
        <v>0</v>
      </c>
      <c r="B445" s="49"/>
      <c r="C445" s="49"/>
      <c r="D445" s="370" t="s">
        <v>7441</v>
      </c>
      <c r="E445" s="67" t="str">
        <f>VLOOKUP(D445,'03. Insumos'!A:D,2,0)</f>
        <v>Pranchão de madeira emperelhada 25x5 cm</v>
      </c>
      <c r="F445" s="68" t="s">
        <v>5218</v>
      </c>
      <c r="G445" s="68" t="str">
        <f>VLOOKUP(D445,'03. Insumos'!A:F,3,0)</f>
        <v>m</v>
      </c>
      <c r="H445" s="69">
        <v>1</v>
      </c>
      <c r="I445" s="69"/>
      <c r="J445" s="70">
        <f>IFERROR(IF(K445&lt;&gt;0,K445*$K$5,0),0)</f>
        <v>60.9</v>
      </c>
      <c r="K445" s="54">
        <f>IF(A445=0,VLOOKUP(D445,'03. Insumos'!A:F,4,0),"")</f>
        <v>60.9</v>
      </c>
      <c r="L445" s="70">
        <f t="shared" si="274"/>
        <v>0</v>
      </c>
      <c r="M445" s="153">
        <f t="shared" ca="1" si="275"/>
        <v>0</v>
      </c>
    </row>
    <row r="446" spans="1:20" s="51" customFormat="1" ht="13.5" hidden="1" customHeight="1" outlineLevel="1" x14ac:dyDescent="0.3">
      <c r="A446" s="13">
        <f t="shared" si="162"/>
        <v>0</v>
      </c>
      <c r="B446" s="49"/>
      <c r="C446" s="49"/>
      <c r="D446" s="370" t="s">
        <v>7396</v>
      </c>
      <c r="E446" s="67" t="str">
        <f>VLOOKUP(D446,'03. Insumos'!A:D,2,0)</f>
        <v>EA1 - Alçapão Anodizado Preto 1x1</v>
      </c>
      <c r="F446" s="68" t="s">
        <v>5218</v>
      </c>
      <c r="G446" s="68" t="str">
        <f>VLOOKUP(D446,'03. Insumos'!A:F,3,0)</f>
        <v>unid</v>
      </c>
      <c r="H446" s="69">
        <v>1</v>
      </c>
      <c r="I446" s="69"/>
      <c r="J446" s="70">
        <f>IFERROR(IF(K446&lt;&gt;0,K446*$K$5,0),0)</f>
        <v>1100</v>
      </c>
      <c r="K446" s="54">
        <f>IF(A446=0,VLOOKUP(D446,'03. Insumos'!A:F,4,0),"")</f>
        <v>1100</v>
      </c>
      <c r="L446" s="70">
        <f t="shared" si="269"/>
        <v>0</v>
      </c>
      <c r="M446" s="153">
        <f t="shared" ca="1" si="190"/>
        <v>0</v>
      </c>
    </row>
    <row r="447" spans="1:20" ht="13.5" hidden="1" customHeight="1" outlineLevel="1" x14ac:dyDescent="0.3">
      <c r="A447" s="290">
        <f t="shared" ref="A447:A448" si="276">LEN(C447)</f>
        <v>6</v>
      </c>
      <c r="B447" s="4"/>
      <c r="C447" s="606" t="s">
        <v>4529</v>
      </c>
      <c r="D447" s="606" t="s">
        <v>7765</v>
      </c>
      <c r="E447" s="4"/>
      <c r="F447" s="2"/>
      <c r="G447" s="782" t="s">
        <v>74</v>
      </c>
      <c r="H447" s="919"/>
      <c r="I447" s="767"/>
      <c r="J447" s="673" t="e">
        <f>L447/H447</f>
        <v>#DIV/0!</v>
      </c>
      <c r="K447" s="768" t="s">
        <v>2787</v>
      </c>
      <c r="L447" s="786">
        <f>SUM(L448:L458)</f>
        <v>0</v>
      </c>
      <c r="M447" s="153">
        <f t="shared" ref="M447:M458" ca="1" si="277">L447/$L$7</f>
        <v>0</v>
      </c>
    </row>
    <row r="448" spans="1:20" s="51" customFormat="1" ht="13.5" hidden="1" customHeight="1" outlineLevel="1" x14ac:dyDescent="0.3">
      <c r="A448" s="13">
        <f t="shared" si="276"/>
        <v>0</v>
      </c>
      <c r="B448" s="49"/>
      <c r="C448" s="49"/>
      <c r="D448" s="370" t="s">
        <v>5971</v>
      </c>
      <c r="E448" s="67" t="str">
        <f>VLOOKUP(D448,'03. Insumos'!A:D,2,0)</f>
        <v>Execução de estaca raiz com diâmetro de 41 no solo</v>
      </c>
      <c r="F448" s="68" t="s">
        <v>5218</v>
      </c>
      <c r="G448" s="68" t="str">
        <f>VLOOKUP(D448,'03. Insumos'!A:F,3,0)</f>
        <v>m</v>
      </c>
      <c r="H448" s="69">
        <v>1</v>
      </c>
      <c r="I448" s="69">
        <f>H447</f>
        <v>0</v>
      </c>
      <c r="J448" s="70">
        <f>IFERROR(IF(K448&lt;&gt;0,K448*$K$5,0),0)</f>
        <v>270</v>
      </c>
      <c r="K448" s="54">
        <f>IF(A448=0,VLOOKUP(D448,'03. Insumos'!A:F,4,0),"")</f>
        <v>270</v>
      </c>
      <c r="L448" s="70">
        <f t="shared" ref="L448" si="278">H448*J448*I448</f>
        <v>0</v>
      </c>
      <c r="M448" s="153">
        <f t="shared" ca="1" si="277"/>
        <v>0</v>
      </c>
    </row>
    <row r="449" spans="1:22" s="51" customFormat="1" ht="13.5" hidden="1" customHeight="1" outlineLevel="1" x14ac:dyDescent="0.3">
      <c r="A449" s="13">
        <f>LEN(C449)</f>
        <v>0</v>
      </c>
      <c r="B449" s="49"/>
      <c r="C449" s="49"/>
      <c r="D449" s="370" t="s">
        <v>6456</v>
      </c>
      <c r="E449" s="67" t="str">
        <f>VLOOKUP(D449,'03. Insumos'!A:D,2,0)</f>
        <v>Cimento Portland CPIII 40 RS 50 KGs</v>
      </c>
      <c r="F449" s="68" t="s">
        <v>5218</v>
      </c>
      <c r="G449" s="68" t="str">
        <f>VLOOKUP(D449,'03. Insumos'!A:F,3,0)</f>
        <v>sc</v>
      </c>
      <c r="H449" s="69">
        <v>2.4</v>
      </c>
      <c r="I449" s="69">
        <f>ROUNDUP($H$447*H449,0)</f>
        <v>0</v>
      </c>
      <c r="J449" s="70">
        <f t="shared" ref="J449:J455" si="279">IFERROR(IF(K449&lt;&gt;0,K449*$K$5,0),0)</f>
        <v>29.8</v>
      </c>
      <c r="K449" s="54">
        <f>IF(A449=0,VLOOKUP(D449,'03. Insumos'!A:F,4,0),"")</f>
        <v>29.8</v>
      </c>
      <c r="L449" s="70">
        <f>J449*I449</f>
        <v>0</v>
      </c>
      <c r="M449" s="153">
        <f t="shared" ca="1" si="277"/>
        <v>0</v>
      </c>
    </row>
    <row r="450" spans="1:22" s="51" customFormat="1" ht="13.5" hidden="1" customHeight="1" outlineLevel="1" x14ac:dyDescent="0.3">
      <c r="A450" s="13">
        <f t="shared" ref="A450" si="280">LEN(C450)</f>
        <v>0</v>
      </c>
      <c r="B450" s="49"/>
      <c r="C450" s="49"/>
      <c r="D450" s="370" t="s">
        <v>4076</v>
      </c>
      <c r="E450" s="67" t="str">
        <f>VLOOKUP(D450,'03. Insumos'!A:D,2,0)</f>
        <v xml:space="preserve">Areia Lavada </v>
      </c>
      <c r="F450" s="68" t="s">
        <v>5218</v>
      </c>
      <c r="G450" s="68" t="str">
        <f>VLOOKUP(D450,'03. Insumos'!A:F,3,0)</f>
        <v>m³</v>
      </c>
      <c r="H450" s="69">
        <v>2</v>
      </c>
      <c r="I450" s="69">
        <f>ROUNDUP($H$447*H450,0)</f>
        <v>0</v>
      </c>
      <c r="J450" s="70">
        <f t="shared" si="279"/>
        <v>180</v>
      </c>
      <c r="K450" s="54">
        <f>IF(A450=0,VLOOKUP(D450,'03. Insumos'!A:F,4,0),"")</f>
        <v>180</v>
      </c>
      <c r="L450" s="70">
        <f>J450*I450</f>
        <v>0</v>
      </c>
      <c r="M450" s="153">
        <f t="shared" ca="1" si="277"/>
        <v>0</v>
      </c>
    </row>
    <row r="451" spans="1:22" s="51" customFormat="1" ht="13.5" hidden="1" customHeight="1" outlineLevel="1" x14ac:dyDescent="0.3">
      <c r="A451" s="13">
        <f>LEN(C451)</f>
        <v>0</v>
      </c>
      <c r="B451" s="49"/>
      <c r="C451" s="49"/>
      <c r="D451" s="370" t="s">
        <v>5767</v>
      </c>
      <c r="E451" s="67" t="str">
        <f>VLOOKUP(D451,'03. Insumos'!A:D,2,0)</f>
        <v>Aço CA50 6,3mm  - vergalhão</v>
      </c>
      <c r="F451" s="68" t="s">
        <v>5218</v>
      </c>
      <c r="G451" s="68" t="str">
        <f>VLOOKUP(D451,'03. Insumos'!A:F,3,0)</f>
        <v>kg</v>
      </c>
      <c r="H451" s="69">
        <v>1.03</v>
      </c>
      <c r="I451" s="32"/>
      <c r="J451" s="70">
        <f t="shared" si="279"/>
        <v>6.6403600000000003</v>
      </c>
      <c r="K451" s="54">
        <f>IF(A451=0,VLOOKUP(D451,'03. Insumos'!A:F,4,0),"")</f>
        <v>6.6403600000000003</v>
      </c>
      <c r="L451" s="70">
        <f>H451*J451*I451</f>
        <v>0</v>
      </c>
      <c r="M451" s="153">
        <f t="shared" ca="1" si="277"/>
        <v>0</v>
      </c>
      <c r="R451" s="787">
        <v>29520.985846153846</v>
      </c>
      <c r="T451" s="224">
        <f>R451-L451</f>
        <v>29520.985846153846</v>
      </c>
    </row>
    <row r="452" spans="1:22" s="51" customFormat="1" ht="13.5" hidden="1" customHeight="1" outlineLevel="1" x14ac:dyDescent="0.3">
      <c r="A452" s="13">
        <f>LEN(C452)</f>
        <v>0</v>
      </c>
      <c r="B452" s="49"/>
      <c r="C452" s="49"/>
      <c r="D452" s="370" t="s">
        <v>5573</v>
      </c>
      <c r="E452" s="67" t="str">
        <f>VLOOKUP(D452,'03. Insumos'!A:D,2,0)</f>
        <v>Aço CA50 20,0mm - vergalhão</v>
      </c>
      <c r="F452" s="68" t="s">
        <v>5218</v>
      </c>
      <c r="G452" s="68" t="str">
        <f>VLOOKUP(D452,'03. Insumos'!A:F,3,0)</f>
        <v>kg</v>
      </c>
      <c r="H452" s="69">
        <v>1.03</v>
      </c>
      <c r="I452" s="32"/>
      <c r="J452" s="70">
        <f t="shared" ref="J452" si="281">IFERROR(IF(K452&lt;&gt;0,K452*$K$5,0),0)</f>
        <v>6.03667</v>
      </c>
      <c r="K452" s="54">
        <f>IF(A452=0,VLOOKUP(D452,'03. Insumos'!A:F,4,0),"")</f>
        <v>6.03667</v>
      </c>
      <c r="L452" s="70">
        <f>H452*J452*I452</f>
        <v>0</v>
      </c>
      <c r="M452" s="153">
        <f t="shared" ref="M452" ca="1" si="282">L452/$L$7</f>
        <v>0</v>
      </c>
      <c r="R452" s="787">
        <v>29520.985846153846</v>
      </c>
      <c r="T452" s="224">
        <f>R452-L452</f>
        <v>29520.985846153846</v>
      </c>
    </row>
    <row r="453" spans="1:22" s="51" customFormat="1" ht="13.5" hidden="1" customHeight="1" outlineLevel="1" x14ac:dyDescent="0.3">
      <c r="A453" s="13">
        <f>LEN(C453)</f>
        <v>0</v>
      </c>
      <c r="B453" s="49"/>
      <c r="C453" s="49"/>
      <c r="D453" s="370" t="s">
        <v>6582</v>
      </c>
      <c r="E453" s="67" t="str">
        <f>VLOOKUP(D453,'03. Insumos'!A:D,2,0)</f>
        <v>Aço CA50 25,0 mm, vergalhão</v>
      </c>
      <c r="F453" s="68" t="s">
        <v>5218</v>
      </c>
      <c r="G453" s="68" t="str">
        <f>VLOOKUP(D453,'03. Insumos'!A:F,3,0)</f>
        <v>kg</v>
      </c>
      <c r="H453" s="69">
        <v>1.03</v>
      </c>
      <c r="I453" s="32"/>
      <c r="J453" s="70">
        <f t="shared" si="279"/>
        <v>6.6403600000000003</v>
      </c>
      <c r="K453" s="54">
        <f>IF(A453=0,VLOOKUP(D453,'03. Insumos'!A:F,4,0),"")</f>
        <v>6.6403600000000003</v>
      </c>
      <c r="L453" s="70">
        <f>H453*J453*I453</f>
        <v>0</v>
      </c>
      <c r="M453" s="153">
        <f t="shared" ca="1" si="277"/>
        <v>0</v>
      </c>
      <c r="R453" s="787">
        <v>29520.985846153846</v>
      </c>
      <c r="T453" s="224">
        <f>R453-L453</f>
        <v>29520.985846153846</v>
      </c>
    </row>
    <row r="454" spans="1:22" s="51" customFormat="1" ht="13.5" hidden="1" customHeight="1" outlineLevel="1" x14ac:dyDescent="0.3">
      <c r="A454" s="13">
        <f>LEN(C454)</f>
        <v>0</v>
      </c>
      <c r="B454" s="49"/>
      <c r="C454" s="49"/>
      <c r="D454" s="370" t="s">
        <v>180</v>
      </c>
      <c r="E454" s="67" t="str">
        <f>VLOOKUP(D454,'03. Insumos'!A:D,2,0)</f>
        <v>Corte e Dobra de Aço - MO</v>
      </c>
      <c r="F454" s="68" t="s">
        <v>5218</v>
      </c>
      <c r="G454" s="68" t="str">
        <f>VLOOKUP(D454,'03. Insumos'!A:F,3,0)</f>
        <v>kg</v>
      </c>
      <c r="H454" s="69">
        <v>1</v>
      </c>
      <c r="I454" s="32">
        <f>SUM(I451:I453)</f>
        <v>0</v>
      </c>
      <c r="J454" s="70">
        <f t="shared" si="279"/>
        <v>0.75</v>
      </c>
      <c r="K454" s="54">
        <f>IF(A454=0,VLOOKUP(D454,'03. Insumos'!A:F,4,0),"")</f>
        <v>0.75</v>
      </c>
      <c r="L454" s="70">
        <f>H454*J454*I454</f>
        <v>0</v>
      </c>
      <c r="M454" s="153">
        <f t="shared" ca="1" si="277"/>
        <v>0</v>
      </c>
      <c r="R454" s="787">
        <v>8934.9230769230762</v>
      </c>
      <c r="S454" s="224">
        <f>L454+L455</f>
        <v>0</v>
      </c>
      <c r="T454" s="224">
        <f>R454-S454</f>
        <v>8934.9230769230762</v>
      </c>
    </row>
    <row r="455" spans="1:22" s="51" customFormat="1" ht="13.5" hidden="1" customHeight="1" outlineLevel="1" x14ac:dyDescent="0.3">
      <c r="A455" s="13">
        <f>LEN(C455)</f>
        <v>0</v>
      </c>
      <c r="B455" s="49"/>
      <c r="C455" s="49"/>
      <c r="D455" s="370" t="s">
        <v>4041</v>
      </c>
      <c r="E455" s="67" t="str">
        <f>VLOOKUP(D455,'03. Insumos'!A:D,2,0)</f>
        <v>Pré montagem de armadura</v>
      </c>
      <c r="F455" s="68" t="s">
        <v>5218</v>
      </c>
      <c r="G455" s="68" t="str">
        <f>VLOOKUP(D455,'03. Insumos'!A:F,3,0)</f>
        <v>kg</v>
      </c>
      <c r="H455" s="69">
        <v>1</v>
      </c>
      <c r="I455" s="32">
        <f>I454</f>
        <v>0</v>
      </c>
      <c r="J455" s="70">
        <f t="shared" si="279"/>
        <v>3.5</v>
      </c>
      <c r="K455" s="54">
        <f>IF(A455=0,VLOOKUP(D455,'03. Insumos'!A:F,4,0),"")</f>
        <v>3.5</v>
      </c>
      <c r="L455" s="70">
        <f>H455*J455*I455</f>
        <v>0</v>
      </c>
      <c r="M455" s="153">
        <f t="shared" ca="1" si="277"/>
        <v>0</v>
      </c>
      <c r="T455" s="224" t="e">
        <f>T454+#REF!</f>
        <v>#REF!</v>
      </c>
    </row>
    <row r="456" spans="1:22" s="51" customFormat="1" ht="13.5" hidden="1" customHeight="1" outlineLevel="1" x14ac:dyDescent="0.3">
      <c r="A456" s="13">
        <f t="shared" ref="A456:A458" si="283">LEN(C456)</f>
        <v>0</v>
      </c>
      <c r="B456" s="49"/>
      <c r="C456" s="49"/>
      <c r="D456" s="370" t="s">
        <v>178</v>
      </c>
      <c r="E456" s="67" t="str">
        <f>VLOOKUP(D456,'03. Insumos'!A:D,2,0)</f>
        <v>Arrasamento de estacas</v>
      </c>
      <c r="F456" s="68" t="s">
        <v>5218</v>
      </c>
      <c r="G456" s="68" t="str">
        <f>VLOOKUP(D456,'03. Insumos'!A:F,3,0)</f>
        <v>uni</v>
      </c>
      <c r="H456" s="69">
        <v>1</v>
      </c>
      <c r="I456" s="69"/>
      <c r="J456" s="70">
        <f>IFERROR(IF(K456&lt;&gt;0,K456*$K$5,0),0)</f>
        <v>150</v>
      </c>
      <c r="K456" s="54">
        <f>IF(A456=0,VLOOKUP(D456,'03. Insumos'!A:F,4,0),"")</f>
        <v>150</v>
      </c>
      <c r="L456" s="70">
        <f t="shared" ref="L456:L458" si="284">H456*J456*I456</f>
        <v>0</v>
      </c>
      <c r="M456" s="153">
        <f t="shared" ca="1" si="277"/>
        <v>0</v>
      </c>
    </row>
    <row r="457" spans="1:22" s="51" customFormat="1" ht="13.5" hidden="1" customHeight="1" outlineLevel="1" x14ac:dyDescent="0.3">
      <c r="A457" s="13">
        <f t="shared" ref="A457" si="285">LEN(C457)</f>
        <v>0</v>
      </c>
      <c r="B457" s="49"/>
      <c r="C457" s="49"/>
      <c r="D457" s="370" t="s">
        <v>7441</v>
      </c>
      <c r="E457" s="67" t="str">
        <f>VLOOKUP(D457,'03. Insumos'!A:D,2,0)</f>
        <v>Pranchão de madeira emperelhada 25x5 cm</v>
      </c>
      <c r="F457" s="68" t="s">
        <v>5218</v>
      </c>
      <c r="G457" s="68" t="str">
        <f>VLOOKUP(D457,'03. Insumos'!A:F,3,0)</f>
        <v>m</v>
      </c>
      <c r="H457" s="69">
        <v>1</v>
      </c>
      <c r="I457" s="69"/>
      <c r="J457" s="70">
        <f>IFERROR(IF(K457&lt;&gt;0,K457*$K$5,0),0)</f>
        <v>60.9</v>
      </c>
      <c r="K457" s="54">
        <f>IF(A457=0,VLOOKUP(D457,'03. Insumos'!A:F,4,0),"")</f>
        <v>60.9</v>
      </c>
      <c r="L457" s="70">
        <f t="shared" ref="L457" si="286">H457*J457*I457</f>
        <v>0</v>
      </c>
      <c r="M457" s="153">
        <f t="shared" ref="M457" ca="1" si="287">L457/$L$7</f>
        <v>0</v>
      </c>
    </row>
    <row r="458" spans="1:22" s="51" customFormat="1" ht="13.5" hidden="1" customHeight="1" outlineLevel="1" x14ac:dyDescent="0.3">
      <c r="A458" s="13">
        <f t="shared" si="283"/>
        <v>0</v>
      </c>
      <c r="B458" s="49"/>
      <c r="C458" s="49"/>
      <c r="D458" s="370" t="s">
        <v>7396</v>
      </c>
      <c r="E458" s="67" t="str">
        <f>VLOOKUP(D458,'03. Insumos'!A:D,2,0)</f>
        <v>EA1 - Alçapão Anodizado Preto 1x1</v>
      </c>
      <c r="F458" s="68" t="s">
        <v>5218</v>
      </c>
      <c r="G458" s="68" t="str">
        <f>VLOOKUP(D458,'03. Insumos'!A:F,3,0)</f>
        <v>unid</v>
      </c>
      <c r="H458" s="69">
        <v>1</v>
      </c>
      <c r="I458" s="69"/>
      <c r="J458" s="70">
        <f>IFERROR(IF(K458&lt;&gt;0,K458*$K$5,0),0)</f>
        <v>1100</v>
      </c>
      <c r="K458" s="54">
        <f>IF(A458=0,VLOOKUP(D458,'03. Insumos'!A:F,4,0),"")</f>
        <v>1100</v>
      </c>
      <c r="L458" s="70">
        <f t="shared" si="284"/>
        <v>0</v>
      </c>
      <c r="M458" s="153">
        <f t="shared" ca="1" si="277"/>
        <v>0</v>
      </c>
    </row>
    <row r="459" spans="1:22" ht="13.5" hidden="1" customHeight="1" outlineLevel="1" x14ac:dyDescent="0.3">
      <c r="A459" s="290">
        <f t="shared" si="162"/>
        <v>6</v>
      </c>
      <c r="B459" s="4"/>
      <c r="C459" s="606" t="s">
        <v>3506</v>
      </c>
      <c r="D459" s="606" t="s">
        <v>8043</v>
      </c>
      <c r="E459" s="4"/>
      <c r="F459" s="2"/>
      <c r="G459" s="782" t="s">
        <v>74</v>
      </c>
      <c r="H459" s="919">
        <f>SUM(I460:I462)</f>
        <v>0</v>
      </c>
      <c r="I459" s="767"/>
      <c r="J459" s="673" t="e">
        <f>L459/H459</f>
        <v>#DIV/0!</v>
      </c>
      <c r="K459" s="768" t="s">
        <v>2787</v>
      </c>
      <c r="L459" s="786">
        <f>SUM(L460:L473)</f>
        <v>0</v>
      </c>
      <c r="M459" s="153">
        <f t="shared" ca="1" si="190"/>
        <v>0</v>
      </c>
    </row>
    <row r="460" spans="1:22" s="51" customFormat="1" ht="13.5" hidden="1" customHeight="1" outlineLevel="1" x14ac:dyDescent="0.3">
      <c r="A460" s="13">
        <f t="shared" si="162"/>
        <v>0</v>
      </c>
      <c r="B460" s="49"/>
      <c r="C460" s="49"/>
      <c r="D460" s="370" t="s">
        <v>7551</v>
      </c>
      <c r="E460" s="67" t="str">
        <f>VLOOKUP(D460,'03. Insumos'!A:D,2,0)</f>
        <v>Execução de estaca hélice contínua 80 cm</v>
      </c>
      <c r="F460" s="68" t="s">
        <v>5218</v>
      </c>
      <c r="G460" s="68" t="str">
        <f>VLOOKUP(D460,'03. Insumos'!A:F,3,0)</f>
        <v>m</v>
      </c>
      <c r="H460" s="69">
        <v>1</v>
      </c>
      <c r="I460" s="69"/>
      <c r="J460" s="70">
        <f t="shared" ref="J460:J473" si="288">IFERROR(IF(K460&lt;&gt;0,K460*$K$5,0),0)</f>
        <v>125</v>
      </c>
      <c r="K460" s="54">
        <f>IF(A460=0,VLOOKUP(D460,'03. Insumos'!A:F,4,0),"")</f>
        <v>125</v>
      </c>
      <c r="L460" s="70">
        <f t="shared" ref="L460" si="289">H460*J460*I460</f>
        <v>0</v>
      </c>
      <c r="M460" s="153">
        <f t="shared" ca="1" si="190"/>
        <v>0</v>
      </c>
      <c r="U460" s="224" t="e">
        <f>T443+T469</f>
        <v>#REF!</v>
      </c>
      <c r="V460" s="224" t="e">
        <f ca="1">L7+U460</f>
        <v>#REF!</v>
      </c>
    </row>
    <row r="461" spans="1:22" s="51" customFormat="1" ht="13.5" hidden="1" customHeight="1" outlineLevel="1" x14ac:dyDescent="0.3">
      <c r="A461" s="13">
        <f t="shared" ref="A461" si="290">LEN(C461)</f>
        <v>0</v>
      </c>
      <c r="B461" s="49"/>
      <c r="C461" s="49"/>
      <c r="D461" s="370" t="s">
        <v>2323</v>
      </c>
      <c r="E461" s="67" t="str">
        <f>VLOOKUP(D461,'03. Insumos'!A:D,2,0)</f>
        <v>Execução de estaca escavada 40 cm</v>
      </c>
      <c r="F461" s="68" t="s">
        <v>5218</v>
      </c>
      <c r="G461" s="68" t="str">
        <f>VLOOKUP(D461,'03. Insumos'!A:F,3,0)</f>
        <v>m</v>
      </c>
      <c r="H461" s="69">
        <v>1</v>
      </c>
      <c r="I461" s="69"/>
      <c r="J461" s="70">
        <f t="shared" ref="J461" si="291">IFERROR(IF(K461&lt;&gt;0,K461*$K$5,0),0)</f>
        <v>37.800000000000004</v>
      </c>
      <c r="K461" s="54">
        <f>IF(A461=0,VLOOKUP(D461,'03. Insumos'!A:F,4,0),"")</f>
        <v>37.800000000000004</v>
      </c>
      <c r="L461" s="70">
        <f t="shared" ref="L461" si="292">H461*J461*I461</f>
        <v>0</v>
      </c>
      <c r="M461" s="153">
        <f t="shared" ref="M461" ca="1" si="293">L461/$L$7</f>
        <v>0</v>
      </c>
      <c r="U461" s="224">
        <f>T444+T473</f>
        <v>0</v>
      </c>
      <c r="V461" s="224">
        <f>L8+U461</f>
        <v>0</v>
      </c>
    </row>
    <row r="462" spans="1:22" s="51" customFormat="1" ht="13.5" hidden="1" customHeight="1" outlineLevel="1" x14ac:dyDescent="0.3">
      <c r="A462" s="13">
        <f t="shared" ref="A462" si="294">LEN(C462)</f>
        <v>0</v>
      </c>
      <c r="B462" s="49"/>
      <c r="C462" s="49"/>
      <c r="D462" s="370" t="s">
        <v>6126</v>
      </c>
      <c r="E462" s="67" t="str">
        <f>VLOOKUP(D462,'03. Insumos'!A:D,2,0)</f>
        <v>Execução de estaca escavada 30 cm</v>
      </c>
      <c r="F462" s="68" t="s">
        <v>5218</v>
      </c>
      <c r="G462" s="68" t="str">
        <f>VLOOKUP(D462,'03. Insumos'!A:F,3,0)</f>
        <v>m</v>
      </c>
      <c r="H462" s="69">
        <v>1</v>
      </c>
      <c r="I462" s="69"/>
      <c r="J462" s="70">
        <f t="shared" ref="J462" si="295">IFERROR(IF(K462&lt;&gt;0,K462*$K$5,0),0)</f>
        <v>37.800000000000004</v>
      </c>
      <c r="K462" s="54">
        <f>IF(A462=0,VLOOKUP(D462,'03. Insumos'!A:F,4,0),"")</f>
        <v>37.800000000000004</v>
      </c>
      <c r="L462" s="70">
        <f t="shared" ref="L462" si="296">H462*J462*I462</f>
        <v>0</v>
      </c>
      <c r="M462" s="153">
        <f t="shared" ref="M462" ca="1" si="297">L462/$L$7</f>
        <v>0</v>
      </c>
      <c r="U462" s="224">
        <f>T444+T473</f>
        <v>0</v>
      </c>
      <c r="V462" s="224">
        <f>L8+U462</f>
        <v>0</v>
      </c>
    </row>
    <row r="463" spans="1:22" s="51" customFormat="1" ht="13.5" hidden="1" customHeight="1" outlineLevel="1" x14ac:dyDescent="0.3">
      <c r="A463" s="13">
        <f>LEN(C463)</f>
        <v>0</v>
      </c>
      <c r="B463" s="49"/>
      <c r="C463" s="49"/>
      <c r="D463" s="370" t="s">
        <v>5979</v>
      </c>
      <c r="E463" s="67" t="str">
        <f>VLOOKUP(D463,'03. Insumos'!A:D,2,0)</f>
        <v>Concreto Usinado 30 Mpa, fator AC 0,60</v>
      </c>
      <c r="F463" s="68" t="s">
        <v>5218</v>
      </c>
      <c r="G463" s="68" t="str">
        <f>VLOOKUP(D463,'03. Insumos'!A:F,3,0)</f>
        <v>m³</v>
      </c>
      <c r="H463" s="69">
        <v>1.05</v>
      </c>
      <c r="I463" s="69">
        <f>ROUNDUP(I460*PI()*(0.4^2)+I461*PI()*(0.35^2)+I462*PI()*(0.3^2),0)</f>
        <v>0</v>
      </c>
      <c r="J463" s="70">
        <f t="shared" si="288"/>
        <v>525</v>
      </c>
      <c r="K463" s="54">
        <f>IF(A463=0,VLOOKUP(D463,'03. Insumos'!A:F,4,0),"")</f>
        <v>525</v>
      </c>
      <c r="L463" s="70">
        <f>H463*J463*I463</f>
        <v>0</v>
      </c>
      <c r="M463" s="153">
        <f t="shared" ca="1" si="190"/>
        <v>0</v>
      </c>
    </row>
    <row r="464" spans="1:22" s="51" customFormat="1" ht="13.5" hidden="1" customHeight="1" outlineLevel="1" x14ac:dyDescent="0.3">
      <c r="A464" s="13">
        <f t="shared" ref="A464" si="298">LEN(C464)</f>
        <v>0</v>
      </c>
      <c r="B464" s="49"/>
      <c r="C464" s="49"/>
      <c r="D464" s="370" t="s">
        <v>134</v>
      </c>
      <c r="E464" s="67" t="str">
        <f>VLOOKUP(D464,'03. Insumos'!A:D,2,0)</f>
        <v>Bombeamento de concreto - até 40m³</v>
      </c>
      <c r="F464" s="68" t="s">
        <v>5218</v>
      </c>
      <c r="G464" s="68" t="str">
        <f>VLOOKUP(D464,'03. Insumos'!A:F,3,0)</f>
        <v>dia</v>
      </c>
      <c r="H464" s="69">
        <f>ROUNDUP(H473/7,0)</f>
        <v>8</v>
      </c>
      <c r="I464" s="69"/>
      <c r="J464" s="70">
        <f t="shared" si="288"/>
        <v>2400</v>
      </c>
      <c r="K464" s="54">
        <f>IF(A464=0,VLOOKUP(D464,'03. Insumos'!A:F,4,0),"")</f>
        <v>2400</v>
      </c>
      <c r="L464" s="70">
        <f t="shared" ref="L464" si="299">H464*J464*I464</f>
        <v>0</v>
      </c>
      <c r="M464" s="153">
        <f t="shared" ca="1" si="190"/>
        <v>0</v>
      </c>
    </row>
    <row r="465" spans="1:20" s="51" customFormat="1" ht="13.5" hidden="1" customHeight="1" outlineLevel="1" x14ac:dyDescent="0.3">
      <c r="A465" s="13">
        <f>LEN(C465)</f>
        <v>0</v>
      </c>
      <c r="B465" s="49"/>
      <c r="C465" s="49"/>
      <c r="D465" s="370" t="s">
        <v>5814</v>
      </c>
      <c r="E465" s="67" t="str">
        <f>VLOOKUP(D465,'03. Insumos'!A:D,2,0)</f>
        <v>Aço CA50 8,0mm - Vergalhão</v>
      </c>
      <c r="F465" s="68" t="s">
        <v>5218</v>
      </c>
      <c r="G465" s="68" t="str">
        <f>VLOOKUP(D465,'03. Insumos'!A:F,3,0)</f>
        <v>kg</v>
      </c>
      <c r="H465" s="69">
        <v>1.03</v>
      </c>
      <c r="I465" s="32"/>
      <c r="J465" s="70">
        <f t="shared" ref="J465:J466" si="300">IFERROR(IF(K465&lt;&gt;0,K465*$K$5,0),0)</f>
        <v>6.6403600000000003</v>
      </c>
      <c r="K465" s="54">
        <f>IF(A465=0,VLOOKUP(D465,'03. Insumos'!A:F,4,0),"")</f>
        <v>6.6403600000000003</v>
      </c>
      <c r="L465" s="70">
        <f>H465*J465*I465</f>
        <v>0</v>
      </c>
      <c r="M465" s="153">
        <f t="shared" ref="M465:M466" ca="1" si="301">L465/$L$7</f>
        <v>0</v>
      </c>
      <c r="R465" s="787">
        <v>22067.828999999998</v>
      </c>
      <c r="T465" s="224">
        <f>R465-L465</f>
        <v>22067.828999999998</v>
      </c>
    </row>
    <row r="466" spans="1:20" s="51" customFormat="1" ht="13.5" hidden="1" customHeight="1" outlineLevel="1" x14ac:dyDescent="0.3">
      <c r="A466" s="13">
        <f>LEN(C466)</f>
        <v>0</v>
      </c>
      <c r="B466" s="49"/>
      <c r="C466" s="49"/>
      <c r="D466" s="370" t="s">
        <v>448</v>
      </c>
      <c r="E466" s="67" t="str">
        <f>VLOOKUP(D466,'03. Insumos'!A:D,2,0)</f>
        <v>Aço CA50 10mm - Vergalhão</v>
      </c>
      <c r="F466" s="68" t="s">
        <v>5218</v>
      </c>
      <c r="G466" s="68" t="str">
        <f>VLOOKUP(D466,'03. Insumos'!A:F,3,0)</f>
        <v>kg</v>
      </c>
      <c r="H466" s="69">
        <v>1.03</v>
      </c>
      <c r="I466" s="32">
        <f>2846.99/500*H459</f>
        <v>0</v>
      </c>
      <c r="J466" s="70">
        <f t="shared" si="300"/>
        <v>6.3385199999999999</v>
      </c>
      <c r="K466" s="54">
        <f>IF(A466=0,VLOOKUP(D466,'03. Insumos'!A:F,4,0),"")</f>
        <v>6.3385199999999999</v>
      </c>
      <c r="L466" s="70">
        <f>H466*J466*I466</f>
        <v>0</v>
      </c>
      <c r="M466" s="153">
        <f t="shared" ca="1" si="301"/>
        <v>0</v>
      </c>
      <c r="R466" s="787">
        <v>22067.828999999998</v>
      </c>
      <c r="T466" s="224">
        <f>R466-L466</f>
        <v>22067.828999999998</v>
      </c>
    </row>
    <row r="467" spans="1:20" s="51" customFormat="1" ht="13.5" hidden="1" customHeight="1" outlineLevel="1" x14ac:dyDescent="0.3">
      <c r="A467" s="13">
        <f>LEN(C467)</f>
        <v>0</v>
      </c>
      <c r="B467" s="49"/>
      <c r="C467" s="49"/>
      <c r="D467" s="370" t="s">
        <v>5573</v>
      </c>
      <c r="E467" s="67" t="str">
        <f>VLOOKUP(D467,'03. Insumos'!A:D,2,0)</f>
        <v>Aço CA50 20,0mm - vergalhão</v>
      </c>
      <c r="F467" s="68" t="s">
        <v>5218</v>
      </c>
      <c r="G467" s="68" t="str">
        <f>VLOOKUP(D467,'03. Insumos'!A:F,3,0)</f>
        <v>kg</v>
      </c>
      <c r="H467" s="69">
        <v>1.03</v>
      </c>
      <c r="I467" s="32"/>
      <c r="J467" s="70">
        <f t="shared" si="288"/>
        <v>6.03667</v>
      </c>
      <c r="K467" s="54">
        <f>IF(A467=0,VLOOKUP(D467,'03. Insumos'!A:F,4,0),"")</f>
        <v>6.03667</v>
      </c>
      <c r="L467" s="70">
        <f>H467*J467*I467</f>
        <v>0</v>
      </c>
      <c r="M467" s="153">
        <f t="shared" ca="1" si="190"/>
        <v>0</v>
      </c>
      <c r="R467" s="787">
        <v>22067.828999999998</v>
      </c>
      <c r="T467" s="224">
        <f>R467-L467</f>
        <v>22067.828999999998</v>
      </c>
    </row>
    <row r="468" spans="1:20" s="51" customFormat="1" ht="13.5" hidden="1" customHeight="1" outlineLevel="1" x14ac:dyDescent="0.3">
      <c r="A468" s="13">
        <f>LEN(C468)</f>
        <v>0</v>
      </c>
      <c r="B468" s="49"/>
      <c r="C468" s="49"/>
      <c r="D468" s="370" t="s">
        <v>180</v>
      </c>
      <c r="E468" s="67" t="str">
        <f>VLOOKUP(D468,'03. Insumos'!A:D,2,0)</f>
        <v>Corte e Dobra de Aço - MO</v>
      </c>
      <c r="F468" s="68" t="s">
        <v>5218</v>
      </c>
      <c r="G468" s="68" t="str">
        <f>VLOOKUP(D468,'03. Insumos'!A:F,3,0)</f>
        <v>kg</v>
      </c>
      <c r="H468" s="69">
        <v>1.03</v>
      </c>
      <c r="I468" s="32">
        <f>SUM(I465:I467)</f>
        <v>0</v>
      </c>
      <c r="J468" s="70">
        <f t="shared" si="288"/>
        <v>0.75</v>
      </c>
      <c r="K468" s="54">
        <f>IF(A468=0,VLOOKUP(D468,'03. Insumos'!A:F,4,0),"")</f>
        <v>0.75</v>
      </c>
      <c r="L468" s="70">
        <f>H468*J468*I468</f>
        <v>0</v>
      </c>
      <c r="M468" s="153">
        <f t="shared" ca="1" si="190"/>
        <v>0</v>
      </c>
      <c r="R468" s="787">
        <v>6679.125</v>
      </c>
      <c r="S468" s="224">
        <f>L468+L469</f>
        <v>0</v>
      </c>
      <c r="T468" s="224">
        <f>R468-S468</f>
        <v>6679.125</v>
      </c>
    </row>
    <row r="469" spans="1:20" s="51" customFormat="1" ht="13.5" hidden="1" customHeight="1" outlineLevel="1" x14ac:dyDescent="0.3">
      <c r="A469" s="13">
        <f>LEN(C469)</f>
        <v>0</v>
      </c>
      <c r="B469" s="49"/>
      <c r="C469" s="49"/>
      <c r="D469" s="370" t="s">
        <v>5976</v>
      </c>
      <c r="E469" s="67" t="str">
        <f>VLOOKUP(D469,'03. Insumos'!A:D,2,0)</f>
        <v>Lançamento e montagem de armadura - MO</v>
      </c>
      <c r="F469" s="68" t="s">
        <v>5218</v>
      </c>
      <c r="G469" s="68" t="str">
        <f>VLOOKUP(D469,'03. Insumos'!A:F,3,0)</f>
        <v>Kg</v>
      </c>
      <c r="H469" s="69">
        <v>1</v>
      </c>
      <c r="I469" s="32">
        <f>I468</f>
        <v>0</v>
      </c>
      <c r="J469" s="70">
        <f t="shared" si="288"/>
        <v>2.7</v>
      </c>
      <c r="K469" s="54">
        <f>IF(A469=0,VLOOKUP(D469,'03. Insumos'!A:F,4,0),"")</f>
        <v>2.7</v>
      </c>
      <c r="L469" s="70">
        <f>H469*J469*I469</f>
        <v>0</v>
      </c>
      <c r="M469" s="153">
        <f t="shared" ca="1" si="190"/>
        <v>0</v>
      </c>
      <c r="T469" s="224">
        <f>T468+T467</f>
        <v>28746.953999999998</v>
      </c>
    </row>
    <row r="470" spans="1:20" s="51" customFormat="1" ht="13.5" hidden="1" customHeight="1" outlineLevel="1" x14ac:dyDescent="0.3">
      <c r="A470" s="13">
        <f t="shared" ref="A470:A471" si="302">LEN(C470)</f>
        <v>0</v>
      </c>
      <c r="B470" s="49"/>
      <c r="C470" s="49"/>
      <c r="D470" s="370" t="s">
        <v>7552</v>
      </c>
      <c r="E470" s="67" t="str">
        <f>VLOOKUP(D470,'03. Insumos'!A:D,2,0)</f>
        <v>Espaçador tipo Rolete</v>
      </c>
      <c r="F470" s="68" t="s">
        <v>5218</v>
      </c>
      <c r="G470" s="68" t="str">
        <f>VLOOKUP(D470,'03. Insumos'!A:F,3,0)</f>
        <v>unid</v>
      </c>
      <c r="H470" s="69">
        <f>H459/1.5*4</f>
        <v>0</v>
      </c>
      <c r="I470" s="69">
        <v>1</v>
      </c>
      <c r="J470" s="70">
        <f t="shared" si="288"/>
        <v>0.3</v>
      </c>
      <c r="K470" s="54">
        <f>IF(A470=0,VLOOKUP(D470,'03. Insumos'!A:F,4,0),"")</f>
        <v>0.3</v>
      </c>
      <c r="L470" s="70">
        <f t="shared" ref="L470:L472" si="303">H470*J470*I470</f>
        <v>0</v>
      </c>
      <c r="M470" s="153">
        <f t="shared" ca="1" si="190"/>
        <v>0</v>
      </c>
    </row>
    <row r="471" spans="1:20" s="51" customFormat="1" ht="13.5" hidden="1" customHeight="1" outlineLevel="1" x14ac:dyDescent="0.3">
      <c r="A471" s="13">
        <f t="shared" si="302"/>
        <v>0</v>
      </c>
      <c r="B471" s="49"/>
      <c r="C471" s="49"/>
      <c r="D471" s="370" t="s">
        <v>6405</v>
      </c>
      <c r="E471" s="67" t="str">
        <f>VLOOKUP(D471,'03. Insumos'!A:D,2,0)</f>
        <v>Retroescavadeira - Apoio hélice</v>
      </c>
      <c r="F471" s="68" t="s">
        <v>5218</v>
      </c>
      <c r="G471" s="68" t="str">
        <f>VLOOKUP(D471,'03. Insumos'!A:F,3,0)</f>
        <v>dia</v>
      </c>
      <c r="H471" s="69">
        <f>H464</f>
        <v>8</v>
      </c>
      <c r="I471" s="69"/>
      <c r="J471" s="70">
        <f t="shared" ref="J471:J472" si="304">IFERROR(IF(K471&lt;&gt;0,K471*$K$5,0),0)</f>
        <v>1500</v>
      </c>
      <c r="K471" s="54">
        <f>IF(A471=0,VLOOKUP(D471,'03. Insumos'!A:F,4,0),"")</f>
        <v>1500</v>
      </c>
      <c r="L471" s="70">
        <f t="shared" si="303"/>
        <v>0</v>
      </c>
      <c r="M471" s="153">
        <f t="shared" ref="M471:M472" ca="1" si="305">L471/$L$7</f>
        <v>0</v>
      </c>
    </row>
    <row r="472" spans="1:20" ht="13.5" hidden="1" customHeight="1" outlineLevel="1" x14ac:dyDescent="0.3">
      <c r="A472" s="13">
        <v>0</v>
      </c>
      <c r="B472" s="4"/>
      <c r="C472" s="4"/>
      <c r="D472" s="370" t="s">
        <v>5946</v>
      </c>
      <c r="E472" s="67" t="str">
        <f>VLOOKUP(D472,'03. Insumos'!A:D,2,0)</f>
        <v>Carga e bota fora</v>
      </c>
      <c r="F472" s="68" t="s">
        <v>5218</v>
      </c>
      <c r="G472" s="68" t="str">
        <f>VLOOKUP(D472,'03. Insumos'!A:F,3,0)</f>
        <v>m³</v>
      </c>
      <c r="H472" s="69">
        <v>1.3</v>
      </c>
      <c r="I472" s="69">
        <f>I463</f>
        <v>0</v>
      </c>
      <c r="J472" s="70">
        <f t="shared" si="304"/>
        <v>50</v>
      </c>
      <c r="K472" s="70">
        <f>IF(A472=0,VLOOKUP(D472,'03. Insumos'!A:F,4,0),"")</f>
        <v>50</v>
      </c>
      <c r="L472" s="70">
        <f t="shared" si="303"/>
        <v>0</v>
      </c>
      <c r="M472" s="153">
        <f t="shared" ca="1" si="305"/>
        <v>0</v>
      </c>
      <c r="O472" s="148"/>
      <c r="R472" s="356"/>
    </row>
    <row r="473" spans="1:20" s="51" customFormat="1" ht="13.5" hidden="1" customHeight="1" outlineLevel="1" x14ac:dyDescent="0.3">
      <c r="A473" s="13">
        <f t="shared" ref="A473:A476" si="306">LEN(C473)</f>
        <v>0</v>
      </c>
      <c r="B473" s="49"/>
      <c r="C473" s="49"/>
      <c r="D473" s="370" t="s">
        <v>178</v>
      </c>
      <c r="E473" s="67" t="str">
        <f>VLOOKUP(D473,'03. Insumos'!A:D,2,0)</f>
        <v>Arrasamento de estacas</v>
      </c>
      <c r="F473" s="68" t="s">
        <v>5218</v>
      </c>
      <c r="G473" s="68" t="str">
        <f>VLOOKUP(D473,'03. Insumos'!A:F,3,0)</f>
        <v>uni</v>
      </c>
      <c r="H473" s="69">
        <v>50</v>
      </c>
      <c r="I473" s="69"/>
      <c r="J473" s="70">
        <f t="shared" si="288"/>
        <v>150</v>
      </c>
      <c r="K473" s="54">
        <f>IF(A473=0,VLOOKUP(D473,'03. Insumos'!A:F,4,0),"")</f>
        <v>150</v>
      </c>
      <c r="L473" s="70">
        <f t="shared" ref="L473" si="307">H473*J473*I473</f>
        <v>0</v>
      </c>
      <c r="M473" s="153">
        <f t="shared" ca="1" si="190"/>
        <v>0</v>
      </c>
    </row>
    <row r="474" spans="1:20" ht="13.5" customHeight="1" outlineLevel="1" x14ac:dyDescent="0.3">
      <c r="A474" s="290">
        <f t="shared" si="306"/>
        <v>6</v>
      </c>
      <c r="B474" s="4"/>
      <c r="C474" s="606" t="s">
        <v>3507</v>
      </c>
      <c r="D474" s="606" t="s">
        <v>7949</v>
      </c>
      <c r="E474" s="4"/>
      <c r="F474" s="2"/>
      <c r="G474" s="782"/>
      <c r="H474" s="919">
        <v>1</v>
      </c>
      <c r="I474" s="767"/>
      <c r="J474" s="673">
        <f>L474/H474</f>
        <v>28350</v>
      </c>
      <c r="K474" s="768" t="s">
        <v>2787</v>
      </c>
      <c r="L474" s="786">
        <f>SUM(L475:L476)</f>
        <v>28350</v>
      </c>
      <c r="M474" s="153">
        <f t="shared" ca="1" si="190"/>
        <v>1.7213761203235534E-3</v>
      </c>
    </row>
    <row r="475" spans="1:20" s="51" customFormat="1" ht="13.5" customHeight="1" outlineLevel="1" x14ac:dyDescent="0.3">
      <c r="A475" s="13">
        <f t="shared" ref="A475" si="308">LEN(C475)</f>
        <v>0</v>
      </c>
      <c r="B475" s="49"/>
      <c r="C475" s="49"/>
      <c r="D475" s="370" t="s">
        <v>6127</v>
      </c>
      <c r="E475" s="67" t="str">
        <f>VLOOKUP(D475,'03. Insumos'!A:D,2,0)</f>
        <v>Mobilização e desmobilização de Estaca Escavada</v>
      </c>
      <c r="F475" s="68" t="s">
        <v>5218</v>
      </c>
      <c r="G475" s="68" t="str">
        <f>VLOOKUP(D475,'03. Insumos'!A:F,3,0)</f>
        <v>unid</v>
      </c>
      <c r="H475" s="69">
        <v>1</v>
      </c>
      <c r="I475" s="69">
        <v>1</v>
      </c>
      <c r="J475" s="70">
        <f>IFERROR(IF(K475&lt;&gt;0,K475*$K$5,0),0)</f>
        <v>28350</v>
      </c>
      <c r="K475" s="54">
        <f>IF(A475=0,VLOOKUP(D475,'03. Insumos'!A:F,4,0),"")</f>
        <v>28350</v>
      </c>
      <c r="L475" s="70">
        <f t="shared" ref="L475" si="309">H475*J475*I475</f>
        <v>28350</v>
      </c>
      <c r="M475" s="153">
        <f t="shared" ref="M475" ca="1" si="310">L475/$L$7</f>
        <v>1.7213761203235534E-3</v>
      </c>
    </row>
    <row r="476" spans="1:20" s="51" customFormat="1" ht="13.5" hidden="1" customHeight="1" outlineLevel="1" x14ac:dyDescent="0.3">
      <c r="A476" s="13">
        <f t="shared" si="306"/>
        <v>0</v>
      </c>
      <c r="B476" s="49"/>
      <c r="C476" s="49"/>
      <c r="D476" s="370" t="s">
        <v>181</v>
      </c>
      <c r="E476" s="67" t="str">
        <f>VLOOKUP(D476,'03. Insumos'!A:D,2,0)</f>
        <v>Mobilização e desmobilização de Estaca Raiz</v>
      </c>
      <c r="F476" s="68" t="s">
        <v>5218</v>
      </c>
      <c r="G476" s="68" t="str">
        <f>VLOOKUP(D476,'03. Insumos'!A:F,3,0)</f>
        <v>unid</v>
      </c>
      <c r="H476" s="69">
        <v>1</v>
      </c>
      <c r="I476" s="69"/>
      <c r="J476" s="70">
        <f>IFERROR(IF(K476&lt;&gt;0,K476*$K$5,0),0)</f>
        <v>23000</v>
      </c>
      <c r="K476" s="54">
        <f>IF(A476=0,VLOOKUP(D476,'03. Insumos'!A:F,4,0),"")</f>
        <v>23000</v>
      </c>
      <c r="L476" s="70">
        <f t="shared" ref="L476" si="311">H476*J476*I476</f>
        <v>0</v>
      </c>
      <c r="M476" s="153">
        <f t="shared" ca="1" si="190"/>
        <v>0</v>
      </c>
    </row>
    <row r="477" spans="1:20" s="18" customFormat="1" ht="13.5" customHeight="1" outlineLevel="1" x14ac:dyDescent="0.3">
      <c r="A477" s="18">
        <v>6</v>
      </c>
      <c r="B477" s="606"/>
      <c r="C477" s="606" t="s">
        <v>3508</v>
      </c>
      <c r="D477" s="606" t="s">
        <v>8038</v>
      </c>
      <c r="E477" s="771"/>
      <c r="F477" s="770"/>
      <c r="G477" s="325" t="s">
        <v>72</v>
      </c>
      <c r="H477" s="326">
        <v>11.4</v>
      </c>
      <c r="I477" s="769"/>
      <c r="J477" s="673">
        <f>L477/H477</f>
        <v>1366.604957568421</v>
      </c>
      <c r="K477" s="607"/>
      <c r="L477" s="334">
        <f>SUMIF(A478:A481,0,L478:L481)</f>
        <v>15579.296516280001</v>
      </c>
      <c r="M477" s="153">
        <f t="shared" ca="1" si="190"/>
        <v>9.4595516735676609E-4</v>
      </c>
      <c r="O477" s="600"/>
      <c r="R477" s="601"/>
    </row>
    <row r="478" spans="1:20" s="51" customFormat="1" ht="13.5" customHeight="1" outlineLevel="1" x14ac:dyDescent="0.3">
      <c r="A478" s="13">
        <v>0</v>
      </c>
      <c r="B478" s="67"/>
      <c r="C478" s="55"/>
      <c r="D478" s="370" t="s">
        <v>6409</v>
      </c>
      <c r="E478" s="67" t="str">
        <f>VLOOKUP(D478,'03. Insumos'!A:D,2,0)</f>
        <v>Concreto Magro Usinado</v>
      </c>
      <c r="F478" s="68" t="s">
        <v>5218</v>
      </c>
      <c r="G478" s="68" t="str">
        <f>VLOOKUP(D478,'03. Insumos'!A:F,3,0)</f>
        <v>m³</v>
      </c>
      <c r="H478" s="69">
        <v>1.1000000000000001</v>
      </c>
      <c r="I478" s="69">
        <f>$H$477</f>
        <v>11.4</v>
      </c>
      <c r="J478" s="70">
        <f t="shared" ref="J478:J481" si="312">IFERROR(IF(K478&lt;&gt;0,K478*$K$5,0),0)</f>
        <v>480</v>
      </c>
      <c r="K478" s="70">
        <f>IF(A478=0,VLOOKUP(D478,'03. Insumos'!A:F,4,0),"")</f>
        <v>480</v>
      </c>
      <c r="L478" s="70">
        <f t="shared" ref="L478:L480" si="313">H478*J478*I478</f>
        <v>6019.2</v>
      </c>
      <c r="M478" s="153">
        <f t="shared" ca="1" si="190"/>
        <v>3.6547820611821985E-4</v>
      </c>
      <c r="O478" s="148"/>
      <c r="R478" s="356"/>
    </row>
    <row r="479" spans="1:20" s="51" customFormat="1" ht="13.5" customHeight="1" outlineLevel="1" x14ac:dyDescent="0.3">
      <c r="A479" s="13">
        <v>0</v>
      </c>
      <c r="B479" s="67"/>
      <c r="C479" s="67"/>
      <c r="D479" s="370" t="s">
        <v>134</v>
      </c>
      <c r="E479" s="67" t="str">
        <f>VLOOKUP(D479,'03. Insumos'!A:D,2,0)</f>
        <v>Bombeamento de concreto - até 40m³</v>
      </c>
      <c r="F479" s="68" t="s">
        <v>5218</v>
      </c>
      <c r="G479" s="68" t="str">
        <f>VLOOKUP(D479,'03. Insumos'!A:F,3,0)</f>
        <v>dia</v>
      </c>
      <c r="H479" s="69">
        <v>1</v>
      </c>
      <c r="I479" s="69">
        <v>3</v>
      </c>
      <c r="J479" s="70">
        <f t="shared" si="312"/>
        <v>2400</v>
      </c>
      <c r="K479" s="70">
        <f>IF(A479=0,VLOOKUP(D479,'03. Insumos'!A:F,4,0),"")</f>
        <v>2400</v>
      </c>
      <c r="L479" s="70">
        <f t="shared" si="313"/>
        <v>7200</v>
      </c>
      <c r="M479" s="153">
        <f t="shared" ca="1" si="190"/>
        <v>4.371748877012199E-4</v>
      </c>
      <c r="O479" s="148"/>
      <c r="R479" s="356"/>
    </row>
    <row r="480" spans="1:20" s="51" customFormat="1" ht="13.5" customHeight="1" outlineLevel="1" x14ac:dyDescent="0.3">
      <c r="A480" s="13">
        <v>0</v>
      </c>
      <c r="B480" s="67"/>
      <c r="C480" s="55"/>
      <c r="D480" s="370" t="s">
        <v>6091</v>
      </c>
      <c r="E480" s="67" t="str">
        <f>VLOOKUP(D480,'03. Insumos'!A:D,2,0)</f>
        <v>Lançamento de Concreto Magro - Mão de Obra</v>
      </c>
      <c r="F480" s="68" t="s">
        <v>5218</v>
      </c>
      <c r="G480" s="68" t="str">
        <f>VLOOKUP(D480,'03. Insumos'!A:F,3,0)</f>
        <v>m³</v>
      </c>
      <c r="H480" s="69">
        <v>1</v>
      </c>
      <c r="I480" s="69">
        <f t="shared" ref="I480" si="314">$H$477</f>
        <v>11.4</v>
      </c>
      <c r="J480" s="70">
        <f>IFERROR(IF(K480&lt;&gt;0,K480*$K$5,0),0)</f>
        <v>200</v>
      </c>
      <c r="K480" s="70">
        <f>IF(A480=0,VLOOKUP(D480,'03. Insumos'!A:F,4,0),"")</f>
        <v>200</v>
      </c>
      <c r="L480" s="70">
        <f t="shared" si="313"/>
        <v>2280</v>
      </c>
      <c r="M480" s="153">
        <f t="shared" ca="1" si="190"/>
        <v>1.3843871443871964E-4</v>
      </c>
      <c r="O480" s="148"/>
      <c r="R480" s="356"/>
    </row>
    <row r="481" spans="1:18" s="51" customFormat="1" ht="13.5" customHeight="1" outlineLevel="1" x14ac:dyDescent="0.3">
      <c r="A481" s="13">
        <v>0</v>
      </c>
      <c r="B481" s="67"/>
      <c r="C481" s="67"/>
      <c r="D481" s="370" t="s">
        <v>6410</v>
      </c>
      <c r="E481" s="67" t="str">
        <f>VLOOKUP(D481,'03. Insumos'!A:D,2,0)</f>
        <v>Lona Plastica ESP. 80 Micras</v>
      </c>
      <c r="F481" s="68" t="s">
        <v>5218</v>
      </c>
      <c r="G481" s="68" t="str">
        <f>VLOOKUP(D481,'03. Insumos'!A:F,3,0)</f>
        <v>m²</v>
      </c>
      <c r="H481" s="69">
        <v>1.1000000000000001</v>
      </c>
      <c r="I481" s="69">
        <f>(1/0.05*1.1)*H477</f>
        <v>250.8</v>
      </c>
      <c r="J481" s="70">
        <f t="shared" si="312"/>
        <v>0.29033100000000001</v>
      </c>
      <c r="K481" s="70">
        <f>IF(A481=0,VLOOKUP(D481,'03. Insumos'!A:F,4,0),"")</f>
        <v>0.29033100000000001</v>
      </c>
      <c r="L481" s="70">
        <f>H481*J481*I481</f>
        <v>80.096516280000017</v>
      </c>
      <c r="M481" s="153">
        <f t="shared" ca="1" si="190"/>
        <v>4.8633590986066581E-6</v>
      </c>
      <c r="O481" s="148"/>
      <c r="R481" s="356"/>
    </row>
    <row r="482" spans="1:18" s="18" customFormat="1" ht="13.5" customHeight="1" outlineLevel="1" x14ac:dyDescent="0.3">
      <c r="A482" s="18">
        <v>6</v>
      </c>
      <c r="B482" s="606"/>
      <c r="C482" s="606" t="s">
        <v>7562</v>
      </c>
      <c r="D482" s="606" t="s">
        <v>8039</v>
      </c>
      <c r="E482" s="771"/>
      <c r="F482" s="770"/>
      <c r="G482" s="325" t="s">
        <v>72</v>
      </c>
      <c r="H482" s="326">
        <v>121.25999999999999</v>
      </c>
      <c r="I482" s="769"/>
      <c r="J482" s="673">
        <f>L482/H482</f>
        <v>685.66872835230083</v>
      </c>
      <c r="K482" s="607"/>
      <c r="L482" s="334">
        <f>SUMIF(A483:A485,0,L483:L485)</f>
        <v>83144.189999999988</v>
      </c>
      <c r="M482" s="153">
        <f t="shared" ca="1" si="190"/>
        <v>5.0484099897581784E-3</v>
      </c>
      <c r="O482" s="600"/>
      <c r="R482" s="601"/>
    </row>
    <row r="483" spans="1:18" s="51" customFormat="1" ht="13.5" customHeight="1" outlineLevel="1" x14ac:dyDescent="0.3">
      <c r="A483" s="13">
        <v>0</v>
      </c>
      <c r="B483" s="67"/>
      <c r="C483" s="55"/>
      <c r="D483" s="370" t="s">
        <v>3385</v>
      </c>
      <c r="E483" s="67" t="str">
        <f>VLOOKUP(D483,'03. Insumos'!A:D,2,0)</f>
        <v>Concreto Usinado 35 Mpa, fator AC 0,45</v>
      </c>
      <c r="F483" s="68" t="s">
        <v>5218</v>
      </c>
      <c r="G483" s="68" t="str">
        <f>VLOOKUP(D483,'03. Insumos'!A:F,3,0)</f>
        <v>m³</v>
      </c>
      <c r="H483" s="69">
        <v>1.1000000000000001</v>
      </c>
      <c r="I483" s="69">
        <f>$H$482</f>
        <v>121.25999999999999</v>
      </c>
      <c r="J483" s="70">
        <f t="shared" ref="J483:J484" si="315">IFERROR(IF(K483&lt;&gt;0,K483*$K$5,0),0)</f>
        <v>515</v>
      </c>
      <c r="K483" s="70">
        <f>IF(A483=0,VLOOKUP(D483,'03. Insumos'!A:F,4,0),"")</f>
        <v>515</v>
      </c>
      <c r="L483" s="70">
        <f t="shared" ref="L483:L484" si="316">H483*J483*I483</f>
        <v>68693.789999999994</v>
      </c>
      <c r="M483" s="153">
        <f t="shared" ca="1" si="190"/>
        <v>4.1709999901418304E-3</v>
      </c>
      <c r="O483" s="148"/>
      <c r="R483" s="356"/>
    </row>
    <row r="484" spans="1:18" s="51" customFormat="1" ht="13.5" customHeight="1" outlineLevel="1" x14ac:dyDescent="0.3">
      <c r="A484" s="13">
        <v>0</v>
      </c>
      <c r="B484" s="67"/>
      <c r="C484" s="67"/>
      <c r="D484" s="370" t="s">
        <v>134</v>
      </c>
      <c r="E484" s="67" t="str">
        <f>VLOOKUP(D484,'03. Insumos'!A:D,2,0)</f>
        <v>Bombeamento de concreto - até 40m³</v>
      </c>
      <c r="F484" s="68" t="s">
        <v>5218</v>
      </c>
      <c r="G484" s="68" t="str">
        <f>VLOOKUP(D484,'03. Insumos'!A:F,3,0)</f>
        <v>dia</v>
      </c>
      <c r="H484" s="69">
        <v>1</v>
      </c>
      <c r="I484" s="69">
        <v>4</v>
      </c>
      <c r="J484" s="70">
        <f t="shared" si="315"/>
        <v>2400</v>
      </c>
      <c r="K484" s="70">
        <f>IF(A484=0,VLOOKUP(D484,'03. Insumos'!A:F,4,0),"")</f>
        <v>2400</v>
      </c>
      <c r="L484" s="70">
        <f t="shared" si="316"/>
        <v>9600</v>
      </c>
      <c r="M484" s="153">
        <f t="shared" ca="1" si="190"/>
        <v>5.8289985026829317E-4</v>
      </c>
      <c r="O484" s="148"/>
      <c r="R484" s="356"/>
    </row>
    <row r="485" spans="1:18" s="51" customFormat="1" ht="13.5" customHeight="1" outlineLevel="1" x14ac:dyDescent="0.3">
      <c r="A485" s="13">
        <v>0</v>
      </c>
      <c r="B485" s="67"/>
      <c r="C485" s="55"/>
      <c r="D485" s="370" t="s">
        <v>6411</v>
      </c>
      <c r="E485" s="67" t="str">
        <f>VLOOKUP(D485,'03. Insumos'!A:D,2,0)</f>
        <v>Lançamento de Concreto - Mão de Obra</v>
      </c>
      <c r="F485" s="68" t="s">
        <v>5218</v>
      </c>
      <c r="G485" s="68" t="str">
        <f>VLOOKUP(D485,'03. Insumos'!A:F,3,0)</f>
        <v>m³</v>
      </c>
      <c r="H485" s="69">
        <v>1</v>
      </c>
      <c r="I485" s="69">
        <f t="shared" ref="I485" si="317">$H$482</f>
        <v>121.25999999999999</v>
      </c>
      <c r="J485" s="70">
        <f>IFERROR(IF(K485&lt;&gt;0,K485*$K$5,0),0)</f>
        <v>40</v>
      </c>
      <c r="K485" s="70">
        <f>IF(A485=0,VLOOKUP(D485,'03. Insumos'!A:F,4,0),"")</f>
        <v>40</v>
      </c>
      <c r="L485" s="70">
        <f>H485*J485*I485</f>
        <v>4850.3999999999996</v>
      </c>
      <c r="M485" s="153">
        <f t="shared" ca="1" si="190"/>
        <v>2.9451014934805513E-4</v>
      </c>
      <c r="O485" s="148"/>
      <c r="R485" s="356"/>
    </row>
    <row r="486" spans="1:18" s="18" customFormat="1" ht="13.5" customHeight="1" outlineLevel="1" x14ac:dyDescent="0.3">
      <c r="A486" s="18">
        <v>6</v>
      </c>
      <c r="B486" s="606"/>
      <c r="C486" s="606" t="s">
        <v>7563</v>
      </c>
      <c r="D486" s="606" t="s">
        <v>8653</v>
      </c>
      <c r="E486" s="391"/>
      <c r="F486" s="325"/>
      <c r="G486" s="325" t="s">
        <v>89</v>
      </c>
      <c r="H486" s="326">
        <f>H482*80</f>
        <v>9700.7999999999993</v>
      </c>
      <c r="I486" s="326"/>
      <c r="J486" s="673">
        <f>L486/H486</f>
        <v>10.648979966600001</v>
      </c>
      <c r="K486" s="607"/>
      <c r="L486" s="334">
        <f>SUMIF(A487:A493,0,L487:L493)</f>
        <v>103303.62485999327</v>
      </c>
      <c r="M486" s="153">
        <f t="shared" ca="1" si="190"/>
        <v>6.2724653607356259E-3</v>
      </c>
      <c r="O486" s="600"/>
      <c r="R486" s="601"/>
    </row>
    <row r="487" spans="1:18" s="51" customFormat="1" ht="13.5" customHeight="1" outlineLevel="1" x14ac:dyDescent="0.3">
      <c r="A487" s="13">
        <v>0</v>
      </c>
      <c r="B487" s="67"/>
      <c r="C487" s="67"/>
      <c r="D487" s="370" t="s">
        <v>6412</v>
      </c>
      <c r="E487" s="67" t="str">
        <f>VLOOKUP(D487,'03. Insumos'!A:D,2,0)</f>
        <v>Corte e Dobra de Aço - MO</v>
      </c>
      <c r="F487" s="68" t="s">
        <v>5218</v>
      </c>
      <c r="G487" s="68" t="str">
        <f>VLOOKUP(D487,'03. Insumos'!A:F,3,0)</f>
        <v>kg</v>
      </c>
      <c r="H487" s="69">
        <v>1</v>
      </c>
      <c r="I487" s="69">
        <f>$H$486</f>
        <v>9700.7999999999993</v>
      </c>
      <c r="J487" s="70">
        <f t="shared" ref="J487:J492" si="318">IFERROR(IF(K487&lt;&gt;0,K487*$K$5,0),0)</f>
        <v>0.8</v>
      </c>
      <c r="K487" s="70">
        <f>IF(A487=0,VLOOKUP(D487,'03. Insumos'!A:F,4,0),"")</f>
        <v>0.8</v>
      </c>
      <c r="L487" s="70">
        <f t="shared" ref="L487:L493" si="319">H487*J487*I487</f>
        <v>7760.6399999999994</v>
      </c>
      <c r="M487" s="153">
        <f t="shared" ca="1" si="190"/>
        <v>4.7121623895688818E-4</v>
      </c>
      <c r="O487" s="148"/>
      <c r="R487" s="356"/>
    </row>
    <row r="488" spans="1:18" s="51" customFormat="1" ht="13.5" customHeight="1" outlineLevel="1" x14ac:dyDescent="0.3">
      <c r="A488" s="13">
        <v>0</v>
      </c>
      <c r="B488" s="67"/>
      <c r="C488" s="67"/>
      <c r="D488" s="370" t="s">
        <v>6413</v>
      </c>
      <c r="E488" s="67" t="str">
        <f>VLOOKUP(D488,'03. Insumos'!A:D,2,0)</f>
        <v>Lançamento e montagem de armadura - MO</v>
      </c>
      <c r="F488" s="68" t="s">
        <v>5218</v>
      </c>
      <c r="G488" s="68" t="str">
        <f>VLOOKUP(D488,'03. Insumos'!A:F,3,0)</f>
        <v>kg</v>
      </c>
      <c r="H488" s="69">
        <v>1</v>
      </c>
      <c r="I488" s="69">
        <f>$H$486</f>
        <v>9700.7999999999993</v>
      </c>
      <c r="J488" s="70">
        <f t="shared" si="318"/>
        <v>3.5</v>
      </c>
      <c r="K488" s="70">
        <f>IF(A488=0,VLOOKUP(D488,'03. Insumos'!A:F,4,0),"")</f>
        <v>3.5</v>
      </c>
      <c r="L488" s="70">
        <f t="shared" si="319"/>
        <v>33952.799999999996</v>
      </c>
      <c r="M488" s="153">
        <f t="shared" ca="1" si="190"/>
        <v>2.0615710454363859E-3</v>
      </c>
      <c r="O488" s="148"/>
      <c r="R488" s="356"/>
    </row>
    <row r="489" spans="1:18" s="51" customFormat="1" ht="13.5" hidden="1" customHeight="1" outlineLevel="1" x14ac:dyDescent="0.3">
      <c r="A489" s="13">
        <v>0</v>
      </c>
      <c r="B489" s="67"/>
      <c r="C489" s="67"/>
      <c r="D489" s="370" t="s">
        <v>5766</v>
      </c>
      <c r="E489" s="67" t="str">
        <f>VLOOKUP(D489,'03. Insumos'!A:D,2,0)</f>
        <v>Aço CA50 12,5mm - Vergalhão</v>
      </c>
      <c r="F489" s="68" t="s">
        <v>5218</v>
      </c>
      <c r="G489" s="68" t="str">
        <f>VLOOKUP(D489,'03. Insumos'!A:F,3,0)</f>
        <v>kg</v>
      </c>
      <c r="H489" s="69"/>
      <c r="I489" s="69">
        <f>$H$486*0.1</f>
        <v>970.07999999999993</v>
      </c>
      <c r="J489" s="70">
        <f t="shared" si="318"/>
        <v>6.03667</v>
      </c>
      <c r="K489" s="70">
        <f>IF(A489=0,VLOOKUP(D489,'03. Insumos'!A:F,4,0),"")</f>
        <v>6.03667</v>
      </c>
      <c r="L489" s="70">
        <f t="shared" si="319"/>
        <v>0</v>
      </c>
      <c r="M489" s="153">
        <f t="shared" ca="1" si="190"/>
        <v>0</v>
      </c>
      <c r="O489" s="148"/>
      <c r="R489" s="356"/>
    </row>
    <row r="490" spans="1:18" s="51" customFormat="1" ht="13.5" customHeight="1" outlineLevel="1" x14ac:dyDescent="0.3">
      <c r="A490" s="13">
        <v>0</v>
      </c>
      <c r="B490" s="67"/>
      <c r="C490" s="67"/>
      <c r="D490" s="370" t="s">
        <v>6566</v>
      </c>
      <c r="E490" s="67" t="str">
        <f>VLOOKUP(D490,'03. Insumos'!A:D,2,0)</f>
        <v>Aço CA50 12,5mm - Manufaturado</v>
      </c>
      <c r="F490" s="68" t="s">
        <v>5218</v>
      </c>
      <c r="G490" s="68" t="str">
        <f>VLOOKUP(D490,'03. Insumos'!A:F,3,0)</f>
        <v>kg</v>
      </c>
      <c r="H490" s="69">
        <f>1.03</f>
        <v>1.03</v>
      </c>
      <c r="I490" s="69">
        <f>$H$486*1</f>
        <v>9700.7999999999993</v>
      </c>
      <c r="J490" s="70">
        <f t="shared" si="318"/>
        <v>5.6366699999999996</v>
      </c>
      <c r="K490" s="70">
        <f>IF(A490=0,VLOOKUP(D490,'03. Insumos'!A:F,4,0),"")</f>
        <v>5.6366699999999996</v>
      </c>
      <c r="L490" s="70">
        <f t="shared" si="319"/>
        <v>56320.614586079995</v>
      </c>
      <c r="M490" s="153">
        <f t="shared" ca="1" si="190"/>
        <v>3.4197164384629458E-3</v>
      </c>
      <c r="O490" s="148"/>
      <c r="R490" s="356"/>
    </row>
    <row r="491" spans="1:18" s="51" customFormat="1" ht="13.5" hidden="1" customHeight="1" outlineLevel="1" x14ac:dyDescent="0.3">
      <c r="A491" s="13">
        <v>0</v>
      </c>
      <c r="B491" s="67"/>
      <c r="C491" s="67"/>
      <c r="D491" s="370" t="s">
        <v>6414</v>
      </c>
      <c r="E491" s="67" t="str">
        <f>VLOOKUP(D491,'03. Insumos'!A:D,2,0)</f>
        <v>Manufaturamento do Aço</v>
      </c>
      <c r="F491" s="68" t="s">
        <v>5218</v>
      </c>
      <c r="G491" s="68" t="str">
        <f>VLOOKUP(D491,'03. Insumos'!A:F,3,0)</f>
        <v>kg</v>
      </c>
      <c r="H491" s="69"/>
      <c r="I491" s="69">
        <f>$H$486*1.003</f>
        <v>9729.902399999999</v>
      </c>
      <c r="J491" s="70">
        <f t="shared" si="318"/>
        <v>0.6</v>
      </c>
      <c r="K491" s="70">
        <f>IF(A491=0,VLOOKUP(D491,'03. Insumos'!A:F,4,0),"")</f>
        <v>0.6</v>
      </c>
      <c r="L491" s="70">
        <f t="shared" si="319"/>
        <v>0</v>
      </c>
      <c r="M491" s="153">
        <f t="shared" ca="1" si="190"/>
        <v>0</v>
      </c>
      <c r="O491" s="148"/>
      <c r="R491" s="356"/>
    </row>
    <row r="492" spans="1:18" s="51" customFormat="1" ht="13.5" customHeight="1" outlineLevel="1" x14ac:dyDescent="0.3">
      <c r="A492" s="13">
        <v>0</v>
      </c>
      <c r="B492" s="67"/>
      <c r="C492" s="67"/>
      <c r="D492" s="370" t="s">
        <v>6441</v>
      </c>
      <c r="E492" s="67" t="str">
        <f>VLOOKUP(D492,'03. Insumos'!A:D,2,0)</f>
        <v>Arame Galv. 18</v>
      </c>
      <c r="F492" s="68" t="s">
        <v>5218</v>
      </c>
      <c r="G492" s="68" t="str">
        <f>VLOOKUP(D492,'03. Insumos'!A:F,3,0)</f>
        <v>kg</v>
      </c>
      <c r="H492" s="69">
        <v>1.03</v>
      </c>
      <c r="I492" s="69">
        <f>$H$486*0.03</f>
        <v>291.02399999999994</v>
      </c>
      <c r="J492" s="70">
        <f t="shared" si="318"/>
        <v>14.246274000000001</v>
      </c>
      <c r="K492" s="70">
        <f>IF(A492=0,VLOOKUP(D492,'03. Insumos'!A:F,4,0),"")</f>
        <v>14.246274000000001</v>
      </c>
      <c r="L492" s="70">
        <f t="shared" si="319"/>
        <v>4270.3878739132797</v>
      </c>
      <c r="M492" s="153">
        <f t="shared" ca="1" si="190"/>
        <v>2.5929254711370682E-4</v>
      </c>
      <c r="O492" s="148"/>
      <c r="R492" s="356"/>
    </row>
    <row r="493" spans="1:18" s="51" customFormat="1" ht="13.5" customHeight="1" outlineLevel="1" x14ac:dyDescent="0.3">
      <c r="A493" s="13">
        <v>0</v>
      </c>
      <c r="B493" s="67"/>
      <c r="C493" s="67"/>
      <c r="D493" s="370" t="s">
        <v>6442</v>
      </c>
      <c r="E493" s="67" t="str">
        <f>VLOOKUP(D493,'03. Insumos'!A:D,2,0)</f>
        <v>Espaçadore Genérico</v>
      </c>
      <c r="F493" s="68" t="s">
        <v>5218</v>
      </c>
      <c r="G493" s="68" t="str">
        <f>VLOOKUP(D493,'03. Insumos'!A:F,3,0)</f>
        <v>vb</v>
      </c>
      <c r="H493" s="69">
        <f>H486*1.03</f>
        <v>9991.8239999999987</v>
      </c>
      <c r="I493" s="69">
        <v>0.1</v>
      </c>
      <c r="J493" s="70">
        <v>1</v>
      </c>
      <c r="K493" s="70">
        <f>IF(A493=0,VLOOKUP(D493,'03. Insumos'!A:F,4,0),"")</f>
        <v>1</v>
      </c>
      <c r="L493" s="70">
        <f t="shared" si="319"/>
        <v>999.18239999999992</v>
      </c>
      <c r="M493" s="153">
        <f t="shared" ca="1" si="190"/>
        <v>6.0669090765699357E-5</v>
      </c>
      <c r="O493" s="148"/>
      <c r="R493" s="356"/>
    </row>
    <row r="494" spans="1:18" s="18" customFormat="1" ht="13.5" customHeight="1" outlineLevel="1" x14ac:dyDescent="0.3">
      <c r="A494" s="18">
        <v>6</v>
      </c>
      <c r="B494" s="606"/>
      <c r="C494" s="606" t="s">
        <v>7564</v>
      </c>
      <c r="D494" s="606" t="s">
        <v>8040</v>
      </c>
      <c r="E494" s="391"/>
      <c r="F494" s="325"/>
      <c r="G494" s="325" t="s">
        <v>73</v>
      </c>
      <c r="H494" s="326">
        <v>72.94</v>
      </c>
      <c r="I494" s="326"/>
      <c r="J494" s="673">
        <f>L494/H494</f>
        <v>140</v>
      </c>
      <c r="K494" s="607"/>
      <c r="L494" s="334">
        <f>SUMIF(A495,,L495)</f>
        <v>10211.6</v>
      </c>
      <c r="M494" s="153">
        <f t="shared" ca="1" si="190"/>
        <v>6.2003542822913575E-4</v>
      </c>
      <c r="O494" s="600"/>
      <c r="R494" s="601"/>
    </row>
    <row r="495" spans="1:18" s="51" customFormat="1" ht="13.5" customHeight="1" outlineLevel="1" x14ac:dyDescent="0.3">
      <c r="A495" s="13">
        <v>0</v>
      </c>
      <c r="B495" s="67"/>
      <c r="C495" s="67"/>
      <c r="D495" s="370" t="s">
        <v>3146</v>
      </c>
      <c r="E495" s="67" t="str">
        <f>VLOOKUP(D495,'03. Insumos'!A:D,2,0)</f>
        <v>Forma - Material e Mão de obra</v>
      </c>
      <c r="F495" s="68" t="s">
        <v>5218</v>
      </c>
      <c r="G495" s="68" t="s">
        <v>73</v>
      </c>
      <c r="H495" s="69">
        <v>1</v>
      </c>
      <c r="I495" s="69">
        <f>H494</f>
        <v>72.94</v>
      </c>
      <c r="J495" s="70">
        <f>IFERROR(IF(K495&lt;&gt;0,K495*$K$5,0),0)</f>
        <v>140</v>
      </c>
      <c r="K495" s="70">
        <f>IF(A495=0,VLOOKUP(D495,'03. Insumos'!A:F,4,0),"")</f>
        <v>140</v>
      </c>
      <c r="L495" s="70">
        <f t="shared" ref="L495" si="320">H495*J495*I495</f>
        <v>10211.6</v>
      </c>
      <c r="M495" s="153">
        <f t="shared" ref="M495:M608" ca="1" si="321">L495/$L$7</f>
        <v>6.2003542822913575E-4</v>
      </c>
      <c r="O495" s="148"/>
      <c r="R495" s="356"/>
    </row>
    <row r="496" spans="1:18" s="605" customFormat="1" ht="13.5" customHeight="1" outlineLevel="1" x14ac:dyDescent="0.3">
      <c r="A496" s="18">
        <f t="shared" ref="A496:A506" si="322">LEN(C496)</f>
        <v>6</v>
      </c>
      <c r="B496" s="602"/>
      <c r="C496" s="606" t="s">
        <v>7564</v>
      </c>
      <c r="D496" s="606" t="s">
        <v>8469</v>
      </c>
      <c r="E496" s="593"/>
      <c r="F496" s="603"/>
      <c r="G496" s="594" t="s">
        <v>72</v>
      </c>
      <c r="H496" s="595">
        <f>H482+I463+I345</f>
        <v>272.26</v>
      </c>
      <c r="I496" s="595"/>
      <c r="J496" s="597"/>
      <c r="K496" s="604" t="str">
        <f>IF(A496=0,VLOOKUP(D496,'03. Insumos'!A:F,4,0),"")</f>
        <v/>
      </c>
      <c r="L496" s="597">
        <f>SUM(L497:L506)</f>
        <v>10848</v>
      </c>
      <c r="M496" s="153">
        <f t="shared" ref="M496:M506" ca="1" si="323">L496/$L$7</f>
        <v>6.5867683080317134E-4</v>
      </c>
      <c r="O496" s="600">
        <f t="shared" ref="O496:O506" si="324">IF(I496&lt;&gt;0,I496*H496*K496,)</f>
        <v>0</v>
      </c>
      <c r="R496" s="601">
        <f t="shared" ref="R496:R506" si="325">IF(J496&lt;&gt;0,J496/1.03-K496,0)</f>
        <v>0</v>
      </c>
    </row>
    <row r="497" spans="1:20" s="51" customFormat="1" ht="13.5" hidden="1" customHeight="1" outlineLevel="1" x14ac:dyDescent="0.3">
      <c r="A497" s="13">
        <f t="shared" si="322"/>
        <v>0</v>
      </c>
      <c r="B497" s="49"/>
      <c r="C497" s="49"/>
      <c r="D497" s="370" t="s">
        <v>6109</v>
      </c>
      <c r="E497" s="67" t="str">
        <f>VLOOKUP(D497,'03. Insumos'!A:D,2,0)</f>
        <v>Ensaios Tecnológicos</v>
      </c>
      <c r="F497" s="68" t="s">
        <v>5218</v>
      </c>
      <c r="G497" s="68" t="str">
        <f>VLOOKUP(D497,'03. Insumos'!A:F,3,0)</f>
        <v>vb</v>
      </c>
      <c r="H497" s="69"/>
      <c r="I497" s="69">
        <v>1</v>
      </c>
      <c r="J497" s="70">
        <f t="shared" ref="J497:J506" si="326">IFERROR(IF(K497&lt;&gt;0,K497*$K$5,0),0)</f>
        <v>1</v>
      </c>
      <c r="K497" s="54">
        <f>IF(A497=0,VLOOKUP(D497,'03. Insumos'!A:F,4,0),"")</f>
        <v>1</v>
      </c>
      <c r="L497" s="70">
        <f t="shared" ref="L497:L506" si="327">H497*J497*I497</f>
        <v>0</v>
      </c>
      <c r="M497" s="153">
        <f t="shared" ca="1" si="323"/>
        <v>0</v>
      </c>
      <c r="O497" s="148">
        <f t="shared" si="324"/>
        <v>0</v>
      </c>
      <c r="R497" s="356">
        <f t="shared" si="325"/>
        <v>-2.9126213592232997E-2</v>
      </c>
    </row>
    <row r="498" spans="1:20" s="51" customFormat="1" ht="13.5" customHeight="1" outlineLevel="1" x14ac:dyDescent="0.3">
      <c r="A498" s="13">
        <f t="shared" si="322"/>
        <v>0</v>
      </c>
      <c r="B498" s="49"/>
      <c r="C498" s="49"/>
      <c r="D498" s="370" t="s">
        <v>6110</v>
      </c>
      <c r="E498" s="67" t="str">
        <f>VLOOKUP(D498,'03. Insumos'!A:D,2,0)</f>
        <v>Ensaio PIT</v>
      </c>
      <c r="F498" s="68" t="s">
        <v>5218</v>
      </c>
      <c r="G498" s="68" t="str">
        <f>VLOOKUP(D498,'03. Insumos'!A:F,3,0)</f>
        <v>vb</v>
      </c>
      <c r="H498" s="69">
        <v>5000</v>
      </c>
      <c r="I498" s="69">
        <v>1</v>
      </c>
      <c r="J498" s="70">
        <f t="shared" si="326"/>
        <v>1</v>
      </c>
      <c r="K498" s="54">
        <f>IF(A498=0,VLOOKUP(D498,'03. Insumos'!A:F,4,0),"")</f>
        <v>1</v>
      </c>
      <c r="L498" s="70">
        <f t="shared" si="327"/>
        <v>5000</v>
      </c>
      <c r="M498" s="153">
        <f t="shared" ca="1" si="323"/>
        <v>3.0359367201473607E-4</v>
      </c>
      <c r="O498" s="148">
        <f t="shared" si="324"/>
        <v>5000</v>
      </c>
      <c r="R498" s="356">
        <f t="shared" si="325"/>
        <v>-2.9126213592232997E-2</v>
      </c>
    </row>
    <row r="499" spans="1:20" s="51" customFormat="1" ht="13.5" hidden="1" customHeight="1" outlineLevel="1" x14ac:dyDescent="0.3">
      <c r="A499" s="13">
        <f t="shared" si="322"/>
        <v>0</v>
      </c>
      <c r="B499" s="49"/>
      <c r="C499" s="49"/>
      <c r="D499" s="370" t="s">
        <v>6111</v>
      </c>
      <c r="E499" s="67" t="str">
        <f>VLOOKUP(D499,'03. Insumos'!A:D,2,0)</f>
        <v>Ensaio PDA</v>
      </c>
      <c r="F499" s="68" t="s">
        <v>5218</v>
      </c>
      <c r="G499" s="68" t="str">
        <f>VLOOKUP(D499,'03. Insumos'!A:F,3,0)</f>
        <v>vb</v>
      </c>
      <c r="H499" s="69"/>
      <c r="I499" s="69">
        <v>1</v>
      </c>
      <c r="J499" s="70">
        <v>1</v>
      </c>
      <c r="K499" s="54">
        <f>IF(A499=0,VLOOKUP(D499,'03. Insumos'!A:F,4,0),"")</f>
        <v>1</v>
      </c>
      <c r="L499" s="70">
        <f t="shared" si="327"/>
        <v>0</v>
      </c>
      <c r="M499" s="153">
        <f t="shared" ca="1" si="323"/>
        <v>0</v>
      </c>
      <c r="O499" s="148">
        <f t="shared" si="324"/>
        <v>0</v>
      </c>
      <c r="R499" s="356">
        <f t="shared" si="325"/>
        <v>-2.9126213592232997E-2</v>
      </c>
    </row>
    <row r="500" spans="1:20" s="51" customFormat="1" hidden="1" outlineLevel="1" x14ac:dyDescent="0.3">
      <c r="A500" s="13">
        <f t="shared" si="322"/>
        <v>0</v>
      </c>
      <c r="B500" s="49"/>
      <c r="C500" s="49"/>
      <c r="D500" s="370" t="s">
        <v>6112</v>
      </c>
      <c r="E500" s="67" t="str">
        <f>VLOOKUP(D500,'03. Insumos'!A:D,2,0)</f>
        <v>Ensaio PDM</v>
      </c>
      <c r="F500" s="68" t="s">
        <v>5218</v>
      </c>
      <c r="G500" s="68" t="str">
        <f>VLOOKUP(D500,'03. Insumos'!A:F,3,0)</f>
        <v>vb</v>
      </c>
      <c r="H500" s="69"/>
      <c r="I500" s="69">
        <v>1</v>
      </c>
      <c r="J500" s="70">
        <f t="shared" si="326"/>
        <v>1</v>
      </c>
      <c r="K500" s="54">
        <f>IF(A500=0,VLOOKUP(D500,'03. Insumos'!A:F,4,0),"")</f>
        <v>1</v>
      </c>
      <c r="L500" s="70">
        <f t="shared" si="327"/>
        <v>0</v>
      </c>
      <c r="M500" s="153">
        <f t="shared" ca="1" si="323"/>
        <v>0</v>
      </c>
      <c r="O500" s="148">
        <f t="shared" si="324"/>
        <v>0</v>
      </c>
      <c r="R500" s="356">
        <f t="shared" si="325"/>
        <v>-2.9126213592232997E-2</v>
      </c>
    </row>
    <row r="501" spans="1:20" s="51" customFormat="1" ht="13.5" hidden="1" customHeight="1" outlineLevel="1" x14ac:dyDescent="0.3">
      <c r="A501" s="13">
        <f t="shared" si="322"/>
        <v>0</v>
      </c>
      <c r="B501" s="49"/>
      <c r="C501" s="49"/>
      <c r="D501" s="370" t="s">
        <v>6113</v>
      </c>
      <c r="E501" s="67" t="str">
        <f>VLOOKUP(D501,'03. Insumos'!A:D,2,0)</f>
        <v>Ensaios Gradil</v>
      </c>
      <c r="F501" s="68" t="s">
        <v>5218</v>
      </c>
      <c r="G501" s="68" t="str">
        <f>VLOOKUP(D501,'03. Insumos'!A:F,3,0)</f>
        <v>vb</v>
      </c>
      <c r="H501" s="69"/>
      <c r="I501" s="69">
        <v>1</v>
      </c>
      <c r="J501" s="70">
        <f t="shared" si="326"/>
        <v>1</v>
      </c>
      <c r="K501" s="54">
        <f>IF(A501=0,VLOOKUP(D501,'03. Insumos'!A:F,4,0),"")</f>
        <v>1</v>
      </c>
      <c r="L501" s="70">
        <f t="shared" si="327"/>
        <v>0</v>
      </c>
      <c r="M501" s="153">
        <f t="shared" ca="1" si="323"/>
        <v>0</v>
      </c>
      <c r="O501" s="148">
        <f t="shared" si="324"/>
        <v>0</v>
      </c>
      <c r="R501" s="356">
        <f t="shared" si="325"/>
        <v>-2.9126213592232997E-2</v>
      </c>
    </row>
    <row r="502" spans="1:20" s="51" customFormat="1" ht="13.5" hidden="1" customHeight="1" outlineLevel="1" x14ac:dyDescent="0.3">
      <c r="A502" s="13">
        <f t="shared" si="322"/>
        <v>0</v>
      </c>
      <c r="B502" s="49"/>
      <c r="C502" s="49"/>
      <c r="D502" s="370" t="s">
        <v>6114</v>
      </c>
      <c r="E502" s="67" t="str">
        <f>VLOOKUP(D502,'03. Insumos'!A:D,2,0)</f>
        <v>Ensaio de Arrancamento</v>
      </c>
      <c r="F502" s="68" t="s">
        <v>5218</v>
      </c>
      <c r="G502" s="68" t="str">
        <f>VLOOKUP(D502,'03. Insumos'!A:F,3,0)</f>
        <v>vb</v>
      </c>
      <c r="H502" s="69"/>
      <c r="I502" s="69">
        <v>1</v>
      </c>
      <c r="J502" s="70">
        <f t="shared" si="326"/>
        <v>1</v>
      </c>
      <c r="K502" s="54">
        <f>IF(A502=0,VLOOKUP(D502,'03. Insumos'!A:F,4,0),"")</f>
        <v>1</v>
      </c>
      <c r="L502" s="70">
        <f t="shared" si="327"/>
        <v>0</v>
      </c>
      <c r="M502" s="153">
        <f t="shared" ca="1" si="323"/>
        <v>0</v>
      </c>
      <c r="O502" s="148">
        <f t="shared" si="324"/>
        <v>0</v>
      </c>
      <c r="R502" s="356">
        <f t="shared" si="325"/>
        <v>-2.9126213592232997E-2</v>
      </c>
    </row>
    <row r="503" spans="1:20" s="51" customFormat="1" ht="13.5" customHeight="1" outlineLevel="1" x14ac:dyDescent="0.3">
      <c r="A503" s="13">
        <f t="shared" si="322"/>
        <v>0</v>
      </c>
      <c r="B503" s="49"/>
      <c r="C503" s="49"/>
      <c r="D503" s="370" t="s">
        <v>226</v>
      </c>
      <c r="E503" s="67" t="str">
        <f>VLOOKUP(D503,'03. Insumos'!A:D,2,0)</f>
        <v xml:space="preserve">Controle Tecnológico - Ensaio compressão simples concreto NBR 7215 </v>
      </c>
      <c r="F503" s="68" t="s">
        <v>5218</v>
      </c>
      <c r="G503" s="68" t="str">
        <f>VLOOKUP(D503,'03. Insumos'!A:F,3,0)</f>
        <v>cp</v>
      </c>
      <c r="H503" s="69">
        <v>6</v>
      </c>
      <c r="I503" s="69">
        <f>ROUNDUP(SUM(H496)/7,0)</f>
        <v>39</v>
      </c>
      <c r="J503" s="70">
        <f t="shared" si="326"/>
        <v>12</v>
      </c>
      <c r="K503" s="54">
        <f>IF(A503=0,VLOOKUP(D503,'03. Insumos'!A:F,4,0),"")</f>
        <v>12</v>
      </c>
      <c r="L503" s="70">
        <f t="shared" si="327"/>
        <v>2808</v>
      </c>
      <c r="M503" s="153">
        <f t="shared" ca="1" si="323"/>
        <v>1.7049820620347576E-4</v>
      </c>
      <c r="O503" s="148">
        <f t="shared" si="324"/>
        <v>2808</v>
      </c>
      <c r="R503" s="356">
        <f t="shared" si="325"/>
        <v>-0.34951456310679596</v>
      </c>
    </row>
    <row r="504" spans="1:20" s="51" customFormat="1" ht="13.5" customHeight="1" outlineLevel="1" x14ac:dyDescent="0.3">
      <c r="A504" s="13">
        <f t="shared" si="322"/>
        <v>0</v>
      </c>
      <c r="B504" s="49"/>
      <c r="C504" s="49"/>
      <c r="D504" s="370" t="s">
        <v>224</v>
      </c>
      <c r="E504" s="67" t="str">
        <f>VLOOKUP(D504,'03. Insumos'!A:D,2,0)</f>
        <v>Controle Tecnológico - Diária Moldador</v>
      </c>
      <c r="F504" s="68" t="s">
        <v>5218</v>
      </c>
      <c r="G504" s="68" t="str">
        <f>VLOOKUP(D504,'03. Insumos'!A:F,3,0)</f>
        <v>dia</v>
      </c>
      <c r="H504" s="69">
        <v>4</v>
      </c>
      <c r="I504" s="69">
        <v>2</v>
      </c>
      <c r="J504" s="70">
        <f t="shared" si="326"/>
        <v>225</v>
      </c>
      <c r="K504" s="54">
        <f>IF(A504=0,VLOOKUP(D504,'03. Insumos'!A:F,4,0),"")</f>
        <v>225</v>
      </c>
      <c r="L504" s="70">
        <f t="shared" si="327"/>
        <v>1800</v>
      </c>
      <c r="M504" s="153">
        <f t="shared" ca="1" si="323"/>
        <v>1.0929372192530498E-4</v>
      </c>
      <c r="O504" s="148">
        <f t="shared" si="324"/>
        <v>1800</v>
      </c>
      <c r="R504" s="356">
        <f t="shared" si="325"/>
        <v>-6.5533980582524407</v>
      </c>
    </row>
    <row r="505" spans="1:20" s="51" customFormat="1" ht="13.5" customHeight="1" outlineLevel="1" x14ac:dyDescent="0.3">
      <c r="A505" s="13">
        <f t="shared" si="322"/>
        <v>0</v>
      </c>
      <c r="B505" s="49"/>
      <c r="C505" s="49"/>
      <c r="D505" s="370" t="s">
        <v>225</v>
      </c>
      <c r="E505" s="67" t="str">
        <f>VLOOKUP(D505,'03. Insumos'!A:D,2,0)</f>
        <v>Controle Tecnológico - Mobilização</v>
      </c>
      <c r="F505" s="68" t="s">
        <v>5218</v>
      </c>
      <c r="G505" s="68" t="str">
        <f>VLOOKUP(D505,'03. Insumos'!A:F,3,0)</f>
        <v>uni</v>
      </c>
      <c r="H505" s="69">
        <v>2</v>
      </c>
      <c r="I505" s="69">
        <v>2</v>
      </c>
      <c r="J505" s="70">
        <f t="shared" si="326"/>
        <v>155</v>
      </c>
      <c r="K505" s="54">
        <f>IF(A505=0,VLOOKUP(D505,'03. Insumos'!A:F,4,0),"")</f>
        <v>155</v>
      </c>
      <c r="L505" s="70">
        <f t="shared" si="327"/>
        <v>620</v>
      </c>
      <c r="M505" s="153">
        <f t="shared" ca="1" si="323"/>
        <v>3.7645615329827269E-5</v>
      </c>
      <c r="O505" s="148">
        <f t="shared" si="324"/>
        <v>620</v>
      </c>
      <c r="R505" s="356">
        <f t="shared" si="325"/>
        <v>-4.5145631067961176</v>
      </c>
    </row>
    <row r="506" spans="1:20" s="51" customFormat="1" outlineLevel="1" x14ac:dyDescent="0.3">
      <c r="A506" s="13">
        <f t="shared" si="322"/>
        <v>0</v>
      </c>
      <c r="B506" s="49"/>
      <c r="C506" s="49"/>
      <c r="D506" s="370" t="s">
        <v>228</v>
      </c>
      <c r="E506" s="67" t="str">
        <f>VLOOKUP(D506,'03. Insumos'!A:D,2,0)</f>
        <v xml:space="preserve">Controle Tecnológico - Coleta de materiais na obra </v>
      </c>
      <c r="F506" s="68" t="s">
        <v>5218</v>
      </c>
      <c r="G506" s="68" t="str">
        <f>VLOOKUP(D506,'03. Insumos'!A:F,3,0)</f>
        <v>uni</v>
      </c>
      <c r="H506" s="69">
        <v>2</v>
      </c>
      <c r="I506" s="69">
        <v>2</v>
      </c>
      <c r="J506" s="70">
        <f t="shared" si="326"/>
        <v>155</v>
      </c>
      <c r="K506" s="54">
        <f>IF(A506=0,VLOOKUP(D506,'03. Insumos'!A:F,4,0),"")</f>
        <v>155</v>
      </c>
      <c r="L506" s="70">
        <f t="shared" si="327"/>
        <v>620</v>
      </c>
      <c r="M506" s="153">
        <f t="shared" ca="1" si="323"/>
        <v>3.7645615329827269E-5</v>
      </c>
      <c r="O506" s="148">
        <f t="shared" si="324"/>
        <v>620</v>
      </c>
      <c r="R506" s="356">
        <f t="shared" si="325"/>
        <v>-4.5145631067961176</v>
      </c>
    </row>
    <row r="507" spans="1:20" s="18" customFormat="1" ht="13.5" customHeight="1" outlineLevel="1" x14ac:dyDescent="0.3">
      <c r="A507" s="18">
        <v>6</v>
      </c>
      <c r="B507" s="606"/>
      <c r="C507" s="606" t="s">
        <v>7565</v>
      </c>
      <c r="D507" s="606" t="s">
        <v>8041</v>
      </c>
      <c r="E507" s="391"/>
      <c r="F507" s="325"/>
      <c r="G507" s="325"/>
      <c r="H507" s="326"/>
      <c r="I507" s="769"/>
      <c r="J507" s="673"/>
      <c r="K507" s="607"/>
      <c r="L507" s="334">
        <f>SUMIF(A508:A515,0,L508:L515)</f>
        <v>130851.73000000001</v>
      </c>
      <c r="M507" s="153">
        <f t="shared" ca="1" si="321"/>
        <v>7.9451514400361595E-3</v>
      </c>
      <c r="O507" s="600"/>
      <c r="R507" s="601"/>
    </row>
    <row r="508" spans="1:20" s="51" customFormat="1" ht="13.5" customHeight="1" outlineLevel="1" x14ac:dyDescent="0.3">
      <c r="A508" s="13">
        <f t="shared" si="162"/>
        <v>0</v>
      </c>
      <c r="B508" s="67"/>
      <c r="C508" s="67"/>
      <c r="D508" s="370" t="s">
        <v>454</v>
      </c>
      <c r="E508" s="67" t="str">
        <f>VLOOKUP(D508,'03. Insumos'!A:D,2,0)</f>
        <v>Escavação Manual</v>
      </c>
      <c r="F508" s="68" t="s">
        <v>5218</v>
      </c>
      <c r="G508" s="68" t="s">
        <v>72</v>
      </c>
      <c r="H508" s="69">
        <v>1</v>
      </c>
      <c r="I508" s="69">
        <v>206.59</v>
      </c>
      <c r="J508" s="70">
        <f>IFERROR(IF(K508&lt;&gt;0,K508*$K$5,0),0)</f>
        <v>150</v>
      </c>
      <c r="K508" s="70">
        <f>IF(A508=0,VLOOKUP(D508,'03. Insumos'!A:F,4,0),"")</f>
        <v>150</v>
      </c>
      <c r="L508" s="70">
        <f t="shared" ref="L508:L515" si="328">H508*J508*I508</f>
        <v>30988.5</v>
      </c>
      <c r="M508" s="153">
        <f t="shared" ca="1" si="321"/>
        <v>1.8815825010457296E-3</v>
      </c>
      <c r="O508" s="148">
        <f>IF(I508&lt;&gt;0,I508*H508*K508,)</f>
        <v>30988.5</v>
      </c>
      <c r="R508" s="356">
        <f t="shared" si="173"/>
        <v>-4.3689320388349415</v>
      </c>
      <c r="S508" s="224">
        <f>L508+L509</f>
        <v>37599.380000000005</v>
      </c>
    </row>
    <row r="509" spans="1:20" s="51" customFormat="1" ht="13.5" customHeight="1" outlineLevel="1" x14ac:dyDescent="0.3">
      <c r="A509" s="13">
        <v>0</v>
      </c>
      <c r="B509" s="67"/>
      <c r="C509" s="67"/>
      <c r="D509" s="370" t="s">
        <v>2240</v>
      </c>
      <c r="E509" s="67" t="str">
        <f>VLOOKUP(D509,'03. Insumos'!A:D,2,0)</f>
        <v>Reaterro manual</v>
      </c>
      <c r="F509" s="68" t="s">
        <v>5218</v>
      </c>
      <c r="G509" s="68" t="s">
        <v>72</v>
      </c>
      <c r="H509" s="69">
        <v>1</v>
      </c>
      <c r="I509" s="69">
        <f>I508*0.4</f>
        <v>82.63600000000001</v>
      </c>
      <c r="J509" s="70">
        <f>IFERROR(IF(K509&lt;&gt;0,K509*$K$5,0),0)</f>
        <v>80</v>
      </c>
      <c r="K509" s="70">
        <f>IF(A509=0,VLOOKUP(D509,'03. Insumos'!A:F,4,0),"")</f>
        <v>80</v>
      </c>
      <c r="L509" s="70">
        <f t="shared" si="328"/>
        <v>6610.880000000001</v>
      </c>
      <c r="M509" s="153">
        <f t="shared" ca="1" si="321"/>
        <v>4.0140426688975569E-4</v>
      </c>
      <c r="O509" s="148"/>
      <c r="R509" s="356"/>
      <c r="S509" s="224">
        <f>S508/2</f>
        <v>18799.690000000002</v>
      </c>
      <c r="T509" s="224">
        <f>S509/2800</f>
        <v>6.7141750000000009</v>
      </c>
    </row>
    <row r="510" spans="1:20" ht="13.5" customHeight="1" outlineLevel="1" x14ac:dyDescent="0.3">
      <c r="A510" s="13">
        <v>0</v>
      </c>
      <c r="B510" s="4"/>
      <c r="C510" s="4"/>
      <c r="D510" s="370" t="s">
        <v>157</v>
      </c>
      <c r="E510" s="67" t="str">
        <f>VLOOKUP(D510,'03. Insumos'!A:D,2,0)</f>
        <v>Retroescavadeira Locação</v>
      </c>
      <c r="F510" s="68" t="s">
        <v>5218</v>
      </c>
      <c r="G510" s="68" t="str">
        <f>VLOOKUP(D510,'03. Insumos'!A:F,3,0)</f>
        <v>mês</v>
      </c>
      <c r="H510" s="69">
        <v>1</v>
      </c>
      <c r="I510" s="69">
        <v>2</v>
      </c>
      <c r="J510" s="70">
        <f t="shared" ref="J510" si="329">IFERROR(IF(K510&lt;&gt;0,K510*$K$5,0),0)</f>
        <v>32000</v>
      </c>
      <c r="K510" s="70">
        <f>IF(A510=0,VLOOKUP(D510,'03. Insumos'!A:F,4,0),"")</f>
        <v>32000</v>
      </c>
      <c r="L510" s="70">
        <f t="shared" ref="L510" si="330">H510*J510*I510</f>
        <v>64000</v>
      </c>
      <c r="M510" s="153">
        <f t="shared" ref="M510" ca="1" si="331">L510/$L$7</f>
        <v>3.8859990017886216E-3</v>
      </c>
      <c r="O510" s="148"/>
      <c r="R510" s="356"/>
    </row>
    <row r="511" spans="1:20" ht="13.5" hidden="1" customHeight="1" outlineLevel="1" x14ac:dyDescent="0.3">
      <c r="A511" s="13">
        <v>0</v>
      </c>
      <c r="B511" s="4"/>
      <c r="C511" s="4"/>
      <c r="D511" s="370" t="s">
        <v>6092</v>
      </c>
      <c r="E511" s="67" t="str">
        <f>VLOOKUP(D511,'03. Insumos'!A:D,2,0)</f>
        <v xml:space="preserve">Locação Miniescavadeira </v>
      </c>
      <c r="F511" s="68" t="s">
        <v>5218</v>
      </c>
      <c r="G511" s="68" t="str">
        <f>VLOOKUP(D511,'03. Insumos'!A:F,3,0)</f>
        <v>hr</v>
      </c>
      <c r="H511" s="69">
        <v>1</v>
      </c>
      <c r="I511" s="69"/>
      <c r="J511" s="70">
        <f t="shared" ref="J511" si="332">IFERROR(IF(K511&lt;&gt;0,K511*$K$5,0),0)</f>
        <v>150</v>
      </c>
      <c r="K511" s="70">
        <f>IF(A511=0,VLOOKUP(D511,'03. Insumos'!A:F,4,0),"")</f>
        <v>150</v>
      </c>
      <c r="L511" s="70">
        <f t="shared" ref="L511" si="333">H511*J511*I511</f>
        <v>0</v>
      </c>
      <c r="M511" s="153">
        <f t="shared" ref="M511" ca="1" si="334">L511/$L$7</f>
        <v>0</v>
      </c>
      <c r="O511" s="148"/>
      <c r="R511" s="356"/>
    </row>
    <row r="512" spans="1:20" ht="13.5" customHeight="1" outlineLevel="1" x14ac:dyDescent="0.3">
      <c r="A512" s="13">
        <v>0</v>
      </c>
      <c r="B512" s="4"/>
      <c r="C512" s="4"/>
      <c r="D512" s="370" t="s">
        <v>2009</v>
      </c>
      <c r="E512" s="67" t="str">
        <f>VLOOKUP(D512,'03. Insumos'!A:D,2,0)</f>
        <v xml:space="preserve">Frete equipamentos </v>
      </c>
      <c r="F512" s="68" t="s">
        <v>5218</v>
      </c>
      <c r="G512" s="68" t="str">
        <f>VLOOKUP(D512,'03. Insumos'!A:F,3,0)</f>
        <v>vb</v>
      </c>
      <c r="H512" s="69">
        <v>1</v>
      </c>
      <c r="I512" s="69">
        <v>1500</v>
      </c>
      <c r="J512" s="70">
        <f t="shared" ref="J512" si="335">IFERROR(IF(K512&lt;&gt;0,K512*$K$5,0),0)</f>
        <v>1</v>
      </c>
      <c r="K512" s="70">
        <f>IF(A512=0,VLOOKUP(D512,'03. Insumos'!A:F,4,0),"")</f>
        <v>1</v>
      </c>
      <c r="L512" s="70">
        <f t="shared" si="328"/>
        <v>1500</v>
      </c>
      <c r="M512" s="153">
        <f t="shared" ca="1" si="321"/>
        <v>9.1078101604420811E-5</v>
      </c>
      <c r="O512" s="148"/>
      <c r="R512" s="356"/>
    </row>
    <row r="513" spans="1:18" s="51" customFormat="1" ht="13.5" customHeight="1" outlineLevel="1" x14ac:dyDescent="0.3">
      <c r="A513" s="13">
        <f t="shared" si="162"/>
        <v>0</v>
      </c>
      <c r="B513" s="67"/>
      <c r="C513" s="67"/>
      <c r="D513" s="370" t="s">
        <v>455</v>
      </c>
      <c r="E513" s="67" t="str">
        <f>VLOOKUP(D513,'03. Insumos'!A:D,2,0)</f>
        <v>Acerto de Terreno MAT+MO</v>
      </c>
      <c r="F513" s="68" t="s">
        <v>3809</v>
      </c>
      <c r="G513" s="68" t="s">
        <v>73</v>
      </c>
      <c r="H513" s="69">
        <v>1</v>
      </c>
      <c r="I513" s="69">
        <v>716.2</v>
      </c>
      <c r="J513" s="70">
        <f>IFERROR(IF(K513&lt;&gt;0,K513*$K$5,0),0)</f>
        <v>20</v>
      </c>
      <c r="K513" s="70">
        <f>IF(A513=0,VLOOKUP(D513,'03. Insumos'!A:F,4,0),"")</f>
        <v>20</v>
      </c>
      <c r="L513" s="70">
        <f t="shared" si="328"/>
        <v>14324</v>
      </c>
      <c r="M513" s="153">
        <f t="shared" ca="1" si="321"/>
        <v>8.6973515158781582E-4</v>
      </c>
      <c r="O513" s="148">
        <f>IF(I513&lt;&gt;0,I513*H513*K513,)</f>
        <v>14324</v>
      </c>
      <c r="R513" s="356">
        <f t="shared" si="173"/>
        <v>-0.58252427184466171</v>
      </c>
    </row>
    <row r="514" spans="1:18" ht="13.5" customHeight="1" outlineLevel="1" x14ac:dyDescent="0.3">
      <c r="A514" s="13">
        <v>0</v>
      </c>
      <c r="B514" s="4"/>
      <c r="C514" s="4"/>
      <c r="D514" s="370" t="s">
        <v>5946</v>
      </c>
      <c r="E514" s="67" t="str">
        <f>VLOOKUP(D514,'03. Insumos'!A:D,2,0)</f>
        <v>Carga e bota fora</v>
      </c>
      <c r="F514" s="68" t="s">
        <v>5218</v>
      </c>
      <c r="G514" s="68" t="str">
        <f>VLOOKUP(D514,'03. Insumos'!A:F,3,0)</f>
        <v>m³</v>
      </c>
      <c r="H514" s="69">
        <v>1.3</v>
      </c>
      <c r="I514" s="69">
        <f>I508</f>
        <v>206.59</v>
      </c>
      <c r="J514" s="70">
        <f t="shared" ref="J514" si="336">IFERROR(IF(K514&lt;&gt;0,K514*$K$5,0),0)</f>
        <v>50</v>
      </c>
      <c r="K514" s="70">
        <f>IF(A514=0,VLOOKUP(D514,'03. Insumos'!A:F,4,0),"")</f>
        <v>50</v>
      </c>
      <c r="L514" s="70">
        <f t="shared" si="328"/>
        <v>13428.35</v>
      </c>
      <c r="M514" s="153">
        <f t="shared" ca="1" si="321"/>
        <v>8.1535241711981621E-4</v>
      </c>
      <c r="O514" s="148"/>
      <c r="R514" s="356"/>
    </row>
    <row r="515" spans="1:18" s="51" customFormat="1" ht="13.5" hidden="1" customHeight="1" outlineLevel="1" x14ac:dyDescent="0.3">
      <c r="A515" s="13">
        <f t="shared" si="162"/>
        <v>0</v>
      </c>
      <c r="B515" s="67"/>
      <c r="C515" s="67"/>
      <c r="D515" s="370" t="s">
        <v>178</v>
      </c>
      <c r="E515" s="67" t="str">
        <f>VLOOKUP(D515,'03. Insumos'!A:D,2,0)</f>
        <v>Arrasamento de estacas</v>
      </c>
      <c r="F515" s="68" t="s">
        <v>3809</v>
      </c>
      <c r="G515" s="68" t="s">
        <v>241</v>
      </c>
      <c r="H515" s="69"/>
      <c r="I515" s="69"/>
      <c r="J515" s="70">
        <f>IFERROR(IF(K515&lt;&gt;0,K515*$K$5,0),0)</f>
        <v>150</v>
      </c>
      <c r="K515" s="70">
        <f>IF(A515=0,VLOOKUP(D515,'03. Insumos'!A:F,4,0),"")</f>
        <v>150</v>
      </c>
      <c r="L515" s="70">
        <f t="shared" si="328"/>
        <v>0</v>
      </c>
      <c r="M515" s="153">
        <f t="shared" ca="1" si="321"/>
        <v>0</v>
      </c>
      <c r="O515" s="148">
        <f>IF(I515&lt;&gt;0,I515*H515*K515,)</f>
        <v>0</v>
      </c>
      <c r="R515" s="356">
        <f t="shared" si="173"/>
        <v>-4.3689320388349415</v>
      </c>
    </row>
    <row r="516" spans="1:18" s="592" customFormat="1" ht="13.5" customHeight="1" x14ac:dyDescent="0.3">
      <c r="A516" s="478">
        <f t="shared" si="162"/>
        <v>3</v>
      </c>
      <c r="B516" s="390"/>
      <c r="C516" s="390" t="s">
        <v>345</v>
      </c>
      <c r="D516" s="390" t="s">
        <v>942</v>
      </c>
      <c r="E516" s="390"/>
      <c r="F516" s="323"/>
      <c r="G516" s="323"/>
      <c r="H516" s="324"/>
      <c r="I516" s="324"/>
      <c r="J516" s="333"/>
      <c r="K516" s="333"/>
      <c r="L516" s="333">
        <f>SUMIF(A517:A570,4,L517:L570)</f>
        <v>2724364.1217417186</v>
      </c>
      <c r="M516" s="153">
        <f t="shared" ca="1" si="321"/>
        <v>0.16541994152495396</v>
      </c>
      <c r="O516" s="499">
        <f>IF(I516&lt;&gt;0,I516*H516*K516,)</f>
        <v>0</v>
      </c>
      <c r="R516" s="348">
        <f t="shared" si="173"/>
        <v>0</v>
      </c>
    </row>
    <row r="517" spans="1:18" s="18" customFormat="1" ht="13.5" customHeight="1" outlineLevel="1" x14ac:dyDescent="0.3">
      <c r="A517" s="290">
        <f t="shared" si="162"/>
        <v>4</v>
      </c>
      <c r="B517" s="45"/>
      <c r="C517" s="45" t="s">
        <v>379</v>
      </c>
      <c r="D517" s="45" t="s">
        <v>8599</v>
      </c>
      <c r="E517" s="347"/>
      <c r="F517" s="327"/>
      <c r="G517" s="327"/>
      <c r="H517" s="328"/>
      <c r="I517" s="328"/>
      <c r="J517" s="335"/>
      <c r="K517" s="335" t="str">
        <f>IF(A517=0,VLOOKUP(D517,'03. Insumos'!A:F,4,0),"")</f>
        <v/>
      </c>
      <c r="L517" s="335">
        <f>SUMIF(A518:A570,6,L518:L570)</f>
        <v>2724364.1217417186</v>
      </c>
      <c r="M517" s="153">
        <f t="shared" ca="1" si="321"/>
        <v>0.16541994152495396</v>
      </c>
      <c r="O517" s="148">
        <f>IF(I517&lt;&gt;0,I517*H517*K517,)</f>
        <v>0</v>
      </c>
      <c r="R517" s="12">
        <f t="shared" si="173"/>
        <v>0</v>
      </c>
    </row>
    <row r="518" spans="1:18" s="18" customFormat="1" ht="13.5" customHeight="1" outlineLevel="1" x14ac:dyDescent="0.3">
      <c r="A518" s="18">
        <f t="shared" ref="A518:A748" si="337">LEN(C518)</f>
        <v>6</v>
      </c>
      <c r="B518" s="606"/>
      <c r="C518" s="606" t="s">
        <v>939</v>
      </c>
      <c r="D518" s="606" t="s">
        <v>8826</v>
      </c>
      <c r="E518" s="391"/>
      <c r="F518" s="325"/>
      <c r="G518" s="325" t="s">
        <v>72</v>
      </c>
      <c r="H518" s="326">
        <v>883</v>
      </c>
      <c r="I518" s="326"/>
      <c r="J518" s="1078">
        <f>IFERROR(L518/H518,0)</f>
        <v>678</v>
      </c>
      <c r="K518" s="607" t="str">
        <f>IF(A518=0,VLOOKUP(D518,'03. Insumos'!A:F,4,0),"")</f>
        <v/>
      </c>
      <c r="L518" s="334">
        <f>SUM(L519:L524)</f>
        <v>598674</v>
      </c>
      <c r="M518" s="153">
        <f t="shared" ca="1" si="321"/>
        <v>3.635072759995002E-2</v>
      </c>
      <c r="O518" s="600">
        <f t="shared" ref="O518:O527" si="338">IF(I518&lt;&gt;0,I518*H518*K518,)</f>
        <v>0</v>
      </c>
      <c r="R518" s="601" t="e">
        <f t="shared" ref="R518:R527" si="339">IF(J518&lt;&gt;0,J518/1.03-K518,0)</f>
        <v>#VALUE!</v>
      </c>
    </row>
    <row r="519" spans="1:18" s="51" customFormat="1" ht="13.5" customHeight="1" outlineLevel="1" x14ac:dyDescent="0.3">
      <c r="A519" s="13">
        <f t="shared" ref="A519" si="340">LEN(C519)</f>
        <v>0</v>
      </c>
      <c r="B519" s="49"/>
      <c r="C519" s="49"/>
      <c r="D519" s="370" t="s">
        <v>3385</v>
      </c>
      <c r="E519" s="67" t="str">
        <f>VLOOKUP(D519,'03. Insumos'!A:D,2,0)</f>
        <v>Concreto Usinado 35 Mpa, fator AC 0,45</v>
      </c>
      <c r="F519" s="68" t="s">
        <v>5218</v>
      </c>
      <c r="G519" s="68" t="str">
        <f>VLOOKUP(D519,'03. Insumos'!A:F,3,0)</f>
        <v>m³</v>
      </c>
      <c r="H519" s="69">
        <v>1.1000000000000001</v>
      </c>
      <c r="I519" s="69">
        <f>H518</f>
        <v>883</v>
      </c>
      <c r="J519" s="70">
        <f t="shared" ref="J519:J524" si="341">IFERROR(IF(K519&lt;&gt;0,K519*$K$5,0),0)</f>
        <v>515</v>
      </c>
      <c r="K519" s="70">
        <f>IF(A519=0,VLOOKUP(D519,'03. Insumos'!A:F,4,0),"")</f>
        <v>515</v>
      </c>
      <c r="L519" s="70">
        <f t="shared" ref="L519" si="342">H519*J519*I519</f>
        <v>500219.5</v>
      </c>
      <c r="M519" s="153">
        <f t="shared" ref="M519" ca="1" si="343">L519/$L$7</f>
        <v>3.0372694963675052E-2</v>
      </c>
      <c r="O519" s="148">
        <f t="shared" ref="O519" si="344">IF(I519&lt;&gt;0,I519*H519*K519,)</f>
        <v>500219.50000000006</v>
      </c>
      <c r="R519" s="356">
        <f t="shared" ref="R519" si="345">IF(J519&lt;&gt;0,J519/1.03-K519,0)</f>
        <v>-15</v>
      </c>
    </row>
    <row r="520" spans="1:18" s="51" customFormat="1" ht="13.5" hidden="1" customHeight="1" outlineLevel="1" x14ac:dyDescent="0.3">
      <c r="A520" s="13">
        <f t="shared" ref="A520" si="346">LEN(C520)</f>
        <v>0</v>
      </c>
      <c r="B520" s="49"/>
      <c r="C520" s="49"/>
      <c r="D520" s="370" t="s">
        <v>8059</v>
      </c>
      <c r="E520" s="67" t="str">
        <f>VLOOKUP(D520,'03. Insumos'!A:D,2,0)</f>
        <v>Concreto Usinado 60 Mpa, fator AC 0,45</v>
      </c>
      <c r="F520" s="68" t="s">
        <v>5218</v>
      </c>
      <c r="G520" s="68" t="str">
        <f>VLOOKUP(D520,'03. Insumos'!A:F,3,0)</f>
        <v>m³</v>
      </c>
      <c r="H520" s="69">
        <v>1.1000000000000001</v>
      </c>
      <c r="I520" s="69"/>
      <c r="J520" s="70">
        <f t="shared" ref="J520" si="347">IFERROR(IF(K520&lt;&gt;0,K520*$K$5,0),0)</f>
        <v>770</v>
      </c>
      <c r="K520" s="70">
        <f>IF(A520=0,VLOOKUP(D520,'03. Insumos'!A:F,4,0),"")</f>
        <v>770</v>
      </c>
      <c r="L520" s="70">
        <f t="shared" ref="L520" si="348">H520*J520*I520</f>
        <v>0</v>
      </c>
      <c r="M520" s="153">
        <f t="shared" ref="M520" ca="1" si="349">L520/$L$7</f>
        <v>0</v>
      </c>
      <c r="O520" s="148">
        <f t="shared" ref="O520" si="350">IF(I520&lt;&gt;0,I520*H520*K520,)</f>
        <v>0</v>
      </c>
      <c r="R520" s="356">
        <f t="shared" ref="R520" si="351">IF(J520&lt;&gt;0,J520/1.03-K520,0)</f>
        <v>-22.427184466019412</v>
      </c>
    </row>
    <row r="521" spans="1:18" s="51" customFormat="1" ht="13.5" customHeight="1" outlineLevel="1" x14ac:dyDescent="0.3">
      <c r="A521" s="13">
        <v>0</v>
      </c>
      <c r="B521" s="49"/>
      <c r="C521" s="49"/>
      <c r="D521" s="370" t="s">
        <v>6411</v>
      </c>
      <c r="E521" s="67" t="str">
        <f>VLOOKUP(D521,'03. Insumos'!A:D,2,0)</f>
        <v>Lançamento de Concreto - Mão de Obra</v>
      </c>
      <c r="F521" s="68" t="s">
        <v>5218</v>
      </c>
      <c r="G521" s="68" t="str">
        <f>VLOOKUP(D521,'03. Insumos'!A:F,3,0)</f>
        <v>m³</v>
      </c>
      <c r="H521" s="69">
        <v>1</v>
      </c>
      <c r="I521" s="69">
        <f t="shared" ref="I521" si="352">$H$518</f>
        <v>883</v>
      </c>
      <c r="J521" s="70">
        <f t="shared" si="341"/>
        <v>40</v>
      </c>
      <c r="K521" s="70">
        <f>IF(A521=0,VLOOKUP(D521,'03. Insumos'!A:F,4,0),"")</f>
        <v>40</v>
      </c>
      <c r="L521" s="70">
        <f t="shared" ref="L521:L524" si="353">H521*J521*I521</f>
        <v>35320</v>
      </c>
      <c r="M521" s="153">
        <f t="shared" ca="1" si="321"/>
        <v>2.1445856991120955E-3</v>
      </c>
      <c r="O521" s="148"/>
      <c r="R521" s="356"/>
    </row>
    <row r="522" spans="1:18" s="51" customFormat="1" ht="13.5" customHeight="1" outlineLevel="1" x14ac:dyDescent="0.3">
      <c r="A522" s="13">
        <v>0</v>
      </c>
      <c r="B522" s="49"/>
      <c r="C522" s="49"/>
      <c r="D522" s="370" t="s">
        <v>135</v>
      </c>
      <c r="E522" s="67" t="str">
        <f>VLOOKUP(D522,'03. Insumos'!A:D,2,0)</f>
        <v>Bombeamento de concreto - acima 40m³</v>
      </c>
      <c r="F522" s="68" t="s">
        <v>5218</v>
      </c>
      <c r="G522" s="68" t="str">
        <f>VLOOKUP(D522,'03. Insumos'!A:F,3,0)</f>
        <v>m²</v>
      </c>
      <c r="H522" s="69">
        <v>1.1000000000000001</v>
      </c>
      <c r="I522" s="69">
        <f>H518</f>
        <v>883</v>
      </c>
      <c r="J522" s="70">
        <f t="shared" si="341"/>
        <v>65</v>
      </c>
      <c r="K522" s="70">
        <f>IF(A522=0,VLOOKUP(D522,'03. Insumos'!A:F,4,0),"")</f>
        <v>65</v>
      </c>
      <c r="L522" s="70">
        <f t="shared" si="353"/>
        <v>63134.5</v>
      </c>
      <c r="M522" s="153">
        <f t="shared" ca="1" si="321"/>
        <v>3.8334469371628706E-3</v>
      </c>
      <c r="O522" s="148"/>
      <c r="R522" s="356"/>
    </row>
    <row r="523" spans="1:18" s="51" customFormat="1" ht="13.5" hidden="1" customHeight="1" outlineLevel="1" x14ac:dyDescent="0.3">
      <c r="A523" s="13">
        <v>0</v>
      </c>
      <c r="B523" s="49"/>
      <c r="C523" s="49"/>
      <c r="D523" s="370" t="s">
        <v>6443</v>
      </c>
      <c r="E523" s="67" t="str">
        <f>VLOOKUP(D523,'03. Insumos'!A:D,2,0)</f>
        <v>Agente de Cura 42 Hagen do BR</v>
      </c>
      <c r="F523" s="68" t="s">
        <v>5218</v>
      </c>
      <c r="G523" s="68" t="str">
        <f>VLOOKUP(D523,'03. Insumos'!A:F,3,0)</f>
        <v>l</v>
      </c>
      <c r="H523" s="69"/>
      <c r="I523" s="69">
        <f>$H$518</f>
        <v>883</v>
      </c>
      <c r="J523" s="70">
        <f t="shared" ref="J523" si="354">IFERROR(IF(K523&lt;&gt;0,K523*$K$5,0),0)</f>
        <v>5.9141499999999994</v>
      </c>
      <c r="K523" s="70">
        <f>IF(A523=0,VLOOKUP(D523,'03. Insumos'!A:F,4,0),"")</f>
        <v>5.9141499999999994</v>
      </c>
      <c r="L523" s="70">
        <f t="shared" ref="L523" si="355">H523*J523*I523</f>
        <v>0</v>
      </c>
      <c r="M523" s="153">
        <f t="shared" ref="M523" ca="1" si="356">L523/$L$7</f>
        <v>0</v>
      </c>
      <c r="O523" s="148"/>
      <c r="R523" s="356"/>
    </row>
    <row r="524" spans="1:18" s="51" customFormat="1" ht="13.5" hidden="1" customHeight="1" outlineLevel="1" x14ac:dyDescent="0.3">
      <c r="A524" s="13">
        <v>0</v>
      </c>
      <c r="B524" s="49"/>
      <c r="C524" s="49"/>
      <c r="D524" s="370" t="s">
        <v>7667</v>
      </c>
      <c r="E524" s="67" t="str">
        <f>VLOOKUP(D524,'03. Insumos'!A:D,2,0)</f>
        <v>Placa em EPS 1,00x1,00x0,02</v>
      </c>
      <c r="F524" s="68" t="s">
        <v>5218</v>
      </c>
      <c r="G524" s="68" t="str">
        <f>VLOOKUP(D524,'03. Insumos'!A:F,3,0)</f>
        <v>m2</v>
      </c>
      <c r="H524" s="69"/>
      <c r="I524" s="69">
        <f>15.88*2.8*12</f>
        <v>533.56799999999998</v>
      </c>
      <c r="J524" s="70">
        <f t="shared" si="341"/>
        <v>13.8</v>
      </c>
      <c r="K524" s="70">
        <f>IF(A524=0,VLOOKUP(D524,'03. Insumos'!A:F,4,0),"")</f>
        <v>13.8</v>
      </c>
      <c r="L524" s="70">
        <f t="shared" si="353"/>
        <v>0</v>
      </c>
      <c r="M524" s="153">
        <f t="shared" ca="1" si="321"/>
        <v>0</v>
      </c>
      <c r="O524" s="148"/>
      <c r="R524" s="356"/>
    </row>
    <row r="525" spans="1:18" s="18" customFormat="1" ht="13.5" customHeight="1" outlineLevel="1" x14ac:dyDescent="0.3">
      <c r="A525" s="18">
        <v>6</v>
      </c>
      <c r="B525" s="606"/>
      <c r="C525" s="606" t="s">
        <v>1331</v>
      </c>
      <c r="D525" s="606" t="s">
        <v>8825</v>
      </c>
      <c r="E525" s="391"/>
      <c r="F525" s="325"/>
      <c r="G525" s="325" t="s">
        <v>89</v>
      </c>
      <c r="H525" s="326">
        <v>94941</v>
      </c>
      <c r="I525" s="326"/>
      <c r="J525" s="673">
        <f>L525/H525</f>
        <v>10.182388238397726</v>
      </c>
      <c r="K525" s="607"/>
      <c r="L525" s="334">
        <f>SUM(L526:L533)</f>
        <v>966726.1217417185</v>
      </c>
      <c r="M525" s="153">
        <f t="shared" ca="1" si="321"/>
        <v>5.8698386626426617E-2</v>
      </c>
      <c r="O525" s="600"/>
      <c r="R525" s="601"/>
    </row>
    <row r="526" spans="1:18" s="51" customFormat="1" outlineLevel="1" x14ac:dyDescent="0.3">
      <c r="A526" s="13">
        <f>LEN(C526)</f>
        <v>0</v>
      </c>
      <c r="B526" s="49"/>
      <c r="C526" s="49"/>
      <c r="D526" s="370" t="s">
        <v>6412</v>
      </c>
      <c r="E526" s="67" t="str">
        <f>VLOOKUP(D526,'03. Insumos'!A:D,2,0)</f>
        <v>Corte e Dobra de Aço - MO</v>
      </c>
      <c r="F526" s="68" t="s">
        <v>5218</v>
      </c>
      <c r="G526" s="68" t="str">
        <f>VLOOKUP(D526,'03. Insumos'!A:F,3,0)</f>
        <v>kg</v>
      </c>
      <c r="H526" s="69">
        <v>1.03</v>
      </c>
      <c r="I526" s="69">
        <f>$H$525</f>
        <v>94941</v>
      </c>
      <c r="J526" s="70">
        <f t="shared" ref="J526:J531" si="357">IFERROR(IF(K526&lt;&gt;0,K526*$K$5,0),0)</f>
        <v>0.8</v>
      </c>
      <c r="K526" s="70">
        <f>IF(A526=0,VLOOKUP(D526,'03. Insumos'!A:F,4,0),"")</f>
        <v>0.8</v>
      </c>
      <c r="L526" s="70">
        <f>H526*J526*I526</f>
        <v>78231.384000000005</v>
      </c>
      <c r="M526" s="153">
        <f t="shared" ca="1" si="321"/>
        <v>4.7501106270709742E-3</v>
      </c>
      <c r="O526" s="148">
        <f t="shared" si="338"/>
        <v>78231.384000000005</v>
      </c>
      <c r="R526" s="356">
        <f t="shared" si="339"/>
        <v>-2.3300970873786464E-2</v>
      </c>
    </row>
    <row r="527" spans="1:18" s="51" customFormat="1" outlineLevel="1" x14ac:dyDescent="0.3">
      <c r="A527" s="13">
        <f>LEN(C527)</f>
        <v>0</v>
      </c>
      <c r="B527" s="49"/>
      <c r="C527" s="49"/>
      <c r="D527" s="370" t="s">
        <v>6413</v>
      </c>
      <c r="E527" s="67" t="str">
        <f>VLOOKUP(D527,'03. Insumos'!A:D,2,0)</f>
        <v>Lançamento e montagem de armadura - MO</v>
      </c>
      <c r="F527" s="68" t="s">
        <v>5218</v>
      </c>
      <c r="G527" s="68" t="str">
        <f>VLOOKUP(D527,'03. Insumos'!A:F,3,0)</f>
        <v>kg</v>
      </c>
      <c r="H527" s="69">
        <v>1</v>
      </c>
      <c r="I527" s="69">
        <f>$H$525</f>
        <v>94941</v>
      </c>
      <c r="J527" s="70">
        <v>3</v>
      </c>
      <c r="K527" s="70">
        <f>IF(A527=0,VLOOKUP(D527,'03. Insumos'!A:F,4,0),"")</f>
        <v>3.5</v>
      </c>
      <c r="L527" s="70">
        <f>H527*J527*I527</f>
        <v>284823</v>
      </c>
      <c r="M527" s="153">
        <f t="shared" ca="1" si="321"/>
        <v>1.7294092088850632E-2</v>
      </c>
      <c r="O527" s="148">
        <f t="shared" si="338"/>
        <v>332293.5</v>
      </c>
      <c r="R527" s="356">
        <f t="shared" si="339"/>
        <v>-0.58737864077669899</v>
      </c>
    </row>
    <row r="528" spans="1:18" s="51" customFormat="1" hidden="1" outlineLevel="1" x14ac:dyDescent="0.3">
      <c r="A528" s="13">
        <v>0</v>
      </c>
      <c r="B528" s="49"/>
      <c r="C528" s="49"/>
      <c r="D528" s="370" t="s">
        <v>5766</v>
      </c>
      <c r="E528" s="67" t="str">
        <f>VLOOKUP(D528,'03. Insumos'!A:D,2,0)</f>
        <v>Aço CA50 12,5mm - Vergalhão</v>
      </c>
      <c r="F528" s="68" t="s">
        <v>5218</v>
      </c>
      <c r="G528" s="68" t="str">
        <f>VLOOKUP(D528,'03. Insumos'!A:F,3,0)</f>
        <v>kg</v>
      </c>
      <c r="H528" s="69"/>
      <c r="I528" s="69">
        <f>$H$525*0.1</f>
        <v>9494.1</v>
      </c>
      <c r="J528" s="70">
        <f t="shared" si="357"/>
        <v>6.03667</v>
      </c>
      <c r="K528" s="70">
        <f>IF(A528=0,VLOOKUP(D528,'03. Insumos'!A:F,4,0),"")</f>
        <v>6.03667</v>
      </c>
      <c r="L528" s="70">
        <f>H528*J528*I528</f>
        <v>0</v>
      </c>
      <c r="M528" s="153">
        <f t="shared" ca="1" si="321"/>
        <v>0</v>
      </c>
      <c r="O528" s="148"/>
      <c r="R528" s="356"/>
    </row>
    <row r="529" spans="1:18" ht="13.5" customHeight="1" outlineLevel="1" x14ac:dyDescent="0.3">
      <c r="A529" s="13">
        <f t="shared" si="337"/>
        <v>0</v>
      </c>
      <c r="B529" s="4"/>
      <c r="C529" s="4"/>
      <c r="D529" s="370" t="s">
        <v>6566</v>
      </c>
      <c r="E529" s="67" t="str">
        <f>VLOOKUP(D529,'03. Insumos'!A:D,2,0)</f>
        <v>Aço CA50 12,5mm - Manufaturado</v>
      </c>
      <c r="F529" s="68" t="s">
        <v>5218</v>
      </c>
      <c r="G529" s="68" t="str">
        <f>VLOOKUP(D529,'03. Insumos'!A:F,3,0)</f>
        <v>kg</v>
      </c>
      <c r="H529" s="69">
        <v>1.03</v>
      </c>
      <c r="I529" s="69">
        <f>$H$525</f>
        <v>94941</v>
      </c>
      <c r="J529" s="70">
        <f t="shared" si="357"/>
        <v>5.6366699999999996</v>
      </c>
      <c r="K529" s="70">
        <f>IF(A529=0,VLOOKUP(D529,'03. Insumos'!A:F,4,0),"")</f>
        <v>5.6366699999999996</v>
      </c>
      <c r="L529" s="70">
        <f>H529*J529*I529</f>
        <v>551205.61906409997</v>
      </c>
      <c r="M529" s="153">
        <f t="shared" ca="1" si="321"/>
        <v>3.3468507585365181E-2</v>
      </c>
      <c r="O529" s="148">
        <f t="shared" ref="O529:O533" si="358">IF(I529&lt;&gt;0,I529*H529*K529,)</f>
        <v>551205.61906409997</v>
      </c>
      <c r="R529" s="356">
        <f>IF(J529&lt;&gt;0,J529/1.03-K529,0)</f>
        <v>-0.16417485436893209</v>
      </c>
    </row>
    <row r="530" spans="1:18" ht="13.5" hidden="1" customHeight="1" outlineLevel="1" x14ac:dyDescent="0.3">
      <c r="A530" s="13">
        <f t="shared" si="337"/>
        <v>0</v>
      </c>
      <c r="B530" s="4"/>
      <c r="C530" s="4"/>
      <c r="D530" s="370" t="s">
        <v>6414</v>
      </c>
      <c r="E530" s="67" t="str">
        <f>VLOOKUP(D530,'03. Insumos'!A:D,2,0)</f>
        <v>Manufaturamento do Aço</v>
      </c>
      <c r="F530" s="68" t="s">
        <v>5218</v>
      </c>
      <c r="G530" s="68" t="str">
        <f>VLOOKUP(D530,'03. Insumos'!A:F,3,0)</f>
        <v>kg</v>
      </c>
      <c r="H530" s="69"/>
      <c r="I530" s="69">
        <f>$H$525*1.003</f>
        <v>95225.822999999989</v>
      </c>
      <c r="J530" s="70">
        <f t="shared" si="357"/>
        <v>0.6</v>
      </c>
      <c r="K530" s="70">
        <f>IF(A530=0,VLOOKUP(D530,'03. Insumos'!A:F,4,0),"")</f>
        <v>0.6</v>
      </c>
      <c r="L530" s="70">
        <f t="shared" ref="L530:L533" si="359">H530*J530*I530</f>
        <v>0</v>
      </c>
      <c r="M530" s="153">
        <f t="shared" ca="1" si="321"/>
        <v>0</v>
      </c>
      <c r="O530" s="148">
        <f t="shared" si="358"/>
        <v>0</v>
      </c>
      <c r="R530" s="356"/>
    </row>
    <row r="531" spans="1:18" s="51" customFormat="1" ht="13.5" customHeight="1" outlineLevel="1" x14ac:dyDescent="0.3">
      <c r="A531" s="13">
        <f t="shared" si="337"/>
        <v>0</v>
      </c>
      <c r="B531" s="49"/>
      <c r="C531" s="49"/>
      <c r="D531" s="370" t="s">
        <v>6441</v>
      </c>
      <c r="E531" s="67" t="str">
        <f>VLOOKUP(D531,'03. Insumos'!A:D,2,0)</f>
        <v>Arame Galv. 18</v>
      </c>
      <c r="F531" s="68" t="s">
        <v>5218</v>
      </c>
      <c r="G531" s="68" t="str">
        <f>VLOOKUP(D531,'03. Insumos'!A:F,3,0)</f>
        <v>kg</v>
      </c>
      <c r="H531" s="69">
        <v>1.03</v>
      </c>
      <c r="I531" s="69">
        <f>$H$525*0.03</f>
        <v>2848.23</v>
      </c>
      <c r="J531" s="70">
        <f t="shared" si="357"/>
        <v>14.246274000000001</v>
      </c>
      <c r="K531" s="70">
        <f>IF(A531=0,VLOOKUP(D531,'03. Insumos'!A:F,4,0),"")</f>
        <v>14.246274000000001</v>
      </c>
      <c r="L531" s="70">
        <f t="shared" si="359"/>
        <v>41793.964944870604</v>
      </c>
      <c r="M531" s="153">
        <f t="shared" ca="1" si="321"/>
        <v>2.5376766571336843E-3</v>
      </c>
      <c r="O531" s="148">
        <f t="shared" si="358"/>
        <v>41793.964944870604</v>
      </c>
      <c r="R531" s="356">
        <f>IF(J531&lt;&gt;0,J531/1.03-K531,0)</f>
        <v>-0.41494001941747527</v>
      </c>
    </row>
    <row r="532" spans="1:18" s="51" customFormat="1" ht="13.5" customHeight="1" outlineLevel="1" x14ac:dyDescent="0.3">
      <c r="A532" s="13">
        <f t="shared" ref="A532" si="360">LEN(C532)</f>
        <v>0</v>
      </c>
      <c r="B532" s="49"/>
      <c r="C532" s="49"/>
      <c r="D532" s="370" t="s">
        <v>2281</v>
      </c>
      <c r="E532" s="67" t="str">
        <f>VLOOKUP(D532,'03. Insumos'!A:D,2,0)</f>
        <v>Fornecimento de tela Q138 (4.2 mm)</v>
      </c>
      <c r="F532" s="68" t="s">
        <v>5218</v>
      </c>
      <c r="G532" s="68" t="str">
        <f>VLOOKUP(D532,'03. Insumos'!A:F,3,0)</f>
        <v>Painel</v>
      </c>
      <c r="H532" s="69">
        <v>1</v>
      </c>
      <c r="I532" s="69">
        <f>H1127</f>
        <v>5</v>
      </c>
      <c r="J532" s="70">
        <f t="shared" ref="J532" si="361">IFERROR(IF(K532&lt;&gt;0,K532*$K$5,0),0)</f>
        <v>145</v>
      </c>
      <c r="K532" s="70">
        <f>IF(A532=0,VLOOKUP(D532,'03. Insumos'!A:F,4,0),"")</f>
        <v>145</v>
      </c>
      <c r="L532" s="70">
        <f t="shared" ref="L532" si="362">H532*J532*I532</f>
        <v>725</v>
      </c>
      <c r="M532" s="153">
        <f t="shared" ref="M532" ca="1" si="363">L532/$L$7</f>
        <v>4.4021082442136726E-5</v>
      </c>
      <c r="O532" s="148">
        <f t="shared" ref="O532" si="364">IF(I532&lt;&gt;0,I532*H532*K532,)</f>
        <v>725</v>
      </c>
      <c r="R532" s="356">
        <f>IF(J532&lt;&gt;0,J532/1.03-K532,0)</f>
        <v>-4.2233009708737939</v>
      </c>
    </row>
    <row r="533" spans="1:18" s="51" customFormat="1" ht="13.5" customHeight="1" outlineLevel="1" x14ac:dyDescent="0.3">
      <c r="A533" s="13">
        <f t="shared" si="337"/>
        <v>0</v>
      </c>
      <c r="B533" s="49"/>
      <c r="C533" s="49"/>
      <c r="D533" s="370" t="s">
        <v>6442</v>
      </c>
      <c r="E533" s="67" t="str">
        <f>VLOOKUP(D533,'03. Insumos'!A:D,2,0)</f>
        <v>Espaçadore Genérico</v>
      </c>
      <c r="F533" s="68" t="s">
        <v>5218</v>
      </c>
      <c r="G533" s="68" t="str">
        <f>VLOOKUP(D533,'03. Insumos'!A:F,3,0)</f>
        <v>vb</v>
      </c>
      <c r="H533" s="69">
        <f>H525*1.03</f>
        <v>97789.23</v>
      </c>
      <c r="I533" s="69">
        <v>0.10172034009009008</v>
      </c>
      <c r="J533" s="70">
        <v>1</v>
      </c>
      <c r="K533" s="70">
        <f>IF(A533=0,VLOOKUP(D533,'03. Insumos'!A:F,4,0),"")</f>
        <v>1</v>
      </c>
      <c r="L533" s="70">
        <f t="shared" si="359"/>
        <v>9947.1537327480401</v>
      </c>
      <c r="M533" s="153">
        <f t="shared" ca="1" si="321"/>
        <v>6.0397858556401321E-4</v>
      </c>
      <c r="O533" s="148">
        <f t="shared" si="358"/>
        <v>9947.1537327480401</v>
      </c>
      <c r="R533" s="356">
        <f>IF(J533&lt;&gt;0,J533/1.03-K533,0)</f>
        <v>-2.9126213592232997E-2</v>
      </c>
    </row>
    <row r="534" spans="1:18" s="18" customFormat="1" ht="13.5" customHeight="1" outlineLevel="1" x14ac:dyDescent="0.3">
      <c r="A534" s="18">
        <v>6</v>
      </c>
      <c r="B534" s="606"/>
      <c r="C534" s="606" t="s">
        <v>1332</v>
      </c>
      <c r="D534" s="606" t="s">
        <v>8827</v>
      </c>
      <c r="E534" s="391"/>
      <c r="F534" s="325"/>
      <c r="G534" s="325" t="s">
        <v>73</v>
      </c>
      <c r="H534" s="326">
        <v>8139</v>
      </c>
      <c r="I534" s="326"/>
      <c r="J534" s="1078">
        <f>IFERROR(L534/H534,0)</f>
        <v>140</v>
      </c>
      <c r="K534" s="607"/>
      <c r="L534" s="334">
        <f>SUMIF(A535:A535,0,L535:L535)</f>
        <v>1139460</v>
      </c>
      <c r="M534" s="153">
        <f t="shared" ca="1" si="321"/>
        <v>6.918656910278223E-2</v>
      </c>
      <c r="O534" s="600"/>
      <c r="R534" s="601"/>
    </row>
    <row r="535" spans="1:18" s="51" customFormat="1" ht="13.95" customHeight="1" outlineLevel="1" x14ac:dyDescent="0.3">
      <c r="A535" s="13">
        <f>LEN(C535)</f>
        <v>0</v>
      </c>
      <c r="B535" s="49"/>
      <c r="C535" s="49"/>
      <c r="D535" s="370" t="s">
        <v>3146</v>
      </c>
      <c r="E535" s="67" t="str">
        <f>VLOOKUP(D535,'03. Insumos'!A:D,2,0)</f>
        <v>Forma - Material e Mão de obra</v>
      </c>
      <c r="F535" s="68" t="s">
        <v>5218</v>
      </c>
      <c r="G535" s="68" t="str">
        <f>VLOOKUP(D535,'03. Insumos'!A:F,3,0)</f>
        <v>m²</v>
      </c>
      <c r="H535" s="69">
        <v>1</v>
      </c>
      <c r="I535" s="69">
        <f>H534</f>
        <v>8139</v>
      </c>
      <c r="J535" s="70">
        <f t="shared" ref="J535" si="365">IFERROR(IF(K535&lt;&gt;0,K535*$K$5,0),0)</f>
        <v>140</v>
      </c>
      <c r="K535" s="70">
        <f>IF(A535=0,VLOOKUP(D535,'03. Insumos'!A:F,4,0),"")</f>
        <v>140</v>
      </c>
      <c r="L535" s="70">
        <f t="shared" ref="L535" si="366">H535*J535*I535</f>
        <v>1139460</v>
      </c>
      <c r="M535" s="153">
        <f t="shared" ca="1" si="321"/>
        <v>6.918656910278223E-2</v>
      </c>
      <c r="O535" s="148">
        <f>IF(I535&lt;&gt;0,I535*H535*K535,)</f>
        <v>1139460</v>
      </c>
      <c r="R535" s="356">
        <f>IF(J535&lt;&gt;0,J535/1.03-K535,0)</f>
        <v>-4.0776699029126178</v>
      </c>
    </row>
    <row r="536" spans="1:18" s="18" customFormat="1" ht="13.5" hidden="1" customHeight="1" outlineLevel="1" x14ac:dyDescent="0.3">
      <c r="A536" s="18">
        <v>6</v>
      </c>
      <c r="B536" s="606"/>
      <c r="C536" s="606" t="s">
        <v>3512</v>
      </c>
      <c r="D536" s="606" t="s">
        <v>7921</v>
      </c>
      <c r="E536" s="391"/>
      <c r="F536" s="325"/>
      <c r="G536" s="325"/>
      <c r="H536" s="326">
        <v>1</v>
      </c>
      <c r="I536" s="326"/>
      <c r="J536" s="334"/>
      <c r="K536" s="607"/>
      <c r="L536" s="334">
        <f>SUMIF(A541:A541,0,L537:L541)</f>
        <v>0</v>
      </c>
      <c r="M536" s="355">
        <f t="shared" ref="M536:M541" ca="1" si="367">L536/$L$7</f>
        <v>0</v>
      </c>
      <c r="O536" s="600"/>
      <c r="R536" s="601"/>
    </row>
    <row r="537" spans="1:18" s="51" customFormat="1" ht="13.95" hidden="1" customHeight="1" outlineLevel="1" x14ac:dyDescent="0.3">
      <c r="A537" s="13">
        <v>0</v>
      </c>
      <c r="B537" s="49"/>
      <c r="C537" s="49"/>
      <c r="D537" s="370" t="s">
        <v>7874</v>
      </c>
      <c r="E537" s="67" t="str">
        <f>VLOOKUP(D537,'03. Insumos'!A:D,2,0)</f>
        <v>Ancoragem Ativa/Passiva MAC-1ASC ⌀ 15,2mm</v>
      </c>
      <c r="F537" s="68" t="s">
        <v>5218</v>
      </c>
      <c r="G537" s="68" t="str">
        <f>VLOOKUP(D537,'03. Insumos'!A:F,3,0)</f>
        <v>conj</v>
      </c>
      <c r="H537" s="69">
        <v>1</v>
      </c>
      <c r="I537" s="69"/>
      <c r="J537" s="70">
        <f>IFERROR(IF(K537&lt;&gt;0,K537*$K$5,0),0)</f>
        <v>31</v>
      </c>
      <c r="K537" s="70">
        <f>IF(A537=0,VLOOKUP(D537,'03. Insumos'!A:F,4,0),"")</f>
        <v>31</v>
      </c>
      <c r="L537" s="70">
        <f>H537*J537*I537</f>
        <v>0</v>
      </c>
      <c r="M537" s="153">
        <f t="shared" ca="1" si="367"/>
        <v>0</v>
      </c>
      <c r="O537" s="148"/>
      <c r="R537" s="356"/>
    </row>
    <row r="538" spans="1:18" s="51" customFormat="1" ht="13.95" hidden="1" customHeight="1" outlineLevel="1" x14ac:dyDescent="0.3">
      <c r="A538" s="13">
        <v>0</v>
      </c>
      <c r="B538" s="49"/>
      <c r="C538" s="49"/>
      <c r="D538" s="370" t="s">
        <v>7875</v>
      </c>
      <c r="E538" s="67" t="str">
        <f>VLOOKUP(D538,'03. Insumos'!A:D,2,0)</f>
        <v>Aço CP Engraxada ⌀ 15,2mm</v>
      </c>
      <c r="F538" s="68" t="s">
        <v>5218</v>
      </c>
      <c r="G538" s="68" t="str">
        <f>VLOOKUP(D538,'03. Insumos'!A:F,3,0)</f>
        <v>kg</v>
      </c>
      <c r="H538" s="69">
        <v>1</v>
      </c>
      <c r="I538" s="69"/>
      <c r="J538" s="338">
        <f>IFERROR(IF(K538&lt;&gt;0,K538*$K$5,0),0)</f>
        <v>0</v>
      </c>
      <c r="K538" s="70">
        <f>IF(A538=0,VLOOKUP(D538,'03. Insumos'!A:F,4,0),"")</f>
        <v>0</v>
      </c>
      <c r="L538" s="70">
        <f>H538*J538*I538</f>
        <v>0</v>
      </c>
      <c r="M538" s="153">
        <f t="shared" ref="M538" ca="1" si="368">L538/$L$7</f>
        <v>0</v>
      </c>
      <c r="O538" s="148"/>
      <c r="R538" s="356"/>
    </row>
    <row r="539" spans="1:18" s="51" customFormat="1" ht="13.95" hidden="1" customHeight="1" outlineLevel="1" x14ac:dyDescent="0.3">
      <c r="A539" s="13">
        <v>0</v>
      </c>
      <c r="B539" s="49"/>
      <c r="C539" s="49"/>
      <c r="D539" s="370" t="s">
        <v>7876</v>
      </c>
      <c r="E539" s="67" t="str">
        <f>VLOOKUP(D539,'03. Insumos'!A:D,2,0)</f>
        <v>Fretagem CA-50 10mm</v>
      </c>
      <c r="F539" s="68" t="s">
        <v>5218</v>
      </c>
      <c r="G539" s="68" t="str">
        <f>VLOOKUP(D539,'03. Insumos'!A:F,3,0)</f>
        <v>kg</v>
      </c>
      <c r="H539" s="69">
        <v>1</v>
      </c>
      <c r="I539" s="69"/>
      <c r="J539" s="70">
        <f>IFERROR(IF(K539&lt;&gt;0,K539*$K$5,0),0)</f>
        <v>5.8898400000000004</v>
      </c>
      <c r="K539" s="70">
        <f>IF(A539=0,VLOOKUP(D539,'03. Insumos'!A:F,4,0),"")</f>
        <v>5.8898400000000004</v>
      </c>
      <c r="L539" s="70">
        <f>H539*J539*I539</f>
        <v>0</v>
      </c>
      <c r="M539" s="153">
        <f t="shared" ca="1" si="367"/>
        <v>0</v>
      </c>
      <c r="O539" s="148"/>
      <c r="R539" s="356"/>
    </row>
    <row r="540" spans="1:18" s="51" customFormat="1" ht="13.95" hidden="1" customHeight="1" outlineLevel="1" x14ac:dyDescent="0.3">
      <c r="A540" s="13">
        <v>0</v>
      </c>
      <c r="B540" s="49"/>
      <c r="C540" s="49"/>
      <c r="D540" s="370" t="s">
        <v>7877</v>
      </c>
      <c r="E540" s="67" t="str">
        <f>VLOOKUP(D540,'03. Insumos'!A:D,2,0)</f>
        <v>Montagem de aço de Fretagem</v>
      </c>
      <c r="F540" s="68" t="s">
        <v>5218</v>
      </c>
      <c r="G540" s="68" t="str">
        <f>VLOOKUP(D540,'03. Insumos'!A:F,3,0)</f>
        <v>kg</v>
      </c>
      <c r="H540" s="69">
        <v>1</v>
      </c>
      <c r="I540" s="69">
        <f>I539</f>
        <v>0</v>
      </c>
      <c r="J540" s="70">
        <f>IFERROR(IF(K540&lt;&gt;0,K540*$K$5,0),0)</f>
        <v>3.5</v>
      </c>
      <c r="K540" s="70">
        <f>IF(A540=0,VLOOKUP(D540,'03. Insumos'!A:F,4,0),"")</f>
        <v>3.5</v>
      </c>
      <c r="L540" s="70">
        <f>H540*J540*I540</f>
        <v>0</v>
      </c>
      <c r="M540" s="153">
        <f t="shared" ref="M540" ca="1" si="369">L540/$L$7</f>
        <v>0</v>
      </c>
      <c r="O540" s="148"/>
      <c r="R540" s="356"/>
    </row>
    <row r="541" spans="1:18" s="51" customFormat="1" ht="13.95" hidden="1" customHeight="1" outlineLevel="1" x14ac:dyDescent="0.3">
      <c r="A541" s="13">
        <v>0</v>
      </c>
      <c r="B541" s="49"/>
      <c r="C541" s="49"/>
      <c r="D541" s="370" t="s">
        <v>7878</v>
      </c>
      <c r="E541" s="67" t="str">
        <f>VLOOKUP(D541,'03. Insumos'!A:D,2,0)</f>
        <v>Serviço de protenção</v>
      </c>
      <c r="F541" s="68" t="s">
        <v>5218</v>
      </c>
      <c r="G541" s="68" t="str">
        <f>VLOOKUP(D541,'03. Insumos'!A:F,3,0)</f>
        <v>vb</v>
      </c>
      <c r="H541" s="69">
        <v>1</v>
      </c>
      <c r="I541" s="69"/>
      <c r="J541" s="70">
        <f>IFERROR(IF(K541&lt;&gt;0,K541*$K$5,0),0)</f>
        <v>40452</v>
      </c>
      <c r="K541" s="70">
        <f>IF(A541=0,VLOOKUP(D541,'03. Insumos'!A:F,4,0),"")</f>
        <v>40452</v>
      </c>
      <c r="L541" s="70">
        <f>H541*J541*I541</f>
        <v>0</v>
      </c>
      <c r="M541" s="153">
        <f t="shared" ca="1" si="367"/>
        <v>0</v>
      </c>
      <c r="O541" s="148"/>
      <c r="R541" s="356"/>
    </row>
    <row r="542" spans="1:18" s="18" customFormat="1" ht="13.5" hidden="1" customHeight="1" outlineLevel="1" x14ac:dyDescent="0.3">
      <c r="A542" s="18">
        <v>6</v>
      </c>
      <c r="B542" s="606"/>
      <c r="C542" s="606" t="s">
        <v>2110</v>
      </c>
      <c r="D542" s="606" t="s">
        <v>8074</v>
      </c>
      <c r="E542" s="391"/>
      <c r="F542" s="325"/>
      <c r="G542" s="325" t="s">
        <v>73</v>
      </c>
      <c r="H542" s="326"/>
      <c r="I542" s="326"/>
      <c r="J542" s="804">
        <f>IFERROR(L542/H542,0)</f>
        <v>0</v>
      </c>
      <c r="K542" s="607"/>
      <c r="L542" s="334">
        <f>SUMIF(A543:A553,0,L543:L553)</f>
        <v>0</v>
      </c>
      <c r="M542" s="153">
        <f t="shared" ca="1" si="321"/>
        <v>0</v>
      </c>
      <c r="O542" s="600"/>
      <c r="R542" s="601"/>
    </row>
    <row r="543" spans="1:18" s="51" customFormat="1" ht="13.95" hidden="1" customHeight="1" outlineLevel="1" x14ac:dyDescent="0.3">
      <c r="A543" s="13">
        <f t="shared" ref="A543" si="370">LEN(C543)</f>
        <v>0</v>
      </c>
      <c r="B543" s="49"/>
      <c r="C543" s="49"/>
      <c r="D543" s="370" t="s">
        <v>3385</v>
      </c>
      <c r="E543" s="67" t="str">
        <f>VLOOKUP(D543,'03. Insumos'!A:D,2,0)</f>
        <v>Concreto Usinado 35 Mpa, fator AC 0,45</v>
      </c>
      <c r="F543" s="68" t="s">
        <v>5218</v>
      </c>
      <c r="G543" s="68" t="str">
        <f>VLOOKUP(D543,'03. Insumos'!A:F,3,0)</f>
        <v>m³</v>
      </c>
      <c r="H543" s="69">
        <v>1.1000000000000001</v>
      </c>
      <c r="I543" s="69">
        <f>$H$542*0.15</f>
        <v>0</v>
      </c>
      <c r="J543" s="70">
        <f t="shared" ref="J543" si="371">IFERROR(IF(K543&lt;&gt;0,K543*$K$5,0),0)</f>
        <v>515</v>
      </c>
      <c r="K543" s="70">
        <f>IF(A543=0,VLOOKUP(D543,'03. Insumos'!A:F,4,0),"")</f>
        <v>515</v>
      </c>
      <c r="L543" s="70">
        <f t="shared" ref="L543" si="372">H543*J543*I543</f>
        <v>0</v>
      </c>
      <c r="M543" s="153">
        <f t="shared" ref="M543" ca="1" si="373">L543/$L$7</f>
        <v>0</v>
      </c>
      <c r="O543" s="148">
        <f t="shared" ref="O543" si="374">IF(I543&lt;&gt;0,I543*H543*K543,)</f>
        <v>0</v>
      </c>
      <c r="R543" s="356">
        <f t="shared" ref="R543" si="375">IF(J543&lt;&gt;0,J543/1.03-K543,0)</f>
        <v>-15</v>
      </c>
    </row>
    <row r="544" spans="1:18" s="51" customFormat="1" ht="13.95" hidden="1" customHeight="1" outlineLevel="1" x14ac:dyDescent="0.3">
      <c r="A544" s="13">
        <f t="shared" ref="A544:A553" si="376">LEN(C544)</f>
        <v>0</v>
      </c>
      <c r="B544" s="49"/>
      <c r="C544" s="49"/>
      <c r="D544" s="370" t="s">
        <v>6411</v>
      </c>
      <c r="E544" s="67" t="str">
        <f>VLOOKUP(D544,'03. Insumos'!A:D,2,0)</f>
        <v>Lançamento de Concreto - Mão de Obra</v>
      </c>
      <c r="F544" s="68" t="s">
        <v>5218</v>
      </c>
      <c r="G544" s="68" t="str">
        <f>VLOOKUP(D544,'03. Insumos'!A:F,3,0)</f>
        <v>m³</v>
      </c>
      <c r="H544" s="69">
        <v>1</v>
      </c>
      <c r="I544" s="69">
        <f>I543</f>
        <v>0</v>
      </c>
      <c r="J544" s="70">
        <f t="shared" ref="J544:J552" si="377">IFERROR(IF(K544&lt;&gt;0,K544*$K$5,0),0)</f>
        <v>40</v>
      </c>
      <c r="K544" s="70">
        <f>IF(A544=0,VLOOKUP(D544,'03. Insumos'!A:F,4,0),"")</f>
        <v>40</v>
      </c>
      <c r="L544" s="70">
        <f t="shared" ref="L544:L547" si="378">H544*J544*I544</f>
        <v>0</v>
      </c>
      <c r="M544" s="153">
        <f t="shared" ca="1" si="321"/>
        <v>0</v>
      </c>
      <c r="O544" s="148">
        <f t="shared" ref="O544:O553" si="379">IF(I544&lt;&gt;0,I544*H544*K544,)</f>
        <v>0</v>
      </c>
      <c r="R544" s="356">
        <f t="shared" ref="R544:R553" si="380">IF(J544&lt;&gt;0,J544/1.03-K544,0)</f>
        <v>-1.1650485436893234</v>
      </c>
    </row>
    <row r="545" spans="1:18" s="51" customFormat="1" ht="13.95" hidden="1" customHeight="1" outlineLevel="1" x14ac:dyDescent="0.3">
      <c r="A545" s="13">
        <f t="shared" ref="A545:A546" si="381">LEN(C545)</f>
        <v>0</v>
      </c>
      <c r="B545" s="49"/>
      <c r="C545" s="49"/>
      <c r="D545" s="370" t="s">
        <v>6409</v>
      </c>
      <c r="E545" s="67" t="str">
        <f>VLOOKUP(D545,'03. Insumos'!A:D,2,0)</f>
        <v>Concreto Magro Usinado</v>
      </c>
      <c r="F545" s="68" t="s">
        <v>5218</v>
      </c>
      <c r="G545" s="68" t="str">
        <f>VLOOKUP(D545,'03. Insumos'!A:F,3,0)</f>
        <v>m³</v>
      </c>
      <c r="H545" s="69">
        <v>1.1000000000000001</v>
      </c>
      <c r="I545" s="69">
        <f>H542*0.1</f>
        <v>0</v>
      </c>
      <c r="J545" s="70">
        <f t="shared" ref="J545:J546" si="382">IFERROR(IF(K545&lt;&gt;0,K545*$K$5,0),0)</f>
        <v>480</v>
      </c>
      <c r="K545" s="70">
        <f>IF(A545=0,VLOOKUP(D545,'03. Insumos'!A:F,4,0),"")</f>
        <v>480</v>
      </c>
      <c r="L545" s="70">
        <f t="shared" ref="L545:L546" si="383">H545*J545*I545</f>
        <v>0</v>
      </c>
      <c r="M545" s="153">
        <f t="shared" ref="M545:M546" ca="1" si="384">L545/$L$7</f>
        <v>0</v>
      </c>
      <c r="O545" s="148">
        <f t="shared" ref="O545:O546" si="385">IF(I545&lt;&gt;0,I545*H545*K545,)</f>
        <v>0</v>
      </c>
      <c r="R545" s="356">
        <f t="shared" ref="R545:R546" si="386">IF(J545&lt;&gt;0,J545/1.03-K545,0)</f>
        <v>-13.980582524271881</v>
      </c>
    </row>
    <row r="546" spans="1:18" s="51" customFormat="1" ht="13.95" hidden="1" customHeight="1" outlineLevel="1" x14ac:dyDescent="0.3">
      <c r="A546" s="13">
        <f t="shared" si="381"/>
        <v>0</v>
      </c>
      <c r="B546" s="49"/>
      <c r="C546" s="49"/>
      <c r="D546" s="370" t="s">
        <v>6091</v>
      </c>
      <c r="E546" s="67" t="str">
        <f>VLOOKUP(D546,'03. Insumos'!A:D,2,0)</f>
        <v>Lançamento de Concreto Magro - Mão de Obra</v>
      </c>
      <c r="F546" s="68" t="s">
        <v>5218</v>
      </c>
      <c r="G546" s="68" t="str">
        <f>VLOOKUP(D546,'03. Insumos'!A:F,3,0)</f>
        <v>m³</v>
      </c>
      <c r="H546" s="69">
        <v>1</v>
      </c>
      <c r="I546" s="69">
        <f>I545</f>
        <v>0</v>
      </c>
      <c r="J546" s="70">
        <f t="shared" si="382"/>
        <v>200</v>
      </c>
      <c r="K546" s="70">
        <f>IF(A546=0,VLOOKUP(D546,'03. Insumos'!A:F,4,0),"")</f>
        <v>200</v>
      </c>
      <c r="L546" s="70">
        <f t="shared" si="383"/>
        <v>0</v>
      </c>
      <c r="M546" s="153">
        <f t="shared" ca="1" si="384"/>
        <v>0</v>
      </c>
      <c r="O546" s="148">
        <f t="shared" si="385"/>
        <v>0</v>
      </c>
      <c r="R546" s="356">
        <f t="shared" si="386"/>
        <v>-5.8252427184466171</v>
      </c>
    </row>
    <row r="547" spans="1:18" s="51" customFormat="1" ht="13.95" hidden="1" customHeight="1" outlineLevel="1" x14ac:dyDescent="0.3">
      <c r="A547" s="13">
        <f t="shared" si="376"/>
        <v>0</v>
      </c>
      <c r="B547" s="49"/>
      <c r="C547" s="49"/>
      <c r="D547" s="370" t="s">
        <v>134</v>
      </c>
      <c r="E547" s="67" t="str">
        <f>VLOOKUP(D547,'03. Insumos'!A:D,2,0)</f>
        <v>Bombeamento de concreto - até 40m³</v>
      </c>
      <c r="F547" s="68" t="s">
        <v>5218</v>
      </c>
      <c r="G547" s="68" t="str">
        <f>VLOOKUP(D547,'03. Insumos'!A:F,3,0)</f>
        <v>dia</v>
      </c>
      <c r="H547" s="69">
        <v>1</v>
      </c>
      <c r="I547" s="69"/>
      <c r="J547" s="70">
        <f t="shared" si="377"/>
        <v>2400</v>
      </c>
      <c r="K547" s="70">
        <f>IF(A547=0,VLOOKUP(D547,'03. Insumos'!A:F,4,0),"")</f>
        <v>2400</v>
      </c>
      <c r="L547" s="70">
        <f t="shared" si="378"/>
        <v>0</v>
      </c>
      <c r="M547" s="153">
        <f t="shared" ca="1" si="321"/>
        <v>0</v>
      </c>
      <c r="O547" s="148">
        <f t="shared" si="379"/>
        <v>0</v>
      </c>
      <c r="R547" s="356">
        <f t="shared" si="380"/>
        <v>-69.902912621359064</v>
      </c>
    </row>
    <row r="548" spans="1:18" s="51" customFormat="1" ht="13.95" hidden="1" customHeight="1" outlineLevel="1" x14ac:dyDescent="0.3">
      <c r="A548" s="13">
        <f t="shared" ref="A548" si="387">LEN(C548)</f>
        <v>0</v>
      </c>
      <c r="B548" s="49"/>
      <c r="C548" s="49"/>
      <c r="D548" s="370" t="s">
        <v>2332</v>
      </c>
      <c r="E548" s="67" t="str">
        <f>VLOOKUP(D548,'03. Insumos'!A:D,2,0)</f>
        <v>Lançamento de concreto, nivelamento a laser e acabamento com uso de bambolê</v>
      </c>
      <c r="F548" s="68" t="s">
        <v>5218</v>
      </c>
      <c r="G548" s="68" t="str">
        <f>VLOOKUP(D548,'03. Insumos'!A:F,3,0)</f>
        <v>m²</v>
      </c>
      <c r="H548" s="69">
        <v>1</v>
      </c>
      <c r="I548" s="69">
        <f>H542</f>
        <v>0</v>
      </c>
      <c r="J548" s="70">
        <f t="shared" ref="J548" si="388">IFERROR(IF(K548&lt;&gt;0,K548*$K$5,0),0)</f>
        <v>16.5</v>
      </c>
      <c r="K548" s="70">
        <f>IF(A548=0,VLOOKUP(D548,'03. Insumos'!A:F,4,0),"")</f>
        <v>16.5</v>
      </c>
      <c r="L548" s="70">
        <f t="shared" ref="L548" si="389">H548*J548*I548</f>
        <v>0</v>
      </c>
      <c r="M548" s="153">
        <f t="shared" ref="M548" ca="1" si="390">L548/$L$7</f>
        <v>0</v>
      </c>
      <c r="O548" s="148">
        <f t="shared" ref="O548" si="391">IF(I548&lt;&gt;0,I548*H548*K548,)</f>
        <v>0</v>
      </c>
      <c r="R548" s="356">
        <f t="shared" ref="R548" si="392">IF(J548&lt;&gt;0,J548/1.03-K548,0)</f>
        <v>-0.48058252427184556</v>
      </c>
    </row>
    <row r="549" spans="1:18" s="51" customFormat="1" ht="13.95" hidden="1" customHeight="1" outlineLevel="1" x14ac:dyDescent="0.3">
      <c r="A549" s="13">
        <f t="shared" si="376"/>
        <v>0</v>
      </c>
      <c r="B549" s="49"/>
      <c r="C549" s="49"/>
      <c r="D549" s="370" t="s">
        <v>6412</v>
      </c>
      <c r="E549" s="67" t="str">
        <f>VLOOKUP(D549,'03. Insumos'!A:D,2,0)</f>
        <v>Corte e Dobra de Aço - MO</v>
      </c>
      <c r="F549" s="68" t="s">
        <v>5218</v>
      </c>
      <c r="G549" s="68" t="str">
        <f>VLOOKUP(D549,'03. Insumos'!A:F,3,0)</f>
        <v>kg</v>
      </c>
      <c r="H549" s="69">
        <v>1</v>
      </c>
      <c r="I549" s="69">
        <f>$I$543*100</f>
        <v>0</v>
      </c>
      <c r="J549" s="70">
        <f t="shared" si="377"/>
        <v>0.8</v>
      </c>
      <c r="K549" s="70">
        <f>IF(A549=0,VLOOKUP(D549,'03. Insumos'!A:F,4,0),"")</f>
        <v>0.8</v>
      </c>
      <c r="L549" s="70">
        <f t="shared" ref="L549:L553" si="393">H549*J549*I549</f>
        <v>0</v>
      </c>
      <c r="M549" s="153">
        <f t="shared" ref="M549:M553" ca="1" si="394">L549/$L$7</f>
        <v>0</v>
      </c>
      <c r="O549" s="148">
        <f t="shared" si="379"/>
        <v>0</v>
      </c>
      <c r="R549" s="356">
        <f t="shared" si="380"/>
        <v>-2.3300970873786464E-2</v>
      </c>
    </row>
    <row r="550" spans="1:18" s="51" customFormat="1" ht="13.95" hidden="1" customHeight="1" outlineLevel="1" x14ac:dyDescent="0.3">
      <c r="A550" s="13">
        <f t="shared" si="376"/>
        <v>0</v>
      </c>
      <c r="B550" s="49"/>
      <c r="C550" s="49"/>
      <c r="D550" s="370" t="s">
        <v>6413</v>
      </c>
      <c r="E550" s="67" t="str">
        <f>VLOOKUP(D550,'03. Insumos'!A:D,2,0)</f>
        <v>Lançamento e montagem de armadura - MO</v>
      </c>
      <c r="F550" s="68" t="s">
        <v>5218</v>
      </c>
      <c r="G550" s="68" t="str">
        <f>VLOOKUP(D550,'03. Insumos'!A:F,3,0)</f>
        <v>kg</v>
      </c>
      <c r="H550" s="69">
        <v>1</v>
      </c>
      <c r="I550" s="69">
        <f>I549</f>
        <v>0</v>
      </c>
      <c r="J550" s="70">
        <f t="shared" si="377"/>
        <v>3.5</v>
      </c>
      <c r="K550" s="70">
        <f>IF(A550=0,VLOOKUP(D550,'03. Insumos'!A:F,4,0),"")</f>
        <v>3.5</v>
      </c>
      <c r="L550" s="70">
        <f t="shared" si="393"/>
        <v>0</v>
      </c>
      <c r="M550" s="153">
        <f t="shared" ca="1" si="394"/>
        <v>0</v>
      </c>
      <c r="O550" s="148">
        <f t="shared" si="379"/>
        <v>0</v>
      </c>
      <c r="R550" s="356">
        <f t="shared" si="380"/>
        <v>-0.10194174757281571</v>
      </c>
    </row>
    <row r="551" spans="1:18" s="51" customFormat="1" ht="13.95" hidden="1" customHeight="1" outlineLevel="1" x14ac:dyDescent="0.3">
      <c r="A551" s="13">
        <f t="shared" si="376"/>
        <v>0</v>
      </c>
      <c r="B551" s="49"/>
      <c r="C551" s="49"/>
      <c r="D551" s="370" t="s">
        <v>6566</v>
      </c>
      <c r="E551" s="67" t="str">
        <f>VLOOKUP(D551,'03. Insumos'!A:D,2,0)</f>
        <v>Aço CA50 12,5mm - Manufaturado</v>
      </c>
      <c r="F551" s="68" t="s">
        <v>5218</v>
      </c>
      <c r="G551" s="68" t="str">
        <f>VLOOKUP(D551,'03. Insumos'!A:F,3,0)</f>
        <v>kg</v>
      </c>
      <c r="H551" s="69">
        <v>1.03</v>
      </c>
      <c r="I551" s="69">
        <f>I549</f>
        <v>0</v>
      </c>
      <c r="J551" s="70">
        <f t="shared" si="377"/>
        <v>5.6366699999999996</v>
      </c>
      <c r="K551" s="70">
        <f>IF(A551=0,VLOOKUP(D551,'03. Insumos'!A:F,4,0),"")</f>
        <v>5.6366699999999996</v>
      </c>
      <c r="L551" s="70">
        <f t="shared" si="393"/>
        <v>0</v>
      </c>
      <c r="M551" s="153">
        <f t="shared" ca="1" si="394"/>
        <v>0</v>
      </c>
      <c r="O551" s="148">
        <f t="shared" si="379"/>
        <v>0</v>
      </c>
      <c r="R551" s="356">
        <f t="shared" si="380"/>
        <v>-0.16417485436893209</v>
      </c>
    </row>
    <row r="552" spans="1:18" s="51" customFormat="1" ht="13.95" hidden="1" customHeight="1" outlineLevel="1" x14ac:dyDescent="0.3">
      <c r="A552" s="13">
        <f t="shared" si="376"/>
        <v>0</v>
      </c>
      <c r="B552" s="49"/>
      <c r="C552" s="49"/>
      <c r="D552" s="370" t="s">
        <v>6441</v>
      </c>
      <c r="E552" s="67" t="str">
        <f>VLOOKUP(D552,'03. Insumos'!A:D,2,0)</f>
        <v>Arame Galv. 18</v>
      </c>
      <c r="F552" s="68" t="s">
        <v>5218</v>
      </c>
      <c r="G552" s="68" t="str">
        <f>VLOOKUP(D552,'03. Insumos'!A:F,3,0)</f>
        <v>kg</v>
      </c>
      <c r="H552" s="69">
        <v>1</v>
      </c>
      <c r="I552" s="69">
        <f>I551*0.03</f>
        <v>0</v>
      </c>
      <c r="J552" s="70">
        <f t="shared" si="377"/>
        <v>14.246274000000001</v>
      </c>
      <c r="K552" s="70">
        <f>IF(A552=0,VLOOKUP(D552,'03. Insumos'!A:F,4,0),"")</f>
        <v>14.246274000000001</v>
      </c>
      <c r="L552" s="70">
        <f t="shared" si="393"/>
        <v>0</v>
      </c>
      <c r="M552" s="153">
        <f t="shared" ca="1" si="394"/>
        <v>0</v>
      </c>
      <c r="O552" s="148">
        <f t="shared" si="379"/>
        <v>0</v>
      </c>
      <c r="R552" s="356">
        <f t="shared" si="380"/>
        <v>-0.41494001941747527</v>
      </c>
    </row>
    <row r="553" spans="1:18" s="51" customFormat="1" ht="13.95" hidden="1" customHeight="1" outlineLevel="1" x14ac:dyDescent="0.3">
      <c r="A553" s="13">
        <f t="shared" si="376"/>
        <v>0</v>
      </c>
      <c r="B553" s="49"/>
      <c r="C553" s="49"/>
      <c r="D553" s="370" t="s">
        <v>6442</v>
      </c>
      <c r="E553" s="67" t="str">
        <f>VLOOKUP(D553,'03. Insumos'!A:D,2,0)</f>
        <v>Espaçadore Genérico</v>
      </c>
      <c r="F553" s="68" t="s">
        <v>5218</v>
      </c>
      <c r="G553" s="68" t="str">
        <f>VLOOKUP(D553,'03. Insumos'!A:F,3,0)</f>
        <v>vb</v>
      </c>
      <c r="H553" s="69">
        <v>1</v>
      </c>
      <c r="I553" s="69">
        <f>$I$551*0.03*1.03</f>
        <v>0</v>
      </c>
      <c r="J553" s="70">
        <v>1</v>
      </c>
      <c r="K553" s="70">
        <f>IF(A553=0,VLOOKUP(D553,'03. Insumos'!A:F,4,0),"")</f>
        <v>1</v>
      </c>
      <c r="L553" s="70">
        <f t="shared" si="393"/>
        <v>0</v>
      </c>
      <c r="M553" s="153">
        <f t="shared" ca="1" si="394"/>
        <v>0</v>
      </c>
      <c r="O553" s="148">
        <f t="shared" si="379"/>
        <v>0</v>
      </c>
      <c r="R553" s="356">
        <f t="shared" si="380"/>
        <v>-2.9126213592232997E-2</v>
      </c>
    </row>
    <row r="554" spans="1:18" s="18" customFormat="1" ht="13.5" hidden="1" customHeight="1" outlineLevel="1" x14ac:dyDescent="0.3">
      <c r="A554" s="18">
        <v>6</v>
      </c>
      <c r="B554" s="606"/>
      <c r="C554" s="606" t="s">
        <v>3512</v>
      </c>
      <c r="D554" s="606" t="s">
        <v>7269</v>
      </c>
      <c r="E554" s="391"/>
      <c r="F554" s="325"/>
      <c r="G554" s="325" t="s">
        <v>73</v>
      </c>
      <c r="H554" s="326"/>
      <c r="I554" s="326"/>
      <c r="J554" s="804">
        <f>IFERROR(L554/H554,0)</f>
        <v>0</v>
      </c>
      <c r="K554" s="607"/>
      <c r="L554" s="334">
        <f>SUMIF(A555:A560,0,L555:L560)</f>
        <v>0</v>
      </c>
      <c r="M554" s="355">
        <f t="shared" ref="M554:M560" ca="1" si="395">L554/$L$7</f>
        <v>0</v>
      </c>
      <c r="O554" s="600"/>
      <c r="R554" s="601"/>
    </row>
    <row r="555" spans="1:18" s="51" customFormat="1" ht="13.95" hidden="1" customHeight="1" outlineLevel="1" x14ac:dyDescent="0.3">
      <c r="A555" s="13">
        <f t="shared" ref="A555:A560" si="396">LEN(C555)</f>
        <v>0</v>
      </c>
      <c r="B555" s="49"/>
      <c r="C555" s="49"/>
      <c r="D555" s="370" t="s">
        <v>2573</v>
      </c>
      <c r="E555" s="67" t="str">
        <f>VLOOKUP(D555,'03. Insumos'!A:D,2,0)</f>
        <v>Pré - laje para sobrecarga de 300 Kg/m²</v>
      </c>
      <c r="F555" s="68" t="s">
        <v>5218</v>
      </c>
      <c r="G555" s="68" t="str">
        <f>VLOOKUP(D555,'03. Insumos'!A:F,3,0)</f>
        <v>m²</v>
      </c>
      <c r="H555" s="69">
        <v>1</v>
      </c>
      <c r="I555" s="69">
        <f>H554</f>
        <v>0</v>
      </c>
      <c r="J555" s="70">
        <f t="shared" ref="J555:J560" si="397">IFERROR(IF(K555&lt;&gt;0,K555*$K$5,0),0)</f>
        <v>215</v>
      </c>
      <c r="K555" s="70">
        <f>IF(A555=0,VLOOKUP(D555,'03. Insumos'!A:F,4,0),"")</f>
        <v>215</v>
      </c>
      <c r="L555" s="70">
        <f t="shared" ref="L555:L559" si="398">H555*J555*I555</f>
        <v>0</v>
      </c>
      <c r="M555" s="153">
        <f t="shared" ref="M555:M559" ca="1" si="399">L555/$L$7</f>
        <v>0</v>
      </c>
      <c r="O555" s="148">
        <f t="shared" ref="O555:O560" si="400">IF(I555&lt;&gt;0,I555*H555*K555,)</f>
        <v>0</v>
      </c>
      <c r="R555" s="356">
        <f t="shared" ref="R555:R560" si="401">IF(J555&lt;&gt;0,J555/1.03-K555,0)</f>
        <v>-6.2621359223300885</v>
      </c>
    </row>
    <row r="556" spans="1:18" s="51" customFormat="1" ht="13.95" hidden="1" customHeight="1" outlineLevel="1" x14ac:dyDescent="0.3">
      <c r="A556" s="13">
        <f t="shared" si="396"/>
        <v>0</v>
      </c>
      <c r="B556" s="49"/>
      <c r="C556" s="49"/>
      <c r="D556" s="370" t="s">
        <v>6760</v>
      </c>
      <c r="E556" s="67" t="str">
        <f>VLOOKUP(D556,'03. Insumos'!A:D,2,0)</f>
        <v>Montagem Pré - Laje</v>
      </c>
      <c r="F556" s="68" t="s">
        <v>5218</v>
      </c>
      <c r="G556" s="68" t="str">
        <f>VLOOKUP(D556,'03. Insumos'!A:F,3,0)</f>
        <v>m²</v>
      </c>
      <c r="H556" s="69">
        <v>1</v>
      </c>
      <c r="I556" s="69">
        <f>H554</f>
        <v>0</v>
      </c>
      <c r="J556" s="70">
        <f t="shared" si="397"/>
        <v>117</v>
      </c>
      <c r="K556" s="70">
        <f>IF(A556=0,VLOOKUP(D556,'03. Insumos'!A:F,4,0),"")</f>
        <v>117</v>
      </c>
      <c r="L556" s="70">
        <f t="shared" si="398"/>
        <v>0</v>
      </c>
      <c r="M556" s="153">
        <f t="shared" ca="1" si="399"/>
        <v>0</v>
      </c>
      <c r="O556" s="148">
        <f t="shared" si="400"/>
        <v>0</v>
      </c>
      <c r="R556" s="356">
        <f t="shared" si="401"/>
        <v>-3.4077669902912646</v>
      </c>
    </row>
    <row r="557" spans="1:18" s="51" customFormat="1" ht="13.95" hidden="1" customHeight="1" outlineLevel="1" x14ac:dyDescent="0.3">
      <c r="A557" s="13">
        <f t="shared" si="396"/>
        <v>0</v>
      </c>
      <c r="B557" s="49"/>
      <c r="C557" s="49"/>
      <c r="D557" s="370" t="s">
        <v>5416</v>
      </c>
      <c r="E557" s="67" t="str">
        <f>VLOOKUP(D557,'03. Insumos'!A:D,2,0)</f>
        <v>Escoramento da Laje - MAT + MO</v>
      </c>
      <c r="F557" s="68" t="s">
        <v>5218</v>
      </c>
      <c r="G557" s="68" t="str">
        <f>VLOOKUP(D557,'03. Insumos'!A:F,3,0)</f>
        <v>m²</v>
      </c>
      <c r="H557" s="69">
        <v>1</v>
      </c>
      <c r="I557" s="69">
        <f>H554</f>
        <v>0</v>
      </c>
      <c r="J557" s="70">
        <f t="shared" si="397"/>
        <v>38</v>
      </c>
      <c r="K557" s="70">
        <f>IF(A557=0,VLOOKUP(D557,'03. Insumos'!A:F,4,0),"")</f>
        <v>38</v>
      </c>
      <c r="L557" s="70">
        <f t="shared" ref="L557" si="402">H557*J557*I557</f>
        <v>0</v>
      </c>
      <c r="M557" s="153">
        <f t="shared" ref="M557" ca="1" si="403">L557/$L$7</f>
        <v>0</v>
      </c>
      <c r="O557" s="148">
        <f t="shared" si="400"/>
        <v>0</v>
      </c>
      <c r="R557" s="356">
        <f t="shared" si="401"/>
        <v>-1.106796116504853</v>
      </c>
    </row>
    <row r="558" spans="1:18" s="51" customFormat="1" ht="13.95" hidden="1" customHeight="1" outlineLevel="1" x14ac:dyDescent="0.3">
      <c r="A558" s="13">
        <f t="shared" si="396"/>
        <v>0</v>
      </c>
      <c r="B558" s="49"/>
      <c r="C558" s="49"/>
      <c r="D558" s="370" t="s">
        <v>3385</v>
      </c>
      <c r="E558" s="67" t="str">
        <f>VLOOKUP(D558,'03. Insumos'!A:D,2,0)</f>
        <v>Concreto Usinado 35 Mpa, fator AC 0,45</v>
      </c>
      <c r="F558" s="68" t="s">
        <v>5218</v>
      </c>
      <c r="G558" s="68" t="str">
        <f>VLOOKUP(D558,'03. Insumos'!A:F,3,0)</f>
        <v>m³</v>
      </c>
      <c r="H558" s="69">
        <v>1.1000000000000001</v>
      </c>
      <c r="I558" s="69">
        <f>H554*0.12</f>
        <v>0</v>
      </c>
      <c r="J558" s="70">
        <f t="shared" si="397"/>
        <v>515</v>
      </c>
      <c r="K558" s="70">
        <f>IF(A558=0,VLOOKUP(D558,'03. Insumos'!A:F,4,0),"")</f>
        <v>515</v>
      </c>
      <c r="L558" s="70">
        <f t="shared" ref="L558" si="404">H558*J558*I558</f>
        <v>0</v>
      </c>
      <c r="M558" s="153">
        <f t="shared" ref="M558" ca="1" si="405">L558/$L$7</f>
        <v>0</v>
      </c>
      <c r="O558" s="148">
        <f t="shared" si="400"/>
        <v>0</v>
      </c>
      <c r="R558" s="356">
        <f t="shared" si="401"/>
        <v>-15</v>
      </c>
    </row>
    <row r="559" spans="1:18" s="51" customFormat="1" ht="13.95" hidden="1" customHeight="1" outlineLevel="1" x14ac:dyDescent="0.3">
      <c r="A559" s="13">
        <f t="shared" si="396"/>
        <v>0</v>
      </c>
      <c r="B559" s="49"/>
      <c r="C559" s="49"/>
      <c r="D559" s="370" t="s">
        <v>6411</v>
      </c>
      <c r="E559" s="67" t="str">
        <f>VLOOKUP(D559,'03. Insumos'!A:D,2,0)</f>
        <v>Lançamento de Concreto - Mão de Obra</v>
      </c>
      <c r="F559" s="68" t="s">
        <v>5218</v>
      </c>
      <c r="G559" s="68" t="str">
        <f>VLOOKUP(D559,'03. Insumos'!A:F,3,0)</f>
        <v>m³</v>
      </c>
      <c r="H559" s="69">
        <v>1</v>
      </c>
      <c r="I559" s="69">
        <f>I558</f>
        <v>0</v>
      </c>
      <c r="J559" s="70">
        <f t="shared" si="397"/>
        <v>40</v>
      </c>
      <c r="K559" s="70">
        <f>IF(A559=0,VLOOKUP(D559,'03. Insumos'!A:F,4,0),"")</f>
        <v>40</v>
      </c>
      <c r="L559" s="70">
        <f t="shared" si="398"/>
        <v>0</v>
      </c>
      <c r="M559" s="153">
        <f t="shared" ca="1" si="399"/>
        <v>0</v>
      </c>
      <c r="O559" s="148">
        <f t="shared" si="400"/>
        <v>0</v>
      </c>
      <c r="R559" s="356">
        <f t="shared" si="401"/>
        <v>-1.1650485436893234</v>
      </c>
    </row>
    <row r="560" spans="1:18" s="51" customFormat="1" ht="13.95" hidden="1" customHeight="1" outlineLevel="1" x14ac:dyDescent="0.3">
      <c r="A560" s="13">
        <f t="shared" si="396"/>
        <v>0</v>
      </c>
      <c r="B560" s="49"/>
      <c r="C560" s="49"/>
      <c r="D560" s="370" t="s">
        <v>134</v>
      </c>
      <c r="E560" s="67" t="str">
        <f>VLOOKUP(D560,'03. Insumos'!A:D,2,0)</f>
        <v>Bombeamento de concreto - até 40m³</v>
      </c>
      <c r="F560" s="68" t="s">
        <v>5218</v>
      </c>
      <c r="G560" s="68" t="str">
        <f>VLOOKUP(D560,'03. Insumos'!A:F,3,0)</f>
        <v>dia</v>
      </c>
      <c r="H560" s="69">
        <v>1</v>
      </c>
      <c r="I560" s="69"/>
      <c r="J560" s="70">
        <f t="shared" si="397"/>
        <v>2400</v>
      </c>
      <c r="K560" s="70">
        <f>IF(A560=0,VLOOKUP(D560,'03. Insumos'!A:F,4,0),"")</f>
        <v>2400</v>
      </c>
      <c r="L560" s="70">
        <f t="shared" ref="L560" si="406">H560*J560*I560</f>
        <v>0</v>
      </c>
      <c r="M560" s="153">
        <f t="shared" ca="1" si="395"/>
        <v>0</v>
      </c>
      <c r="O560" s="148">
        <f t="shared" si="400"/>
        <v>0</v>
      </c>
      <c r="R560" s="356">
        <f t="shared" si="401"/>
        <v>-69.902912621359064</v>
      </c>
    </row>
    <row r="561" spans="1:18" s="605" customFormat="1" ht="13.5" customHeight="1" outlineLevel="1" x14ac:dyDescent="0.3">
      <c r="A561" s="18">
        <f t="shared" ref="A561:A565" si="407">LEN(C561)</f>
        <v>6</v>
      </c>
      <c r="B561" s="602"/>
      <c r="C561" s="606" t="s">
        <v>2110</v>
      </c>
      <c r="D561" s="606" t="s">
        <v>8470</v>
      </c>
      <c r="E561" s="593"/>
      <c r="F561" s="603"/>
      <c r="G561" s="325" t="s">
        <v>72</v>
      </c>
      <c r="H561" s="326">
        <f>H518</f>
        <v>883</v>
      </c>
      <c r="I561" s="326"/>
      <c r="J561" s="334"/>
      <c r="K561" s="607" t="str">
        <f>IF(A561=0,VLOOKUP(D561,'03. Insumos'!A:F,4,0),"")</f>
        <v/>
      </c>
      <c r="L561" s="334">
        <f>SUM(L562:L565)</f>
        <v>19504</v>
      </c>
      <c r="M561" s="153">
        <f t="shared" ref="M561:M565" ca="1" si="408">L561/$L$7</f>
        <v>1.1842581957950823E-3</v>
      </c>
      <c r="O561" s="600">
        <f t="shared" ref="O561:O565" si="409">IF(I561&lt;&gt;0,I561*H561*K561,)</f>
        <v>0</v>
      </c>
      <c r="R561" s="601">
        <f t="shared" ref="R561:R565" si="410">IF(J561&lt;&gt;0,J561/1.03-K561,0)</f>
        <v>0</v>
      </c>
    </row>
    <row r="562" spans="1:18" s="51" customFormat="1" ht="13.5" customHeight="1" outlineLevel="1" x14ac:dyDescent="0.3">
      <c r="A562" s="13">
        <f t="shared" si="407"/>
        <v>0</v>
      </c>
      <c r="B562" s="49"/>
      <c r="C562" s="49"/>
      <c r="D562" s="370" t="s">
        <v>226</v>
      </c>
      <c r="E562" s="67" t="str">
        <f>VLOOKUP(D562,'03. Insumos'!A:D,2,0)</f>
        <v xml:space="preserve">Controle Tecnológico - Ensaio compressão simples concreto NBR 7215 </v>
      </c>
      <c r="F562" s="68" t="s">
        <v>5218</v>
      </c>
      <c r="G562" s="68" t="str">
        <f>VLOOKUP(D562,'03. Insumos'!A:F,3,0)</f>
        <v>cp</v>
      </c>
      <c r="H562" s="69">
        <v>6</v>
      </c>
      <c r="I562" s="69">
        <f>ROUNDUP(SUM(H561)/7,0)</f>
        <v>127</v>
      </c>
      <c r="J562" s="70">
        <f t="shared" ref="J562:J565" si="411">IFERROR(IF(K562&lt;&gt;0,K562*$K$5,0),0)</f>
        <v>12</v>
      </c>
      <c r="K562" s="54">
        <f>IF(A562=0,VLOOKUP(D562,'03. Insumos'!A:F,4,0),"")</f>
        <v>12</v>
      </c>
      <c r="L562" s="70">
        <f t="shared" ref="L562:L565" si="412">H562*J562*I562</f>
        <v>9144</v>
      </c>
      <c r="M562" s="153">
        <f t="shared" ca="1" si="408"/>
        <v>5.5521210738054925E-4</v>
      </c>
      <c r="O562" s="148">
        <f t="shared" si="409"/>
        <v>9144</v>
      </c>
      <c r="R562" s="356">
        <f t="shared" si="410"/>
        <v>-0.34951456310679596</v>
      </c>
    </row>
    <row r="563" spans="1:18" s="51" customFormat="1" ht="13.5" customHeight="1" outlineLevel="1" x14ac:dyDescent="0.3">
      <c r="A563" s="13">
        <f t="shared" si="407"/>
        <v>0</v>
      </c>
      <c r="B563" s="49"/>
      <c r="C563" s="49"/>
      <c r="D563" s="370" t="s">
        <v>224</v>
      </c>
      <c r="E563" s="67" t="str">
        <f>VLOOKUP(D563,'03. Insumos'!A:D,2,0)</f>
        <v>Controle Tecnológico - Diária Moldador</v>
      </c>
      <c r="F563" s="68" t="s">
        <v>5218</v>
      </c>
      <c r="G563" s="68" t="str">
        <f>VLOOKUP(D563,'03. Insumos'!A:F,3,0)</f>
        <v>dia</v>
      </c>
      <c r="H563" s="69">
        <v>6</v>
      </c>
      <c r="I563" s="69">
        <v>4</v>
      </c>
      <c r="J563" s="70">
        <f t="shared" si="411"/>
        <v>225</v>
      </c>
      <c r="K563" s="54">
        <f>IF(A563=0,VLOOKUP(D563,'03. Insumos'!A:F,4,0),"")</f>
        <v>225</v>
      </c>
      <c r="L563" s="70">
        <f t="shared" si="412"/>
        <v>5400</v>
      </c>
      <c r="M563" s="153">
        <f t="shared" ca="1" si="408"/>
        <v>3.2788116577591494E-4</v>
      </c>
      <c r="O563" s="148">
        <f t="shared" si="409"/>
        <v>5400</v>
      </c>
      <c r="R563" s="356">
        <f t="shared" si="410"/>
        <v>-6.5533980582524407</v>
      </c>
    </row>
    <row r="564" spans="1:18" s="51" customFormat="1" ht="13.5" customHeight="1" outlineLevel="1" x14ac:dyDescent="0.3">
      <c r="A564" s="13">
        <f t="shared" si="407"/>
        <v>0</v>
      </c>
      <c r="B564" s="49"/>
      <c r="C564" s="49"/>
      <c r="D564" s="370" t="s">
        <v>225</v>
      </c>
      <c r="E564" s="67" t="str">
        <f>VLOOKUP(D564,'03. Insumos'!A:D,2,0)</f>
        <v>Controle Tecnológico - Mobilização</v>
      </c>
      <c r="F564" s="68" t="s">
        <v>5218</v>
      </c>
      <c r="G564" s="68" t="str">
        <f>VLOOKUP(D564,'03. Insumos'!A:F,3,0)</f>
        <v>uni</v>
      </c>
      <c r="H564" s="69">
        <v>4</v>
      </c>
      <c r="I564" s="69">
        <v>4</v>
      </c>
      <c r="J564" s="70">
        <f t="shared" si="411"/>
        <v>155</v>
      </c>
      <c r="K564" s="54">
        <f>IF(A564=0,VLOOKUP(D564,'03. Insumos'!A:F,4,0),"")</f>
        <v>155</v>
      </c>
      <c r="L564" s="70">
        <f t="shared" si="412"/>
        <v>2480</v>
      </c>
      <c r="M564" s="153">
        <f t="shared" ca="1" si="408"/>
        <v>1.5058246131930908E-4</v>
      </c>
      <c r="O564" s="148">
        <f t="shared" si="409"/>
        <v>2480</v>
      </c>
      <c r="R564" s="356">
        <f t="shared" si="410"/>
        <v>-4.5145631067961176</v>
      </c>
    </row>
    <row r="565" spans="1:18" s="51" customFormat="1" outlineLevel="1" x14ac:dyDescent="0.3">
      <c r="A565" s="13">
        <f t="shared" si="407"/>
        <v>0</v>
      </c>
      <c r="B565" s="49"/>
      <c r="C565" s="49"/>
      <c r="D565" s="370" t="s">
        <v>228</v>
      </c>
      <c r="E565" s="67" t="str">
        <f>VLOOKUP(D565,'03. Insumos'!A:D,2,0)</f>
        <v xml:space="preserve">Controle Tecnológico - Coleta de materiais na obra </v>
      </c>
      <c r="F565" s="68" t="s">
        <v>5218</v>
      </c>
      <c r="G565" s="68" t="str">
        <f>VLOOKUP(D565,'03. Insumos'!A:F,3,0)</f>
        <v>uni</v>
      </c>
      <c r="H565" s="69">
        <v>4</v>
      </c>
      <c r="I565" s="69">
        <v>4</v>
      </c>
      <c r="J565" s="70">
        <f t="shared" si="411"/>
        <v>155</v>
      </c>
      <c r="K565" s="54">
        <f>IF(A565=0,VLOOKUP(D565,'03. Insumos'!A:F,4,0),"")</f>
        <v>155</v>
      </c>
      <c r="L565" s="70">
        <f t="shared" si="412"/>
        <v>2480</v>
      </c>
      <c r="M565" s="153">
        <f t="shared" ca="1" si="408"/>
        <v>1.5058246131930908E-4</v>
      </c>
      <c r="O565" s="148">
        <f t="shared" si="409"/>
        <v>2480</v>
      </c>
      <c r="R565" s="356">
        <f t="shared" si="410"/>
        <v>-4.5145631067961176</v>
      </c>
    </row>
    <row r="566" spans="1:18" s="18" customFormat="1" ht="13.5" hidden="1" customHeight="1" outlineLevel="1" x14ac:dyDescent="0.3">
      <c r="A566" s="18">
        <v>6</v>
      </c>
      <c r="B566" s="606"/>
      <c r="C566" s="606" t="s">
        <v>3512</v>
      </c>
      <c r="D566" s="606" t="s">
        <v>3472</v>
      </c>
      <c r="E566" s="391"/>
      <c r="F566" s="325"/>
      <c r="G566" s="325"/>
      <c r="H566" s="326">
        <v>1</v>
      </c>
      <c r="I566" s="326"/>
      <c r="J566" s="334"/>
      <c r="K566" s="607"/>
      <c r="L566" s="334">
        <f>SUMIF(A567:A570,0,L567:L570)</f>
        <v>0</v>
      </c>
      <c r="M566" s="355">
        <f t="shared" ca="1" si="321"/>
        <v>0</v>
      </c>
      <c r="O566" s="600"/>
      <c r="R566" s="601"/>
    </row>
    <row r="567" spans="1:18" s="51" customFormat="1" ht="13.5" hidden="1" customHeight="1" outlineLevel="1" x14ac:dyDescent="0.3">
      <c r="A567" s="13">
        <v>0</v>
      </c>
      <c r="B567" s="49"/>
      <c r="C567" s="49"/>
      <c r="D567" s="370" t="s">
        <v>7651</v>
      </c>
      <c r="E567" s="67" t="s">
        <v>8472</v>
      </c>
      <c r="F567" s="68" t="s">
        <v>5218</v>
      </c>
      <c r="G567" s="68" t="str">
        <f>VLOOKUP(D567,'03. Insumos'!A:F,3,0)</f>
        <v>kg</v>
      </c>
      <c r="H567" s="69"/>
      <c r="I567" s="69"/>
      <c r="J567" s="70">
        <v>27.5</v>
      </c>
      <c r="K567" s="54">
        <f>IF(A567=0,VLOOKUP(D567,'03. Insumos'!A:F,4,0),"")</f>
        <v>38.24</v>
      </c>
      <c r="L567" s="70">
        <f>H567*J567*I567</f>
        <v>0</v>
      </c>
      <c r="M567" s="153">
        <f t="shared" ref="M567:M569" ca="1" si="413">L567/$L$7</f>
        <v>0</v>
      </c>
      <c r="O567" s="148"/>
      <c r="R567" s="356"/>
    </row>
    <row r="568" spans="1:18" s="51" customFormat="1" ht="13.95" hidden="1" customHeight="1" outlineLevel="1" x14ac:dyDescent="0.3">
      <c r="A568" s="13">
        <v>0</v>
      </c>
      <c r="B568" s="49"/>
      <c r="C568" s="49"/>
      <c r="D568" s="370" t="s">
        <v>7651</v>
      </c>
      <c r="E568" s="67" t="s">
        <v>8473</v>
      </c>
      <c r="F568" s="68" t="s">
        <v>5218</v>
      </c>
      <c r="G568" s="68" t="str">
        <f>VLOOKUP(D568,'03. Insumos'!A:F,3,0)</f>
        <v>kg</v>
      </c>
      <c r="H568" s="69">
        <v>1</v>
      </c>
      <c r="I568" s="69"/>
      <c r="J568" s="70">
        <v>27.5</v>
      </c>
      <c r="K568" s="70">
        <f>IF(A568=0,VLOOKUP(D568,'03. Insumos'!A:F,4,0),"")</f>
        <v>38.24</v>
      </c>
      <c r="L568" s="70">
        <f>H568*J568*I568</f>
        <v>0</v>
      </c>
      <c r="M568" s="153">
        <f t="shared" ref="M568" ca="1" si="414">L568/$L$7</f>
        <v>0</v>
      </c>
      <c r="O568" s="148"/>
      <c r="R568" s="356"/>
    </row>
    <row r="569" spans="1:18" s="51" customFormat="1" ht="13.95" hidden="1" customHeight="1" outlineLevel="1" x14ac:dyDescent="0.3">
      <c r="A569" s="13">
        <v>0</v>
      </c>
      <c r="B569" s="49"/>
      <c r="C569" s="49"/>
      <c r="D569" s="370" t="s">
        <v>7525</v>
      </c>
      <c r="E569" s="67" t="s">
        <v>8468</v>
      </c>
      <c r="F569" s="68" t="s">
        <v>5218</v>
      </c>
      <c r="G569" s="68" t="str">
        <f>VLOOKUP(D569,'03. Insumos'!A:F,3,0)</f>
        <v>vb</v>
      </c>
      <c r="H569" s="69">
        <v>1</v>
      </c>
      <c r="I569" s="69"/>
      <c r="J569" s="70">
        <v>500000</v>
      </c>
      <c r="K569" s="70">
        <f>IF(A569=0,VLOOKUP(D569,'03. Insumos'!A:F,4,0),"")</f>
        <v>20000</v>
      </c>
      <c r="L569" s="70">
        <f>H569*J569*I569</f>
        <v>0</v>
      </c>
      <c r="M569" s="153">
        <f t="shared" ca="1" si="413"/>
        <v>0</v>
      </c>
      <c r="O569" s="148"/>
      <c r="R569" s="356"/>
    </row>
    <row r="570" spans="1:18" s="51" customFormat="1" ht="13.95" hidden="1" customHeight="1" outlineLevel="1" x14ac:dyDescent="0.3">
      <c r="A570" s="13">
        <v>0</v>
      </c>
      <c r="B570" s="49"/>
      <c r="C570" s="49"/>
      <c r="D570" s="370" t="s">
        <v>8398</v>
      </c>
      <c r="E570" s="67" t="str">
        <f>VLOOKUP(D570,'03. Insumos'!A:D,2,0)</f>
        <v>Perfil metálico Provisório W200x46,1</v>
      </c>
      <c r="F570" s="68" t="s">
        <v>5218</v>
      </c>
      <c r="G570" s="68" t="str">
        <f>VLOOKUP(D570,'03. Insumos'!A:F,3,0)</f>
        <v>kg</v>
      </c>
      <c r="H570" s="69">
        <v>1</v>
      </c>
      <c r="I570" s="69"/>
      <c r="J570" s="70">
        <f>IFERROR(IF(K570&lt;&gt;0,K570*$K$5,0),0)</f>
        <v>13.5</v>
      </c>
      <c r="K570" s="70">
        <f>IF(A570=0,VLOOKUP(D570,'03. Insumos'!A:F,4,0),"")</f>
        <v>13.5</v>
      </c>
      <c r="L570" s="70">
        <f>H570*J570*I570</f>
        <v>0</v>
      </c>
      <c r="M570" s="153">
        <f t="shared" ca="1" si="321"/>
        <v>0</v>
      </c>
      <c r="O570" s="148"/>
      <c r="R570" s="356"/>
    </row>
    <row r="571" spans="1:18" s="592" customFormat="1" x14ac:dyDescent="0.3">
      <c r="A571" s="478">
        <f t="shared" si="337"/>
        <v>3</v>
      </c>
      <c r="B571" s="390"/>
      <c r="C571" s="390" t="s">
        <v>80</v>
      </c>
      <c r="D571" s="390" t="s">
        <v>261</v>
      </c>
      <c r="E571" s="390"/>
      <c r="F571" s="323"/>
      <c r="G571" s="678"/>
      <c r="H571" s="324"/>
      <c r="I571" s="324"/>
      <c r="J571" s="333"/>
      <c r="K571" s="333"/>
      <c r="L571" s="333">
        <f>SUMIF(A572:A699,4,L572:L699)</f>
        <v>651943.63619000022</v>
      </c>
      <c r="M571" s="153">
        <f t="shared" ca="1" si="321"/>
        <v>3.9585192491512267E-2</v>
      </c>
      <c r="O571" s="499">
        <f>IF(I571&lt;&gt;0,I571*H571*K571,)</f>
        <v>0</v>
      </c>
      <c r="R571" s="348">
        <f t="shared" ref="R571:R690" si="415">IF(J571&lt;&gt;0,J571/1.03-K571,0)</f>
        <v>0</v>
      </c>
    </row>
    <row r="572" spans="1:18" s="18" customFormat="1" outlineLevel="1" x14ac:dyDescent="0.3">
      <c r="A572" s="290">
        <f t="shared" si="337"/>
        <v>4</v>
      </c>
      <c r="B572" s="45"/>
      <c r="C572" s="45" t="s">
        <v>262</v>
      </c>
      <c r="D572" s="45" t="s">
        <v>1877</v>
      </c>
      <c r="E572" s="347"/>
      <c r="F572" s="327"/>
      <c r="G572" s="327"/>
      <c r="H572" s="328"/>
      <c r="I572" s="328"/>
      <c r="J572" s="335"/>
      <c r="K572" s="335" t="str">
        <f>IF(A572=0,VLOOKUP(D572,'03. Insumos'!A:F,4,0),"")</f>
        <v/>
      </c>
      <c r="L572" s="335">
        <f>SUMIF(A573:A699,6,L573:L699)</f>
        <v>651943.63619000022</v>
      </c>
      <c r="M572" s="153">
        <f t="shared" ca="1" si="321"/>
        <v>3.9585192491512267E-2</v>
      </c>
      <c r="O572" s="148">
        <f>IF(I572&lt;&gt;0,I572*H572*K572,)</f>
        <v>0</v>
      </c>
      <c r="R572" s="12">
        <f t="shared" si="415"/>
        <v>0</v>
      </c>
    </row>
    <row r="573" spans="1:18" s="18" customFormat="1" ht="13.5" customHeight="1" outlineLevel="1" x14ac:dyDescent="0.3">
      <c r="A573" s="18">
        <f>LEN(C573)</f>
        <v>6</v>
      </c>
      <c r="B573" s="606"/>
      <c r="C573" s="606" t="s">
        <v>263</v>
      </c>
      <c r="D573" s="606" t="s">
        <v>7034</v>
      </c>
      <c r="E573" s="391"/>
      <c r="F573" s="325"/>
      <c r="G573" s="325" t="s">
        <v>73</v>
      </c>
      <c r="H573" s="326">
        <v>2947.4341000000004</v>
      </c>
      <c r="I573" s="326"/>
      <c r="J573" s="804">
        <f>IFERROR(L573/H573,0)</f>
        <v>85.977730412361041</v>
      </c>
      <c r="K573" s="607" t="str">
        <f>IF(A573=0,VLOOKUP(D573,'03. Insumos'!A:F,4,0),"")</f>
        <v/>
      </c>
      <c r="L573" s="334">
        <f>SUM(L574:L579)</f>
        <v>253413.69445800004</v>
      </c>
      <c r="M573" s="153">
        <f t="shared" ca="1" si="321"/>
        <v>1.538695880786492E-2</v>
      </c>
      <c r="O573" s="600">
        <f t="shared" ref="O573:O738" si="416">IF(I573&lt;&gt;0,I573*H573*K573,)</f>
        <v>0</v>
      </c>
      <c r="R573" s="601" t="e">
        <f t="shared" si="415"/>
        <v>#VALUE!</v>
      </c>
    </row>
    <row r="574" spans="1:18" s="51" customFormat="1" ht="13.5" customHeight="1" outlineLevel="1" x14ac:dyDescent="0.3">
      <c r="A574" s="13">
        <v>0</v>
      </c>
      <c r="B574" s="49"/>
      <c r="C574" s="49"/>
      <c r="D574" s="370" t="s">
        <v>456</v>
      </c>
      <c r="E574" s="67" t="str">
        <f>VLOOKUP(D574,'03. Insumos'!A:D,2,0)</f>
        <v>Execução Alvenaria  - Bloco Cerâmico</v>
      </c>
      <c r="F574" s="68" t="s">
        <v>3809</v>
      </c>
      <c r="G574" s="68" t="str">
        <f>VLOOKUP(D574,'03. Insumos'!A:F,3,0)</f>
        <v>m²</v>
      </c>
      <c r="H574" s="69">
        <v>1</v>
      </c>
      <c r="I574" s="69">
        <f>$H573</f>
        <v>2947.4341000000004</v>
      </c>
      <c r="J574" s="70">
        <v>40.5</v>
      </c>
      <c r="K574" s="70">
        <f>IF(A574=0,VLOOKUP(D574,'03. Insumos'!A:F,4,0),"")</f>
        <v>48</v>
      </c>
      <c r="L574" s="70">
        <f t="shared" ref="L574:L579" si="417">H574*J574*I574</f>
        <v>119371.08105000002</v>
      </c>
      <c r="M574" s="153">
        <f t="shared" ca="1" si="321"/>
        <v>7.2480609656676359E-3</v>
      </c>
      <c r="O574" s="148">
        <v>0</v>
      </c>
      <c r="R574" s="356">
        <v>-0.33786407766990401</v>
      </c>
    </row>
    <row r="575" spans="1:18" s="51" customFormat="1" ht="13.5" customHeight="1" outlineLevel="1" x14ac:dyDescent="0.3">
      <c r="A575" s="13">
        <f>LEN(C575)</f>
        <v>0</v>
      </c>
      <c r="B575" s="49"/>
      <c r="C575" s="49"/>
      <c r="D575" s="370" t="s">
        <v>6598</v>
      </c>
      <c r="E575" s="67" t="str">
        <f>VLOOKUP(D575,'03. Insumos'!A:D,2,0)</f>
        <v>Bloco cerâmico 09x19x39 - Grandes Quantidades</v>
      </c>
      <c r="F575" s="68" t="s">
        <v>5218</v>
      </c>
      <c r="G575" s="68" t="str">
        <f>VLOOKUP(D575,'03. Insumos'!A:F,3,0)</f>
        <v>unid</v>
      </c>
      <c r="H575" s="69">
        <v>1.1000000000000001</v>
      </c>
      <c r="I575" s="69">
        <f>(ROUNDUP($H$573*11.88,0))</f>
        <v>35016</v>
      </c>
      <c r="J575" s="70">
        <f t="shared" ref="J575:J579" si="418">IFERROR(IF(K575&lt;&gt;0,K575*$K$5,0),0)</f>
        <v>1.44</v>
      </c>
      <c r="K575" s="70">
        <f>IF(A575=0,VLOOKUP(D575,'03. Insumos'!A:F,4,0),"")</f>
        <v>1.44</v>
      </c>
      <c r="L575" s="70">
        <f t="shared" si="417"/>
        <v>55465.344000000005</v>
      </c>
      <c r="M575" s="153">
        <f t="shared" ca="1" si="321"/>
        <v>3.367785490904102E-3</v>
      </c>
      <c r="O575" s="148"/>
      <c r="R575" s="356"/>
    </row>
    <row r="576" spans="1:18" s="51" customFormat="1" ht="13.5" customHeight="1" outlineLevel="1" x14ac:dyDescent="0.3">
      <c r="A576" s="13">
        <v>0</v>
      </c>
      <c r="B576" s="49"/>
      <c r="C576" s="49"/>
      <c r="D576" s="370" t="s">
        <v>6600</v>
      </c>
      <c r="E576" s="67" t="str">
        <f>VLOOKUP(D576,'03. Insumos'!A:D,2,0)</f>
        <v>Bloco cerâmico 09x19x19 - Grandes Quantidades</v>
      </c>
      <c r="F576" s="68" t="s">
        <v>5218</v>
      </c>
      <c r="G576" s="68" t="str">
        <f>VLOOKUP(D576,'03. Insumos'!A:F,3,0)</f>
        <v>unid</v>
      </c>
      <c r="H576" s="69">
        <v>1.1000000000000001</v>
      </c>
      <c r="I576" s="69">
        <f>(ROUNDUP($H$573*6.09,0))</f>
        <v>17950</v>
      </c>
      <c r="J576" s="70">
        <f t="shared" si="418"/>
        <v>0.66</v>
      </c>
      <c r="K576" s="70">
        <f>IF(A576=0,VLOOKUP(D576,'03. Insumos'!A:F,4,0),"")</f>
        <v>0.66</v>
      </c>
      <c r="L576" s="70">
        <f t="shared" si="417"/>
        <v>13031.7</v>
      </c>
      <c r="M576" s="153">
        <f t="shared" ca="1" si="321"/>
        <v>7.9126833111888722E-4</v>
      </c>
      <c r="O576" s="148">
        <v>0</v>
      </c>
      <c r="R576" s="356">
        <v>-0.33786407766990401</v>
      </c>
    </row>
    <row r="577" spans="1:18" s="51" customFormat="1" ht="13.5" customHeight="1" outlineLevel="1" x14ac:dyDescent="0.3">
      <c r="A577" s="13">
        <v>0</v>
      </c>
      <c r="B577" s="49"/>
      <c r="C577" s="49"/>
      <c r="D577" s="370" t="s">
        <v>6610</v>
      </c>
      <c r="E577" s="67" t="str">
        <f>VLOOKUP(D577,'03. Insumos'!A:D,2,0)</f>
        <v>Argamassa multiuso 50kg - Grandes Quantidade ( acima de 240 )</v>
      </c>
      <c r="F577" s="68" t="s">
        <v>5218</v>
      </c>
      <c r="G577" s="68" t="str">
        <f>VLOOKUP(D577,'03. Insumos'!A:F,3,0)</f>
        <v>sc</v>
      </c>
      <c r="H577" s="69">
        <v>1.1000000000000001</v>
      </c>
      <c r="I577" s="69">
        <f>ROUNDUP((H573*(19*2/50)),0)</f>
        <v>2241</v>
      </c>
      <c r="J577" s="70">
        <f t="shared" si="418"/>
        <v>23</v>
      </c>
      <c r="K577" s="70">
        <f>IF(A577=0,VLOOKUP(D577,'03. Insumos'!A:F,4,0),"")</f>
        <v>23</v>
      </c>
      <c r="L577" s="70">
        <f t="shared" si="417"/>
        <v>56697.3</v>
      </c>
      <c r="M577" s="153">
        <f t="shared" ca="1" si="321"/>
        <v>3.442588300064219E-3</v>
      </c>
      <c r="O577" s="148">
        <v>0</v>
      </c>
      <c r="R577" s="356">
        <v>-0.33786407766990401</v>
      </c>
    </row>
    <row r="578" spans="1:18" s="51" customFormat="1" ht="13.5" customHeight="1" outlineLevel="1" x14ac:dyDescent="0.3">
      <c r="A578" s="13">
        <v>0</v>
      </c>
      <c r="B578" s="49"/>
      <c r="C578" s="49"/>
      <c r="D578" s="370" t="s">
        <v>6450</v>
      </c>
      <c r="E578" s="67" t="str">
        <f>VLOOKUP(D578,'03. Insumos'!A:D,2,0)</f>
        <v>Tela de Arame Soldado Malha 15 Fio 1,65 MM ( Pç c/ 12,0 x 50 cm )</v>
      </c>
      <c r="F578" s="68" t="s">
        <v>5218</v>
      </c>
      <c r="G578" s="68" t="str">
        <f>VLOOKUP(D578,'03. Insumos'!A:F,3,0)</f>
        <v>pç</v>
      </c>
      <c r="H578" s="69">
        <v>1.1000000000000001</v>
      </c>
      <c r="I578" s="69">
        <f>ROUNDUP($H573,0)</f>
        <v>2948</v>
      </c>
      <c r="J578" s="70">
        <f t="shared" ref="J578" si="419">IFERROR(IF(K578&lt;&gt;0,K578*$K$5,0),0)</f>
        <v>1.29036</v>
      </c>
      <c r="K578" s="70">
        <f>IF(A578=0,VLOOKUP(D578,'03. Insumos'!A:F,4,0),"")</f>
        <v>1.29036</v>
      </c>
      <c r="L578" s="70">
        <f t="shared" ref="L578" si="420">H578*J578*I578</f>
        <v>4184.3794080000007</v>
      </c>
      <c r="M578" s="153">
        <f t="shared" ref="M578" ca="1" si="421">L578/$L$7</f>
        <v>2.5407022191551354E-4</v>
      </c>
      <c r="O578" s="148">
        <v>0</v>
      </c>
      <c r="R578" s="356">
        <v>-0.33786407766990401</v>
      </c>
    </row>
    <row r="579" spans="1:18" s="51" customFormat="1" ht="13.5" customHeight="1" outlineLevel="1" x14ac:dyDescent="0.3">
      <c r="A579" s="13">
        <v>0</v>
      </c>
      <c r="B579" s="49"/>
      <c r="C579" s="49"/>
      <c r="D579" s="370" t="s">
        <v>2080</v>
      </c>
      <c r="E579" s="67" t="str">
        <f>VLOOKUP(D579,'03. Insumos'!A:D,2,0)</f>
        <v>Aditivo compensador de retração 3kg - Vedacit</v>
      </c>
      <c r="F579" s="68" t="s">
        <v>5218</v>
      </c>
      <c r="G579" s="68" t="str">
        <f>VLOOKUP(D579,'03. Insumos'!A:F,3,0)</f>
        <v>gl</v>
      </c>
      <c r="H579" s="69">
        <v>1.1000000000000001</v>
      </c>
      <c r="I579" s="69">
        <f>ROUNDUP($H573*0.01,0)</f>
        <v>30</v>
      </c>
      <c r="J579" s="70">
        <f t="shared" si="418"/>
        <v>141.33000000000001</v>
      </c>
      <c r="K579" s="70">
        <f>IF(A579=0,VLOOKUP(D579,'03. Insumos'!A:F,4,0),"")</f>
        <v>141.33000000000001</v>
      </c>
      <c r="L579" s="70">
        <f t="shared" si="417"/>
        <v>4663.8900000000003</v>
      </c>
      <c r="M579" s="153">
        <f t="shared" ca="1" si="321"/>
        <v>2.8318549819456148E-4</v>
      </c>
      <c r="O579" s="148">
        <v>0</v>
      </c>
      <c r="R579" s="356">
        <v>-0.33786407766990401</v>
      </c>
    </row>
    <row r="580" spans="1:18" s="18" customFormat="1" ht="13.5" customHeight="1" outlineLevel="1" x14ac:dyDescent="0.3">
      <c r="A580" s="18">
        <f>LEN(C580)</f>
        <v>6</v>
      </c>
      <c r="B580" s="606"/>
      <c r="C580" s="606" t="s">
        <v>3148</v>
      </c>
      <c r="D580" s="606" t="s">
        <v>6868</v>
      </c>
      <c r="E580" s="391"/>
      <c r="F580" s="325"/>
      <c r="G580" s="325" t="s">
        <v>73</v>
      </c>
      <c r="H580" s="326">
        <v>2813.4544000000001</v>
      </c>
      <c r="I580" s="326"/>
      <c r="J580" s="804">
        <f>IFERROR(L580/H580,0)</f>
        <v>114.73648257601049</v>
      </c>
      <c r="K580" s="607" t="str">
        <f>IF(A580=0,VLOOKUP(D580,'03. Insumos'!A:F,4,0),"")</f>
        <v/>
      </c>
      <c r="L580" s="334">
        <f>SUM(L581:L586)</f>
        <v>322805.86174400005</v>
      </c>
      <c r="M580" s="153">
        <f t="shared" ca="1" si="321"/>
        <v>1.9600363382948436E-2</v>
      </c>
      <c r="O580" s="600">
        <f t="shared" ref="O580" si="422">IF(I580&lt;&gt;0,I580*H580*K580,)</f>
        <v>0</v>
      </c>
      <c r="R580" s="601" t="e">
        <f t="shared" ref="R580" si="423">IF(J580&lt;&gt;0,J580/1.03-K580,0)</f>
        <v>#VALUE!</v>
      </c>
    </row>
    <row r="581" spans="1:18" s="51" customFormat="1" ht="13.5" customHeight="1" outlineLevel="1" x14ac:dyDescent="0.3">
      <c r="A581" s="13">
        <v>0</v>
      </c>
      <c r="B581" s="49"/>
      <c r="C581" s="49"/>
      <c r="D581" s="370" t="s">
        <v>456</v>
      </c>
      <c r="E581" s="67" t="str">
        <f>VLOOKUP(D581,'03. Insumos'!A:D,2,0)</f>
        <v>Execução Alvenaria  - Bloco Cerâmico</v>
      </c>
      <c r="F581" s="68" t="s">
        <v>3809</v>
      </c>
      <c r="G581" s="68" t="str">
        <f>VLOOKUP(D581,'03. Insumos'!A:F,3,0)</f>
        <v>m²</v>
      </c>
      <c r="H581" s="69">
        <v>1</v>
      </c>
      <c r="I581" s="69">
        <f>$H$580</f>
        <v>2813.4544000000001</v>
      </c>
      <c r="J581" s="70">
        <v>42.5</v>
      </c>
      <c r="K581" s="70">
        <f>IF(A581=0,VLOOKUP(D581,'03. Insumos'!A:F,4,0),"")</f>
        <v>48</v>
      </c>
      <c r="L581" s="70">
        <f t="shared" ref="L581:L586" si="424">H581*J581*I581</f>
        <v>119571.81200000001</v>
      </c>
      <c r="M581" s="153">
        <f t="shared" ca="1" si="321"/>
        <v>7.2602490949071367E-3</v>
      </c>
      <c r="O581" s="148">
        <v>0</v>
      </c>
      <c r="R581" s="356">
        <v>-0.33786407766990401</v>
      </c>
    </row>
    <row r="582" spans="1:18" s="51" customFormat="1" ht="13.5" customHeight="1" outlineLevel="1" x14ac:dyDescent="0.3">
      <c r="A582" s="13">
        <f>LEN(C582)</f>
        <v>0</v>
      </c>
      <c r="B582" s="49"/>
      <c r="C582" s="49"/>
      <c r="D582" s="370" t="s">
        <v>6602</v>
      </c>
      <c r="E582" s="67" t="str">
        <f>VLOOKUP(D582,'03. Insumos'!A:D,2,0)</f>
        <v>Bloco cerâmico 14x19x39 - Grandes Quantidades</v>
      </c>
      <c r="F582" s="68" t="s">
        <v>5218</v>
      </c>
      <c r="G582" s="68" t="str">
        <f>VLOOKUP(D582,'03. Insumos'!A:F,3,0)</f>
        <v>unid</v>
      </c>
      <c r="H582" s="69">
        <v>1.1000000000000001</v>
      </c>
      <c r="I582" s="69">
        <f>(ROUNDUP($H$580*11.88,0))</f>
        <v>33424</v>
      </c>
      <c r="J582" s="70">
        <f t="shared" ref="J582:J586" si="425">IFERROR(IF(K582&lt;&gt;0,K582*$K$5,0),0)</f>
        <v>3.234</v>
      </c>
      <c r="K582" s="70">
        <f>IF(A582=0,VLOOKUP(D582,'03. Insumos'!A:F,4,0),"")</f>
        <v>3.234</v>
      </c>
      <c r="L582" s="70">
        <f t="shared" si="424"/>
        <v>118902.53760000001</v>
      </c>
      <c r="M582" s="153">
        <f t="shared" ca="1" si="321"/>
        <v>7.219611600370845E-3</v>
      </c>
      <c r="O582" s="148"/>
      <c r="R582" s="356"/>
    </row>
    <row r="583" spans="1:18" s="51" customFormat="1" ht="13.5" customHeight="1" outlineLevel="1" x14ac:dyDescent="0.3">
      <c r="A583" s="13">
        <v>0</v>
      </c>
      <c r="B583" s="49"/>
      <c r="C583" s="49"/>
      <c r="D583" s="370" t="s">
        <v>6604</v>
      </c>
      <c r="E583" s="67" t="str">
        <f>VLOOKUP(D583,'03. Insumos'!A:D,2,0)</f>
        <v>Bloco cerâmico 14x19x19 - Grandes Quantidades</v>
      </c>
      <c r="F583" s="68" t="s">
        <v>5218</v>
      </c>
      <c r="G583" s="68" t="str">
        <f>VLOOKUP(D583,'03. Insumos'!A:F,3,0)</f>
        <v>unid</v>
      </c>
      <c r="H583" s="69">
        <v>1.1000000000000001</v>
      </c>
      <c r="I583" s="69">
        <f>(ROUNDUP($H$580*6.09,0))</f>
        <v>17134</v>
      </c>
      <c r="J583" s="70">
        <f t="shared" si="425"/>
        <v>1.1519999999999999</v>
      </c>
      <c r="K583" s="70">
        <f>IF(A583=0,VLOOKUP(D583,'03. Insumos'!A:F,4,0),"")</f>
        <v>1.1519999999999999</v>
      </c>
      <c r="L583" s="70">
        <f t="shared" si="424"/>
        <v>21712.204800000003</v>
      </c>
      <c r="M583" s="153">
        <f t="shared" ca="1" si="321"/>
        <v>1.3183375965535957E-3</v>
      </c>
      <c r="O583" s="148">
        <v>0</v>
      </c>
      <c r="R583" s="356">
        <v>-0.33786407766990401</v>
      </c>
    </row>
    <row r="584" spans="1:18" s="51" customFormat="1" ht="13.5" customHeight="1" outlineLevel="1" x14ac:dyDescent="0.3">
      <c r="A584" s="13">
        <v>0</v>
      </c>
      <c r="B584" s="49"/>
      <c r="C584" s="49"/>
      <c r="D584" s="370" t="s">
        <v>6610</v>
      </c>
      <c r="E584" s="67" t="str">
        <f>VLOOKUP(D584,'03. Insumos'!A:D,2,0)</f>
        <v>Argamassa multiuso 50kg - Grandes Quantidade ( acima de 240 )</v>
      </c>
      <c r="F584" s="68" t="s">
        <v>5218</v>
      </c>
      <c r="G584" s="68" t="str">
        <f>VLOOKUP(D584,'03. Insumos'!A:F,3,0)</f>
        <v>sc</v>
      </c>
      <c r="H584" s="69">
        <v>1.1000000000000001</v>
      </c>
      <c r="I584" s="69">
        <f>ROUNDUP((H580*(19*2/50)),0)</f>
        <v>2139</v>
      </c>
      <c r="J584" s="70">
        <f t="shared" si="425"/>
        <v>23</v>
      </c>
      <c r="K584" s="70">
        <f>IF(A584=0,VLOOKUP(D584,'03. Insumos'!A:F,4,0),"")</f>
        <v>23</v>
      </c>
      <c r="L584" s="70">
        <f t="shared" si="424"/>
        <v>54116.700000000004</v>
      </c>
      <c r="M584" s="153">
        <f t="shared" ca="1" si="321"/>
        <v>3.2858975340639735E-3</v>
      </c>
      <c r="O584" s="148">
        <v>0</v>
      </c>
      <c r="R584" s="356">
        <v>-0.33786407766990401</v>
      </c>
    </row>
    <row r="585" spans="1:18" s="51" customFormat="1" ht="13.5" customHeight="1" outlineLevel="1" x14ac:dyDescent="0.3">
      <c r="A585" s="13">
        <v>0</v>
      </c>
      <c r="B585" s="49"/>
      <c r="C585" s="49"/>
      <c r="D585" s="370" t="s">
        <v>6450</v>
      </c>
      <c r="E585" s="67" t="str">
        <f>VLOOKUP(D585,'03. Insumos'!A:D,2,0)</f>
        <v>Tela de Arame Soldado Malha 15 Fio 1,65 MM ( Pç c/ 12,0 x 50 cm )</v>
      </c>
      <c r="F585" s="68" t="s">
        <v>5218</v>
      </c>
      <c r="G585" s="68" t="str">
        <f>VLOOKUP(D585,'03. Insumos'!A:F,3,0)</f>
        <v>pç</v>
      </c>
      <c r="H585" s="69">
        <v>1.1000000000000001</v>
      </c>
      <c r="I585" s="69">
        <f>ROUNDUP($H580,0)</f>
        <v>2814</v>
      </c>
      <c r="J585" s="70">
        <f t="shared" ref="J585" si="426">IFERROR(IF(K585&lt;&gt;0,K585*$K$5,0),0)</f>
        <v>1.29036</v>
      </c>
      <c r="K585" s="70">
        <f>IF(A585=0,VLOOKUP(D585,'03. Insumos'!A:F,4,0),"")</f>
        <v>1.29036</v>
      </c>
      <c r="L585" s="70">
        <f t="shared" ref="L585" si="427">H585*J585*I585</f>
        <v>3994.1803440000003</v>
      </c>
      <c r="M585" s="153">
        <f t="shared" ref="M585" ca="1" si="428">L585/$L$7</f>
        <v>2.4252157546480834E-4</v>
      </c>
      <c r="O585" s="148">
        <v>0</v>
      </c>
      <c r="R585" s="356">
        <v>-0.33786407766990401</v>
      </c>
    </row>
    <row r="586" spans="1:18" s="51" customFormat="1" ht="13.5" customHeight="1" outlineLevel="1" x14ac:dyDescent="0.3">
      <c r="A586" s="13">
        <v>0</v>
      </c>
      <c r="B586" s="49"/>
      <c r="C586" s="49"/>
      <c r="D586" s="370" t="s">
        <v>2080</v>
      </c>
      <c r="E586" s="67" t="str">
        <f>VLOOKUP(D586,'03. Insumos'!A:D,2,0)</f>
        <v>Aditivo compensador de retração 3kg - Vedacit</v>
      </c>
      <c r="F586" s="68" t="s">
        <v>5218</v>
      </c>
      <c r="G586" s="68" t="str">
        <f>VLOOKUP(D586,'03. Insumos'!A:F,3,0)</f>
        <v>gl</v>
      </c>
      <c r="H586" s="69">
        <v>1.1000000000000001</v>
      </c>
      <c r="I586" s="69">
        <f>ROUNDUP($H580*0.01,0)</f>
        <v>29</v>
      </c>
      <c r="J586" s="70">
        <f t="shared" si="425"/>
        <v>141.33000000000001</v>
      </c>
      <c r="K586" s="70">
        <f>IF(A586=0,VLOOKUP(D586,'03. Insumos'!A:F,4,0),"")</f>
        <v>141.33000000000001</v>
      </c>
      <c r="L586" s="70">
        <f t="shared" si="424"/>
        <v>4508.4270000000006</v>
      </c>
      <c r="M586" s="153">
        <f t="shared" ca="1" si="321"/>
        <v>2.7374598158807611E-4</v>
      </c>
      <c r="O586" s="148">
        <v>0</v>
      </c>
      <c r="R586" s="356">
        <v>-0.33786407766990401</v>
      </c>
    </row>
    <row r="587" spans="1:18" s="18" customFormat="1" ht="13.5" hidden="1" customHeight="1" outlineLevel="1" x14ac:dyDescent="0.3">
      <c r="A587" s="18">
        <f>LEN(C587)</f>
        <v>6</v>
      </c>
      <c r="B587" s="606"/>
      <c r="C587" s="606" t="s">
        <v>7032</v>
      </c>
      <c r="D587" s="606" t="s">
        <v>6869</v>
      </c>
      <c r="E587" s="391"/>
      <c r="F587" s="325"/>
      <c r="G587" s="325" t="s">
        <v>73</v>
      </c>
      <c r="H587" s="326"/>
      <c r="I587" s="326"/>
      <c r="J587" s="804">
        <f>IFERROR(L587/H587,0)</f>
        <v>0</v>
      </c>
      <c r="K587" s="607" t="str">
        <f>IF(A587=0,VLOOKUP(D587,'03. Insumos'!A:F,4,0),"")</f>
        <v/>
      </c>
      <c r="L587" s="334">
        <f>SUM(L588:L593)</f>
        <v>0</v>
      </c>
      <c r="M587" s="153">
        <f t="shared" ca="1" si="321"/>
        <v>0</v>
      </c>
      <c r="O587" s="600">
        <f t="shared" ref="O587" si="429">IF(I587&lt;&gt;0,I587*H587*K587,)</f>
        <v>0</v>
      </c>
      <c r="R587" s="601">
        <f t="shared" ref="R587" si="430">IF(J587&lt;&gt;0,J587/1.03-K587,0)</f>
        <v>0</v>
      </c>
    </row>
    <row r="588" spans="1:18" s="51" customFormat="1" ht="13.5" hidden="1" customHeight="1" outlineLevel="1" x14ac:dyDescent="0.3">
      <c r="A588" s="13">
        <f>LEN(C588)</f>
        <v>0</v>
      </c>
      <c r="B588" s="49"/>
      <c r="C588" s="49"/>
      <c r="D588" s="370" t="s">
        <v>457</v>
      </c>
      <c r="E588" s="67" t="str">
        <f>VLOOKUP(D588,'03. Insumos'!A:D,2,0)</f>
        <v>Execução Alvenaria  - Bloco Concreto</v>
      </c>
      <c r="F588" s="68" t="s">
        <v>5218</v>
      </c>
      <c r="G588" s="68" t="str">
        <f>VLOOKUP(D588,'03. Insumos'!A:F,3,0)</f>
        <v>m²</v>
      </c>
      <c r="H588" s="69">
        <v>1</v>
      </c>
      <c r="I588" s="69">
        <f>$H587</f>
        <v>0</v>
      </c>
      <c r="J588" s="70">
        <f t="shared" ref="J588:J593" si="431">IFERROR(IF(K588&lt;&gt;0,K588*$K$5,0),0)</f>
        <v>66</v>
      </c>
      <c r="K588" s="70">
        <f>IF(A588=0,VLOOKUP(D588,'03. Insumos'!A:F,4,0),"")</f>
        <v>66</v>
      </c>
      <c r="L588" s="70">
        <f t="shared" ref="L588:L593" si="432">H588*J588*I588</f>
        <v>0</v>
      </c>
      <c r="M588" s="153">
        <f t="shared" ca="1" si="321"/>
        <v>0</v>
      </c>
      <c r="O588" s="148"/>
      <c r="R588" s="356"/>
    </row>
    <row r="589" spans="1:18" s="51" customFormat="1" ht="13.5" hidden="1" customHeight="1" outlineLevel="1" x14ac:dyDescent="0.3">
      <c r="A589" s="13">
        <v>0</v>
      </c>
      <c r="B589" s="49"/>
      <c r="C589" s="49"/>
      <c r="D589" s="370" t="s">
        <v>6606</v>
      </c>
      <c r="E589" s="67" t="str">
        <f>VLOOKUP(D589,'03. Insumos'!A:D,2,0)</f>
        <v>Bloco cerâmico 19x19x39 - Grandes Quantidades</v>
      </c>
      <c r="F589" s="68" t="s">
        <v>5218</v>
      </c>
      <c r="G589" s="68" t="str">
        <f>VLOOKUP(D589,'03. Insumos'!A:F,3,0)</f>
        <v>unid</v>
      </c>
      <c r="H589" s="69">
        <v>1.1000000000000001</v>
      </c>
      <c r="I589" s="69">
        <f>$H587*13.9</f>
        <v>0</v>
      </c>
      <c r="J589" s="70">
        <f t="shared" si="431"/>
        <v>4.33</v>
      </c>
      <c r="K589" s="70">
        <f>IF(A589=0,VLOOKUP(D589,'03. Insumos'!A:F,4,0),"")</f>
        <v>4.33</v>
      </c>
      <c r="L589" s="70">
        <f t="shared" si="432"/>
        <v>0</v>
      </c>
      <c r="M589" s="153">
        <f t="shared" ca="1" si="321"/>
        <v>0</v>
      </c>
      <c r="O589" s="148">
        <v>0</v>
      </c>
      <c r="R589" s="356">
        <v>-0.33786407766990401</v>
      </c>
    </row>
    <row r="590" spans="1:18" s="51" customFormat="1" ht="13.5" hidden="1" customHeight="1" outlineLevel="1" x14ac:dyDescent="0.3">
      <c r="A590" s="13">
        <v>0</v>
      </c>
      <c r="B590" s="49"/>
      <c r="C590" s="49"/>
      <c r="D590" s="370" t="s">
        <v>6608</v>
      </c>
      <c r="E590" s="67" t="str">
        <f>VLOOKUP(D590,'03. Insumos'!A:D,2,0)</f>
        <v>Bloco cerâmico 19x19x19 - Grandes Quantidades</v>
      </c>
      <c r="F590" s="68" t="s">
        <v>5218</v>
      </c>
      <c r="G590" s="68" t="str">
        <f>VLOOKUP(D590,'03. Insumos'!A:F,3,0)</f>
        <v>unid</v>
      </c>
      <c r="H590" s="69">
        <v>1.1000000000000001</v>
      </c>
      <c r="I590" s="69">
        <f>$H587*0.9919</f>
        <v>0</v>
      </c>
      <c r="J590" s="70">
        <f t="shared" si="431"/>
        <v>2.4700000000000002</v>
      </c>
      <c r="K590" s="70">
        <f>IF(A590=0,VLOOKUP(D590,'03. Insumos'!A:F,4,0),"")</f>
        <v>2.4700000000000002</v>
      </c>
      <c r="L590" s="70">
        <f t="shared" si="432"/>
        <v>0</v>
      </c>
      <c r="M590" s="153">
        <f t="shared" ca="1" si="321"/>
        <v>0</v>
      </c>
      <c r="O590" s="148">
        <v>0</v>
      </c>
      <c r="R590" s="356">
        <v>-0.33786407766990401</v>
      </c>
    </row>
    <row r="591" spans="1:18" s="51" customFormat="1" ht="13.5" hidden="1" customHeight="1" outlineLevel="1" x14ac:dyDescent="0.3">
      <c r="A591" s="13">
        <v>0</v>
      </c>
      <c r="B591" s="49"/>
      <c r="C591" s="49"/>
      <c r="D591" s="370" t="s">
        <v>6610</v>
      </c>
      <c r="E591" s="67" t="str">
        <f>VLOOKUP(D591,'03. Insumos'!A:D,2,0)</f>
        <v>Argamassa multiuso 50kg - Grandes Quantidade ( acima de 240 )</v>
      </c>
      <c r="F591" s="68" t="s">
        <v>3809</v>
      </c>
      <c r="G591" s="68" t="str">
        <f>VLOOKUP(D591,'03. Insumos'!A:F,3,0)</f>
        <v>sc</v>
      </c>
      <c r="H591" s="69">
        <v>1.1000000000000001</v>
      </c>
      <c r="I591" s="69">
        <f>$H587*0.594</f>
        <v>0</v>
      </c>
      <c r="J591" s="70">
        <f t="shared" si="431"/>
        <v>23</v>
      </c>
      <c r="K591" s="70">
        <f>IF(A591=0,VLOOKUP(D591,'03. Insumos'!A:F,4,0),"")</f>
        <v>23</v>
      </c>
      <c r="L591" s="70">
        <f t="shared" si="432"/>
        <v>0</v>
      </c>
      <c r="M591" s="153">
        <f t="shared" ca="1" si="321"/>
        <v>0</v>
      </c>
      <c r="O591" s="148">
        <v>0</v>
      </c>
      <c r="R591" s="356">
        <v>-0.33786407766990401</v>
      </c>
    </row>
    <row r="592" spans="1:18" s="51" customFormat="1" ht="13.5" hidden="1" customHeight="1" outlineLevel="1" x14ac:dyDescent="0.3">
      <c r="A592" s="13">
        <v>0</v>
      </c>
      <c r="B592" s="49"/>
      <c r="C592" s="49"/>
      <c r="D592" s="370" t="s">
        <v>6450</v>
      </c>
      <c r="E592" s="67" t="str">
        <f>VLOOKUP(D592,'03. Insumos'!A:D,2,0)</f>
        <v>Tela de Arame Soldado Malha 15 Fio 1,65 MM ( Pç c/ 12,0 x 50 cm )</v>
      </c>
      <c r="F592" s="68" t="s">
        <v>5218</v>
      </c>
      <c r="G592" s="68" t="str">
        <f>VLOOKUP(D592,'03. Insumos'!A:F,3,0)</f>
        <v>pç</v>
      </c>
      <c r="H592" s="69">
        <v>1.1000000000000001</v>
      </c>
      <c r="I592" s="69">
        <f>$H587</f>
        <v>0</v>
      </c>
      <c r="J592" s="70">
        <f t="shared" si="431"/>
        <v>1.29036</v>
      </c>
      <c r="K592" s="70">
        <f>IF(A592=0,VLOOKUP(D592,'03. Insumos'!A:F,4,0),"")</f>
        <v>1.29036</v>
      </c>
      <c r="L592" s="70">
        <f t="shared" si="432"/>
        <v>0</v>
      </c>
      <c r="M592" s="153">
        <f t="shared" ca="1" si="321"/>
        <v>0</v>
      </c>
      <c r="O592" s="148">
        <v>0</v>
      </c>
      <c r="R592" s="356">
        <v>-0.33786407766990401</v>
      </c>
    </row>
    <row r="593" spans="1:18" s="51" customFormat="1" ht="13.5" hidden="1" customHeight="1" outlineLevel="1" x14ac:dyDescent="0.3">
      <c r="A593" s="13">
        <v>0</v>
      </c>
      <c r="B593" s="49"/>
      <c r="C593" s="49"/>
      <c r="D593" s="370" t="s">
        <v>6449</v>
      </c>
      <c r="E593" s="67" t="str">
        <f>VLOOKUP(D593,'03. Insumos'!A:D,2,0)</f>
        <v>Diversos de Alvenaria</v>
      </c>
      <c r="F593" s="68" t="s">
        <v>5218</v>
      </c>
      <c r="G593" s="68" t="str">
        <f>VLOOKUP(D593,'03. Insumos'!A:F,3,0)</f>
        <v>vb</v>
      </c>
      <c r="H593" s="69">
        <f>H587</f>
        <v>0</v>
      </c>
      <c r="I593" s="69"/>
      <c r="J593" s="70">
        <f t="shared" si="431"/>
        <v>1</v>
      </c>
      <c r="K593" s="70">
        <f>IF(A593=0,VLOOKUP(D593,'03. Insumos'!A:F,4,0),"")</f>
        <v>1</v>
      </c>
      <c r="L593" s="70">
        <f t="shared" si="432"/>
        <v>0</v>
      </c>
      <c r="M593" s="153">
        <f t="shared" ca="1" si="321"/>
        <v>0</v>
      </c>
      <c r="O593" s="148">
        <v>0</v>
      </c>
      <c r="R593" s="356">
        <v>-0.33786407766990401</v>
      </c>
    </row>
    <row r="594" spans="1:18" s="18" customFormat="1" ht="13.5" hidden="1" customHeight="1" outlineLevel="1" x14ac:dyDescent="0.3">
      <c r="A594" s="18">
        <f>LEN(C594)</f>
        <v>6</v>
      </c>
      <c r="B594" s="606"/>
      <c r="C594" s="606" t="s">
        <v>5483</v>
      </c>
      <c r="D594" s="606" t="s">
        <v>7034</v>
      </c>
      <c r="E594" s="391"/>
      <c r="F594" s="325"/>
      <c r="G594" s="325" t="s">
        <v>73</v>
      </c>
      <c r="H594" s="326"/>
      <c r="I594" s="326"/>
      <c r="J594" s="804">
        <f>IFERROR(L594/H594,0)</f>
        <v>0</v>
      </c>
      <c r="K594" s="607" t="str">
        <f>IF(A594=0,VLOOKUP(D594,'03. Insumos'!A:F,4,0),"")</f>
        <v/>
      </c>
      <c r="L594" s="334">
        <f>SUM(L595:L600)</f>
        <v>0</v>
      </c>
      <c r="M594" s="153">
        <f t="shared" ca="1" si="321"/>
        <v>0</v>
      </c>
      <c r="O594" s="600">
        <f t="shared" ref="O594" si="433">IF(I594&lt;&gt;0,I594*H594*K594,)</f>
        <v>0</v>
      </c>
      <c r="R594" s="601">
        <f t="shared" ref="R594" si="434">IF(J594&lt;&gt;0,J594/1.03-K594,0)</f>
        <v>0</v>
      </c>
    </row>
    <row r="595" spans="1:18" s="51" customFormat="1" ht="13.5" hidden="1" customHeight="1" outlineLevel="1" x14ac:dyDescent="0.3">
      <c r="A595" s="13">
        <v>0</v>
      </c>
      <c r="B595" s="49"/>
      <c r="C595" s="49"/>
      <c r="D595" s="370" t="s">
        <v>457</v>
      </c>
      <c r="E595" s="67" t="str">
        <f>VLOOKUP(D595,'03. Insumos'!A:D,2,0)</f>
        <v>Execução Alvenaria  - Bloco Concreto</v>
      </c>
      <c r="F595" s="68" t="s">
        <v>3809</v>
      </c>
      <c r="G595" s="68" t="str">
        <f>VLOOKUP(D595,'03. Insumos'!A:F,3,0)</f>
        <v>m²</v>
      </c>
      <c r="H595" s="69"/>
      <c r="I595" s="69">
        <f>$H594</f>
        <v>0</v>
      </c>
      <c r="J595" s="70">
        <f t="shared" ref="J595:J600" si="435">IFERROR(IF(K595&lt;&gt;0,K595*$K$5,0),0)</f>
        <v>66</v>
      </c>
      <c r="K595" s="70">
        <f>IF(A595=0,VLOOKUP(D595,'03. Insumos'!A:F,4,0),"")</f>
        <v>66</v>
      </c>
      <c r="L595" s="70">
        <f t="shared" ref="L595:L600" si="436">H595*J595*I595</f>
        <v>0</v>
      </c>
      <c r="M595" s="153">
        <f t="shared" ca="1" si="321"/>
        <v>0</v>
      </c>
      <c r="O595" s="148">
        <v>0</v>
      </c>
      <c r="R595" s="356">
        <v>-0.33786407766990401</v>
      </c>
    </row>
    <row r="596" spans="1:18" s="51" customFormat="1" ht="13.5" hidden="1" customHeight="1" outlineLevel="1" x14ac:dyDescent="0.3">
      <c r="A596" s="13">
        <f>LEN(C596)</f>
        <v>0</v>
      </c>
      <c r="B596" s="49"/>
      <c r="C596" s="49"/>
      <c r="D596" s="370" t="s">
        <v>6599</v>
      </c>
      <c r="E596" s="67" t="str">
        <f>VLOOKUP(D596,'03. Insumos'!A:D,2,0)</f>
        <v>Bloco cerâmico 09x19x39 - Pequenas Quantidades</v>
      </c>
      <c r="F596" s="68" t="s">
        <v>5218</v>
      </c>
      <c r="G596" s="68" t="str">
        <f>VLOOKUP(D596,'03. Insumos'!A:F,3,0)</f>
        <v>unid</v>
      </c>
      <c r="H596" s="69"/>
      <c r="I596" s="69">
        <f>$H$573*11.88</f>
        <v>35015.517108000007</v>
      </c>
      <c r="J596" s="70">
        <f t="shared" si="435"/>
        <v>0</v>
      </c>
      <c r="K596" s="70">
        <f>IF(A596=0,VLOOKUP(D596,'03. Insumos'!A:F,4,0),"")</f>
        <v>0</v>
      </c>
      <c r="L596" s="70">
        <f t="shared" si="436"/>
        <v>0</v>
      </c>
      <c r="M596" s="153">
        <f t="shared" ca="1" si="321"/>
        <v>0</v>
      </c>
      <c r="O596" s="148"/>
      <c r="R596" s="356"/>
    </row>
    <row r="597" spans="1:18" s="51" customFormat="1" ht="13.5" hidden="1" customHeight="1" outlineLevel="1" x14ac:dyDescent="0.3">
      <c r="A597" s="13">
        <v>0</v>
      </c>
      <c r="B597" s="49"/>
      <c r="C597" s="49"/>
      <c r="D597" s="370" t="s">
        <v>6601</v>
      </c>
      <c r="E597" s="67" t="str">
        <f>VLOOKUP(D597,'03. Insumos'!A:D,2,0)</f>
        <v>Bloco cerâmico 09x19x19 - Pequenas Quantidades</v>
      </c>
      <c r="F597" s="68" t="s">
        <v>5218</v>
      </c>
      <c r="G597" s="68" t="str">
        <f>VLOOKUP(D597,'03. Insumos'!A:F,3,0)</f>
        <v>unid</v>
      </c>
      <c r="H597" s="69"/>
      <c r="I597" s="69">
        <f>$H594*6.09</f>
        <v>0</v>
      </c>
      <c r="J597" s="70">
        <f t="shared" si="435"/>
        <v>0</v>
      </c>
      <c r="K597" s="70">
        <f>IF(A597=0,VLOOKUP(D597,'03. Insumos'!A:F,4,0),"")</f>
        <v>0</v>
      </c>
      <c r="L597" s="70">
        <f t="shared" si="436"/>
        <v>0</v>
      </c>
      <c r="M597" s="153">
        <f t="shared" ca="1" si="321"/>
        <v>0</v>
      </c>
      <c r="O597" s="148">
        <v>0</v>
      </c>
      <c r="R597" s="356">
        <v>-0.33786407766990401</v>
      </c>
    </row>
    <row r="598" spans="1:18" s="51" customFormat="1" ht="13.5" hidden="1" customHeight="1" outlineLevel="1" x14ac:dyDescent="0.3">
      <c r="A598" s="13">
        <v>0</v>
      </c>
      <c r="B598" s="49"/>
      <c r="C598" s="49"/>
      <c r="D598" s="370" t="s">
        <v>6610</v>
      </c>
      <c r="E598" s="67" t="str">
        <f>VLOOKUP(D598,'03. Insumos'!A:D,2,0)</f>
        <v>Argamassa multiuso 50kg - Grandes Quantidade ( acima de 240 )</v>
      </c>
      <c r="F598" s="68" t="s">
        <v>5218</v>
      </c>
      <c r="G598" s="68" t="str">
        <f>VLOOKUP(D598,'03. Insumos'!A:F,3,0)</f>
        <v>sc</v>
      </c>
      <c r="H598" s="69"/>
      <c r="I598" s="69">
        <f>$H594*0.594</f>
        <v>0</v>
      </c>
      <c r="J598" s="70">
        <f t="shared" si="435"/>
        <v>23</v>
      </c>
      <c r="K598" s="70">
        <f>IF(A598=0,VLOOKUP(D598,'03. Insumos'!A:F,4,0),"")</f>
        <v>23</v>
      </c>
      <c r="L598" s="70">
        <f t="shared" si="436"/>
        <v>0</v>
      </c>
      <c r="M598" s="153">
        <f t="shared" ca="1" si="321"/>
        <v>0</v>
      </c>
      <c r="O598" s="148">
        <v>0</v>
      </c>
      <c r="R598" s="356">
        <v>-0.33786407766990401</v>
      </c>
    </row>
    <row r="599" spans="1:18" s="51" customFormat="1" ht="13.5" hidden="1" customHeight="1" outlineLevel="1" x14ac:dyDescent="0.3">
      <c r="A599" s="13">
        <v>0</v>
      </c>
      <c r="B599" s="49"/>
      <c r="C599" s="49"/>
      <c r="D599" s="370" t="s">
        <v>6450</v>
      </c>
      <c r="E599" s="67" t="str">
        <f>VLOOKUP(D599,'03. Insumos'!A:D,2,0)</f>
        <v>Tela de Arame Soldado Malha 15 Fio 1,65 MM ( Pç c/ 12,0 x 50 cm )</v>
      </c>
      <c r="F599" s="68" t="s">
        <v>3809</v>
      </c>
      <c r="G599" s="68" t="str">
        <f>VLOOKUP(D599,'03. Insumos'!A:F,3,0)</f>
        <v>pç</v>
      </c>
      <c r="H599" s="69"/>
      <c r="I599" s="69">
        <f>$H594</f>
        <v>0</v>
      </c>
      <c r="J599" s="70">
        <f t="shared" si="435"/>
        <v>1.29036</v>
      </c>
      <c r="K599" s="70">
        <f>IF(A599=0,VLOOKUP(D599,'03. Insumos'!A:F,4,0),"")</f>
        <v>1.29036</v>
      </c>
      <c r="L599" s="70">
        <f t="shared" si="436"/>
        <v>0</v>
      </c>
      <c r="M599" s="153">
        <f t="shared" ca="1" si="321"/>
        <v>0</v>
      </c>
      <c r="O599" s="148">
        <v>0</v>
      </c>
      <c r="R599" s="356">
        <v>-0.33786407766990401</v>
      </c>
    </row>
    <row r="600" spans="1:18" s="51" customFormat="1" ht="13.5" hidden="1" customHeight="1" outlineLevel="1" x14ac:dyDescent="0.3">
      <c r="A600" s="13">
        <v>0</v>
      </c>
      <c r="B600" s="49"/>
      <c r="C600" s="49"/>
      <c r="D600" s="370" t="s">
        <v>6449</v>
      </c>
      <c r="E600" s="67" t="str">
        <f>VLOOKUP(D600,'03. Insumos'!A:D,2,0)</f>
        <v>Diversos de Alvenaria</v>
      </c>
      <c r="F600" s="68" t="s">
        <v>3809</v>
      </c>
      <c r="G600" s="68" t="str">
        <f>VLOOKUP(D600,'03. Insumos'!A:F,3,0)</f>
        <v>vb</v>
      </c>
      <c r="H600" s="69">
        <f>H594</f>
        <v>0</v>
      </c>
      <c r="I600" s="69">
        <v>1</v>
      </c>
      <c r="J600" s="70">
        <f t="shared" si="435"/>
        <v>1</v>
      </c>
      <c r="K600" s="70">
        <f>IF(A600=0,VLOOKUP(D600,'03. Insumos'!A:F,4,0),"")</f>
        <v>1</v>
      </c>
      <c r="L600" s="70">
        <f t="shared" si="436"/>
        <v>0</v>
      </c>
      <c r="M600" s="153">
        <f t="shared" ca="1" si="321"/>
        <v>0</v>
      </c>
      <c r="O600" s="148">
        <v>0</v>
      </c>
      <c r="R600" s="356">
        <v>-0.33786407766990401</v>
      </c>
    </row>
    <row r="601" spans="1:18" s="18" customFormat="1" ht="13.5" hidden="1" customHeight="1" outlineLevel="1" x14ac:dyDescent="0.3">
      <c r="A601" s="18">
        <f>LEN(C601)</f>
        <v>6</v>
      </c>
      <c r="B601" s="606"/>
      <c r="C601" s="606" t="s">
        <v>7033</v>
      </c>
      <c r="D601" s="606" t="s">
        <v>6868</v>
      </c>
      <c r="E601" s="391"/>
      <c r="F601" s="325"/>
      <c r="G601" s="325" t="s">
        <v>73</v>
      </c>
      <c r="H601" s="326"/>
      <c r="I601" s="326"/>
      <c r="J601" s="804">
        <f>IFERROR(L601/H601,0)</f>
        <v>0</v>
      </c>
      <c r="K601" s="607" t="str">
        <f>IF(A601=0,VLOOKUP(D601,'03. Insumos'!A:F,4,0),"")</f>
        <v/>
      </c>
      <c r="L601" s="334">
        <f>SUM(L602:L607)</f>
        <v>0</v>
      </c>
      <c r="M601" s="153">
        <f t="shared" ca="1" si="321"/>
        <v>0</v>
      </c>
      <c r="O601" s="600">
        <f t="shared" ref="O601" si="437">IF(I601&lt;&gt;0,I601*H601*K601,)</f>
        <v>0</v>
      </c>
      <c r="R601" s="601">
        <f t="shared" ref="R601" si="438">IF(J601&lt;&gt;0,J601/1.03-K601,0)</f>
        <v>0</v>
      </c>
    </row>
    <row r="602" spans="1:18" s="51" customFormat="1" ht="13.5" hidden="1" customHeight="1" outlineLevel="1" x14ac:dyDescent="0.3">
      <c r="A602" s="13">
        <v>0</v>
      </c>
      <c r="B602" s="49"/>
      <c r="C602" s="49"/>
      <c r="D602" s="370" t="s">
        <v>457</v>
      </c>
      <c r="E602" s="67" t="str">
        <f>VLOOKUP(D602,'03. Insumos'!A:D,2,0)</f>
        <v>Execução Alvenaria  - Bloco Concreto</v>
      </c>
      <c r="F602" s="68" t="s">
        <v>3809</v>
      </c>
      <c r="G602" s="68" t="str">
        <f>VLOOKUP(D602,'03. Insumos'!A:F,3,0)</f>
        <v>m²</v>
      </c>
      <c r="H602" s="69"/>
      <c r="I602" s="69">
        <f>$H$580</f>
        <v>2813.4544000000001</v>
      </c>
      <c r="J602" s="70">
        <f t="shared" ref="J602:J607" si="439">IFERROR(IF(K602&lt;&gt;0,K602*$K$5,0),0)</f>
        <v>66</v>
      </c>
      <c r="K602" s="70">
        <f>IF(A602=0,VLOOKUP(D602,'03. Insumos'!A:F,4,0),"")</f>
        <v>66</v>
      </c>
      <c r="L602" s="70">
        <f t="shared" ref="L602:L607" si="440">H602*J602*I602</f>
        <v>0</v>
      </c>
      <c r="M602" s="153">
        <f t="shared" ca="1" si="321"/>
        <v>0</v>
      </c>
      <c r="O602" s="148">
        <v>0</v>
      </c>
      <c r="R602" s="356">
        <v>-0.33786407766990401</v>
      </c>
    </row>
    <row r="603" spans="1:18" s="51" customFormat="1" ht="13.5" hidden="1" customHeight="1" outlineLevel="1" x14ac:dyDescent="0.3">
      <c r="A603" s="13">
        <f>LEN(C603)</f>
        <v>0</v>
      </c>
      <c r="B603" s="49"/>
      <c r="C603" s="49"/>
      <c r="D603" s="370" t="s">
        <v>6603</v>
      </c>
      <c r="E603" s="67" t="str">
        <f>VLOOKUP(D603,'03. Insumos'!A:D,2,0)</f>
        <v>Bloco cerâmico 14x19x39 - Pequenas Quantidades</v>
      </c>
      <c r="F603" s="68" t="s">
        <v>5218</v>
      </c>
      <c r="G603" s="68" t="str">
        <f>VLOOKUP(D603,'03. Insumos'!A:F,3,0)</f>
        <v>unid</v>
      </c>
      <c r="H603" s="69"/>
      <c r="I603" s="69">
        <f>$H601*11.88</f>
        <v>0</v>
      </c>
      <c r="J603" s="70">
        <f t="shared" si="439"/>
        <v>0</v>
      </c>
      <c r="K603" s="70">
        <f>IF(A603=0,VLOOKUP(D603,'03. Insumos'!A:F,4,0),"")</f>
        <v>0</v>
      </c>
      <c r="L603" s="70">
        <f t="shared" si="440"/>
        <v>0</v>
      </c>
      <c r="M603" s="153">
        <f t="shared" ca="1" si="321"/>
        <v>0</v>
      </c>
      <c r="O603" s="148"/>
      <c r="R603" s="356"/>
    </row>
    <row r="604" spans="1:18" s="51" customFormat="1" ht="13.5" hidden="1" customHeight="1" outlineLevel="1" x14ac:dyDescent="0.3">
      <c r="A604" s="13">
        <v>0</v>
      </c>
      <c r="B604" s="49"/>
      <c r="C604" s="49"/>
      <c r="D604" s="370" t="s">
        <v>6605</v>
      </c>
      <c r="E604" s="67" t="str">
        <f>VLOOKUP(D604,'03. Insumos'!A:D,2,0)</f>
        <v>Bloco cerâmico 14x19x19 - Pequenas Quantidades</v>
      </c>
      <c r="F604" s="68" t="s">
        <v>5218</v>
      </c>
      <c r="G604" s="68" t="str">
        <f>VLOOKUP(D604,'03. Insumos'!A:F,3,0)</f>
        <v>unid</v>
      </c>
      <c r="H604" s="69"/>
      <c r="I604" s="69">
        <f>$H601*6.09</f>
        <v>0</v>
      </c>
      <c r="J604" s="70">
        <f t="shared" si="439"/>
        <v>0</v>
      </c>
      <c r="K604" s="70">
        <f>IF(A604=0,VLOOKUP(D604,'03. Insumos'!A:F,4,0),"")</f>
        <v>0</v>
      </c>
      <c r="L604" s="70">
        <f t="shared" si="440"/>
        <v>0</v>
      </c>
      <c r="M604" s="153">
        <f t="shared" ca="1" si="321"/>
        <v>0</v>
      </c>
      <c r="O604" s="148">
        <v>0</v>
      </c>
      <c r="R604" s="356">
        <v>-0.33786407766990401</v>
      </c>
    </row>
    <row r="605" spans="1:18" s="51" customFormat="1" ht="13.5" hidden="1" customHeight="1" outlineLevel="1" x14ac:dyDescent="0.3">
      <c r="A605" s="13">
        <v>0</v>
      </c>
      <c r="B605" s="49"/>
      <c r="C605" s="49"/>
      <c r="D605" s="370" t="s">
        <v>6610</v>
      </c>
      <c r="E605" s="67" t="str">
        <f>VLOOKUP(D605,'03. Insumos'!A:D,2,0)</f>
        <v>Argamassa multiuso 50kg - Grandes Quantidade ( acima de 240 )</v>
      </c>
      <c r="F605" s="68" t="s">
        <v>5218</v>
      </c>
      <c r="G605" s="68" t="str">
        <f>VLOOKUP(D605,'03. Insumos'!A:F,3,0)</f>
        <v>sc</v>
      </c>
      <c r="H605" s="69"/>
      <c r="I605" s="69">
        <f>$H601*0.594</f>
        <v>0</v>
      </c>
      <c r="J605" s="70">
        <f t="shared" si="439"/>
        <v>23</v>
      </c>
      <c r="K605" s="70">
        <f>IF(A605=0,VLOOKUP(D605,'03. Insumos'!A:F,4,0),"")</f>
        <v>23</v>
      </c>
      <c r="L605" s="70">
        <f t="shared" si="440"/>
        <v>0</v>
      </c>
      <c r="M605" s="153">
        <f t="shared" ca="1" si="321"/>
        <v>0</v>
      </c>
      <c r="O605" s="148">
        <v>0</v>
      </c>
      <c r="R605" s="356">
        <v>-0.33786407766990401</v>
      </c>
    </row>
    <row r="606" spans="1:18" s="51" customFormat="1" ht="13.5" hidden="1" customHeight="1" outlineLevel="1" x14ac:dyDescent="0.3">
      <c r="A606" s="13">
        <v>0</v>
      </c>
      <c r="B606" s="49"/>
      <c r="C606" s="49"/>
      <c r="D606" s="370" t="s">
        <v>6450</v>
      </c>
      <c r="E606" s="67" t="str">
        <f>VLOOKUP(D606,'03. Insumos'!A:D,2,0)</f>
        <v>Tela de Arame Soldado Malha 15 Fio 1,65 MM ( Pç c/ 12,0 x 50 cm )</v>
      </c>
      <c r="F606" s="68" t="s">
        <v>3809</v>
      </c>
      <c r="G606" s="68" t="str">
        <f>VLOOKUP(D606,'03. Insumos'!A:F,3,0)</f>
        <v>pç</v>
      </c>
      <c r="H606" s="69"/>
      <c r="I606" s="69">
        <f>$H601</f>
        <v>0</v>
      </c>
      <c r="J606" s="70">
        <f t="shared" si="439"/>
        <v>1.29036</v>
      </c>
      <c r="K606" s="70">
        <f>IF(A606=0,VLOOKUP(D606,'03. Insumos'!A:F,4,0),"")</f>
        <v>1.29036</v>
      </c>
      <c r="L606" s="70">
        <f t="shared" si="440"/>
        <v>0</v>
      </c>
      <c r="M606" s="153">
        <f t="shared" ca="1" si="321"/>
        <v>0</v>
      </c>
      <c r="O606" s="148">
        <v>0</v>
      </c>
      <c r="R606" s="356">
        <v>-0.33786407766990401</v>
      </c>
    </row>
    <row r="607" spans="1:18" s="51" customFormat="1" ht="13.5" hidden="1" customHeight="1" outlineLevel="1" x14ac:dyDescent="0.3">
      <c r="A607" s="13">
        <v>0</v>
      </c>
      <c r="B607" s="49"/>
      <c r="C607" s="49"/>
      <c r="D607" s="370" t="s">
        <v>6449</v>
      </c>
      <c r="E607" s="67" t="str">
        <f>VLOOKUP(D607,'03. Insumos'!A:D,2,0)</f>
        <v>Diversos de Alvenaria</v>
      </c>
      <c r="F607" s="68" t="s">
        <v>3809</v>
      </c>
      <c r="G607" s="68" t="str">
        <f>VLOOKUP(D607,'03. Insumos'!A:F,3,0)</f>
        <v>vb</v>
      </c>
      <c r="H607" s="69">
        <f>H601</f>
        <v>0</v>
      </c>
      <c r="I607" s="69">
        <v>1</v>
      </c>
      <c r="J607" s="70">
        <f t="shared" si="439"/>
        <v>1</v>
      </c>
      <c r="K607" s="70">
        <f>IF(A607=0,VLOOKUP(D607,'03. Insumos'!A:F,4,0),"")</f>
        <v>1</v>
      </c>
      <c r="L607" s="70">
        <f t="shared" si="440"/>
        <v>0</v>
      </c>
      <c r="M607" s="153">
        <f t="shared" ca="1" si="321"/>
        <v>0</v>
      </c>
      <c r="O607" s="148">
        <v>0</v>
      </c>
      <c r="R607" s="356">
        <v>-0.33786407766990401</v>
      </c>
    </row>
    <row r="608" spans="1:18" s="18" customFormat="1" ht="13.5" hidden="1" customHeight="1" outlineLevel="1" x14ac:dyDescent="0.3">
      <c r="A608" s="18">
        <f>LEN(C608)</f>
        <v>6</v>
      </c>
      <c r="B608" s="606"/>
      <c r="C608" s="606" t="s">
        <v>6175</v>
      </c>
      <c r="D608" s="606" t="s">
        <v>6869</v>
      </c>
      <c r="E608" s="391"/>
      <c r="F608" s="325"/>
      <c r="G608" s="325" t="s">
        <v>73</v>
      </c>
      <c r="H608" s="326"/>
      <c r="I608" s="326"/>
      <c r="J608" s="804">
        <f>IFERROR(L608/H608,0)</f>
        <v>0</v>
      </c>
      <c r="K608" s="607" t="str">
        <f>IF(A608=0,VLOOKUP(D608,'03. Insumos'!A:F,4,0),"")</f>
        <v/>
      </c>
      <c r="L608" s="334">
        <f>SUM(L609:L614)</f>
        <v>0</v>
      </c>
      <c r="M608" s="153">
        <f t="shared" ca="1" si="321"/>
        <v>0</v>
      </c>
      <c r="O608" s="600">
        <f t="shared" ref="O608" si="441">IF(I608&lt;&gt;0,I608*H608*K608,)</f>
        <v>0</v>
      </c>
      <c r="R608" s="601">
        <f t="shared" ref="R608" si="442">IF(J608&lt;&gt;0,J608/1.03-K608,0)</f>
        <v>0</v>
      </c>
    </row>
    <row r="609" spans="1:19" s="51" customFormat="1" ht="13.5" hidden="1" customHeight="1" outlineLevel="1" x14ac:dyDescent="0.3">
      <c r="A609" s="13">
        <f>LEN(C609)</f>
        <v>0</v>
      </c>
      <c r="B609" s="49"/>
      <c r="C609" s="49"/>
      <c r="D609" s="370" t="s">
        <v>457</v>
      </c>
      <c r="E609" s="67" t="str">
        <f>VLOOKUP(D609,'03. Insumos'!A:D,2,0)</f>
        <v>Execução Alvenaria  - Bloco Concreto</v>
      </c>
      <c r="F609" s="68" t="s">
        <v>5218</v>
      </c>
      <c r="G609" s="68" t="str">
        <f>VLOOKUP(D609,'03. Insumos'!A:F,3,0)</f>
        <v>m²</v>
      </c>
      <c r="H609" s="69"/>
      <c r="I609" s="69">
        <f>$H608</f>
        <v>0</v>
      </c>
      <c r="J609" s="70">
        <f t="shared" ref="J609:J614" si="443">IFERROR(IF(K609&lt;&gt;0,K609*$K$5,0),0)</f>
        <v>66</v>
      </c>
      <c r="K609" s="70">
        <f>IF(A609=0,VLOOKUP(D609,'03. Insumos'!A:F,4,0),"")</f>
        <v>66</v>
      </c>
      <c r="L609" s="70">
        <f t="shared" ref="L609:L614" si="444">H609*J609*I609</f>
        <v>0</v>
      </c>
      <c r="M609" s="153">
        <f t="shared" ref="M609:M718" ca="1" si="445">L609/$L$7</f>
        <v>0</v>
      </c>
      <c r="O609" s="148"/>
      <c r="R609" s="356"/>
    </row>
    <row r="610" spans="1:19" s="51" customFormat="1" ht="13.5" hidden="1" customHeight="1" outlineLevel="1" x14ac:dyDescent="0.3">
      <c r="A610" s="13">
        <v>0</v>
      </c>
      <c r="B610" s="49"/>
      <c r="C610" s="49"/>
      <c r="D610" s="370" t="s">
        <v>6607</v>
      </c>
      <c r="E610" s="67" t="str">
        <f>VLOOKUP(D610,'03. Insumos'!A:D,2,0)</f>
        <v>Bloco cerâmico 19x19x39 - Pequenas Quantidades</v>
      </c>
      <c r="F610" s="68" t="s">
        <v>5218</v>
      </c>
      <c r="G610" s="68" t="str">
        <f>VLOOKUP(D610,'03. Insumos'!A:F,3,0)</f>
        <v>unid</v>
      </c>
      <c r="H610" s="69"/>
      <c r="I610" s="69">
        <f>$H608*13.9</f>
        <v>0</v>
      </c>
      <c r="J610" s="70">
        <f t="shared" si="443"/>
        <v>0</v>
      </c>
      <c r="K610" s="70">
        <f>IF(A610=0,VLOOKUP(D610,'03. Insumos'!A:F,4,0),"")</f>
        <v>0</v>
      </c>
      <c r="L610" s="70">
        <f t="shared" si="444"/>
        <v>0</v>
      </c>
      <c r="M610" s="153">
        <f t="shared" ca="1" si="445"/>
        <v>0</v>
      </c>
      <c r="O610" s="148">
        <v>0</v>
      </c>
      <c r="R610" s="356">
        <v>-0.33786407766990401</v>
      </c>
    </row>
    <row r="611" spans="1:19" s="51" customFormat="1" ht="13.5" hidden="1" customHeight="1" outlineLevel="1" x14ac:dyDescent="0.3">
      <c r="A611" s="13">
        <v>0</v>
      </c>
      <c r="B611" s="49"/>
      <c r="C611" s="49"/>
      <c r="D611" s="370" t="s">
        <v>6609</v>
      </c>
      <c r="E611" s="67" t="str">
        <f>VLOOKUP(D611,'03. Insumos'!A:D,2,0)</f>
        <v>Bloco cerâmico 19x19x19 - Pequenas Quantidades</v>
      </c>
      <c r="F611" s="68" t="s">
        <v>5218</v>
      </c>
      <c r="G611" s="68" t="str">
        <f>VLOOKUP(D611,'03. Insumos'!A:F,3,0)</f>
        <v>unid</v>
      </c>
      <c r="H611" s="69"/>
      <c r="I611" s="69">
        <f>$H608*0.9919</f>
        <v>0</v>
      </c>
      <c r="J611" s="70">
        <f t="shared" si="443"/>
        <v>0</v>
      </c>
      <c r="K611" s="70">
        <f>IF(A611=0,VLOOKUP(D611,'03. Insumos'!A:F,4,0),"")</f>
        <v>0</v>
      </c>
      <c r="L611" s="70">
        <f t="shared" si="444"/>
        <v>0</v>
      </c>
      <c r="M611" s="153">
        <f t="shared" ca="1" si="445"/>
        <v>0</v>
      </c>
      <c r="O611" s="148">
        <v>0</v>
      </c>
      <c r="R611" s="356">
        <v>-0.33786407766990401</v>
      </c>
    </row>
    <row r="612" spans="1:19" s="51" customFormat="1" ht="13.5" hidden="1" customHeight="1" outlineLevel="1" x14ac:dyDescent="0.3">
      <c r="A612" s="13">
        <v>0</v>
      </c>
      <c r="B612" s="49"/>
      <c r="C612" s="49"/>
      <c r="D612" s="370" t="s">
        <v>6610</v>
      </c>
      <c r="E612" s="67" t="str">
        <f>VLOOKUP(D612,'03. Insumos'!A:D,2,0)</f>
        <v>Argamassa multiuso 50kg - Grandes Quantidade ( acima de 240 )</v>
      </c>
      <c r="F612" s="68" t="s">
        <v>3809</v>
      </c>
      <c r="G612" s="68" t="str">
        <f>VLOOKUP(D612,'03. Insumos'!A:F,3,0)</f>
        <v>sc</v>
      </c>
      <c r="H612" s="69"/>
      <c r="I612" s="69">
        <f>$H608*0.594</f>
        <v>0</v>
      </c>
      <c r="J612" s="70">
        <f t="shared" si="443"/>
        <v>23</v>
      </c>
      <c r="K612" s="70">
        <f>IF(A612=0,VLOOKUP(D612,'03. Insumos'!A:F,4,0),"")</f>
        <v>23</v>
      </c>
      <c r="L612" s="70">
        <f t="shared" si="444"/>
        <v>0</v>
      </c>
      <c r="M612" s="153">
        <f t="shared" ca="1" si="445"/>
        <v>0</v>
      </c>
      <c r="O612" s="148">
        <v>0</v>
      </c>
      <c r="R612" s="356">
        <v>-0.33786407766990401</v>
      </c>
    </row>
    <row r="613" spans="1:19" s="51" customFormat="1" ht="13.5" hidden="1" customHeight="1" outlineLevel="1" x14ac:dyDescent="0.3">
      <c r="A613" s="13">
        <v>0</v>
      </c>
      <c r="B613" s="49"/>
      <c r="C613" s="49"/>
      <c r="D613" s="370" t="s">
        <v>6450</v>
      </c>
      <c r="E613" s="67" t="str">
        <f>VLOOKUP(D613,'03. Insumos'!A:D,2,0)</f>
        <v>Tela de Arame Soldado Malha 15 Fio 1,65 MM ( Pç c/ 12,0 x 50 cm )</v>
      </c>
      <c r="F613" s="68" t="s">
        <v>5218</v>
      </c>
      <c r="G613" s="68" t="str">
        <f>VLOOKUP(D613,'03. Insumos'!A:F,3,0)</f>
        <v>pç</v>
      </c>
      <c r="H613" s="69"/>
      <c r="I613" s="69">
        <f>$H608</f>
        <v>0</v>
      </c>
      <c r="J613" s="70">
        <f t="shared" si="443"/>
        <v>1.29036</v>
      </c>
      <c r="K613" s="70">
        <f>IF(A613=0,VLOOKUP(D613,'03. Insumos'!A:F,4,0),"")</f>
        <v>1.29036</v>
      </c>
      <c r="L613" s="70">
        <f t="shared" si="444"/>
        <v>0</v>
      </c>
      <c r="M613" s="153">
        <f t="shared" ca="1" si="445"/>
        <v>0</v>
      </c>
      <c r="O613" s="148">
        <v>0</v>
      </c>
      <c r="R613" s="356">
        <v>-0.33786407766990401</v>
      </c>
    </row>
    <row r="614" spans="1:19" s="51" customFormat="1" ht="13.5" hidden="1" customHeight="1" outlineLevel="1" x14ac:dyDescent="0.3">
      <c r="A614" s="13">
        <v>0</v>
      </c>
      <c r="B614" s="49"/>
      <c r="C614" s="49"/>
      <c r="D614" s="370" t="s">
        <v>6449</v>
      </c>
      <c r="E614" s="67" t="str">
        <f>VLOOKUP(D614,'03. Insumos'!A:D,2,0)</f>
        <v>Diversos de Alvenaria</v>
      </c>
      <c r="F614" s="68" t="s">
        <v>5218</v>
      </c>
      <c r="G614" s="68" t="str">
        <f>VLOOKUP(D614,'03. Insumos'!A:F,3,0)</f>
        <v>vb</v>
      </c>
      <c r="H614" s="69">
        <f>H608</f>
        <v>0</v>
      </c>
      <c r="I614" s="69"/>
      <c r="J614" s="70">
        <f t="shared" si="443"/>
        <v>1</v>
      </c>
      <c r="K614" s="70">
        <f>IF(A614=0,VLOOKUP(D614,'03. Insumos'!A:F,4,0),"")</f>
        <v>1</v>
      </c>
      <c r="L614" s="70">
        <f t="shared" si="444"/>
        <v>0</v>
      </c>
      <c r="M614" s="153">
        <f t="shared" ca="1" si="445"/>
        <v>0</v>
      </c>
      <c r="O614" s="148">
        <v>0</v>
      </c>
      <c r="R614" s="356">
        <v>-0.33786407766990401</v>
      </c>
    </row>
    <row r="615" spans="1:19" s="18" customFormat="1" ht="13.5" hidden="1" customHeight="1" outlineLevel="1" x14ac:dyDescent="0.3">
      <c r="A615" s="18">
        <f>LEN(C615)</f>
        <v>6</v>
      </c>
      <c r="B615" s="606"/>
      <c r="C615" s="606" t="s">
        <v>7032</v>
      </c>
      <c r="D615" s="606" t="s">
        <v>7035</v>
      </c>
      <c r="E615" s="391"/>
      <c r="F615" s="325"/>
      <c r="G615" s="325" t="s">
        <v>73</v>
      </c>
      <c r="H615" s="326"/>
      <c r="I615" s="326"/>
      <c r="J615" s="804">
        <f>IFERROR(L615/H615,0)</f>
        <v>0</v>
      </c>
      <c r="K615" s="607" t="str">
        <f>IF(A615=0,VLOOKUP(D615,'03. Insumos'!A:F,4,0),"")</f>
        <v/>
      </c>
      <c r="L615" s="334">
        <f>SUM(L616:L621)</f>
        <v>0</v>
      </c>
      <c r="M615" s="153">
        <f t="shared" ca="1" si="445"/>
        <v>0</v>
      </c>
      <c r="O615" s="600">
        <f t="shared" ref="O615" si="446">IF(I615&lt;&gt;0,I615*H615*K615,)</f>
        <v>0</v>
      </c>
      <c r="R615" s="601">
        <f t="shared" ref="R615" si="447">IF(J615&lt;&gt;0,J615/1.03-K615,0)</f>
        <v>0</v>
      </c>
    </row>
    <row r="616" spans="1:19" s="51" customFormat="1" ht="13.5" hidden="1" customHeight="1" outlineLevel="1" x14ac:dyDescent="0.3">
      <c r="A616" s="13">
        <v>0</v>
      </c>
      <c r="B616" s="49"/>
      <c r="C616" s="49"/>
      <c r="D616" s="370" t="s">
        <v>457</v>
      </c>
      <c r="E616" s="67" t="str">
        <f>VLOOKUP(D616,'03. Insumos'!A:D,2,0)</f>
        <v>Execução Alvenaria  - Bloco Concreto</v>
      </c>
      <c r="F616" s="68" t="s">
        <v>3809</v>
      </c>
      <c r="G616" s="68" t="str">
        <f>VLOOKUP(D616,'03. Insumos'!A:F,3,0)</f>
        <v>m²</v>
      </c>
      <c r="H616" s="69">
        <v>1</v>
      </c>
      <c r="I616" s="69">
        <f>$H$615</f>
        <v>0</v>
      </c>
      <c r="J616" s="70">
        <f t="shared" ref="J616:J621" si="448">IFERROR(IF(K616&lt;&gt;0,K616*$K$5,0),0)</f>
        <v>66</v>
      </c>
      <c r="K616" s="70">
        <f>IF(A616=0,VLOOKUP(D616,'03. Insumos'!A:F,4,0),"")</f>
        <v>66</v>
      </c>
      <c r="L616" s="70">
        <f t="shared" ref="L616:L621" si="449">H616*J616*I616</f>
        <v>0</v>
      </c>
      <c r="M616" s="153">
        <f t="shared" ca="1" si="445"/>
        <v>0</v>
      </c>
      <c r="O616" s="148">
        <v>0</v>
      </c>
      <c r="R616" s="356">
        <v>-0.33786407766990401</v>
      </c>
    </row>
    <row r="617" spans="1:19" s="51" customFormat="1" ht="13.5" hidden="1" customHeight="1" outlineLevel="1" x14ac:dyDescent="0.3">
      <c r="A617" s="13">
        <f>LEN(C617)</f>
        <v>0</v>
      </c>
      <c r="B617" s="49"/>
      <c r="C617" s="49"/>
      <c r="D617" s="370" t="s">
        <v>6586</v>
      </c>
      <c r="E617" s="67" t="str">
        <f>VLOOKUP(D617,'03. Insumos'!A:D,2,0)</f>
        <v>Bloco de concreto 09x19x39cm - Grandes Quantidades ( acima 1944 blocos )</v>
      </c>
      <c r="F617" s="68" t="s">
        <v>5218</v>
      </c>
      <c r="G617" s="68" t="str">
        <f>VLOOKUP(D617,'03. Insumos'!A:F,3,0)</f>
        <v>unid</v>
      </c>
      <c r="H617" s="69">
        <v>1.1000000000000001</v>
      </c>
      <c r="I617" s="69">
        <f>(ROUNDUP($H$615*9.92,0))</f>
        <v>0</v>
      </c>
      <c r="J617" s="70">
        <f t="shared" si="448"/>
        <v>2.5499999999999998</v>
      </c>
      <c r="K617" s="70">
        <f>IF(A617=0,VLOOKUP(D617,'03. Insumos'!A:F,4,0),"")</f>
        <v>2.5499999999999998</v>
      </c>
      <c r="L617" s="70">
        <f t="shared" si="449"/>
        <v>0</v>
      </c>
      <c r="M617" s="153">
        <f t="shared" ca="1" si="445"/>
        <v>0</v>
      </c>
      <c r="O617" s="148"/>
      <c r="R617" s="356"/>
    </row>
    <row r="618" spans="1:19" s="51" customFormat="1" ht="13.5" hidden="1" customHeight="1" outlineLevel="1" x14ac:dyDescent="0.3">
      <c r="A618" s="13">
        <v>0</v>
      </c>
      <c r="B618" s="49"/>
      <c r="C618" s="49"/>
      <c r="D618" s="370" t="s">
        <v>6588</v>
      </c>
      <c r="E618" s="67" t="str">
        <f>VLOOKUP(D618,'03. Insumos'!A:D,2,0)</f>
        <v>Bloco de concreto 09x19x19cm - Grandes Quantidades ( acima 1944 blocos )</v>
      </c>
      <c r="F618" s="68" t="s">
        <v>5218</v>
      </c>
      <c r="G618" s="68" t="str">
        <f>VLOOKUP(D618,'03. Insumos'!A:F,3,0)</f>
        <v>unid</v>
      </c>
      <c r="H618" s="69">
        <v>1.1000000000000001</v>
      </c>
      <c r="I618" s="69">
        <f>(ROUNDUP($H$615*8.73,0))</f>
        <v>0</v>
      </c>
      <c r="J618" s="70">
        <f t="shared" si="448"/>
        <v>1.55</v>
      </c>
      <c r="K618" s="70">
        <f>IF(A618=0,VLOOKUP(D618,'03. Insumos'!A:F,4,0),"")</f>
        <v>1.55</v>
      </c>
      <c r="L618" s="70">
        <f t="shared" si="449"/>
        <v>0</v>
      </c>
      <c r="M618" s="153">
        <f t="shared" ca="1" si="445"/>
        <v>0</v>
      </c>
      <c r="O618" s="148">
        <v>0</v>
      </c>
      <c r="R618" s="356">
        <v>-0.33786407766990401</v>
      </c>
    </row>
    <row r="619" spans="1:19" s="51" customFormat="1" ht="13.5" hidden="1" customHeight="1" outlineLevel="1" x14ac:dyDescent="0.3">
      <c r="A619" s="13">
        <v>0</v>
      </c>
      <c r="B619" s="49"/>
      <c r="C619" s="49"/>
      <c r="D619" s="370" t="s">
        <v>6610</v>
      </c>
      <c r="E619" s="67" t="str">
        <f>VLOOKUP(D619,'03. Insumos'!A:D,2,0)</f>
        <v>Argamassa multiuso 50kg - Grandes Quantidade ( acima de 240 )</v>
      </c>
      <c r="F619" s="68" t="s">
        <v>5218</v>
      </c>
      <c r="G619" s="68" t="str">
        <f>VLOOKUP(D619,'03. Insumos'!A:F,3,0)</f>
        <v>sc</v>
      </c>
      <c r="H619" s="69">
        <v>1.1000000000000001</v>
      </c>
      <c r="I619" s="69">
        <f>ROUNDUP((H615*(19*2/50)),0)</f>
        <v>0</v>
      </c>
      <c r="J619" s="70">
        <f t="shared" si="448"/>
        <v>23</v>
      </c>
      <c r="K619" s="70">
        <f>IF(A619=0,VLOOKUP(D619,'03. Insumos'!A:F,4,0),"")</f>
        <v>23</v>
      </c>
      <c r="L619" s="70">
        <f t="shared" si="449"/>
        <v>0</v>
      </c>
      <c r="M619" s="153">
        <f t="shared" ca="1" si="445"/>
        <v>0</v>
      </c>
      <c r="O619" s="148">
        <v>0</v>
      </c>
      <c r="R619" s="356">
        <v>-0.33786407766990401</v>
      </c>
    </row>
    <row r="620" spans="1:19" s="51" customFormat="1" ht="13.5" hidden="1" customHeight="1" outlineLevel="1" x14ac:dyDescent="0.3">
      <c r="A620" s="13">
        <v>0</v>
      </c>
      <c r="B620" s="49"/>
      <c r="C620" s="49"/>
      <c r="D620" s="370" t="s">
        <v>6450</v>
      </c>
      <c r="E620" s="67" t="str">
        <f>VLOOKUP(D620,'03. Insumos'!A:D,2,0)</f>
        <v>Tela de Arame Soldado Malha 15 Fio 1,65 MM ( Pç c/ 12,0 x 50 cm )</v>
      </c>
      <c r="F620" s="68" t="s">
        <v>3809</v>
      </c>
      <c r="G620" s="68" t="str">
        <f>VLOOKUP(D620,'03. Insumos'!A:F,3,0)</f>
        <v>pç</v>
      </c>
      <c r="H620" s="69">
        <v>1.1000000000000001</v>
      </c>
      <c r="I620" s="69">
        <f>ROUNDUP($H615,0)</f>
        <v>0</v>
      </c>
      <c r="J620" s="70">
        <f t="shared" si="448"/>
        <v>1.29036</v>
      </c>
      <c r="K620" s="70">
        <f>IF(A620=0,VLOOKUP(D620,'03. Insumos'!A:F,4,0),"")</f>
        <v>1.29036</v>
      </c>
      <c r="L620" s="70">
        <f t="shared" si="449"/>
        <v>0</v>
      </c>
      <c r="M620" s="153">
        <f t="shared" ca="1" si="445"/>
        <v>0</v>
      </c>
      <c r="O620" s="148">
        <v>0</v>
      </c>
      <c r="R620" s="356">
        <v>-0.33786407766990401</v>
      </c>
    </row>
    <row r="621" spans="1:19" s="51" customFormat="1" ht="13.5" hidden="1" customHeight="1" outlineLevel="1" x14ac:dyDescent="0.3">
      <c r="A621" s="13">
        <v>0</v>
      </c>
      <c r="B621" s="49"/>
      <c r="C621" s="49"/>
      <c r="D621" s="370" t="s">
        <v>6449</v>
      </c>
      <c r="E621" s="67" t="str">
        <f>VLOOKUP(D621,'03. Insumos'!A:D,2,0)</f>
        <v>Diversos de Alvenaria</v>
      </c>
      <c r="F621" s="68" t="s">
        <v>3809</v>
      </c>
      <c r="G621" s="68" t="str">
        <f>VLOOKUP(D621,'03. Insumos'!A:F,3,0)</f>
        <v>vb</v>
      </c>
      <c r="H621" s="69">
        <f>H615</f>
        <v>0</v>
      </c>
      <c r="I621" s="69"/>
      <c r="J621" s="70">
        <f t="shared" si="448"/>
        <v>1</v>
      </c>
      <c r="K621" s="70">
        <f>IF(A621=0,VLOOKUP(D621,'03. Insumos'!A:F,4,0),"")</f>
        <v>1</v>
      </c>
      <c r="L621" s="70">
        <f t="shared" si="449"/>
        <v>0</v>
      </c>
      <c r="M621" s="153">
        <f t="shared" ca="1" si="445"/>
        <v>0</v>
      </c>
      <c r="O621" s="148">
        <v>0</v>
      </c>
      <c r="R621" s="356">
        <v>-0.33786407766990401</v>
      </c>
    </row>
    <row r="622" spans="1:19" s="18" customFormat="1" ht="13.5" customHeight="1" outlineLevel="1" x14ac:dyDescent="0.3">
      <c r="A622" s="18">
        <f>LEN(C622)</f>
        <v>6</v>
      </c>
      <c r="B622" s="606"/>
      <c r="C622" s="606" t="s">
        <v>5483</v>
      </c>
      <c r="D622" s="606" t="s">
        <v>7036</v>
      </c>
      <c r="E622" s="391"/>
      <c r="F622" s="325"/>
      <c r="G622" s="325" t="s">
        <v>73</v>
      </c>
      <c r="H622" s="326">
        <v>283.56710000000004</v>
      </c>
      <c r="I622" s="326"/>
      <c r="J622" s="804">
        <f>IFERROR(L622/H622,0)</f>
        <v>136.74785143974742</v>
      </c>
      <c r="K622" s="607" t="str">
        <f>IF(A622=0,VLOOKUP(D622,'03. Insumos'!A:F,4,0),"")</f>
        <v/>
      </c>
      <c r="L622" s="334">
        <f>SUM(L623:L629)</f>
        <v>38777.191664000005</v>
      </c>
      <c r="M622" s="153">
        <f t="shared" ref="M622:M629" ca="1" si="450">L622/$L$7</f>
        <v>2.3545020015385948E-3</v>
      </c>
      <c r="O622" s="600">
        <f t="shared" ref="O622" si="451">IF(I622&lt;&gt;0,I622*H622*K622,)</f>
        <v>0</v>
      </c>
      <c r="R622" s="601" t="e">
        <f t="shared" ref="R622" si="452">IF(J622&lt;&gt;0,J622/1.03-K622,0)</f>
        <v>#VALUE!</v>
      </c>
      <c r="S622" s="1065"/>
    </row>
    <row r="623" spans="1:19" s="51" customFormat="1" ht="13.5" customHeight="1" outlineLevel="1" x14ac:dyDescent="0.3">
      <c r="A623" s="13">
        <v>0</v>
      </c>
      <c r="B623" s="49"/>
      <c r="C623" s="49"/>
      <c r="D623" s="370" t="s">
        <v>457</v>
      </c>
      <c r="E623" s="67" t="str">
        <f>VLOOKUP(D623,'03. Insumos'!A:D,2,0)</f>
        <v>Execução Alvenaria  - Bloco Concreto</v>
      </c>
      <c r="F623" s="68" t="s">
        <v>3809</v>
      </c>
      <c r="G623" s="68" t="str">
        <f>VLOOKUP(D623,'03. Insumos'!A:F,3,0)</f>
        <v>m²</v>
      </c>
      <c r="H623" s="69">
        <v>1</v>
      </c>
      <c r="I623" s="69">
        <f>$H$622</f>
        <v>283.56710000000004</v>
      </c>
      <c r="J623" s="70">
        <v>52</v>
      </c>
      <c r="K623" s="70">
        <f>IF(A623=0,VLOOKUP(D623,'03. Insumos'!A:F,4,0),"")</f>
        <v>66</v>
      </c>
      <c r="L623" s="70">
        <f t="shared" ref="L623:L629" si="453">H623*J623*I623</f>
        <v>14745.489200000002</v>
      </c>
      <c r="M623" s="153">
        <f t="shared" ca="1" si="450"/>
        <v>8.9532744237632667E-4</v>
      </c>
      <c r="O623" s="148">
        <v>0</v>
      </c>
      <c r="R623" s="356">
        <v>-0.33786407766990401</v>
      </c>
    </row>
    <row r="624" spans="1:19" s="51" customFormat="1" ht="13.5" customHeight="1" outlineLevel="1" x14ac:dyDescent="0.3">
      <c r="A624" s="13">
        <f>LEN(C624)</f>
        <v>0</v>
      </c>
      <c r="B624" s="49"/>
      <c r="C624" s="49"/>
      <c r="D624" s="370" t="s">
        <v>6590</v>
      </c>
      <c r="E624" s="67" t="str">
        <f>VLOOKUP(D624,'03. Insumos'!A:D,2,0)</f>
        <v>Bloco de concreto de 14x19x39 - Grandes Quantidades ( acima 1512 blocos )</v>
      </c>
      <c r="F624" s="68" t="s">
        <v>5218</v>
      </c>
      <c r="G624" s="68" t="str">
        <f>VLOOKUP(D624,'03. Insumos'!A:F,3,0)</f>
        <v>unid</v>
      </c>
      <c r="H624" s="69">
        <v>1.1000000000000001</v>
      </c>
      <c r="I624" s="69">
        <f>(ROUNDUP($H$622*9.92,0))</f>
        <v>2813</v>
      </c>
      <c r="J624" s="70">
        <f>IFERROR(IF(K624&lt;&gt;0,K624*$K$5,0),0)*1.1</f>
        <v>3.74</v>
      </c>
      <c r="K624" s="70">
        <f>IF(A624=0,VLOOKUP(D624,'03. Insumos'!A:F,4,0),"")</f>
        <v>3.4</v>
      </c>
      <c r="L624" s="70">
        <f t="shared" si="453"/>
        <v>11572.682000000003</v>
      </c>
      <c r="M624" s="153">
        <f t="shared" ca="1" si="450"/>
        <v>7.0267860468776805E-4</v>
      </c>
      <c r="O624" s="148"/>
      <c r="R624" s="356"/>
    </row>
    <row r="625" spans="1:18" s="51" customFormat="1" ht="13.5" customHeight="1" outlineLevel="1" x14ac:dyDescent="0.3">
      <c r="A625" s="13">
        <v>0</v>
      </c>
      <c r="B625" s="49"/>
      <c r="C625" s="49"/>
      <c r="D625" s="370" t="s">
        <v>6592</v>
      </c>
      <c r="E625" s="67" t="str">
        <f>VLOOKUP(D625,'03. Insumos'!A:D,2,0)</f>
        <v>Bloco de concreto de 14x19x19 - Grandes Quantidades ( acima 1512 blocos )</v>
      </c>
      <c r="F625" s="68" t="s">
        <v>5218</v>
      </c>
      <c r="G625" s="68" t="str">
        <f>VLOOKUP(D625,'03. Insumos'!A:F,3,0)</f>
        <v>unid</v>
      </c>
      <c r="H625" s="69">
        <v>1.1000000000000001</v>
      </c>
      <c r="I625" s="69">
        <f>(ROUNDUP($H$622*8.73,0))</f>
        <v>2476</v>
      </c>
      <c r="J625" s="70">
        <f>IFERROR(IF(K625&lt;&gt;0,K625*$K$5,0),0)*1.1</f>
        <v>2.4200000000000004</v>
      </c>
      <c r="K625" s="70">
        <f>IF(A625=0,VLOOKUP(D625,'03. Insumos'!A:F,4,0),"")</f>
        <v>2.2000000000000002</v>
      </c>
      <c r="L625" s="70">
        <f t="shared" si="453"/>
        <v>6591.1120000000019</v>
      </c>
      <c r="M625" s="153">
        <f t="shared" ca="1" si="450"/>
        <v>4.0020397894807833E-4</v>
      </c>
      <c r="O625" s="148">
        <v>0</v>
      </c>
      <c r="R625" s="356">
        <v>-0.33786407766990401</v>
      </c>
    </row>
    <row r="626" spans="1:18" s="51" customFormat="1" ht="13.5" customHeight="1" outlineLevel="1" x14ac:dyDescent="0.3">
      <c r="A626" s="13">
        <v>0</v>
      </c>
      <c r="B626" s="49"/>
      <c r="C626" s="49"/>
      <c r="D626" s="370" t="s">
        <v>6610</v>
      </c>
      <c r="E626" s="67" t="str">
        <f>VLOOKUP(D626,'03. Insumos'!A:D,2,0)</f>
        <v>Argamassa multiuso 50kg - Grandes Quantidade ( acima de 240 )</v>
      </c>
      <c r="F626" s="68" t="s">
        <v>5218</v>
      </c>
      <c r="G626" s="68" t="str">
        <f>VLOOKUP(D626,'03. Insumos'!A:F,3,0)</f>
        <v>sc</v>
      </c>
      <c r="H626" s="69">
        <v>1.1000000000000001</v>
      </c>
      <c r="I626" s="69">
        <f>ROUNDUP((H622*(19*2/50)),0)</f>
        <v>216</v>
      </c>
      <c r="J626" s="70">
        <f t="shared" ref="J626:J629" si="454">IFERROR(IF(K626&lt;&gt;0,K626*$K$5,0),0)</f>
        <v>23</v>
      </c>
      <c r="K626" s="70">
        <f>IF(A626=0,VLOOKUP(D626,'03. Insumos'!A:F,4,0),"")</f>
        <v>23</v>
      </c>
      <c r="L626" s="70">
        <f t="shared" si="453"/>
        <v>5464.8</v>
      </c>
      <c r="M626" s="153">
        <f t="shared" ca="1" si="450"/>
        <v>3.3181573976522592E-4</v>
      </c>
      <c r="O626" s="148">
        <v>0</v>
      </c>
      <c r="R626" s="356">
        <v>-0.33786407766990401</v>
      </c>
    </row>
    <row r="627" spans="1:18" s="51" customFormat="1" ht="13.2" customHeight="1" outlineLevel="1" x14ac:dyDescent="0.3">
      <c r="A627" s="13">
        <v>0</v>
      </c>
      <c r="B627" s="49"/>
      <c r="C627" s="49"/>
      <c r="D627" s="370" t="s">
        <v>6450</v>
      </c>
      <c r="E627" s="67" t="str">
        <f>VLOOKUP(D627,'03. Insumos'!A:D,2,0)</f>
        <v>Tela de Arame Soldado Malha 15 Fio 1,65 MM ( Pç c/ 12,0 x 50 cm )</v>
      </c>
      <c r="F627" s="68" t="s">
        <v>5218</v>
      </c>
      <c r="G627" s="68" t="str">
        <f>VLOOKUP(D627,'03. Insumos'!A:F,3,0)</f>
        <v>pç</v>
      </c>
      <c r="H627" s="69">
        <v>1.1000000000000001</v>
      </c>
      <c r="I627" s="69">
        <f>ROUNDUP($H622,0)</f>
        <v>284</v>
      </c>
      <c r="J627" s="70">
        <f t="shared" si="454"/>
        <v>1.29036</v>
      </c>
      <c r="K627" s="70">
        <f>IF(A627=0,VLOOKUP(D627,'03. Insumos'!A:F,4,0),"")</f>
        <v>1.29036</v>
      </c>
      <c r="L627" s="70">
        <f t="shared" si="453"/>
        <v>403.10846400000003</v>
      </c>
      <c r="M627" s="153">
        <f t="shared" ca="1" si="450"/>
        <v>2.4476235761196008E-5</v>
      </c>
      <c r="O627" s="148">
        <v>0</v>
      </c>
      <c r="R627" s="356">
        <v>-0.33786407766990401</v>
      </c>
    </row>
    <row r="628" spans="1:18" s="51" customFormat="1" ht="13.5" hidden="1" customHeight="1" outlineLevel="1" x14ac:dyDescent="0.3">
      <c r="A628" s="13">
        <v>0</v>
      </c>
      <c r="B628" s="49"/>
      <c r="C628" s="49"/>
      <c r="D628" s="370" t="s">
        <v>6456</v>
      </c>
      <c r="E628" s="67" t="s">
        <v>8474</v>
      </c>
      <c r="F628" s="68" t="s">
        <v>3809</v>
      </c>
      <c r="G628" s="68" t="s">
        <v>72</v>
      </c>
      <c r="H628" s="69">
        <v>1.25</v>
      </c>
      <c r="I628" s="69"/>
      <c r="J628" s="70">
        <v>480</v>
      </c>
      <c r="K628" s="70">
        <f>IF(A628=0,VLOOKUP(D628,'03. Insumos'!A:F,4,0),"")</f>
        <v>29.8</v>
      </c>
      <c r="L628" s="70">
        <f t="shared" ref="L628" si="455">H628*J628*I628</f>
        <v>0</v>
      </c>
      <c r="M628" s="153">
        <f t="shared" ref="M628" ca="1" si="456">L628/$L$7</f>
        <v>0</v>
      </c>
      <c r="O628" s="148">
        <v>0</v>
      </c>
      <c r="R628" s="356">
        <v>-0.33786407766990401</v>
      </c>
    </row>
    <row r="629" spans="1:18" s="51" customFormat="1" ht="13.5" hidden="1" customHeight="1" outlineLevel="1" x14ac:dyDescent="0.3">
      <c r="A629" s="13">
        <v>0</v>
      </c>
      <c r="B629" s="49"/>
      <c r="C629" s="49"/>
      <c r="D629" s="370" t="s">
        <v>7772</v>
      </c>
      <c r="E629" s="67" t="str">
        <f>VLOOKUP(D629,'03. Insumos'!A:D,2,0)</f>
        <v>Vermifloc Acústico - 40lt</v>
      </c>
      <c r="F629" s="68" t="s">
        <v>5218</v>
      </c>
      <c r="G629" s="68" t="str">
        <f>VLOOKUP(D629,'03. Insumos'!A:F,3,0)</f>
        <v>sc</v>
      </c>
      <c r="H629" s="69">
        <v>2.15</v>
      </c>
      <c r="I629" s="69"/>
      <c r="J629" s="70">
        <f t="shared" si="454"/>
        <v>46.9</v>
      </c>
      <c r="K629" s="70">
        <f>IF(A629=0,VLOOKUP(D629,'03. Insumos'!A:F,4,0),"")</f>
        <v>46.9</v>
      </c>
      <c r="L629" s="70">
        <f t="shared" si="453"/>
        <v>0</v>
      </c>
      <c r="M629" s="153">
        <f t="shared" ca="1" si="450"/>
        <v>0</v>
      </c>
      <c r="O629" s="148">
        <v>0</v>
      </c>
      <c r="R629" s="356">
        <v>-0.33786407766990401</v>
      </c>
    </row>
    <row r="630" spans="1:18" s="18" customFormat="1" ht="13.5" hidden="1" customHeight="1" outlineLevel="1" x14ac:dyDescent="0.3">
      <c r="A630" s="18">
        <f>LEN(C630)</f>
        <v>6</v>
      </c>
      <c r="B630" s="606"/>
      <c r="C630" s="606" t="s">
        <v>5483</v>
      </c>
      <c r="D630" s="606" t="s">
        <v>7961</v>
      </c>
      <c r="E630" s="391"/>
      <c r="F630" s="325"/>
      <c r="G630" s="325" t="s">
        <v>73</v>
      </c>
      <c r="H630" s="326"/>
      <c r="I630" s="326"/>
      <c r="J630" s="804">
        <f>IFERROR(L630/H630,0)</f>
        <v>0</v>
      </c>
      <c r="K630" s="607" t="str">
        <f>IF(A630=0,VLOOKUP(D630,'03. Insumos'!A:F,4,0),"")</f>
        <v/>
      </c>
      <c r="L630" s="334">
        <f>SUM(L631:L638)</f>
        <v>0</v>
      </c>
      <c r="M630" s="153">
        <f t="shared" ca="1" si="445"/>
        <v>0</v>
      </c>
      <c r="O630" s="600">
        <f t="shared" ref="O630" si="457">IF(I630&lt;&gt;0,I630*H630*K630,)</f>
        <v>0</v>
      </c>
      <c r="R630" s="601">
        <f t="shared" ref="R630" si="458">IF(J630&lt;&gt;0,J630/1.03-K630,0)</f>
        <v>0</v>
      </c>
    </row>
    <row r="631" spans="1:18" s="51" customFormat="1" ht="13.5" hidden="1" customHeight="1" outlineLevel="1" x14ac:dyDescent="0.3">
      <c r="A631" s="13">
        <v>0</v>
      </c>
      <c r="B631" s="49"/>
      <c r="C631" s="49"/>
      <c r="D631" s="370" t="s">
        <v>457</v>
      </c>
      <c r="E631" s="67" t="str">
        <f>VLOOKUP(D631,'03. Insumos'!A:D,2,0)</f>
        <v>Execução Alvenaria  - Bloco Concreto</v>
      </c>
      <c r="F631" s="68" t="s">
        <v>3809</v>
      </c>
      <c r="G631" s="68" t="str">
        <f>VLOOKUP(D631,'03. Insumos'!A:F,3,0)</f>
        <v>m²</v>
      </c>
      <c r="H631" s="69">
        <v>1</v>
      </c>
      <c r="I631" s="69">
        <f>$H$630</f>
        <v>0</v>
      </c>
      <c r="J631" s="70">
        <v>80</v>
      </c>
      <c r="K631" s="70">
        <f>IF(A631=0,VLOOKUP(D631,'03. Insumos'!A:F,4,0),"")</f>
        <v>66</v>
      </c>
      <c r="L631" s="70">
        <f t="shared" ref="L631:L638" si="459">H631*J631*I631</f>
        <v>0</v>
      </c>
      <c r="M631" s="153">
        <f t="shared" ca="1" si="445"/>
        <v>0</v>
      </c>
      <c r="O631" s="148">
        <v>0</v>
      </c>
      <c r="R631" s="356">
        <v>-0.33786407766990401</v>
      </c>
    </row>
    <row r="632" spans="1:18" s="51" customFormat="1" ht="13.5" hidden="1" customHeight="1" outlineLevel="1" x14ac:dyDescent="0.3">
      <c r="A632" s="13">
        <f>LEN(C632)</f>
        <v>0</v>
      </c>
      <c r="B632" s="49"/>
      <c r="C632" s="49"/>
      <c r="D632" s="370" t="s">
        <v>6590</v>
      </c>
      <c r="E632" s="67" t="str">
        <f>VLOOKUP(D632,'03. Insumos'!A:D,2,0)</f>
        <v>Bloco de concreto de 14x19x39 - Grandes Quantidades ( acima 1512 blocos )</v>
      </c>
      <c r="F632" s="68" t="s">
        <v>5218</v>
      </c>
      <c r="G632" s="68" t="str">
        <f>VLOOKUP(D632,'03. Insumos'!A:F,3,0)</f>
        <v>unid</v>
      </c>
      <c r="H632" s="69">
        <v>1.1000000000000001</v>
      </c>
      <c r="I632" s="69">
        <f>(ROUNDUP($H$630*9.92,0))</f>
        <v>0</v>
      </c>
      <c r="J632" s="70">
        <f t="shared" ref="J632:J638" si="460">IFERROR(IF(K632&lt;&gt;0,K632*$K$5,0),0)</f>
        <v>3.4</v>
      </c>
      <c r="K632" s="70">
        <f>IF(A632=0,VLOOKUP(D632,'03. Insumos'!A:F,4,0),"")</f>
        <v>3.4</v>
      </c>
      <c r="L632" s="70">
        <f t="shared" si="459"/>
        <v>0</v>
      </c>
      <c r="M632" s="153">
        <f t="shared" ca="1" si="445"/>
        <v>0</v>
      </c>
      <c r="O632" s="148"/>
      <c r="R632" s="356"/>
    </row>
    <row r="633" spans="1:18" s="51" customFormat="1" ht="13.5" hidden="1" customHeight="1" outlineLevel="1" x14ac:dyDescent="0.3">
      <c r="A633" s="13">
        <v>0</v>
      </c>
      <c r="B633" s="49"/>
      <c r="C633" s="49"/>
      <c r="D633" s="370" t="s">
        <v>6592</v>
      </c>
      <c r="E633" s="67" t="str">
        <f>VLOOKUP(D633,'03. Insumos'!A:D,2,0)</f>
        <v>Bloco de concreto de 14x19x19 - Grandes Quantidades ( acima 1512 blocos )</v>
      </c>
      <c r="F633" s="68" t="s">
        <v>5218</v>
      </c>
      <c r="G633" s="68" t="str">
        <f>VLOOKUP(D633,'03. Insumos'!A:F,3,0)</f>
        <v>unid</v>
      </c>
      <c r="H633" s="69">
        <v>1.1000000000000001</v>
      </c>
      <c r="I633" s="69">
        <f>(ROUNDUP($H$630*8.73,0))</f>
        <v>0</v>
      </c>
      <c r="J633" s="70">
        <f t="shared" si="460"/>
        <v>2.2000000000000002</v>
      </c>
      <c r="K633" s="70">
        <f>IF(A633=0,VLOOKUP(D633,'03. Insumos'!A:F,4,0),"")</f>
        <v>2.2000000000000002</v>
      </c>
      <c r="L633" s="70">
        <f t="shared" si="459"/>
        <v>0</v>
      </c>
      <c r="M633" s="153">
        <f t="shared" ca="1" si="445"/>
        <v>0</v>
      </c>
      <c r="O633" s="148">
        <v>0</v>
      </c>
      <c r="R633" s="356">
        <v>-0.33786407766990401</v>
      </c>
    </row>
    <row r="634" spans="1:18" s="51" customFormat="1" ht="13.5" hidden="1" customHeight="1" outlineLevel="1" x14ac:dyDescent="0.3">
      <c r="A634" s="13">
        <v>0</v>
      </c>
      <c r="B634" s="49"/>
      <c r="C634" s="49"/>
      <c r="D634" s="370" t="s">
        <v>6610</v>
      </c>
      <c r="E634" s="67" t="str">
        <f>VLOOKUP(D634,'03. Insumos'!A:D,2,0)</f>
        <v>Argamassa multiuso 50kg - Grandes Quantidade ( acima de 240 )</v>
      </c>
      <c r="F634" s="68" t="s">
        <v>5218</v>
      </c>
      <c r="G634" s="68" t="str">
        <f>VLOOKUP(D634,'03. Insumos'!A:F,3,0)</f>
        <v>sc</v>
      </c>
      <c r="H634" s="69">
        <v>1.1000000000000001</v>
      </c>
      <c r="I634" s="69">
        <f>ROUNDUP((H630*(19*2/50)),0)</f>
        <v>0</v>
      </c>
      <c r="J634" s="70">
        <f t="shared" si="460"/>
        <v>23</v>
      </c>
      <c r="K634" s="70">
        <f>IF(A634=0,VLOOKUP(D634,'03. Insumos'!A:F,4,0),"")</f>
        <v>23</v>
      </c>
      <c r="L634" s="70">
        <f t="shared" si="459"/>
        <v>0</v>
      </c>
      <c r="M634" s="153">
        <f t="shared" ca="1" si="445"/>
        <v>0</v>
      </c>
      <c r="O634" s="148">
        <v>0</v>
      </c>
      <c r="R634" s="356">
        <v>-0.33786407766990401</v>
      </c>
    </row>
    <row r="635" spans="1:18" s="51" customFormat="1" ht="13.5" hidden="1" customHeight="1" outlineLevel="1" x14ac:dyDescent="0.3">
      <c r="A635" s="13">
        <v>0</v>
      </c>
      <c r="B635" s="49"/>
      <c r="C635" s="49"/>
      <c r="D635" s="370" t="s">
        <v>6450</v>
      </c>
      <c r="E635" s="67" t="str">
        <f>VLOOKUP(D635,'03. Insumos'!A:D,2,0)</f>
        <v>Tela de Arame Soldado Malha 15 Fio 1,65 MM ( Pç c/ 12,0 x 50 cm )</v>
      </c>
      <c r="F635" s="68" t="s">
        <v>5218</v>
      </c>
      <c r="G635" s="68" t="str">
        <f>VLOOKUP(D635,'03. Insumos'!A:F,3,0)</f>
        <v>pç</v>
      </c>
      <c r="H635" s="69">
        <v>1.1000000000000001</v>
      </c>
      <c r="I635" s="69">
        <f>ROUNDUP($H630,0)</f>
        <v>0</v>
      </c>
      <c r="J635" s="70">
        <f t="shared" ref="J635:J637" si="461">IFERROR(IF(K635&lt;&gt;0,K635*$K$5,0),0)</f>
        <v>1.29036</v>
      </c>
      <c r="K635" s="70">
        <f>IF(A635=0,VLOOKUP(D635,'03. Insumos'!A:F,4,0),"")</f>
        <v>1.29036</v>
      </c>
      <c r="L635" s="70">
        <f t="shared" ref="L635:L637" si="462">H635*J635*I635</f>
        <v>0</v>
      </c>
      <c r="M635" s="153">
        <f t="shared" ref="M635:M637" ca="1" si="463">L635/$L$7</f>
        <v>0</v>
      </c>
      <c r="O635" s="148">
        <v>0</v>
      </c>
      <c r="R635" s="356">
        <v>-0.33786407766990401</v>
      </c>
    </row>
    <row r="636" spans="1:18" s="51" customFormat="1" ht="13.5" hidden="1" customHeight="1" outlineLevel="1" x14ac:dyDescent="0.3">
      <c r="A636" s="13">
        <v>0</v>
      </c>
      <c r="B636" s="49"/>
      <c r="C636" s="49"/>
      <c r="D636" s="370" t="s">
        <v>6456</v>
      </c>
      <c r="E636" s="67" t="str">
        <f>VLOOKUP(D636,'03. Insumos'!A:D,2,0)</f>
        <v>Cimento Portland CPIII 40 RS 50 KGs</v>
      </c>
      <c r="F636" s="68" t="s">
        <v>5218</v>
      </c>
      <c r="G636" s="68" t="str">
        <f>VLOOKUP(D636,'03. Insumos'!A:F,3,0)</f>
        <v>sc</v>
      </c>
      <c r="H636" s="69">
        <v>7.4</v>
      </c>
      <c r="I636" s="69">
        <f>H630*0.12</f>
        <v>0</v>
      </c>
      <c r="J636" s="70">
        <f t="shared" ref="J636" si="464">IFERROR(IF(K636&lt;&gt;0,K636*$K$5,0),0)</f>
        <v>29.8</v>
      </c>
      <c r="K636" s="70">
        <f>IF(A636=0,VLOOKUP(D636,'03. Insumos'!A:F,4,0),"")</f>
        <v>29.8</v>
      </c>
      <c r="L636" s="70">
        <f t="shared" ref="L636" si="465">H636*J636*I636</f>
        <v>0</v>
      </c>
      <c r="M636" s="153">
        <f t="shared" ref="M636" ca="1" si="466">L636/$L$7</f>
        <v>0</v>
      </c>
      <c r="O636" s="148">
        <v>0</v>
      </c>
      <c r="R636" s="356">
        <v>-0.33786407766990401</v>
      </c>
    </row>
    <row r="637" spans="1:18" s="51" customFormat="1" ht="13.5" hidden="1" customHeight="1" outlineLevel="1" x14ac:dyDescent="0.3">
      <c r="A637" s="13">
        <v>0</v>
      </c>
      <c r="B637" s="49"/>
      <c r="C637" s="49"/>
      <c r="D637" s="370" t="s">
        <v>4076</v>
      </c>
      <c r="E637" s="67" t="str">
        <f>VLOOKUP(D637,'03. Insumos'!A:D,2,0)</f>
        <v xml:space="preserve">Areia Lavada </v>
      </c>
      <c r="F637" s="68" t="s">
        <v>5218</v>
      </c>
      <c r="G637" s="68" t="str">
        <f>VLOOKUP(D637,'03. Insumos'!A:F,3,0)</f>
        <v>m³</v>
      </c>
      <c r="H637" s="69">
        <v>1.1000000000000001</v>
      </c>
      <c r="I637" s="69">
        <f>H630*0.12</f>
        <v>0</v>
      </c>
      <c r="J637" s="70">
        <f t="shared" si="461"/>
        <v>180</v>
      </c>
      <c r="K637" s="70">
        <f>IF(A637=0,VLOOKUP(D637,'03. Insumos'!A:F,4,0),"")</f>
        <v>180</v>
      </c>
      <c r="L637" s="70">
        <f t="shared" si="462"/>
        <v>0</v>
      </c>
      <c r="M637" s="153">
        <f t="shared" ca="1" si="463"/>
        <v>0</v>
      </c>
      <c r="O637" s="148">
        <v>0</v>
      </c>
      <c r="R637" s="356">
        <v>-0.33786407766990401</v>
      </c>
    </row>
    <row r="638" spans="1:18" s="51" customFormat="1" ht="13.5" hidden="1" customHeight="1" outlineLevel="1" x14ac:dyDescent="0.3">
      <c r="A638" s="13">
        <v>0</v>
      </c>
      <c r="B638" s="49"/>
      <c r="C638" s="49"/>
      <c r="D638" s="370" t="s">
        <v>7772</v>
      </c>
      <c r="E638" s="67" t="str">
        <f>VLOOKUP(D638,'03. Insumos'!A:D,2,0)</f>
        <v>Vermifloc Acústico - 40lt</v>
      </c>
      <c r="F638" s="68" t="s">
        <v>5218</v>
      </c>
      <c r="G638" s="68" t="str">
        <f>VLOOKUP(D638,'03. Insumos'!A:F,3,0)</f>
        <v>sc</v>
      </c>
      <c r="H638" s="69">
        <v>2.15</v>
      </c>
      <c r="I638" s="69"/>
      <c r="J638" s="70">
        <f t="shared" si="460"/>
        <v>46.9</v>
      </c>
      <c r="K638" s="70">
        <f>IF(A638=0,VLOOKUP(D638,'03. Insumos'!A:F,4,0),"")</f>
        <v>46.9</v>
      </c>
      <c r="L638" s="70">
        <f t="shared" si="459"/>
        <v>0</v>
      </c>
      <c r="M638" s="153">
        <f t="shared" ca="1" si="445"/>
        <v>0</v>
      </c>
      <c r="O638" s="148">
        <v>0</v>
      </c>
      <c r="R638" s="356">
        <v>-0.33786407766990401</v>
      </c>
    </row>
    <row r="639" spans="1:18" s="18" customFormat="1" ht="13.5" hidden="1" customHeight="1" outlineLevel="1" x14ac:dyDescent="0.3">
      <c r="A639" s="18">
        <f>LEN(C639)</f>
        <v>6</v>
      </c>
      <c r="B639" s="606"/>
      <c r="C639" s="606" t="s">
        <v>6298</v>
      </c>
      <c r="D639" s="606" t="s">
        <v>7038</v>
      </c>
      <c r="E639" s="391"/>
      <c r="F639" s="325"/>
      <c r="G639" s="325" t="s">
        <v>73</v>
      </c>
      <c r="H639" s="326"/>
      <c r="I639" s="326"/>
      <c r="J639" s="804">
        <f>IFERROR(L639/H639,0)</f>
        <v>0</v>
      </c>
      <c r="K639" s="607" t="str">
        <f>IF(A639=0,VLOOKUP(D639,'03. Insumos'!A:F,4,0),"")</f>
        <v/>
      </c>
      <c r="L639" s="334">
        <f>SUM(L640:L645)</f>
        <v>0</v>
      </c>
      <c r="M639" s="153">
        <f t="shared" ca="1" si="445"/>
        <v>0</v>
      </c>
      <c r="O639" s="600">
        <f t="shared" ref="O639" si="467">IF(I639&lt;&gt;0,I639*H639*K639,)</f>
        <v>0</v>
      </c>
      <c r="R639" s="601">
        <f t="shared" ref="R639" si="468">IF(J639&lt;&gt;0,J639/1.03-K639,0)</f>
        <v>0</v>
      </c>
    </row>
    <row r="640" spans="1:18" s="51" customFormat="1" ht="13.5" hidden="1" customHeight="1" outlineLevel="1" x14ac:dyDescent="0.3">
      <c r="A640" s="13">
        <f>LEN(C640)</f>
        <v>0</v>
      </c>
      <c r="B640" s="49"/>
      <c r="C640" s="49"/>
      <c r="D640" s="370" t="s">
        <v>457</v>
      </c>
      <c r="E640" s="67" t="str">
        <f>VLOOKUP(D640,'03. Insumos'!A:D,2,0)</f>
        <v>Execução Alvenaria  - Bloco Concreto</v>
      </c>
      <c r="F640" s="68" t="s">
        <v>5218</v>
      </c>
      <c r="G640" s="68" t="str">
        <f>VLOOKUP(D640,'03. Insumos'!A:F,3,0)</f>
        <v>m²</v>
      </c>
      <c r="H640" s="69"/>
      <c r="I640" s="69">
        <f>$H$639</f>
        <v>0</v>
      </c>
      <c r="J640" s="70">
        <f t="shared" ref="J640:J645" si="469">IFERROR(IF(K640&lt;&gt;0,K640*$K$5,0),0)</f>
        <v>66</v>
      </c>
      <c r="K640" s="70">
        <f>IF(A640=0,VLOOKUP(D640,'03. Insumos'!A:F,4,0),"")</f>
        <v>66</v>
      </c>
      <c r="L640" s="70">
        <f t="shared" ref="L640:L645" si="470">H640*J640*I640</f>
        <v>0</v>
      </c>
      <c r="M640" s="153">
        <f t="shared" ca="1" si="445"/>
        <v>0</v>
      </c>
      <c r="O640" s="148"/>
      <c r="R640" s="356"/>
    </row>
    <row r="641" spans="1:18" s="51" customFormat="1" ht="13.5" hidden="1" customHeight="1" outlineLevel="1" x14ac:dyDescent="0.3">
      <c r="A641" s="13">
        <v>0</v>
      </c>
      <c r="B641" s="49"/>
      <c r="C641" s="49"/>
      <c r="D641" s="370" t="s">
        <v>6594</v>
      </c>
      <c r="E641" s="67" t="str">
        <f>VLOOKUP(D641,'03. Insumos'!A:D,2,0)</f>
        <v>Bloco de concreto 19x19x39cm - Grandes Quantidades ( acima 1134 blocos )</v>
      </c>
      <c r="F641" s="68" t="s">
        <v>5218</v>
      </c>
      <c r="G641" s="68" t="str">
        <f>VLOOKUP(D641,'03. Insumos'!A:F,3,0)</f>
        <v>unid</v>
      </c>
      <c r="H641" s="69"/>
      <c r="I641" s="69">
        <f>$H$639*13.9</f>
        <v>0</v>
      </c>
      <c r="J641" s="70">
        <f t="shared" si="469"/>
        <v>5.0999999999999996</v>
      </c>
      <c r="K641" s="70">
        <f>IF(A641=0,VLOOKUP(D641,'03. Insumos'!A:F,4,0),"")</f>
        <v>5.0999999999999996</v>
      </c>
      <c r="L641" s="70">
        <f t="shared" si="470"/>
        <v>0</v>
      </c>
      <c r="M641" s="153">
        <f t="shared" ca="1" si="445"/>
        <v>0</v>
      </c>
      <c r="O641" s="148">
        <v>0</v>
      </c>
      <c r="R641" s="356">
        <v>-0.33786407766990401</v>
      </c>
    </row>
    <row r="642" spans="1:18" s="51" customFormat="1" ht="13.5" hidden="1" customHeight="1" outlineLevel="1" x14ac:dyDescent="0.3">
      <c r="A642" s="13">
        <v>0</v>
      </c>
      <c r="B642" s="49"/>
      <c r="C642" s="49"/>
      <c r="D642" s="370" t="s">
        <v>6596</v>
      </c>
      <c r="E642" s="67" t="str">
        <f>VLOOKUP(D642,'03. Insumos'!A:D,2,0)</f>
        <v>Bloco de concreto 19x19x19cm - Grandes Quantidades ( acima 1134 blocos )</v>
      </c>
      <c r="F642" s="68" t="s">
        <v>5218</v>
      </c>
      <c r="G642" s="68" t="str">
        <f>VLOOKUP(D642,'03. Insumos'!A:F,3,0)</f>
        <v>unid</v>
      </c>
      <c r="H642" s="69"/>
      <c r="I642" s="69">
        <f>$H$639*0.9919</f>
        <v>0</v>
      </c>
      <c r="J642" s="70">
        <f t="shared" si="469"/>
        <v>3.468</v>
      </c>
      <c r="K642" s="70">
        <f>IF(A642=0,VLOOKUP(D642,'03. Insumos'!A:F,4,0),"")</f>
        <v>3.468</v>
      </c>
      <c r="L642" s="70">
        <f t="shared" si="470"/>
        <v>0</v>
      </c>
      <c r="M642" s="153">
        <f t="shared" ca="1" si="445"/>
        <v>0</v>
      </c>
      <c r="O642" s="148">
        <v>0</v>
      </c>
      <c r="R642" s="356">
        <v>-0.33786407766990401</v>
      </c>
    </row>
    <row r="643" spans="1:18" s="51" customFormat="1" ht="13.5" hidden="1" customHeight="1" outlineLevel="1" x14ac:dyDescent="0.3">
      <c r="A643" s="13">
        <v>0</v>
      </c>
      <c r="B643" s="49"/>
      <c r="C643" s="49"/>
      <c r="D643" s="370" t="s">
        <v>6610</v>
      </c>
      <c r="E643" s="67" t="str">
        <f>VLOOKUP(D643,'03. Insumos'!A:D,2,0)</f>
        <v>Argamassa multiuso 50kg - Grandes Quantidade ( acima de 240 )</v>
      </c>
      <c r="F643" s="68" t="s">
        <v>3809</v>
      </c>
      <c r="G643" s="68" t="str">
        <f>VLOOKUP(D643,'03. Insumos'!A:F,3,0)</f>
        <v>sc</v>
      </c>
      <c r="H643" s="69"/>
      <c r="I643" s="69">
        <f>$H$639*0.594</f>
        <v>0</v>
      </c>
      <c r="J643" s="70">
        <f t="shared" si="469"/>
        <v>23</v>
      </c>
      <c r="K643" s="70">
        <f>IF(A643=0,VLOOKUP(D643,'03. Insumos'!A:F,4,0),"")</f>
        <v>23</v>
      </c>
      <c r="L643" s="70">
        <f t="shared" si="470"/>
        <v>0</v>
      </c>
      <c r="M643" s="153">
        <f t="shared" ca="1" si="445"/>
        <v>0</v>
      </c>
      <c r="O643" s="148">
        <v>0</v>
      </c>
      <c r="R643" s="356">
        <v>-0.33786407766990401</v>
      </c>
    </row>
    <row r="644" spans="1:18" s="51" customFormat="1" ht="13.5" hidden="1" customHeight="1" outlineLevel="1" x14ac:dyDescent="0.3">
      <c r="A644" s="13">
        <v>0</v>
      </c>
      <c r="B644" s="49"/>
      <c r="C644" s="49"/>
      <c r="D644" s="370" t="s">
        <v>6450</v>
      </c>
      <c r="E644" s="67" t="str">
        <f>VLOOKUP(D644,'03. Insumos'!A:D,2,0)</f>
        <v>Tela de Arame Soldado Malha 15 Fio 1,65 MM ( Pç c/ 12,0 x 50 cm )</v>
      </c>
      <c r="F644" s="68" t="s">
        <v>5218</v>
      </c>
      <c r="G644" s="68" t="str">
        <f>VLOOKUP(D644,'03. Insumos'!A:F,3,0)</f>
        <v>pç</v>
      </c>
      <c r="H644" s="69"/>
      <c r="I644" s="69">
        <f>$H$639</f>
        <v>0</v>
      </c>
      <c r="J644" s="70">
        <f t="shared" si="469"/>
        <v>1.29036</v>
      </c>
      <c r="K644" s="70">
        <f>IF(A644=0,VLOOKUP(D644,'03. Insumos'!A:F,4,0),"")</f>
        <v>1.29036</v>
      </c>
      <c r="L644" s="70">
        <f t="shared" si="470"/>
        <v>0</v>
      </c>
      <c r="M644" s="153">
        <f t="shared" ca="1" si="445"/>
        <v>0</v>
      </c>
      <c r="O644" s="148">
        <v>0</v>
      </c>
      <c r="R644" s="356">
        <v>-0.33786407766990401</v>
      </c>
    </row>
    <row r="645" spans="1:18" s="51" customFormat="1" ht="13.5" hidden="1" customHeight="1" outlineLevel="1" x14ac:dyDescent="0.3">
      <c r="A645" s="13">
        <v>0</v>
      </c>
      <c r="B645" s="49"/>
      <c r="C645" s="49"/>
      <c r="D645" s="370" t="s">
        <v>6449</v>
      </c>
      <c r="E645" s="67" t="str">
        <f>VLOOKUP(D645,'03. Insumos'!A:D,2,0)</f>
        <v>Diversos de Alvenaria</v>
      </c>
      <c r="F645" s="68" t="s">
        <v>5218</v>
      </c>
      <c r="G645" s="68" t="str">
        <f>VLOOKUP(D645,'03. Insumos'!A:F,3,0)</f>
        <v>vb</v>
      </c>
      <c r="H645" s="69">
        <f>H639</f>
        <v>0</v>
      </c>
      <c r="I645" s="69"/>
      <c r="J645" s="70">
        <f t="shared" si="469"/>
        <v>1</v>
      </c>
      <c r="K645" s="70">
        <f>IF(A645=0,VLOOKUP(D645,'03. Insumos'!A:F,4,0),"")</f>
        <v>1</v>
      </c>
      <c r="L645" s="70">
        <f t="shared" si="470"/>
        <v>0</v>
      </c>
      <c r="M645" s="153">
        <f t="shared" ca="1" si="445"/>
        <v>0</v>
      </c>
      <c r="O645" s="148">
        <v>0</v>
      </c>
      <c r="R645" s="356">
        <v>-0.33786407766990401</v>
      </c>
    </row>
    <row r="646" spans="1:18" s="18" customFormat="1" ht="13.5" hidden="1" customHeight="1" outlineLevel="1" x14ac:dyDescent="0.3">
      <c r="A646" s="18">
        <f>LEN(C646)</f>
        <v>6</v>
      </c>
      <c r="B646" s="606"/>
      <c r="C646" s="606" t="s">
        <v>7099</v>
      </c>
      <c r="D646" s="606" t="s">
        <v>7035</v>
      </c>
      <c r="E646" s="391"/>
      <c r="F646" s="325"/>
      <c r="G646" s="325" t="s">
        <v>73</v>
      </c>
      <c r="H646" s="326"/>
      <c r="I646" s="326"/>
      <c r="J646" s="804">
        <f>IFERROR(L646/H646,0)</f>
        <v>0</v>
      </c>
      <c r="K646" s="607" t="str">
        <f>IF(A646=0,VLOOKUP(D646,'03. Insumos'!A:F,4,0),"")</f>
        <v/>
      </c>
      <c r="L646" s="334">
        <f>SUM(L647:L652)</f>
        <v>0</v>
      </c>
      <c r="M646" s="153">
        <f t="shared" ca="1" si="445"/>
        <v>0</v>
      </c>
      <c r="O646" s="600">
        <f t="shared" ref="O646" si="471">IF(I646&lt;&gt;0,I646*H646*K646,)</f>
        <v>0</v>
      </c>
      <c r="R646" s="601">
        <f t="shared" ref="R646" si="472">IF(J646&lt;&gt;0,J646/1.03-K646,0)</f>
        <v>0</v>
      </c>
    </row>
    <row r="647" spans="1:18" s="51" customFormat="1" ht="13.5" hidden="1" customHeight="1" outlineLevel="1" x14ac:dyDescent="0.3">
      <c r="A647" s="13">
        <v>0</v>
      </c>
      <c r="B647" s="49"/>
      <c r="C647" s="49"/>
      <c r="D647" s="370" t="s">
        <v>457</v>
      </c>
      <c r="E647" s="67" t="str">
        <f>VLOOKUP(D647,'03. Insumos'!A:D,2,0)</f>
        <v>Execução Alvenaria  - Bloco Concreto</v>
      </c>
      <c r="F647" s="68" t="s">
        <v>3809</v>
      </c>
      <c r="G647" s="68" t="str">
        <f>VLOOKUP(D647,'03. Insumos'!A:F,3,0)</f>
        <v>m²</v>
      </c>
      <c r="H647" s="69"/>
      <c r="I647" s="69">
        <f>$H$646</f>
        <v>0</v>
      </c>
      <c r="J647" s="70">
        <f t="shared" ref="J647:J652" si="473">IFERROR(IF(K647&lt;&gt;0,K647*$K$5,0),0)</f>
        <v>66</v>
      </c>
      <c r="K647" s="70">
        <f>IF(A647=0,VLOOKUP(D647,'03. Insumos'!A:F,4,0),"")</f>
        <v>66</v>
      </c>
      <c r="L647" s="70">
        <f t="shared" ref="L647:L652" si="474">H647*J647*I647</f>
        <v>0</v>
      </c>
      <c r="M647" s="153">
        <f t="shared" ca="1" si="445"/>
        <v>0</v>
      </c>
      <c r="O647" s="148">
        <v>0</v>
      </c>
      <c r="R647" s="356">
        <v>-0.33786407766990401</v>
      </c>
    </row>
    <row r="648" spans="1:18" s="51" customFormat="1" ht="13.5" hidden="1" customHeight="1" outlineLevel="1" x14ac:dyDescent="0.3">
      <c r="A648" s="13">
        <f>LEN(C648)</f>
        <v>0</v>
      </c>
      <c r="B648" s="49"/>
      <c r="C648" s="49"/>
      <c r="D648" s="370" t="s">
        <v>6587</v>
      </c>
      <c r="E648" s="67" t="str">
        <f>VLOOKUP(D648,'03. Insumos'!A:D,2,0)</f>
        <v>Bloco de concreto 09x19x39cm - Pequenas Quantidades</v>
      </c>
      <c r="F648" s="68" t="s">
        <v>5218</v>
      </c>
      <c r="G648" s="68" t="str">
        <f>VLOOKUP(D648,'03. Insumos'!A:F,3,0)</f>
        <v>unid</v>
      </c>
      <c r="H648" s="69"/>
      <c r="I648" s="69">
        <f>$H$646*11.88</f>
        <v>0</v>
      </c>
      <c r="J648" s="70">
        <f t="shared" si="473"/>
        <v>0</v>
      </c>
      <c r="K648" s="70">
        <f>IF(A648=0,VLOOKUP(D648,'03. Insumos'!A:F,4,0),"")</f>
        <v>0</v>
      </c>
      <c r="L648" s="70">
        <f t="shared" si="474"/>
        <v>0</v>
      </c>
      <c r="M648" s="153">
        <f t="shared" ca="1" si="445"/>
        <v>0</v>
      </c>
      <c r="O648" s="148"/>
      <c r="R648" s="356"/>
    </row>
    <row r="649" spans="1:18" s="51" customFormat="1" ht="13.5" hidden="1" customHeight="1" outlineLevel="1" x14ac:dyDescent="0.3">
      <c r="A649" s="13">
        <v>0</v>
      </c>
      <c r="B649" s="49"/>
      <c r="C649" s="49"/>
      <c r="D649" s="370" t="s">
        <v>6589</v>
      </c>
      <c r="E649" s="67" t="str">
        <f>VLOOKUP(D649,'03. Insumos'!A:D,2,0)</f>
        <v>Bloco de concreto 09x19x19cm - Pequenas Quantidades</v>
      </c>
      <c r="F649" s="68" t="s">
        <v>5218</v>
      </c>
      <c r="G649" s="68" t="str">
        <f>VLOOKUP(D649,'03. Insumos'!A:F,3,0)</f>
        <v>unid</v>
      </c>
      <c r="H649" s="69"/>
      <c r="I649" s="69">
        <f>$H$646*6.09</f>
        <v>0</v>
      </c>
      <c r="J649" s="70">
        <f t="shared" si="473"/>
        <v>0</v>
      </c>
      <c r="K649" s="70">
        <f>IF(A649=0,VLOOKUP(D649,'03. Insumos'!A:F,4,0),"")</f>
        <v>0</v>
      </c>
      <c r="L649" s="70">
        <f t="shared" si="474"/>
        <v>0</v>
      </c>
      <c r="M649" s="153">
        <f t="shared" ca="1" si="445"/>
        <v>0</v>
      </c>
      <c r="O649" s="148">
        <v>0</v>
      </c>
      <c r="R649" s="356">
        <v>-0.33786407766990401</v>
      </c>
    </row>
    <row r="650" spans="1:18" s="51" customFormat="1" ht="13.5" hidden="1" customHeight="1" outlineLevel="1" x14ac:dyDescent="0.3">
      <c r="A650" s="13">
        <v>0</v>
      </c>
      <c r="B650" s="49"/>
      <c r="C650" s="49"/>
      <c r="D650" s="370" t="s">
        <v>6610</v>
      </c>
      <c r="E650" s="67" t="str">
        <f>VLOOKUP(D650,'03. Insumos'!A:D,2,0)</f>
        <v>Argamassa multiuso 50kg - Grandes Quantidade ( acima de 240 )</v>
      </c>
      <c r="F650" s="68" t="s">
        <v>5218</v>
      </c>
      <c r="G650" s="68" t="str">
        <f>VLOOKUP(D650,'03. Insumos'!A:F,3,0)</f>
        <v>sc</v>
      </c>
      <c r="H650" s="69"/>
      <c r="I650" s="69">
        <f>$H$646*0.594</f>
        <v>0</v>
      </c>
      <c r="J650" s="70">
        <f t="shared" si="473"/>
        <v>23</v>
      </c>
      <c r="K650" s="70">
        <f>IF(A650=0,VLOOKUP(D650,'03. Insumos'!A:F,4,0),"")</f>
        <v>23</v>
      </c>
      <c r="L650" s="70">
        <f t="shared" si="474"/>
        <v>0</v>
      </c>
      <c r="M650" s="153">
        <f t="shared" ca="1" si="445"/>
        <v>0</v>
      </c>
      <c r="O650" s="148">
        <v>0</v>
      </c>
      <c r="R650" s="356">
        <v>-0.33786407766990401</v>
      </c>
    </row>
    <row r="651" spans="1:18" s="51" customFormat="1" ht="13.5" hidden="1" customHeight="1" outlineLevel="1" x14ac:dyDescent="0.3">
      <c r="A651" s="13">
        <v>0</v>
      </c>
      <c r="B651" s="49"/>
      <c r="C651" s="49"/>
      <c r="D651" s="370" t="s">
        <v>6450</v>
      </c>
      <c r="E651" s="67" t="str">
        <f>VLOOKUP(D651,'03. Insumos'!A:D,2,0)</f>
        <v>Tela de Arame Soldado Malha 15 Fio 1,65 MM ( Pç c/ 12,0 x 50 cm )</v>
      </c>
      <c r="F651" s="68" t="s">
        <v>3809</v>
      </c>
      <c r="G651" s="68" t="str">
        <f>VLOOKUP(D651,'03. Insumos'!A:F,3,0)</f>
        <v>pç</v>
      </c>
      <c r="H651" s="69"/>
      <c r="I651" s="69">
        <f>$H$646</f>
        <v>0</v>
      </c>
      <c r="J651" s="70">
        <f t="shared" si="473"/>
        <v>1.29036</v>
      </c>
      <c r="K651" s="70">
        <f>IF(A651=0,VLOOKUP(D651,'03. Insumos'!A:F,4,0),"")</f>
        <v>1.29036</v>
      </c>
      <c r="L651" s="70">
        <f t="shared" si="474"/>
        <v>0</v>
      </c>
      <c r="M651" s="153">
        <f t="shared" ca="1" si="445"/>
        <v>0</v>
      </c>
      <c r="O651" s="148">
        <v>0</v>
      </c>
      <c r="R651" s="356">
        <v>-0.33786407766990401</v>
      </c>
    </row>
    <row r="652" spans="1:18" s="51" customFormat="1" ht="13.5" hidden="1" customHeight="1" outlineLevel="1" x14ac:dyDescent="0.3">
      <c r="A652" s="13">
        <v>0</v>
      </c>
      <c r="B652" s="49"/>
      <c r="C652" s="49"/>
      <c r="D652" s="370" t="s">
        <v>6449</v>
      </c>
      <c r="E652" s="67" t="str">
        <f>VLOOKUP(D652,'03. Insumos'!A:D,2,0)</f>
        <v>Diversos de Alvenaria</v>
      </c>
      <c r="F652" s="68" t="s">
        <v>3809</v>
      </c>
      <c r="G652" s="68" t="str">
        <f>VLOOKUP(D652,'03. Insumos'!A:F,3,0)</f>
        <v>vb</v>
      </c>
      <c r="H652" s="69">
        <f>H646</f>
        <v>0</v>
      </c>
      <c r="I652" s="69">
        <v>1</v>
      </c>
      <c r="J652" s="70">
        <f t="shared" si="473"/>
        <v>1</v>
      </c>
      <c r="K652" s="70">
        <f>IF(A652=0,VLOOKUP(D652,'03. Insumos'!A:F,4,0),"")</f>
        <v>1</v>
      </c>
      <c r="L652" s="70">
        <f t="shared" si="474"/>
        <v>0</v>
      </c>
      <c r="M652" s="153">
        <f t="shared" ca="1" si="445"/>
        <v>0</v>
      </c>
      <c r="O652" s="148">
        <v>0</v>
      </c>
      <c r="R652" s="356">
        <v>-0.33786407766990401</v>
      </c>
    </row>
    <row r="653" spans="1:18" s="18" customFormat="1" ht="13.5" hidden="1" customHeight="1" outlineLevel="1" x14ac:dyDescent="0.3">
      <c r="A653" s="18">
        <f>LEN(C653)</f>
        <v>6</v>
      </c>
      <c r="B653" s="606"/>
      <c r="C653" s="606" t="s">
        <v>7100</v>
      </c>
      <c r="D653" s="606" t="s">
        <v>7036</v>
      </c>
      <c r="E653" s="391"/>
      <c r="F653" s="325"/>
      <c r="G653" s="325" t="s">
        <v>73</v>
      </c>
      <c r="H653" s="326"/>
      <c r="I653" s="326"/>
      <c r="J653" s="804">
        <f>IFERROR(L653/H653,0)</f>
        <v>0</v>
      </c>
      <c r="K653" s="607" t="str">
        <f>IF(A653=0,VLOOKUP(D653,'03. Insumos'!A:F,4,0),"")</f>
        <v/>
      </c>
      <c r="L653" s="334">
        <f>SUM(L654:L659)</f>
        <v>0</v>
      </c>
      <c r="M653" s="153">
        <f t="shared" ca="1" si="445"/>
        <v>0</v>
      </c>
      <c r="O653" s="600">
        <f t="shared" ref="O653" si="475">IF(I653&lt;&gt;0,I653*H653*K653,)</f>
        <v>0</v>
      </c>
      <c r="R653" s="601">
        <f t="shared" ref="R653" si="476">IF(J653&lt;&gt;0,J653/1.03-K653,0)</f>
        <v>0</v>
      </c>
    </row>
    <row r="654" spans="1:18" s="51" customFormat="1" ht="13.5" hidden="1" customHeight="1" outlineLevel="1" x14ac:dyDescent="0.3">
      <c r="A654" s="13">
        <v>0</v>
      </c>
      <c r="B654" s="49"/>
      <c r="C654" s="49"/>
      <c r="D654" s="370" t="s">
        <v>457</v>
      </c>
      <c r="E654" s="67" t="str">
        <f>VLOOKUP(D654,'03. Insumos'!A:D,2,0)</f>
        <v>Execução Alvenaria  - Bloco Concreto</v>
      </c>
      <c r="F654" s="68" t="s">
        <v>3809</v>
      </c>
      <c r="G654" s="68" t="str">
        <f>VLOOKUP(D654,'03. Insumos'!A:F,3,0)</f>
        <v>m²</v>
      </c>
      <c r="H654" s="69"/>
      <c r="I654" s="69">
        <f>$H$653</f>
        <v>0</v>
      </c>
      <c r="J654" s="70">
        <f t="shared" ref="J654:J659" si="477">IFERROR(IF(K654&lt;&gt;0,K654*$K$5,0),0)</f>
        <v>66</v>
      </c>
      <c r="K654" s="70">
        <f>IF(A654=0,VLOOKUP(D654,'03. Insumos'!A:F,4,0),"")</f>
        <v>66</v>
      </c>
      <c r="L654" s="70">
        <f t="shared" ref="L654:L659" si="478">H654*J654*I654</f>
        <v>0</v>
      </c>
      <c r="M654" s="153">
        <f t="shared" ca="1" si="445"/>
        <v>0</v>
      </c>
      <c r="O654" s="148">
        <v>0</v>
      </c>
      <c r="R654" s="356">
        <v>-0.33786407766990401</v>
      </c>
    </row>
    <row r="655" spans="1:18" s="51" customFormat="1" ht="13.5" hidden="1" customHeight="1" outlineLevel="1" x14ac:dyDescent="0.3">
      <c r="A655" s="13">
        <f>LEN(C655)</f>
        <v>0</v>
      </c>
      <c r="B655" s="49"/>
      <c r="C655" s="49"/>
      <c r="D655" s="370" t="s">
        <v>6591</v>
      </c>
      <c r="E655" s="67" t="str">
        <f>VLOOKUP(D655,'03. Insumos'!A:D,2,0)</f>
        <v>Bloco de concreto de 14x19x39 - Pequenas Quantidades</v>
      </c>
      <c r="F655" s="68" t="s">
        <v>5218</v>
      </c>
      <c r="G655" s="68" t="str">
        <f>VLOOKUP(D655,'03. Insumos'!A:F,3,0)</f>
        <v>unid</v>
      </c>
      <c r="H655" s="69"/>
      <c r="I655" s="69">
        <f>$H$653*11.88</f>
        <v>0</v>
      </c>
      <c r="J655" s="70">
        <f t="shared" si="477"/>
        <v>0</v>
      </c>
      <c r="K655" s="70">
        <f>IF(A655=0,VLOOKUP(D655,'03. Insumos'!A:F,4,0),"")</f>
        <v>0</v>
      </c>
      <c r="L655" s="70">
        <f t="shared" si="478"/>
        <v>0</v>
      </c>
      <c r="M655" s="153">
        <f t="shared" ca="1" si="445"/>
        <v>0</v>
      </c>
      <c r="O655" s="148"/>
      <c r="R655" s="356"/>
    </row>
    <row r="656" spans="1:18" s="51" customFormat="1" ht="13.5" hidden="1" customHeight="1" outlineLevel="1" x14ac:dyDescent="0.3">
      <c r="A656" s="13">
        <v>0</v>
      </c>
      <c r="B656" s="49"/>
      <c r="C656" s="49"/>
      <c r="D656" s="370" t="s">
        <v>6593</v>
      </c>
      <c r="E656" s="67" t="str">
        <f>VLOOKUP(D656,'03. Insumos'!A:D,2,0)</f>
        <v>Bloco de concreto de 14x19x19 - Pequenas Quantidades</v>
      </c>
      <c r="F656" s="68" t="s">
        <v>5218</v>
      </c>
      <c r="G656" s="68" t="str">
        <f>VLOOKUP(D656,'03. Insumos'!A:F,3,0)</f>
        <v>unid</v>
      </c>
      <c r="H656" s="69"/>
      <c r="I656" s="69">
        <f>$H$653*6.09</f>
        <v>0</v>
      </c>
      <c r="J656" s="70">
        <f t="shared" si="477"/>
        <v>0</v>
      </c>
      <c r="K656" s="70">
        <f>IF(A656=0,VLOOKUP(D656,'03. Insumos'!A:F,4,0),"")</f>
        <v>0</v>
      </c>
      <c r="L656" s="70">
        <f t="shared" si="478"/>
        <v>0</v>
      </c>
      <c r="M656" s="153">
        <f t="shared" ca="1" si="445"/>
        <v>0</v>
      </c>
      <c r="O656" s="148">
        <v>0</v>
      </c>
      <c r="R656" s="356">
        <v>-0.33786407766990401</v>
      </c>
    </row>
    <row r="657" spans="1:18" s="51" customFormat="1" ht="13.5" hidden="1" customHeight="1" outlineLevel="1" x14ac:dyDescent="0.3">
      <c r="A657" s="13">
        <v>0</v>
      </c>
      <c r="B657" s="49"/>
      <c r="C657" s="49"/>
      <c r="D657" s="370" t="s">
        <v>6610</v>
      </c>
      <c r="E657" s="67" t="str">
        <f>VLOOKUP(D657,'03. Insumos'!A:D,2,0)</f>
        <v>Argamassa multiuso 50kg - Grandes Quantidade ( acima de 240 )</v>
      </c>
      <c r="F657" s="68" t="s">
        <v>5218</v>
      </c>
      <c r="G657" s="68" t="str">
        <f>VLOOKUP(D657,'03. Insumos'!A:F,3,0)</f>
        <v>sc</v>
      </c>
      <c r="H657" s="69"/>
      <c r="I657" s="69">
        <f>$H$653*0.594</f>
        <v>0</v>
      </c>
      <c r="J657" s="70">
        <f t="shared" si="477"/>
        <v>23</v>
      </c>
      <c r="K657" s="70">
        <f>IF(A657=0,VLOOKUP(D657,'03. Insumos'!A:F,4,0),"")</f>
        <v>23</v>
      </c>
      <c r="L657" s="70">
        <f t="shared" si="478"/>
        <v>0</v>
      </c>
      <c r="M657" s="153">
        <f t="shared" ca="1" si="445"/>
        <v>0</v>
      </c>
      <c r="O657" s="148">
        <v>0</v>
      </c>
      <c r="R657" s="356">
        <v>-0.33786407766990401</v>
      </c>
    </row>
    <row r="658" spans="1:18" s="51" customFormat="1" ht="13.5" hidden="1" customHeight="1" outlineLevel="1" x14ac:dyDescent="0.3">
      <c r="A658" s="13">
        <v>0</v>
      </c>
      <c r="B658" s="49"/>
      <c r="C658" s="49"/>
      <c r="D658" s="370" t="s">
        <v>6450</v>
      </c>
      <c r="E658" s="67" t="str">
        <f>VLOOKUP(D658,'03. Insumos'!A:D,2,0)</f>
        <v>Tela de Arame Soldado Malha 15 Fio 1,65 MM ( Pç c/ 12,0 x 50 cm )</v>
      </c>
      <c r="F658" s="68" t="s">
        <v>3809</v>
      </c>
      <c r="G658" s="68" t="str">
        <f>VLOOKUP(D658,'03. Insumos'!A:F,3,0)</f>
        <v>pç</v>
      </c>
      <c r="H658" s="69"/>
      <c r="I658" s="69">
        <f>$H$653</f>
        <v>0</v>
      </c>
      <c r="J658" s="70">
        <f t="shared" si="477"/>
        <v>1.29036</v>
      </c>
      <c r="K658" s="70">
        <f>IF(A658=0,VLOOKUP(D658,'03. Insumos'!A:F,4,0),"")</f>
        <v>1.29036</v>
      </c>
      <c r="L658" s="70">
        <f t="shared" si="478"/>
        <v>0</v>
      </c>
      <c r="M658" s="153">
        <f t="shared" ca="1" si="445"/>
        <v>0</v>
      </c>
      <c r="O658" s="148">
        <v>0</v>
      </c>
      <c r="R658" s="356">
        <v>-0.33786407766990401</v>
      </c>
    </row>
    <row r="659" spans="1:18" s="51" customFormat="1" ht="13.5" hidden="1" customHeight="1" outlineLevel="1" x14ac:dyDescent="0.3">
      <c r="A659" s="13">
        <v>0</v>
      </c>
      <c r="B659" s="49"/>
      <c r="C659" s="49"/>
      <c r="D659" s="370" t="s">
        <v>6449</v>
      </c>
      <c r="E659" s="67" t="str">
        <f>VLOOKUP(D659,'03. Insumos'!A:D,2,0)</f>
        <v>Diversos de Alvenaria</v>
      </c>
      <c r="F659" s="68" t="s">
        <v>3809</v>
      </c>
      <c r="G659" s="68" t="str">
        <f>VLOOKUP(D659,'03. Insumos'!A:F,3,0)</f>
        <v>vb</v>
      </c>
      <c r="H659" s="69">
        <f>H653</f>
        <v>0</v>
      </c>
      <c r="I659" s="69">
        <v>1</v>
      </c>
      <c r="J659" s="70">
        <f t="shared" si="477"/>
        <v>1</v>
      </c>
      <c r="K659" s="70">
        <f>IF(A659=0,VLOOKUP(D659,'03. Insumos'!A:F,4,0),"")</f>
        <v>1</v>
      </c>
      <c r="L659" s="70">
        <f t="shared" si="478"/>
        <v>0</v>
      </c>
      <c r="M659" s="153">
        <f t="shared" ca="1" si="445"/>
        <v>0</v>
      </c>
      <c r="O659" s="148">
        <v>0</v>
      </c>
      <c r="R659" s="356">
        <v>-0.33786407766990401</v>
      </c>
    </row>
    <row r="660" spans="1:18" s="18" customFormat="1" ht="13.5" hidden="1" customHeight="1" outlineLevel="1" x14ac:dyDescent="0.3">
      <c r="A660" s="18">
        <f>LEN(C660)</f>
        <v>6</v>
      </c>
      <c r="B660" s="606"/>
      <c r="C660" s="606" t="s">
        <v>7033</v>
      </c>
      <c r="D660" s="606" t="s">
        <v>7037</v>
      </c>
      <c r="E660" s="391"/>
      <c r="F660" s="325"/>
      <c r="G660" s="325" t="s">
        <v>73</v>
      </c>
      <c r="H660" s="326"/>
      <c r="I660" s="326"/>
      <c r="J660" s="804">
        <f>IFERROR(L660/H660,0)</f>
        <v>0</v>
      </c>
      <c r="K660" s="607" t="str">
        <f>IF(A660=0,VLOOKUP(D660,'03. Insumos'!A:F,4,0),"")</f>
        <v/>
      </c>
      <c r="L660" s="334">
        <f>SUM(L661:L667)</f>
        <v>0</v>
      </c>
      <c r="M660" s="153">
        <f t="shared" ca="1" si="445"/>
        <v>0</v>
      </c>
      <c r="O660" s="600">
        <f t="shared" ref="O660" si="479">IF(I660&lt;&gt;0,I660*H660*K660,)</f>
        <v>0</v>
      </c>
      <c r="R660" s="601">
        <f t="shared" ref="R660" si="480">IF(J660&lt;&gt;0,J660/1.03-K660,0)</f>
        <v>0</v>
      </c>
    </row>
    <row r="661" spans="1:18" s="51" customFormat="1" ht="13.5" hidden="1" customHeight="1" outlineLevel="1" x14ac:dyDescent="0.3">
      <c r="A661" s="13">
        <f>LEN(C661)</f>
        <v>0</v>
      </c>
      <c r="B661" s="49"/>
      <c r="C661" s="49"/>
      <c r="D661" s="370" t="s">
        <v>457</v>
      </c>
      <c r="E661" s="67" t="str">
        <f>VLOOKUP(D661,'03. Insumos'!A:D,2,0)</f>
        <v>Execução Alvenaria  - Bloco Concreto</v>
      </c>
      <c r="F661" s="68" t="s">
        <v>5218</v>
      </c>
      <c r="G661" s="68" t="str">
        <f>VLOOKUP(D661,'03. Insumos'!A:F,3,0)</f>
        <v>m²</v>
      </c>
      <c r="H661" s="69">
        <v>1</v>
      </c>
      <c r="I661" s="69">
        <f>$H$660</f>
        <v>0</v>
      </c>
      <c r="J661" s="70">
        <f t="shared" ref="J661:J667" si="481">IFERROR(IF(K661&lt;&gt;0,K661*$K$5,0),0)</f>
        <v>66</v>
      </c>
      <c r="K661" s="70">
        <f>IF(A661=0,VLOOKUP(D661,'03. Insumos'!A:F,4,0),"")</f>
        <v>66</v>
      </c>
      <c r="L661" s="70">
        <f t="shared" ref="L661:L667" si="482">H661*J661*I661</f>
        <v>0</v>
      </c>
      <c r="M661" s="153">
        <f t="shared" ca="1" si="445"/>
        <v>0</v>
      </c>
      <c r="O661" s="148"/>
      <c r="R661" s="356"/>
    </row>
    <row r="662" spans="1:18" s="51" customFormat="1" ht="13.5" hidden="1" customHeight="1" outlineLevel="1" x14ac:dyDescent="0.3">
      <c r="A662" s="13">
        <v>0</v>
      </c>
      <c r="B662" s="49"/>
      <c r="C662" s="49"/>
      <c r="D662" s="370" t="s">
        <v>6595</v>
      </c>
      <c r="E662" s="67" t="str">
        <f>VLOOKUP(D662,'03. Insumos'!A:D,2,0)</f>
        <v>Bloco de concreto 19x19x39cm - Pequenas Quantidades</v>
      </c>
      <c r="F662" s="68" t="s">
        <v>5218</v>
      </c>
      <c r="G662" s="68" t="str">
        <f>VLOOKUP(D662,'03. Insumos'!A:F,3,0)</f>
        <v>unid</v>
      </c>
      <c r="H662" s="69">
        <v>1.1000000000000001</v>
      </c>
      <c r="I662" s="69">
        <f>ROUNDUP($H$660*13.9,0)</f>
        <v>0</v>
      </c>
      <c r="J662" s="70">
        <f t="shared" si="481"/>
        <v>4.25</v>
      </c>
      <c r="K662" s="70">
        <f>IF(A662=0,VLOOKUP(D662,'03. Insumos'!A:F,4,0),"")</f>
        <v>4.25</v>
      </c>
      <c r="L662" s="70">
        <f t="shared" si="482"/>
        <v>0</v>
      </c>
      <c r="M662" s="153">
        <f t="shared" ca="1" si="445"/>
        <v>0</v>
      </c>
      <c r="O662" s="148">
        <v>0</v>
      </c>
      <c r="R662" s="356">
        <v>-0.33786407766990401</v>
      </c>
    </row>
    <row r="663" spans="1:18" s="51" customFormat="1" ht="13.5" hidden="1" customHeight="1" outlineLevel="1" x14ac:dyDescent="0.3">
      <c r="A663" s="13">
        <v>0</v>
      </c>
      <c r="B663" s="49"/>
      <c r="C663" s="49"/>
      <c r="D663" s="370" t="s">
        <v>6597</v>
      </c>
      <c r="E663" s="67" t="str">
        <f>VLOOKUP(D663,'03. Insumos'!A:D,2,0)</f>
        <v>Bloco de concreto 19x19x19cm - Pequenas Quantidades</v>
      </c>
      <c r="F663" s="68" t="s">
        <v>5218</v>
      </c>
      <c r="G663" s="68" t="str">
        <f>VLOOKUP(D663,'03. Insumos'!A:F,3,0)</f>
        <v>unid</v>
      </c>
      <c r="H663" s="69">
        <v>1.1000000000000001</v>
      </c>
      <c r="I663" s="69">
        <f>ROUNDUP($H$660*0.9919,0)</f>
        <v>0</v>
      </c>
      <c r="J663" s="70">
        <f t="shared" si="481"/>
        <v>2.89</v>
      </c>
      <c r="K663" s="70">
        <f>IF(A663=0,VLOOKUP(D663,'03. Insumos'!A:F,4,0),"")</f>
        <v>2.89</v>
      </c>
      <c r="L663" s="70">
        <f t="shared" si="482"/>
        <v>0</v>
      </c>
      <c r="M663" s="153">
        <f t="shared" ca="1" si="445"/>
        <v>0</v>
      </c>
      <c r="O663" s="148">
        <v>0</v>
      </c>
      <c r="R663" s="356">
        <v>-0.33786407766990401</v>
      </c>
    </row>
    <row r="664" spans="1:18" s="51" customFormat="1" ht="13.5" hidden="1" customHeight="1" outlineLevel="1" x14ac:dyDescent="0.3">
      <c r="A664" s="13">
        <v>0</v>
      </c>
      <c r="B664" s="49"/>
      <c r="C664" s="49"/>
      <c r="D664" s="370" t="s">
        <v>6610</v>
      </c>
      <c r="E664" s="67" t="str">
        <f>VLOOKUP(D664,'03. Insumos'!A:D,2,0)</f>
        <v>Argamassa multiuso 50kg - Grandes Quantidade ( acima de 240 )</v>
      </c>
      <c r="F664" s="68" t="s">
        <v>3809</v>
      </c>
      <c r="G664" s="68" t="str">
        <f>VLOOKUP(D664,'03. Insumos'!A:F,3,0)</f>
        <v>sc</v>
      </c>
      <c r="H664" s="69">
        <v>1.1000000000000001</v>
      </c>
      <c r="I664" s="69">
        <f>ROUNDUP($H$660*0.594,0)</f>
        <v>0</v>
      </c>
      <c r="J664" s="70">
        <f t="shared" si="481"/>
        <v>23</v>
      </c>
      <c r="K664" s="70">
        <f>IF(A664=0,VLOOKUP(D664,'03. Insumos'!A:F,4,0),"")</f>
        <v>23</v>
      </c>
      <c r="L664" s="70">
        <f t="shared" si="482"/>
        <v>0</v>
      </c>
      <c r="M664" s="153">
        <f t="shared" ca="1" si="445"/>
        <v>0</v>
      </c>
      <c r="O664" s="148">
        <v>0</v>
      </c>
      <c r="R664" s="356">
        <v>-0.33786407766990401</v>
      </c>
    </row>
    <row r="665" spans="1:18" s="51" customFormat="1" ht="13.5" hidden="1" customHeight="1" outlineLevel="1" x14ac:dyDescent="0.3">
      <c r="A665" s="13">
        <v>0</v>
      </c>
      <c r="B665" s="49"/>
      <c r="C665" s="49"/>
      <c r="D665" s="370" t="s">
        <v>6450</v>
      </c>
      <c r="E665" s="67" t="str">
        <f>VLOOKUP(D665,'03. Insumos'!A:D,2,0)</f>
        <v>Tela de Arame Soldado Malha 15 Fio 1,65 MM ( Pç c/ 12,0 x 50 cm )</v>
      </c>
      <c r="F665" s="68" t="s">
        <v>5218</v>
      </c>
      <c r="G665" s="68" t="str">
        <f>VLOOKUP(D665,'03. Insumos'!A:F,3,0)</f>
        <v>pç</v>
      </c>
      <c r="H665" s="69">
        <v>1.1000000000000001</v>
      </c>
      <c r="I665" s="69">
        <f>ROUNDUP($H$660,0)</f>
        <v>0</v>
      </c>
      <c r="J665" s="70">
        <f t="shared" ref="J665" si="483">IFERROR(IF(K665&lt;&gt;0,K665*$K$5,0),0)</f>
        <v>1.29036</v>
      </c>
      <c r="K665" s="70">
        <f>IF(A665=0,VLOOKUP(D665,'03. Insumos'!A:F,4,0),"")</f>
        <v>1.29036</v>
      </c>
      <c r="L665" s="70">
        <f t="shared" ref="L665" si="484">H665*J665*I665</f>
        <v>0</v>
      </c>
      <c r="M665" s="153">
        <f t="shared" ref="M665" ca="1" si="485">L665/$L$7</f>
        <v>0</v>
      </c>
      <c r="O665" s="148">
        <v>0</v>
      </c>
      <c r="R665" s="356">
        <v>-0.33786407766990401</v>
      </c>
    </row>
    <row r="666" spans="1:18" s="51" customFormat="1" ht="13.5" hidden="1" customHeight="1" outlineLevel="1" x14ac:dyDescent="0.3">
      <c r="A666" s="13">
        <v>0</v>
      </c>
      <c r="B666" s="49"/>
      <c r="C666" s="49"/>
      <c r="D666" s="370" t="s">
        <v>7772</v>
      </c>
      <c r="E666" s="67" t="str">
        <f>VLOOKUP(D666,'03. Insumos'!A:D,2,0)</f>
        <v>Vermifloc Acústico - 40lt</v>
      </c>
      <c r="F666" s="68" t="s">
        <v>5218</v>
      </c>
      <c r="G666" s="68" t="str">
        <f>VLOOKUP(D666,'03. Insumos'!A:F,3,0)</f>
        <v>sc</v>
      </c>
      <c r="H666" s="69">
        <v>3.34</v>
      </c>
      <c r="I666" s="69"/>
      <c r="J666" s="70">
        <f t="shared" si="481"/>
        <v>46.9</v>
      </c>
      <c r="K666" s="70">
        <f>IF(A666=0,VLOOKUP(D666,'03. Insumos'!A:F,4,0),"")</f>
        <v>46.9</v>
      </c>
      <c r="L666" s="70">
        <f t="shared" si="482"/>
        <v>0</v>
      </c>
      <c r="M666" s="153">
        <f t="shared" ca="1" si="445"/>
        <v>0</v>
      </c>
      <c r="O666" s="148">
        <v>0</v>
      </c>
      <c r="R666" s="356">
        <v>-0.33786407766990401</v>
      </c>
    </row>
    <row r="667" spans="1:18" s="51" customFormat="1" ht="13.5" hidden="1" customHeight="1" outlineLevel="1" x14ac:dyDescent="0.3">
      <c r="A667" s="13">
        <v>0</v>
      </c>
      <c r="B667" s="49"/>
      <c r="C667" s="49"/>
      <c r="D667" s="370" t="s">
        <v>6449</v>
      </c>
      <c r="E667" s="67" t="str">
        <f>VLOOKUP(D667,'03. Insumos'!A:D,2,0)</f>
        <v>Diversos de Alvenaria</v>
      </c>
      <c r="F667" s="68" t="s">
        <v>5218</v>
      </c>
      <c r="G667" s="68" t="str">
        <f>VLOOKUP(D667,'03. Insumos'!A:F,3,0)</f>
        <v>vb</v>
      </c>
      <c r="H667" s="69">
        <f>H660</f>
        <v>0</v>
      </c>
      <c r="I667" s="69"/>
      <c r="J667" s="70">
        <f t="shared" si="481"/>
        <v>1</v>
      </c>
      <c r="K667" s="70">
        <f>IF(A667=0,VLOOKUP(D667,'03. Insumos'!A:F,4,0),"")</f>
        <v>1</v>
      </c>
      <c r="L667" s="70">
        <f t="shared" si="482"/>
        <v>0</v>
      </c>
      <c r="M667" s="153">
        <f t="shared" ca="1" si="445"/>
        <v>0</v>
      </c>
      <c r="O667" s="148">
        <v>0</v>
      </c>
      <c r="R667" s="356">
        <v>-0.33786407766990401</v>
      </c>
    </row>
    <row r="668" spans="1:18" s="18" customFormat="1" ht="13.5" customHeight="1" outlineLevel="1" x14ac:dyDescent="0.3">
      <c r="A668" s="18">
        <f>LEN(C668)</f>
        <v>6</v>
      </c>
      <c r="B668" s="606"/>
      <c r="C668" s="606" t="s">
        <v>6175</v>
      </c>
      <c r="D668" s="606" t="s">
        <v>8815</v>
      </c>
      <c r="E668" s="391"/>
      <c r="F668" s="325"/>
      <c r="G668" s="325" t="s">
        <v>73</v>
      </c>
      <c r="H668" s="326">
        <v>168.5976</v>
      </c>
      <c r="I668" s="326"/>
      <c r="J668" s="804">
        <f>IFERROR(L668/H668,0)</f>
        <v>166.91713478720931</v>
      </c>
      <c r="K668" s="607" t="str">
        <f>IF(A668=0,VLOOKUP(D668,'03. Insumos'!A:F,4,0),"")</f>
        <v/>
      </c>
      <c r="L668" s="334">
        <f>SUM(L669:L674)</f>
        <v>28141.828323999998</v>
      </c>
      <c r="M668" s="153">
        <f t="shared" ref="M668:M674" ca="1" si="486">L668/$L$7</f>
        <v>1.708736199618293E-3</v>
      </c>
      <c r="O668" s="600">
        <f t="shared" ref="O668" si="487">IF(I668&lt;&gt;0,I668*H668*K668,)</f>
        <v>0</v>
      </c>
      <c r="R668" s="601" t="e">
        <f t="shared" ref="R668" si="488">IF(J668&lt;&gt;0,J668/1.03-K668,0)</f>
        <v>#VALUE!</v>
      </c>
    </row>
    <row r="669" spans="1:18" s="51" customFormat="1" ht="13.5" customHeight="1" outlineLevel="1" x14ac:dyDescent="0.3">
      <c r="A669" s="13">
        <f>LEN(C669)</f>
        <v>0</v>
      </c>
      <c r="B669" s="49"/>
      <c r="C669" s="49"/>
      <c r="D669" s="370" t="s">
        <v>6446</v>
      </c>
      <c r="E669" s="67" t="str">
        <f>VLOOKUP(D669,'03. Insumos'!A:D,2,0)</f>
        <v>Execução Alvenaria  - Bloco Celular</v>
      </c>
      <c r="F669" s="68" t="s">
        <v>5218</v>
      </c>
      <c r="G669" s="68" t="str">
        <f>VLOOKUP(D669,'03. Insumos'!A:F,3,0)</f>
        <v>m²</v>
      </c>
      <c r="H669" s="69">
        <v>1</v>
      </c>
      <c r="I669" s="69">
        <f>$H$668</f>
        <v>168.5976</v>
      </c>
      <c r="J669" s="70">
        <v>54</v>
      </c>
      <c r="K669" s="70">
        <f>IF(A669=0,VLOOKUP(D669,'03. Insumos'!A:F,4,0),"")</f>
        <v>59</v>
      </c>
      <c r="L669" s="70">
        <f t="shared" ref="L669:L674" si="489">H669*J669*I669</f>
        <v>9104.2703999999994</v>
      </c>
      <c r="M669" s="153">
        <f t="shared" ca="1" si="486"/>
        <v>5.5279977635021391E-4</v>
      </c>
      <c r="O669" s="148"/>
      <c r="R669" s="356"/>
    </row>
    <row r="670" spans="1:18" s="51" customFormat="1" ht="13.5" customHeight="1" outlineLevel="1" x14ac:dyDescent="0.3">
      <c r="A670" s="13">
        <v>0</v>
      </c>
      <c r="B670" s="49"/>
      <c r="C670" s="49"/>
      <c r="D670" s="370" t="s">
        <v>6447</v>
      </c>
      <c r="E670" s="67" t="str">
        <f>VLOOKUP(D670,'03. Insumos'!A:D,2,0)</f>
        <v>Bloco Celular 12,5x60x30cm - Pequenas Quantidades</v>
      </c>
      <c r="F670" s="68" t="s">
        <v>5218</v>
      </c>
      <c r="G670" s="68" t="str">
        <f>VLOOKUP(D670,'03. Insumos'!A:F,3,0)</f>
        <v>unid</v>
      </c>
      <c r="H670" s="69">
        <v>1.1000000000000001</v>
      </c>
      <c r="I670" s="69">
        <f>ROUNDUP($H$668*3.9,0)</f>
        <v>658</v>
      </c>
      <c r="J670" s="70">
        <f t="shared" ref="J670:J674" si="490">IFERROR(IF(K670&lt;&gt;0,K670*$K$5,0),0)</f>
        <v>19.899999999999999</v>
      </c>
      <c r="K670" s="70">
        <f>IF(A670=0,VLOOKUP(D670,'03. Insumos'!A:F,4,0),"")</f>
        <v>19.899999999999999</v>
      </c>
      <c r="L670" s="70">
        <f t="shared" si="489"/>
        <v>14403.62</v>
      </c>
      <c r="M670" s="153">
        <f t="shared" ca="1" si="486"/>
        <v>8.7456957722097854E-4</v>
      </c>
      <c r="O670" s="148">
        <v>0</v>
      </c>
      <c r="R670" s="356">
        <v>-0.33786407766990401</v>
      </c>
    </row>
    <row r="671" spans="1:18" s="51" customFormat="1" ht="13.5" customHeight="1" outlineLevel="1" x14ac:dyDescent="0.3">
      <c r="A671" s="13">
        <v>0</v>
      </c>
      <c r="B671" s="49"/>
      <c r="C671" s="49"/>
      <c r="D671" s="370" t="s">
        <v>6448</v>
      </c>
      <c r="E671" s="67" t="str">
        <f>VLOOKUP(D671,'03. Insumos'!A:D,2,0)</f>
        <v>Bloco Celular 12,5x30x30cm - Pequenas Quantidades</v>
      </c>
      <c r="F671" s="68" t="s">
        <v>5218</v>
      </c>
      <c r="G671" s="68" t="str">
        <f>VLOOKUP(D671,'03. Insumos'!A:F,3,0)</f>
        <v>unid</v>
      </c>
      <c r="H671" s="69">
        <v>1.1000000000000001</v>
      </c>
      <c r="I671" s="69">
        <f>ROUNDUP($H$668*0.9919,0)</f>
        <v>168</v>
      </c>
      <c r="J671" s="70">
        <f t="shared" si="490"/>
        <v>9.9499999999999993</v>
      </c>
      <c r="K671" s="70">
        <f>IF(A671=0,VLOOKUP(D671,'03. Insumos'!A:F,4,0),"")</f>
        <v>9.9499999999999993</v>
      </c>
      <c r="L671" s="70">
        <f t="shared" si="489"/>
        <v>1838.76</v>
      </c>
      <c r="M671" s="153">
        <f t="shared" ca="1" si="486"/>
        <v>1.1164718007076322E-4</v>
      </c>
      <c r="O671" s="148">
        <v>0</v>
      </c>
      <c r="R671" s="356">
        <v>-0.33786407766990401</v>
      </c>
    </row>
    <row r="672" spans="1:18" s="51" customFormat="1" ht="13.5" customHeight="1" outlineLevel="1" x14ac:dyDescent="0.3">
      <c r="A672" s="13">
        <v>0</v>
      </c>
      <c r="B672" s="49"/>
      <c r="C672" s="49"/>
      <c r="D672" s="370" t="s">
        <v>6610</v>
      </c>
      <c r="E672" s="67" t="str">
        <f>VLOOKUP(D672,'03. Insumos'!A:D,2,0)</f>
        <v>Argamassa multiuso 50kg - Grandes Quantidade ( acima de 240 )</v>
      </c>
      <c r="F672" s="68" t="s">
        <v>3809</v>
      </c>
      <c r="G672" s="68" t="str">
        <f>VLOOKUP(D672,'03. Insumos'!A:F,3,0)</f>
        <v>sc</v>
      </c>
      <c r="H672" s="69">
        <v>1.1000000000000001</v>
      </c>
      <c r="I672" s="69">
        <f>ROUNDUP($H$668*0.594,0)</f>
        <v>101</v>
      </c>
      <c r="J672" s="70">
        <f t="shared" si="490"/>
        <v>23</v>
      </c>
      <c r="K672" s="70">
        <f>IF(A672=0,VLOOKUP(D672,'03. Insumos'!A:F,4,0),"")</f>
        <v>23</v>
      </c>
      <c r="L672" s="70">
        <f t="shared" si="489"/>
        <v>2555.3000000000002</v>
      </c>
      <c r="M672" s="153">
        <f t="shared" ca="1" si="486"/>
        <v>1.5515458201985103E-4</v>
      </c>
      <c r="O672" s="148">
        <v>0</v>
      </c>
      <c r="R672" s="356">
        <v>-0.33786407766990401</v>
      </c>
    </row>
    <row r="673" spans="1:18" s="51" customFormat="1" ht="13.5" customHeight="1" outlineLevel="1" x14ac:dyDescent="0.3">
      <c r="A673" s="13">
        <v>0</v>
      </c>
      <c r="B673" s="49"/>
      <c r="C673" s="49"/>
      <c r="D673" s="370" t="s">
        <v>6450</v>
      </c>
      <c r="E673" s="67" t="str">
        <f>VLOOKUP(D673,'03. Insumos'!A:D,2,0)</f>
        <v>Tela de Arame Soldado Malha 15 Fio 1,65 MM ( Pç c/ 12,0 x 50 cm )</v>
      </c>
      <c r="F673" s="68" t="s">
        <v>5218</v>
      </c>
      <c r="G673" s="68" t="str">
        <f>VLOOKUP(D673,'03. Insumos'!A:F,3,0)</f>
        <v>pç</v>
      </c>
      <c r="H673" s="69">
        <v>1.1000000000000001</v>
      </c>
      <c r="I673" s="69">
        <f>ROUNDUP($H$668,0)</f>
        <v>169</v>
      </c>
      <c r="J673" s="70">
        <f t="shared" si="490"/>
        <v>1.29036</v>
      </c>
      <c r="K673" s="70">
        <f>IF(A673=0,VLOOKUP(D673,'03. Insumos'!A:F,4,0),"")</f>
        <v>1.29036</v>
      </c>
      <c r="L673" s="70">
        <f t="shared" si="489"/>
        <v>239.87792400000001</v>
      </c>
      <c r="M673" s="153">
        <f t="shared" ca="1" si="486"/>
        <v>1.4565083956486357E-5</v>
      </c>
      <c r="O673" s="148">
        <v>0</v>
      </c>
      <c r="R673" s="356">
        <v>-0.33786407766990401</v>
      </c>
    </row>
    <row r="674" spans="1:18" s="51" customFormat="1" ht="13.5" hidden="1" customHeight="1" outlineLevel="1" x14ac:dyDescent="0.3">
      <c r="A674" s="13">
        <v>0</v>
      </c>
      <c r="B674" s="49"/>
      <c r="C674" s="49"/>
      <c r="D674" s="370" t="s">
        <v>6449</v>
      </c>
      <c r="E674" s="67" t="str">
        <f>VLOOKUP(D674,'03. Insumos'!A:D,2,0)</f>
        <v>Diversos de Alvenaria</v>
      </c>
      <c r="F674" s="68" t="s">
        <v>5218</v>
      </c>
      <c r="G674" s="68" t="str">
        <f>VLOOKUP(D674,'03. Insumos'!A:F,3,0)</f>
        <v>vb</v>
      </c>
      <c r="H674" s="69">
        <f>H668</f>
        <v>168.5976</v>
      </c>
      <c r="I674" s="69"/>
      <c r="J674" s="70">
        <f t="shared" si="490"/>
        <v>1</v>
      </c>
      <c r="K674" s="70">
        <f>IF(A674=0,VLOOKUP(D674,'03. Insumos'!A:F,4,0),"")</f>
        <v>1</v>
      </c>
      <c r="L674" s="70">
        <f t="shared" si="489"/>
        <v>0</v>
      </c>
      <c r="M674" s="153">
        <f t="shared" ca="1" si="486"/>
        <v>0</v>
      </c>
      <c r="O674" s="148">
        <v>0</v>
      </c>
      <c r="R674" s="356">
        <v>-0.33786407766990401</v>
      </c>
    </row>
    <row r="675" spans="1:18" s="18" customFormat="1" ht="13.5" hidden="1" customHeight="1" outlineLevel="1" x14ac:dyDescent="0.3">
      <c r="A675" s="18">
        <f>LEN(C675)</f>
        <v>6</v>
      </c>
      <c r="B675" s="606"/>
      <c r="C675" s="606" t="s">
        <v>6298</v>
      </c>
      <c r="D675" s="606" t="s">
        <v>6870</v>
      </c>
      <c r="E675" s="391"/>
      <c r="F675" s="325"/>
      <c r="G675" s="325"/>
      <c r="H675" s="326"/>
      <c r="I675" s="326"/>
      <c r="J675" s="334"/>
      <c r="K675" s="607" t="str">
        <f>IF(A675=0,VLOOKUP(D675,'03. Insumos'!A:F,4,0),"")</f>
        <v/>
      </c>
      <c r="L675" s="334">
        <f>SUM(L676:L676)</f>
        <v>0</v>
      </c>
      <c r="M675" s="153">
        <f t="shared" ca="1" si="445"/>
        <v>0</v>
      </c>
      <c r="O675" s="600">
        <f t="shared" ref="O675" si="491">IF(I675&lt;&gt;0,I675*H675*K675,)</f>
        <v>0</v>
      </c>
      <c r="R675" s="601">
        <f t="shared" ref="R675" si="492">IF(J675&lt;&gt;0,J675/1.03-K675,0)</f>
        <v>0</v>
      </c>
    </row>
    <row r="676" spans="1:18" s="51" customFormat="1" ht="13.5" hidden="1" customHeight="1" outlineLevel="1" x14ac:dyDescent="0.3">
      <c r="A676" s="13">
        <f t="shared" ref="A676:A691" si="493">LEN(C676)</f>
        <v>0</v>
      </c>
      <c r="B676" s="49"/>
      <c r="C676" s="49"/>
      <c r="D676" s="370" t="s">
        <v>6449</v>
      </c>
      <c r="E676" s="67" t="str">
        <f>VLOOKUP(D676,'03. Insumos'!A:D,2,0)</f>
        <v>Diversos de Alvenaria</v>
      </c>
      <c r="F676" s="68" t="s">
        <v>5218</v>
      </c>
      <c r="G676" s="68" t="str">
        <f>VLOOKUP(D676,'03. Insumos'!A:F,3,0)</f>
        <v>vb</v>
      </c>
      <c r="H676" s="69">
        <f>L630+L580+L573</f>
        <v>576219.55620200012</v>
      </c>
      <c r="I676" s="69"/>
      <c r="J676" s="70">
        <f>IFERROR(IF(K676&lt;&gt;0,K676*$K$5,0),0)</f>
        <v>1</v>
      </c>
      <c r="K676" s="70">
        <f>IF(A676=0,VLOOKUP(D676,'03. Insumos'!A:F,4,0),"")</f>
        <v>1</v>
      </c>
      <c r="L676" s="70">
        <f>H676*J676*I676</f>
        <v>0</v>
      </c>
      <c r="M676" s="153">
        <f t="shared" ca="1" si="445"/>
        <v>0</v>
      </c>
      <c r="O676" s="148"/>
      <c r="R676" s="356"/>
    </row>
    <row r="677" spans="1:18" s="18" customFormat="1" ht="13.5" hidden="1" customHeight="1" outlineLevel="1" x14ac:dyDescent="0.3">
      <c r="A677" s="18">
        <f>LEN(C677)</f>
        <v>6</v>
      </c>
      <c r="B677" s="606"/>
      <c r="C677" s="606" t="s">
        <v>5483</v>
      </c>
      <c r="D677" s="606" t="s">
        <v>8388</v>
      </c>
      <c r="E677" s="391"/>
      <c r="F677" s="325"/>
      <c r="G677" s="325" t="s">
        <v>73</v>
      </c>
      <c r="H677" s="326"/>
      <c r="I677" s="326"/>
      <c r="J677" s="804">
        <f>IFERROR(L677/H677,0)</f>
        <v>0</v>
      </c>
      <c r="K677" s="607" t="str">
        <f>IF(A677=0,VLOOKUP(D677,'03. Insumos'!A:F,4,0),"")</f>
        <v/>
      </c>
      <c r="L677" s="334">
        <f>SUM(L678:L682)</f>
        <v>0</v>
      </c>
      <c r="M677" s="153">
        <f t="shared" ref="M677:M682" ca="1" si="494">L677/$L$7</f>
        <v>0</v>
      </c>
      <c r="O677" s="600">
        <f t="shared" ref="O677" si="495">IF(I677&lt;&gt;0,I677*H677*K677,)</f>
        <v>0</v>
      </c>
      <c r="R677" s="601">
        <f t="shared" ref="R677" si="496">IF(J677&lt;&gt;0,J677/1.03-K677,0)</f>
        <v>0</v>
      </c>
    </row>
    <row r="678" spans="1:18" s="51" customFormat="1" ht="13.5" hidden="1" customHeight="1" outlineLevel="1" x14ac:dyDescent="0.3">
      <c r="A678" s="13">
        <v>0</v>
      </c>
      <c r="B678" s="49"/>
      <c r="C678" s="49"/>
      <c r="D678" s="370" t="s">
        <v>457</v>
      </c>
      <c r="E678" s="67" t="str">
        <f>VLOOKUP(D678,'03. Insumos'!A:D,2,0)</f>
        <v>Execução Alvenaria  - Bloco Concreto</v>
      </c>
      <c r="F678" s="68" t="s">
        <v>3809</v>
      </c>
      <c r="G678" s="68" t="str">
        <f>VLOOKUP(D678,'03. Insumos'!A:F,3,0)</f>
        <v>m²</v>
      </c>
      <c r="H678" s="69">
        <v>1</v>
      </c>
      <c r="I678" s="69">
        <f>$H$677</f>
        <v>0</v>
      </c>
      <c r="J678" s="70">
        <f t="shared" ref="J678:J682" si="497">IFERROR(IF(K678&lt;&gt;0,K678*$K$5,0),0)</f>
        <v>66</v>
      </c>
      <c r="K678" s="70">
        <f>IF(A678=0,VLOOKUP(D678,'03. Insumos'!A:F,4,0),"")</f>
        <v>66</v>
      </c>
      <c r="L678" s="70">
        <f t="shared" ref="L678:L682" si="498">H678*J678*I678</f>
        <v>0</v>
      </c>
      <c r="M678" s="153">
        <f t="shared" ca="1" si="494"/>
        <v>0</v>
      </c>
      <c r="O678" s="148">
        <v>0</v>
      </c>
      <c r="R678" s="356">
        <v>-0.33786407766990401</v>
      </c>
    </row>
    <row r="679" spans="1:18" s="51" customFormat="1" ht="13.5" hidden="1" customHeight="1" outlineLevel="1" x14ac:dyDescent="0.3">
      <c r="A679" s="13">
        <f>LEN(C679)</f>
        <v>0</v>
      </c>
      <c r="B679" s="49"/>
      <c r="C679" s="49"/>
      <c r="D679" s="370" t="s">
        <v>8364</v>
      </c>
      <c r="E679" s="67" t="str">
        <f>VLOOKUP(D679,'03. Insumos'!A:D,2,0)</f>
        <v>Bloco de concreto estrutural de 14x19x39 - Grandes Quantidades ( acima 1512 blocos )</v>
      </c>
      <c r="F679" s="68" t="s">
        <v>5218</v>
      </c>
      <c r="G679" s="68" t="str">
        <f>VLOOKUP(D679,'03. Insumos'!A:F,3,0)</f>
        <v>m²</v>
      </c>
      <c r="H679" s="69">
        <v>1.1000000000000001</v>
      </c>
      <c r="I679" s="69">
        <f>(ROUNDUP($H$677*18,0))</f>
        <v>0</v>
      </c>
      <c r="J679" s="70">
        <f t="shared" si="497"/>
        <v>4.76</v>
      </c>
      <c r="K679" s="70">
        <f>IF(A679=0,VLOOKUP(D679,'03. Insumos'!A:F,4,0),"")</f>
        <v>4.76</v>
      </c>
      <c r="L679" s="70">
        <f t="shared" si="498"/>
        <v>0</v>
      </c>
      <c r="M679" s="153">
        <f t="shared" ca="1" si="494"/>
        <v>0</v>
      </c>
      <c r="O679" s="148"/>
      <c r="R679" s="356"/>
    </row>
    <row r="680" spans="1:18" s="51" customFormat="1" ht="13.5" hidden="1" customHeight="1" outlineLevel="1" x14ac:dyDescent="0.3">
      <c r="A680" s="13">
        <v>0</v>
      </c>
      <c r="B680" s="49"/>
      <c r="C680" s="49"/>
      <c r="D680" s="370" t="s">
        <v>6610</v>
      </c>
      <c r="E680" s="67" t="str">
        <f>VLOOKUP(D680,'03. Insumos'!A:D,2,0)</f>
        <v>Argamassa multiuso 50kg - Grandes Quantidade ( acima de 240 )</v>
      </c>
      <c r="F680" s="68" t="s">
        <v>5218</v>
      </c>
      <c r="G680" s="68" t="str">
        <f>VLOOKUP(D680,'03. Insumos'!A:F,3,0)</f>
        <v>sc</v>
      </c>
      <c r="H680" s="69">
        <v>1.1000000000000001</v>
      </c>
      <c r="I680" s="69">
        <f>ROUNDUP((H677*(19*2/50)),0)</f>
        <v>0</v>
      </c>
      <c r="J680" s="70">
        <f t="shared" si="497"/>
        <v>23</v>
      </c>
      <c r="K680" s="70">
        <f>IF(A680=0,VLOOKUP(D680,'03. Insumos'!A:F,4,0),"")</f>
        <v>23</v>
      </c>
      <c r="L680" s="70">
        <f t="shared" si="498"/>
        <v>0</v>
      </c>
      <c r="M680" s="153">
        <f t="shared" ca="1" si="494"/>
        <v>0</v>
      </c>
      <c r="O680" s="148">
        <v>0</v>
      </c>
      <c r="R680" s="356">
        <v>-0.33786407766990401</v>
      </c>
    </row>
    <row r="681" spans="1:18" s="51" customFormat="1" ht="13.5" hidden="1" customHeight="1" outlineLevel="1" x14ac:dyDescent="0.3">
      <c r="A681" s="13">
        <v>0</v>
      </c>
      <c r="B681" s="49"/>
      <c r="C681" s="49"/>
      <c r="D681" s="370" t="s">
        <v>6566</v>
      </c>
      <c r="E681" s="67" t="str">
        <f>VLOOKUP(D681,'03. Insumos'!A:D,2,0)</f>
        <v>Aço CA50 12,5mm - Manufaturado</v>
      </c>
      <c r="F681" s="68" t="s">
        <v>5218</v>
      </c>
      <c r="G681" s="68" t="str">
        <f>VLOOKUP(D681,'03. Insumos'!A:F,3,0)</f>
        <v>kg</v>
      </c>
      <c r="H681" s="69">
        <v>1.1000000000000001</v>
      </c>
      <c r="I681" s="69">
        <f>H677*0.22</f>
        <v>0</v>
      </c>
      <c r="J681" s="70">
        <f t="shared" si="497"/>
        <v>5.6366699999999996</v>
      </c>
      <c r="K681" s="70">
        <f>IF(A681=0,VLOOKUP(D681,'03. Insumos'!A:F,4,0),"")</f>
        <v>5.6366699999999996</v>
      </c>
      <c r="L681" s="70">
        <f t="shared" si="498"/>
        <v>0</v>
      </c>
      <c r="M681" s="153">
        <f t="shared" ca="1" si="494"/>
        <v>0</v>
      </c>
      <c r="O681" s="148">
        <v>0</v>
      </c>
      <c r="R681" s="356">
        <v>-0.33786407766990401</v>
      </c>
    </row>
    <row r="682" spans="1:18" s="51" customFormat="1" ht="13.5" hidden="1" customHeight="1" outlineLevel="1" x14ac:dyDescent="0.3">
      <c r="A682" s="13">
        <v>0</v>
      </c>
      <c r="B682" s="49"/>
      <c r="C682" s="49"/>
      <c r="D682" s="370" t="s">
        <v>6441</v>
      </c>
      <c r="E682" s="67" t="str">
        <f>VLOOKUP(D682,'03. Insumos'!A:D,2,0)</f>
        <v>Arame Galv. 18</v>
      </c>
      <c r="F682" s="68" t="s">
        <v>5218</v>
      </c>
      <c r="G682" s="68" t="str">
        <f>VLOOKUP(D682,'03. Insumos'!A:F,3,0)</f>
        <v>kg</v>
      </c>
      <c r="H682" s="69">
        <v>1.1000000000000001</v>
      </c>
      <c r="I682" s="69">
        <f>I681*0.1</f>
        <v>0</v>
      </c>
      <c r="J682" s="70">
        <f t="shared" si="497"/>
        <v>14.246274000000001</v>
      </c>
      <c r="K682" s="70">
        <f>IF(A682=0,VLOOKUP(D682,'03. Insumos'!A:F,4,0),"")</f>
        <v>14.246274000000001</v>
      </c>
      <c r="L682" s="70">
        <f t="shared" si="498"/>
        <v>0</v>
      </c>
      <c r="M682" s="153">
        <f t="shared" ca="1" si="494"/>
        <v>0</v>
      </c>
      <c r="O682" s="148">
        <v>0</v>
      </c>
      <c r="R682" s="356">
        <v>-0.33786407766990401</v>
      </c>
    </row>
    <row r="683" spans="1:18" s="18" customFormat="1" ht="13.5" hidden="1" customHeight="1" outlineLevel="1" x14ac:dyDescent="0.3">
      <c r="A683" s="18">
        <f t="shared" ref="A683:A686" si="499">LEN(C683)</f>
        <v>6</v>
      </c>
      <c r="B683" s="606"/>
      <c r="C683" s="606" t="s">
        <v>6175</v>
      </c>
      <c r="D683" s="606" t="s">
        <v>8374</v>
      </c>
      <c r="E683" s="391"/>
      <c r="F683" s="325"/>
      <c r="G683" s="325" t="s">
        <v>73</v>
      </c>
      <c r="H683" s="326"/>
      <c r="I683" s="326"/>
      <c r="J683" s="673" t="e">
        <f>L683/H683</f>
        <v>#DIV/0!</v>
      </c>
      <c r="K683" s="607" t="str">
        <f>IF(A683=0,VLOOKUP(D683,'03. Insumos'!A:F,4,0),"")</f>
        <v/>
      </c>
      <c r="L683" s="334">
        <f>SUM(L684:L686)</f>
        <v>0</v>
      </c>
      <c r="M683" s="153">
        <f t="shared" ref="M683:M686" ca="1" si="500">L683/$L$7</f>
        <v>0</v>
      </c>
      <c r="O683" s="600">
        <f t="shared" ref="O683" si="501">IF(I683&lt;&gt;0,I683*H683*K683,)</f>
        <v>0</v>
      </c>
      <c r="R683" s="601" t="e">
        <f t="shared" ref="R683" si="502">IF(J683&lt;&gt;0,J683/1.03-K683,0)</f>
        <v>#DIV/0!</v>
      </c>
    </row>
    <row r="684" spans="1:18" s="51" customFormat="1" ht="13.2" hidden="1" customHeight="1" outlineLevel="1" x14ac:dyDescent="0.3">
      <c r="A684" s="13">
        <f t="shared" si="499"/>
        <v>0</v>
      </c>
      <c r="B684" s="49"/>
      <c r="C684" s="49"/>
      <c r="D684" s="370" t="s">
        <v>5982</v>
      </c>
      <c r="E684" s="67" t="s">
        <v>8375</v>
      </c>
      <c r="F684" s="68" t="s">
        <v>5218</v>
      </c>
      <c r="G684" s="68" t="s">
        <v>1376</v>
      </c>
      <c r="H684" s="69">
        <v>1.05</v>
      </c>
      <c r="I684" s="69">
        <f>H683*40</f>
        <v>0</v>
      </c>
      <c r="J684" s="70">
        <v>17.760000000000002</v>
      </c>
      <c r="K684" s="70">
        <f>IF(A684=0,VLOOKUP(D684,'03. Insumos'!A:F,4,0),"")</f>
        <v>18</v>
      </c>
      <c r="L684" s="70">
        <f>H684*J684*I684</f>
        <v>0</v>
      </c>
      <c r="M684" s="153">
        <f t="shared" ca="1" si="500"/>
        <v>0</v>
      </c>
      <c r="O684" s="148"/>
      <c r="R684" s="356"/>
    </row>
    <row r="685" spans="1:18" s="51" customFormat="1" ht="13.5" hidden="1" customHeight="1" outlineLevel="1" x14ac:dyDescent="0.3">
      <c r="A685" s="13">
        <v>0</v>
      </c>
      <c r="B685" s="49"/>
      <c r="C685" s="49"/>
      <c r="D685" s="370" t="s">
        <v>6610</v>
      </c>
      <c r="E685" s="67" t="str">
        <f>VLOOKUP(D685,'03. Insumos'!A:D,2,0)</f>
        <v>Argamassa multiuso 50kg - Grandes Quantidade ( acima de 240 )</v>
      </c>
      <c r="F685" s="68" t="s">
        <v>5218</v>
      </c>
      <c r="G685" s="68" t="str">
        <f>VLOOKUP(D685,'03. Insumos'!A:F,3,0)</f>
        <v>sc</v>
      </c>
      <c r="H685" s="69">
        <v>1.1000000000000001</v>
      </c>
      <c r="I685" s="69">
        <f>ROUNDUP((H683*(19*2/50)),0)</f>
        <v>0</v>
      </c>
      <c r="J685" s="70">
        <f t="shared" ref="J685" si="503">IFERROR(IF(K685&lt;&gt;0,K685*$K$5,0),0)</f>
        <v>23</v>
      </c>
      <c r="K685" s="70">
        <f>IF(A685=0,VLOOKUP(D685,'03. Insumos'!A:F,4,0),"")</f>
        <v>23</v>
      </c>
      <c r="L685" s="70">
        <f t="shared" ref="L685" si="504">H685*J685*I685</f>
        <v>0</v>
      </c>
      <c r="M685" s="153">
        <f t="shared" ca="1" si="500"/>
        <v>0</v>
      </c>
      <c r="O685" s="148">
        <v>0</v>
      </c>
      <c r="R685" s="356">
        <v>-0.33786407766990401</v>
      </c>
    </row>
    <row r="686" spans="1:18" s="51" customFormat="1" ht="13.5" hidden="1" customHeight="1" outlineLevel="1" x14ac:dyDescent="0.3">
      <c r="A686" s="13">
        <f t="shared" si="499"/>
        <v>0</v>
      </c>
      <c r="B686" s="49"/>
      <c r="C686" s="49"/>
      <c r="D686" s="370" t="s">
        <v>7450</v>
      </c>
      <c r="E686" s="67" t="s">
        <v>8376</v>
      </c>
      <c r="F686" s="68" t="s">
        <v>5218</v>
      </c>
      <c r="G686" s="68" t="s">
        <v>73</v>
      </c>
      <c r="H686" s="69">
        <v>1</v>
      </c>
      <c r="I686" s="69">
        <f>H683</f>
        <v>0</v>
      </c>
      <c r="J686" s="70">
        <v>52</v>
      </c>
      <c r="K686" s="70">
        <f>IF(A686=0,VLOOKUP(D686,'03. Insumos'!A:F,4,0),"")</f>
        <v>32</v>
      </c>
      <c r="L686" s="70">
        <f>H686*J686*I686</f>
        <v>0</v>
      </c>
      <c r="M686" s="153">
        <f t="shared" ca="1" si="500"/>
        <v>0</v>
      </c>
      <c r="O686" s="148"/>
      <c r="R686" s="356"/>
    </row>
    <row r="687" spans="1:18" s="18" customFormat="1" ht="13.5" customHeight="1" outlineLevel="1" x14ac:dyDescent="0.3">
      <c r="A687" s="18">
        <f t="shared" si="493"/>
        <v>6</v>
      </c>
      <c r="B687" s="606"/>
      <c r="C687" s="606" t="s">
        <v>6175</v>
      </c>
      <c r="D687" s="606" t="s">
        <v>6176</v>
      </c>
      <c r="E687" s="391"/>
      <c r="F687" s="325"/>
      <c r="G687" s="325" t="s">
        <v>74</v>
      </c>
      <c r="H687" s="326">
        <f>SUM(I688:I689)</f>
        <v>489.17</v>
      </c>
      <c r="I687" s="326"/>
      <c r="J687" s="673">
        <f>L687/H687</f>
        <v>18</v>
      </c>
      <c r="K687" s="607" t="str">
        <f>IF(A687=0,VLOOKUP(D687,'03. Insumos'!A:F,4,0),"")</f>
        <v/>
      </c>
      <c r="L687" s="334">
        <f>SUM(L688:L689)</f>
        <v>8805.06</v>
      </c>
      <c r="M687" s="153">
        <f t="shared" ca="1" si="445"/>
        <v>5.3463209954201433E-4</v>
      </c>
      <c r="O687" s="600">
        <f t="shared" ref="O687" si="505">IF(I687&lt;&gt;0,I687*H687*K687,)</f>
        <v>0</v>
      </c>
      <c r="R687" s="601" t="e">
        <f t="shared" ref="R687" si="506">IF(J687&lt;&gt;0,J687/1.03-K687,0)</f>
        <v>#VALUE!</v>
      </c>
    </row>
    <row r="688" spans="1:18" s="51" customFormat="1" ht="13.2" customHeight="1" outlineLevel="1" x14ac:dyDescent="0.3">
      <c r="A688" s="13">
        <f t="shared" si="493"/>
        <v>0</v>
      </c>
      <c r="B688" s="49"/>
      <c r="C688" s="49"/>
      <c r="D688" s="370" t="s">
        <v>5982</v>
      </c>
      <c r="E688" s="67" t="str">
        <f>VLOOKUP(D688,'03. Insumos'!A:D,2,0)</f>
        <v>Verga e Contra verga - MAT + MO</v>
      </c>
      <c r="F688" s="68" t="s">
        <v>5218</v>
      </c>
      <c r="G688" s="68" t="str">
        <f>VLOOKUP(D688,'03. Insumos'!A:F,3,0)</f>
        <v>m</v>
      </c>
      <c r="H688" s="69">
        <v>1</v>
      </c>
      <c r="I688" s="69">
        <v>489.17</v>
      </c>
      <c r="J688" s="70">
        <f>IFERROR(IF(K688&lt;&gt;0,K688*$K$5,0),0)</f>
        <v>18</v>
      </c>
      <c r="K688" s="70">
        <f>IF(A688=0,VLOOKUP(D688,'03. Insumos'!A:F,4,0),"")</f>
        <v>18</v>
      </c>
      <c r="L688" s="70">
        <f>H688*J688*I688</f>
        <v>8805.06</v>
      </c>
      <c r="M688" s="153">
        <f t="shared" ca="1" si="445"/>
        <v>5.3463209954201433E-4</v>
      </c>
      <c r="O688" s="148"/>
      <c r="R688" s="356"/>
    </row>
    <row r="689" spans="1:18" s="51" customFormat="1" ht="13.5" hidden="1" customHeight="1" outlineLevel="1" x14ac:dyDescent="0.3">
      <c r="A689" s="13">
        <f t="shared" ref="A689" si="507">LEN(C689)</f>
        <v>0</v>
      </c>
      <c r="B689" s="49"/>
      <c r="C689" s="49"/>
      <c r="D689" s="370" t="s">
        <v>7450</v>
      </c>
      <c r="E689" s="67" t="str">
        <f>VLOOKUP(D689,'03. Insumos'!A:D,2,0)</f>
        <v>Vigas e pilaretes</v>
      </c>
      <c r="F689" s="68" t="s">
        <v>5218</v>
      </c>
      <c r="G689" s="68" t="str">
        <f>VLOOKUP(D689,'03. Insumos'!A:F,3,0)</f>
        <v>m</v>
      </c>
      <c r="H689" s="69">
        <v>1</v>
      </c>
      <c r="I689" s="69"/>
      <c r="J689" s="70">
        <f>IFERROR(IF(K689&lt;&gt;0,K689*$K$5,0),0)</f>
        <v>32</v>
      </c>
      <c r="K689" s="70">
        <f>IF(A689=0,VLOOKUP(D689,'03. Insumos'!A:F,4,0),"")</f>
        <v>32</v>
      </c>
      <c r="L689" s="70">
        <f>H689*J689*I689</f>
        <v>0</v>
      </c>
      <c r="M689" s="153">
        <f t="shared" ref="M689" ca="1" si="508">L689/$L$7</f>
        <v>0</v>
      </c>
      <c r="O689" s="148"/>
      <c r="R689" s="356"/>
    </row>
    <row r="690" spans="1:18" s="18" customFormat="1" ht="13.5" hidden="1" customHeight="1" outlineLevel="1" x14ac:dyDescent="0.3">
      <c r="A690" s="18">
        <f t="shared" si="493"/>
        <v>6</v>
      </c>
      <c r="B690" s="606"/>
      <c r="C690" s="606" t="s">
        <v>6298</v>
      </c>
      <c r="D690" s="606" t="s">
        <v>5811</v>
      </c>
      <c r="E690" s="391"/>
      <c r="F690" s="325"/>
      <c r="G690" s="325" t="s">
        <v>73</v>
      </c>
      <c r="H690" s="326">
        <f>SUM(I691:I698)</f>
        <v>0</v>
      </c>
      <c r="I690" s="326"/>
      <c r="J690" s="804">
        <f>IFERROR(L690/H690,0)</f>
        <v>0</v>
      </c>
      <c r="K690" s="607" t="str">
        <f>IF(A690=0,VLOOKUP(D690,'03. Insumos'!A:F,4,0),"")</f>
        <v/>
      </c>
      <c r="L690" s="334">
        <f>SUM(L691:L699)</f>
        <v>0</v>
      </c>
      <c r="M690" s="153">
        <f t="shared" ca="1" si="445"/>
        <v>0</v>
      </c>
      <c r="O690" s="600">
        <f t="shared" si="416"/>
        <v>0</v>
      </c>
      <c r="R690" s="601">
        <f t="shared" si="415"/>
        <v>0</v>
      </c>
    </row>
    <row r="691" spans="1:18" s="51" customFormat="1" hidden="1" outlineLevel="1" x14ac:dyDescent="0.3">
      <c r="A691" s="13">
        <f t="shared" si="493"/>
        <v>0</v>
      </c>
      <c r="B691" s="49"/>
      <c r="C691" s="49"/>
      <c r="D691" s="370" t="s">
        <v>1724</v>
      </c>
      <c r="E691" s="67" t="str">
        <f>VLOOKUP(D691,'03. Insumos'!A:D,2,0)</f>
        <v>Montagem de Parede 95/70/600 - 1ST/1ST - Mat+MO</v>
      </c>
      <c r="F691" s="68" t="s">
        <v>5218</v>
      </c>
      <c r="G691" s="68" t="str">
        <f>VLOOKUP(D691,'03. Insumos'!A:F,3,0)</f>
        <v>m²</v>
      </c>
      <c r="H691" s="69">
        <v>1</v>
      </c>
      <c r="I691" s="69"/>
      <c r="J691" s="70">
        <f t="shared" ref="J691:J699" si="509">IFERROR(IF(K691&lt;&gt;0,K691*$K$5,0),0)</f>
        <v>132</v>
      </c>
      <c r="K691" s="70">
        <f>IF(A691=0,VLOOKUP(D691,'03. Insumos'!A:F,4,0),"")</f>
        <v>132</v>
      </c>
      <c r="L691" s="70">
        <f t="shared" ref="L691:L699" si="510">H691*J691*I691</f>
        <v>0</v>
      </c>
      <c r="M691" s="153">
        <f t="shared" ca="1" si="445"/>
        <v>0</v>
      </c>
      <c r="O691" s="148"/>
      <c r="R691" s="356"/>
    </row>
    <row r="692" spans="1:18" s="51" customFormat="1" ht="13.2" hidden="1" customHeight="1" outlineLevel="1" x14ac:dyDescent="0.3">
      <c r="A692" s="13">
        <f t="shared" ref="A692:A699" si="511">LEN(C692)</f>
        <v>0</v>
      </c>
      <c r="B692" s="49"/>
      <c r="C692" s="49"/>
      <c r="D692" s="370" t="s">
        <v>1725</v>
      </c>
      <c r="E692" s="67" t="str">
        <f>VLOOKUP(D692,'03. Insumos'!A:D,2,0)</f>
        <v>Montagem de Parede 120/70/600 - 2ST/2ST - Mat+MO</v>
      </c>
      <c r="F692" s="68" t="s">
        <v>5218</v>
      </c>
      <c r="G692" s="68" t="str">
        <f>VLOOKUP(D692,'03. Insumos'!A:F,3,0)</f>
        <v>m²</v>
      </c>
      <c r="H692" s="69">
        <v>1</v>
      </c>
      <c r="I692" s="69"/>
      <c r="J692" s="70">
        <f t="shared" si="509"/>
        <v>223</v>
      </c>
      <c r="K692" s="70">
        <f>IF(A692=0,VLOOKUP(D692,'03. Insumos'!A:F,4,0),"")</f>
        <v>223</v>
      </c>
      <c r="L692" s="70">
        <f t="shared" si="510"/>
        <v>0</v>
      </c>
      <c r="M692" s="153">
        <f t="shared" ref="M692:M699" ca="1" si="512">L692/$L$7</f>
        <v>0</v>
      </c>
      <c r="O692" s="148"/>
      <c r="R692" s="356"/>
    </row>
    <row r="693" spans="1:18" s="51" customFormat="1" ht="13.5" hidden="1" customHeight="1" outlineLevel="1" x14ac:dyDescent="0.3">
      <c r="A693" s="13">
        <f t="shared" si="511"/>
        <v>0</v>
      </c>
      <c r="B693" s="49"/>
      <c r="C693" s="49"/>
      <c r="D693" s="370" t="s">
        <v>1727</v>
      </c>
      <c r="E693" s="67" t="str">
        <f>VLOOKUP(D693,'03. Insumos'!A:D,2,0)</f>
        <v>Montagem de Parede 95/70/400 - 1RU+ / +1RU - Mat+MO</v>
      </c>
      <c r="F693" s="68" t="s">
        <v>5218</v>
      </c>
      <c r="G693" s="68" t="str">
        <f>VLOOKUP(D693,'03. Insumos'!A:F,3,0)</f>
        <v>m²</v>
      </c>
      <c r="H693" s="69">
        <v>1</v>
      </c>
      <c r="I693" s="69"/>
      <c r="J693" s="70">
        <f t="shared" si="509"/>
        <v>158</v>
      </c>
      <c r="K693" s="70">
        <f>IF(A693=0,VLOOKUP(D693,'03. Insumos'!A:F,4,0),"")</f>
        <v>158</v>
      </c>
      <c r="L693" s="70">
        <f t="shared" si="510"/>
        <v>0</v>
      </c>
      <c r="M693" s="153">
        <f t="shared" ca="1" si="512"/>
        <v>0</v>
      </c>
      <c r="O693" s="148"/>
      <c r="R693" s="356"/>
    </row>
    <row r="694" spans="1:18" s="51" customFormat="1" ht="13.2" hidden="1" customHeight="1" outlineLevel="1" x14ac:dyDescent="0.3">
      <c r="A694" s="13">
        <f t="shared" si="511"/>
        <v>0</v>
      </c>
      <c r="B694" s="49"/>
      <c r="C694" s="49"/>
      <c r="D694" s="370" t="s">
        <v>1728</v>
      </c>
      <c r="E694" s="67" t="str">
        <f>VLOOKUP(D694,'03. Insumos'!A:D,2,0)</f>
        <v>Montagem de Parede 95/70/400 - 1ST/ +1RU - Mat+MO</v>
      </c>
      <c r="F694" s="68" t="s">
        <v>5218</v>
      </c>
      <c r="G694" s="68" t="str">
        <f>VLOOKUP(D694,'03. Insumos'!A:F,3,0)</f>
        <v>m²</v>
      </c>
      <c r="H694" s="69">
        <v>1</v>
      </c>
      <c r="I694" s="69"/>
      <c r="J694" s="70">
        <f t="shared" si="509"/>
        <v>148</v>
      </c>
      <c r="K694" s="70">
        <f>IF(A694=0,VLOOKUP(D694,'03. Insumos'!A:F,4,0),"")</f>
        <v>148</v>
      </c>
      <c r="L694" s="70">
        <f t="shared" si="510"/>
        <v>0</v>
      </c>
      <c r="M694" s="153">
        <f t="shared" ca="1" si="512"/>
        <v>0</v>
      </c>
      <c r="O694" s="148"/>
      <c r="R694" s="356"/>
    </row>
    <row r="695" spans="1:18" s="51" customFormat="1" hidden="1" outlineLevel="1" x14ac:dyDescent="0.3">
      <c r="A695" s="13">
        <f t="shared" si="511"/>
        <v>0</v>
      </c>
      <c r="B695" s="49"/>
      <c r="C695" s="49"/>
      <c r="D695" s="370" t="s">
        <v>1729</v>
      </c>
      <c r="E695" s="67" t="str">
        <f>VLOOKUP(D695,'03. Insumos'!A:D,2,0)</f>
        <v>Montagem de Parede 110/70/400 - PERF+1ST/ +PERF RU+ BA + Lã - Mat+MO</v>
      </c>
      <c r="F695" s="68" t="s">
        <v>5218</v>
      </c>
      <c r="G695" s="68" t="str">
        <f>VLOOKUP(D695,'03. Insumos'!A:F,3,0)</f>
        <v>m²</v>
      </c>
      <c r="H695" s="69">
        <v>1</v>
      </c>
      <c r="I695" s="69"/>
      <c r="J695" s="70">
        <f t="shared" si="509"/>
        <v>242</v>
      </c>
      <c r="K695" s="70">
        <f>IF(A695=0,VLOOKUP(D695,'03. Insumos'!A:F,4,0),"")</f>
        <v>242</v>
      </c>
      <c r="L695" s="70">
        <f t="shared" si="510"/>
        <v>0</v>
      </c>
      <c r="M695" s="153">
        <f t="shared" ca="1" si="512"/>
        <v>0</v>
      </c>
      <c r="O695" s="148"/>
      <c r="R695" s="356"/>
    </row>
    <row r="696" spans="1:18" s="51" customFormat="1" hidden="1" outlineLevel="1" x14ac:dyDescent="0.3">
      <c r="A696" s="13">
        <f t="shared" si="511"/>
        <v>0</v>
      </c>
      <c r="B696" s="49"/>
      <c r="C696" s="49"/>
      <c r="D696" s="370" t="s">
        <v>1730</v>
      </c>
      <c r="E696" s="67" t="str">
        <f>VLOOKUP(D696,'03. Insumos'!A:D,2,0)</f>
        <v>Montagem de Contra-Parede - 82,5/70/400 - 1RU+ - Mat+MO</v>
      </c>
      <c r="F696" s="68" t="s">
        <v>5218</v>
      </c>
      <c r="G696" s="68" t="str">
        <f>VLOOKUP(D696,'03. Insumos'!A:F,3,0)</f>
        <v>m²</v>
      </c>
      <c r="H696" s="69">
        <v>1</v>
      </c>
      <c r="I696" s="69"/>
      <c r="J696" s="70">
        <f t="shared" si="509"/>
        <v>115</v>
      </c>
      <c r="K696" s="70">
        <f>IF(A696=0,VLOOKUP(D696,'03. Insumos'!A:F,4,0),"")</f>
        <v>115</v>
      </c>
      <c r="L696" s="70">
        <f t="shared" si="510"/>
        <v>0</v>
      </c>
      <c r="M696" s="153">
        <f t="shared" ca="1" si="512"/>
        <v>0</v>
      </c>
      <c r="O696" s="148"/>
      <c r="R696" s="356"/>
    </row>
    <row r="697" spans="1:18" s="51" customFormat="1" ht="13.5" hidden="1" customHeight="1" outlineLevel="1" x14ac:dyDescent="0.3">
      <c r="A697" s="13">
        <f t="shared" si="511"/>
        <v>0</v>
      </c>
      <c r="B697" s="49"/>
      <c r="C697" s="49"/>
      <c r="D697" s="370" t="s">
        <v>1731</v>
      </c>
      <c r="E697" s="67" t="str">
        <f>VLOOKUP(D697,'03. Insumos'!A:D,2,0)</f>
        <v>Montagem de Contra-Parede - 82,5/70/400 - 1ST - Mat+MO</v>
      </c>
      <c r="F697" s="68" t="s">
        <v>5218</v>
      </c>
      <c r="G697" s="68" t="str">
        <f>VLOOKUP(D697,'03. Insumos'!A:F,3,0)</f>
        <v>m²</v>
      </c>
      <c r="H697" s="69">
        <v>1</v>
      </c>
      <c r="I697" s="69"/>
      <c r="J697" s="70">
        <f t="shared" si="509"/>
        <v>108</v>
      </c>
      <c r="K697" s="70">
        <f>IF(A697=0,VLOOKUP(D697,'03. Insumos'!A:F,4,0),"")</f>
        <v>108</v>
      </c>
      <c r="L697" s="70">
        <f t="shared" si="510"/>
        <v>0</v>
      </c>
      <c r="M697" s="153">
        <f t="shared" ca="1" si="512"/>
        <v>0</v>
      </c>
      <c r="O697" s="148"/>
      <c r="R697" s="356"/>
    </row>
    <row r="698" spans="1:18" s="51" customFormat="1" ht="13.2" hidden="1" customHeight="1" outlineLevel="1" x14ac:dyDescent="0.3">
      <c r="A698" s="13">
        <f t="shared" si="511"/>
        <v>0</v>
      </c>
      <c r="B698" s="49"/>
      <c r="C698" s="49"/>
      <c r="D698" s="370" t="s">
        <v>1734</v>
      </c>
      <c r="E698" s="67" t="str">
        <f>VLOOKUP(D698,'03. Insumos'!A:D,2,0)</f>
        <v>Montagem de Parede 107,5/70/600 - 1RU+1ST/1ST - Mat+MO</v>
      </c>
      <c r="F698" s="68" t="s">
        <v>5218</v>
      </c>
      <c r="G698" s="68" t="str">
        <f>VLOOKUP(D698,'03. Insumos'!A:F,3,0)</f>
        <v>m²</v>
      </c>
      <c r="H698" s="69">
        <v>1</v>
      </c>
      <c r="I698" s="69"/>
      <c r="J698" s="70">
        <f t="shared" si="509"/>
        <v>189</v>
      </c>
      <c r="K698" s="70">
        <f>IF(A698=0,VLOOKUP(D698,'03. Insumos'!A:F,4,0),"")</f>
        <v>189</v>
      </c>
      <c r="L698" s="70">
        <f t="shared" si="510"/>
        <v>0</v>
      </c>
      <c r="M698" s="153">
        <f t="shared" ca="1" si="512"/>
        <v>0</v>
      </c>
      <c r="O698" s="148"/>
      <c r="R698" s="356"/>
    </row>
    <row r="699" spans="1:18" s="51" customFormat="1" ht="13.5" hidden="1" customHeight="1" outlineLevel="1" x14ac:dyDescent="0.3">
      <c r="A699" s="13">
        <f t="shared" si="511"/>
        <v>0</v>
      </c>
      <c r="B699" s="49"/>
      <c r="C699" s="49"/>
      <c r="D699" s="370" t="s">
        <v>5420</v>
      </c>
      <c r="E699" s="67" t="str">
        <f>VLOOKUP(D699,'03. Insumos'!A:D,2,0)</f>
        <v>Frete</v>
      </c>
      <c r="F699" s="68" t="s">
        <v>5218</v>
      </c>
      <c r="G699" s="68" t="str">
        <f>VLOOKUP(D699,'03. Insumos'!A:F,3,0)</f>
        <v>vb</v>
      </c>
      <c r="H699" s="69">
        <v>1</v>
      </c>
      <c r="I699" s="69"/>
      <c r="J699" s="70">
        <f t="shared" si="509"/>
        <v>1</v>
      </c>
      <c r="K699" s="70">
        <f>IF(A699=0,VLOOKUP(D699,'03. Insumos'!A:F,4,0),"")</f>
        <v>1</v>
      </c>
      <c r="L699" s="70">
        <f t="shared" si="510"/>
        <v>0</v>
      </c>
      <c r="M699" s="153">
        <f t="shared" ca="1" si="512"/>
        <v>0</v>
      </c>
      <c r="O699" s="148"/>
      <c r="R699" s="356"/>
    </row>
    <row r="700" spans="1:18" s="592" customFormat="1" x14ac:dyDescent="0.3">
      <c r="A700" s="478">
        <f t="shared" si="337"/>
        <v>3</v>
      </c>
      <c r="B700" s="390"/>
      <c r="C700" s="390" t="s">
        <v>81</v>
      </c>
      <c r="D700" s="390" t="s">
        <v>86</v>
      </c>
      <c r="E700" s="390"/>
      <c r="F700" s="323"/>
      <c r="G700" s="678"/>
      <c r="H700" s="324"/>
      <c r="I700" s="324"/>
      <c r="J700" s="333"/>
      <c r="K700" s="333"/>
      <c r="L700" s="333">
        <f>SUMIF(A701:A735,4,L701:L735)</f>
        <v>2424709</v>
      </c>
      <c r="M700" s="153">
        <f t="shared" ca="1" si="445"/>
        <v>0.14722526177543574</v>
      </c>
      <c r="O700" s="499">
        <f t="shared" si="416"/>
        <v>0</v>
      </c>
      <c r="R700" s="348">
        <f>IF(J700&lt;&gt;0,J700/1.03-K700,0)</f>
        <v>0</v>
      </c>
    </row>
    <row r="701" spans="1:18" s="18" customFormat="1" ht="13.5" customHeight="1" outlineLevel="1" x14ac:dyDescent="0.3">
      <c r="A701" s="290">
        <f t="shared" si="337"/>
        <v>4</v>
      </c>
      <c r="B701" s="45"/>
      <c r="C701" s="45" t="s">
        <v>361</v>
      </c>
      <c r="D701" s="45" t="s">
        <v>1160</v>
      </c>
      <c r="E701" s="347"/>
      <c r="F701" s="327"/>
      <c r="G701" s="327"/>
      <c r="H701" s="328"/>
      <c r="I701" s="328"/>
      <c r="J701" s="335"/>
      <c r="K701" s="335" t="str">
        <f>IF(A701=0,VLOOKUP(D701,'03. Insumos'!A:F,4,0),"")</f>
        <v/>
      </c>
      <c r="L701" s="335">
        <f>SUMIF(A702:A727,6,L702:L727)</f>
        <v>2391400</v>
      </c>
      <c r="M701" s="153">
        <f t="shared" ca="1" si="445"/>
        <v>0.14520278145120796</v>
      </c>
      <c r="O701" s="148">
        <f t="shared" si="416"/>
        <v>0</v>
      </c>
      <c r="R701" s="12">
        <f>IF(J701&lt;&gt;0,J701/1.03-K701,0)</f>
        <v>0</v>
      </c>
    </row>
    <row r="702" spans="1:18" s="18" customFormat="1" ht="13.5" customHeight="1" outlineLevel="1" x14ac:dyDescent="0.3">
      <c r="A702" s="18">
        <f t="shared" si="337"/>
        <v>6</v>
      </c>
      <c r="B702" s="606"/>
      <c r="C702" s="606" t="s">
        <v>266</v>
      </c>
      <c r="D702" s="606" t="s">
        <v>1160</v>
      </c>
      <c r="E702" s="391"/>
      <c r="F702" s="325"/>
      <c r="G702" s="325"/>
      <c r="H702" s="326">
        <v>37</v>
      </c>
      <c r="I702" s="326"/>
      <c r="J702" s="334">
        <f>L702/H702</f>
        <v>64091.891891891893</v>
      </c>
      <c r="K702" s="607" t="str">
        <f>IF(A702=0,VLOOKUP(D702,'03. Insumos'!A:F,4,0),"")</f>
        <v/>
      </c>
      <c r="L702" s="334">
        <f>SUM(L703:L717)</f>
        <v>2371400</v>
      </c>
      <c r="M702" s="153">
        <f t="shared" ca="1" si="445"/>
        <v>0.143988406763149</v>
      </c>
      <c r="O702" s="600">
        <f t="shared" si="416"/>
        <v>0</v>
      </c>
      <c r="R702" s="601" t="e">
        <f>IF(J702&lt;&gt;0,J702/1.03-K702,0)</f>
        <v>#VALUE!</v>
      </c>
    </row>
    <row r="703" spans="1:18" s="51" customFormat="1" ht="15.6" hidden="1" customHeight="1" outlineLevel="1" x14ac:dyDescent="0.3">
      <c r="A703" s="13">
        <v>0</v>
      </c>
      <c r="B703" s="49"/>
      <c r="C703" s="49"/>
      <c r="D703" s="370" t="s">
        <v>3382</v>
      </c>
      <c r="E703" s="706" t="str">
        <f>VLOOKUP(D703,'03. Insumos'!A:D,2,0)</f>
        <v>Instalações Prediais (elétricas, especiais, hidraulicas, esgoto sanitário, incêndio e gás)</v>
      </c>
      <c r="F703" s="68" t="s">
        <v>5218</v>
      </c>
      <c r="G703" s="68" t="str">
        <f>VLOOKUP(D703,'03. Insumos'!A:F,3,0)</f>
        <v>vb</v>
      </c>
      <c r="H703" s="69">
        <f>H702*105</f>
        <v>3885</v>
      </c>
      <c r="I703" s="69"/>
      <c r="J703" s="70">
        <v>1</v>
      </c>
      <c r="K703" s="70">
        <f>IF(A703=0,VLOOKUP(D703,'03. Insumos'!A:F,4,0),"")</f>
        <v>1</v>
      </c>
      <c r="L703" s="70">
        <f t="shared" ref="L703:L717" si="513">H703*J703*I703</f>
        <v>0</v>
      </c>
      <c r="M703" s="153">
        <f t="shared" ca="1" si="445"/>
        <v>0</v>
      </c>
      <c r="O703" s="148"/>
      <c r="R703" s="356"/>
    </row>
    <row r="704" spans="1:18" s="51" customFormat="1" outlineLevel="1" x14ac:dyDescent="0.3">
      <c r="A704" s="13">
        <f t="shared" ref="A704:A708" si="514">LEN(C704)</f>
        <v>0</v>
      </c>
      <c r="B704" s="49"/>
      <c r="C704" s="49"/>
      <c r="D704" s="370" t="s">
        <v>6791</v>
      </c>
      <c r="E704" s="706" t="s">
        <v>8819</v>
      </c>
      <c r="F704" s="344" t="s">
        <v>5218</v>
      </c>
      <c r="G704" s="68" t="str">
        <f>VLOOKUP(D704,'03. Insumos'!A:F,3,0)</f>
        <v>vb</v>
      </c>
      <c r="H704" s="69">
        <v>1</v>
      </c>
      <c r="I704" s="69">
        <v>1</v>
      </c>
      <c r="J704" s="70">
        <v>453870.96774193551</v>
      </c>
      <c r="K704" s="342">
        <f>IF(A704=0,VLOOKUP(D704,'03. Insumos'!A:F,4,0),"")</f>
        <v>1020000</v>
      </c>
      <c r="L704" s="70">
        <f t="shared" si="513"/>
        <v>453870.96774193551</v>
      </c>
      <c r="M704" s="153">
        <f t="shared" ref="M704:M708" ca="1" si="515">L704/$L$7</f>
        <v>2.7558470743531203E-2</v>
      </c>
      <c r="O704" s="148">
        <f t="shared" ref="O704:O708" si="516">IF(I704&lt;&gt;0,I704*H704*K704,)</f>
        <v>1020000</v>
      </c>
      <c r="R704" s="356">
        <f t="shared" ref="R704:R708" si="517">IF(J704&lt;&gt;0,J704/1.03-K704,0)</f>
        <v>-579348.57500782958</v>
      </c>
    </row>
    <row r="705" spans="1:18" s="51" customFormat="1" outlineLevel="1" x14ac:dyDescent="0.3">
      <c r="A705" s="13">
        <f t="shared" si="514"/>
        <v>0</v>
      </c>
      <c r="B705" s="49"/>
      <c r="C705" s="49"/>
      <c r="D705" s="370" t="s">
        <v>6792</v>
      </c>
      <c r="E705" s="706" t="s">
        <v>8820</v>
      </c>
      <c r="F705" s="344" t="s">
        <v>5218</v>
      </c>
      <c r="G705" s="68" t="str">
        <f>VLOOKUP(D705,'03. Insumos'!A:F,3,0)</f>
        <v>vb</v>
      </c>
      <c r="H705" s="69">
        <v>1</v>
      </c>
      <c r="I705" s="69">
        <v>1</v>
      </c>
      <c r="J705" s="70">
        <v>97258.06451612903</v>
      </c>
      <c r="K705" s="342">
        <f>IF(A705=0,VLOOKUP(D705,'03. Insumos'!A:F,4,0),"")</f>
        <v>280000</v>
      </c>
      <c r="L705" s="70">
        <f t="shared" si="513"/>
        <v>97258.06451612903</v>
      </c>
      <c r="M705" s="153">
        <f t="shared" ca="1" si="515"/>
        <v>5.9053865878995427E-3</v>
      </c>
      <c r="O705" s="148">
        <f t="shared" si="516"/>
        <v>280000</v>
      </c>
      <c r="R705" s="356">
        <f t="shared" si="517"/>
        <v>-185574.69464453493</v>
      </c>
    </row>
    <row r="706" spans="1:18" s="51" customFormat="1" outlineLevel="1" x14ac:dyDescent="0.3">
      <c r="A706" s="13">
        <f t="shared" si="514"/>
        <v>0</v>
      </c>
      <c r="B706" s="49"/>
      <c r="C706" s="49"/>
      <c r="D706" s="370" t="s">
        <v>6793</v>
      </c>
      <c r="E706" s="706" t="s">
        <v>8821</v>
      </c>
      <c r="F706" s="344" t="s">
        <v>5218</v>
      </c>
      <c r="G706" s="68" t="str">
        <f>VLOOKUP(D706,'03. Insumos'!A:F,3,0)</f>
        <v>vb</v>
      </c>
      <c r="H706" s="69">
        <v>1</v>
      </c>
      <c r="I706" s="69">
        <v>1</v>
      </c>
      <c r="J706" s="70">
        <v>389032.25806451612</v>
      </c>
      <c r="K706" s="342">
        <f>IF(A706=0,VLOOKUP(D706,'03. Insumos'!A:F,4,0),"")</f>
        <v>770000</v>
      </c>
      <c r="L706" s="70">
        <f t="shared" si="513"/>
        <v>389032.25806451612</v>
      </c>
      <c r="M706" s="153">
        <f t="shared" ca="1" si="515"/>
        <v>2.3621546351598171E-2</v>
      </c>
      <c r="O706" s="148">
        <f t="shared" si="516"/>
        <v>770000</v>
      </c>
      <c r="R706" s="356">
        <f t="shared" si="517"/>
        <v>-392298.77857813973</v>
      </c>
    </row>
    <row r="707" spans="1:18" s="51" customFormat="1" outlineLevel="1" x14ac:dyDescent="0.3">
      <c r="A707" s="13">
        <f t="shared" si="514"/>
        <v>0</v>
      </c>
      <c r="B707" s="49"/>
      <c r="C707" s="49"/>
      <c r="D707" s="370" t="s">
        <v>6794</v>
      </c>
      <c r="E707" s="706" t="s">
        <v>8822</v>
      </c>
      <c r="F707" s="344" t="s">
        <v>5218</v>
      </c>
      <c r="G707" s="68" t="str">
        <f>VLOOKUP(D707,'03. Insumos'!A:F,3,0)</f>
        <v>vb</v>
      </c>
      <c r="H707" s="69">
        <v>1</v>
      </c>
      <c r="I707" s="69">
        <v>1</v>
      </c>
      <c r="J707" s="70">
        <v>405241.93548387097</v>
      </c>
      <c r="K707" s="342">
        <f>IF(A707=0,VLOOKUP(D707,'03. Insumos'!A:F,4,0),"")</f>
        <v>710000</v>
      </c>
      <c r="L707" s="70">
        <f t="shared" si="513"/>
        <v>405241.93548387097</v>
      </c>
      <c r="M707" s="153">
        <f t="shared" ca="1" si="515"/>
        <v>2.460577744958143E-2</v>
      </c>
      <c r="O707" s="148">
        <f t="shared" si="516"/>
        <v>710000</v>
      </c>
      <c r="R707" s="356">
        <f t="shared" si="517"/>
        <v>-316561.22768556216</v>
      </c>
    </row>
    <row r="708" spans="1:18" s="51" customFormat="1" outlineLevel="1" x14ac:dyDescent="0.3">
      <c r="A708" s="13">
        <f t="shared" si="514"/>
        <v>0</v>
      </c>
      <c r="B708" s="49"/>
      <c r="C708" s="49"/>
      <c r="D708" s="370" t="s">
        <v>6795</v>
      </c>
      <c r="E708" s="706" t="s">
        <v>8824</v>
      </c>
      <c r="F708" s="344" t="s">
        <v>5218</v>
      </c>
      <c r="G708" s="68" t="str">
        <f>VLOOKUP(D708,'03. Insumos'!A:F,3,0)</f>
        <v>vb</v>
      </c>
      <c r="H708" s="69">
        <v>1</v>
      </c>
      <c r="I708" s="69">
        <v>1</v>
      </c>
      <c r="J708" s="70">
        <v>162096.77419354839</v>
      </c>
      <c r="K708" s="342">
        <f>IF(A708=0,VLOOKUP(D708,'03. Insumos'!A:F,4,0),"")</f>
        <v>290000</v>
      </c>
      <c r="L708" s="70">
        <f t="shared" si="513"/>
        <v>162096.77419354839</v>
      </c>
      <c r="M708" s="153">
        <f t="shared" ca="1" si="515"/>
        <v>9.8423109798325727E-3</v>
      </c>
      <c r="O708" s="148">
        <f t="shared" si="516"/>
        <v>290000</v>
      </c>
      <c r="R708" s="356">
        <f t="shared" si="517"/>
        <v>-132624.49107422488</v>
      </c>
    </row>
    <row r="709" spans="1:18" s="51" customFormat="1" outlineLevel="1" x14ac:dyDescent="0.3">
      <c r="A709" s="13">
        <f t="shared" ref="A709" si="518">LEN(C709)</f>
        <v>0</v>
      </c>
      <c r="B709" s="49"/>
      <c r="C709" s="49"/>
      <c r="D709" s="370" t="s">
        <v>6798</v>
      </c>
      <c r="E709" s="706" t="s">
        <v>8823</v>
      </c>
      <c r="F709" s="344" t="s">
        <v>5218</v>
      </c>
      <c r="G709" s="68" t="str">
        <f>VLOOKUP(D709,'03. Insumos'!A:F,3,0)</f>
        <v>vb</v>
      </c>
      <c r="H709" s="69">
        <v>1</v>
      </c>
      <c r="I709" s="69">
        <v>1</v>
      </c>
      <c r="J709" s="70">
        <f t="shared" ref="J709" si="519">IFERROR(IF(K709&lt;&gt;0,K709*$K$5,0),0)</f>
        <v>73900</v>
      </c>
      <c r="K709" s="342">
        <f>IF(A709=0,VLOOKUP(D709,'03. Insumos'!A:F,4,0),"")</f>
        <v>73900</v>
      </c>
      <c r="L709" s="70">
        <f t="shared" ref="L709" si="520">H709*J709*I709</f>
        <v>73900</v>
      </c>
      <c r="M709" s="153">
        <f t="shared" ca="1" si="445"/>
        <v>4.4871144723777987E-3</v>
      </c>
      <c r="O709" s="148">
        <f t="shared" ref="O709:O711" si="521">IF(I709&lt;&gt;0,I709*H709*K709,)</f>
        <v>73900</v>
      </c>
      <c r="R709" s="356">
        <f>IF(J709&lt;&gt;0,J709/1.03-K709,0)</f>
        <v>-2152.4271844660252</v>
      </c>
    </row>
    <row r="710" spans="1:18" s="51" customFormat="1" outlineLevel="1" x14ac:dyDescent="0.3">
      <c r="A710" s="13">
        <v>0</v>
      </c>
      <c r="B710" s="49"/>
      <c r="C710" s="49"/>
      <c r="D710" s="370" t="s">
        <v>7773</v>
      </c>
      <c r="E710" s="67" t="s">
        <v>8818</v>
      </c>
      <c r="F710" s="68" t="s">
        <v>5218</v>
      </c>
      <c r="G710" s="68" t="s">
        <v>29</v>
      </c>
      <c r="H710" s="69">
        <v>1</v>
      </c>
      <c r="I710" s="69">
        <v>1</v>
      </c>
      <c r="J710" s="70">
        <v>590000</v>
      </c>
      <c r="K710" s="70">
        <f>IF(A710=0,VLOOKUP(D710,'03. Insumos'!A:F,4,0),"")</f>
        <v>1900</v>
      </c>
      <c r="L710" s="70">
        <f t="shared" si="513"/>
        <v>590000</v>
      </c>
      <c r="M710" s="153">
        <f t="shared" ca="1" si="445"/>
        <v>3.5824053297738856E-2</v>
      </c>
      <c r="O710" s="148">
        <f t="shared" si="521"/>
        <v>1900</v>
      </c>
      <c r="R710" s="356"/>
    </row>
    <row r="711" spans="1:18" s="51" customFormat="1" outlineLevel="1" x14ac:dyDescent="0.3">
      <c r="A711" s="13">
        <f t="shared" ref="A711:A712" si="522">LEN(C711)</f>
        <v>0</v>
      </c>
      <c r="B711" s="49"/>
      <c r="C711" s="49"/>
      <c r="D711" s="370" t="s">
        <v>6737</v>
      </c>
      <c r="E711" s="67" t="s">
        <v>7018</v>
      </c>
      <c r="F711" s="68" t="s">
        <v>5218</v>
      </c>
      <c r="G711" s="68" t="str">
        <f>VLOOKUP(D711,'03. Insumos'!A:F,3,0)</f>
        <v>vb</v>
      </c>
      <c r="H711" s="69">
        <v>1</v>
      </c>
      <c r="I711" s="69">
        <v>1</v>
      </c>
      <c r="J711" s="70">
        <v>200000</v>
      </c>
      <c r="K711" s="70">
        <f>IF(A711=0,VLOOKUP(D711,'03. Insumos'!A:F,4,0),"")</f>
        <v>1</v>
      </c>
      <c r="L711" s="70">
        <f t="shared" si="513"/>
        <v>200000</v>
      </c>
      <c r="M711" s="153">
        <f t="shared" ca="1" si="445"/>
        <v>1.2143746880589442E-2</v>
      </c>
      <c r="O711" s="148">
        <f t="shared" si="521"/>
        <v>1</v>
      </c>
      <c r="R711" s="356"/>
    </row>
    <row r="712" spans="1:18" s="51" customFormat="1" hidden="1" outlineLevel="1" x14ac:dyDescent="0.3">
      <c r="A712" s="13">
        <f t="shared" si="522"/>
        <v>0</v>
      </c>
      <c r="B712" s="49"/>
      <c r="C712" s="49"/>
      <c r="D712" s="370" t="s">
        <v>707</v>
      </c>
      <c r="E712" s="67" t="str">
        <f>VLOOKUP(D712,'03. Insumos'!A:D,2,0)</f>
        <v>Sistema de Irrigação</v>
      </c>
      <c r="F712" s="68" t="s">
        <v>5218</v>
      </c>
      <c r="G712" s="68" t="str">
        <f>VLOOKUP(D712,'03. Insumos'!A:F,3,0)</f>
        <v>vb</v>
      </c>
      <c r="H712" s="69"/>
      <c r="I712" s="69">
        <v>1</v>
      </c>
      <c r="J712" s="70">
        <f t="shared" ref="J712:J717" si="523">IFERROR(IF(K712&lt;&gt;0,K712*$K$5,0),0)</f>
        <v>1</v>
      </c>
      <c r="K712" s="70">
        <f>IF(A712=0,VLOOKUP(D712,'03. Insumos'!A:F,4,0),"")</f>
        <v>1</v>
      </c>
      <c r="L712" s="70">
        <f t="shared" si="513"/>
        <v>0</v>
      </c>
      <c r="M712" s="153">
        <f t="shared" ca="1" si="445"/>
        <v>0</v>
      </c>
      <c r="O712" s="148"/>
      <c r="R712" s="356"/>
    </row>
    <row r="713" spans="1:18" s="51" customFormat="1" hidden="1" outlineLevel="1" x14ac:dyDescent="0.3">
      <c r="A713" s="13">
        <f t="shared" ref="A713" si="524">LEN(C713)</f>
        <v>0</v>
      </c>
      <c r="B713" s="49"/>
      <c r="C713" s="49"/>
      <c r="D713" s="370" t="s">
        <v>6796</v>
      </c>
      <c r="E713" s="67" t="str">
        <f>VLOOKUP(D713,'03. Insumos'!A:D,2,0)</f>
        <v>Gerador automático carenado silenciado 40 KVA –220/127V</v>
      </c>
      <c r="F713" s="68" t="s">
        <v>5218</v>
      </c>
      <c r="G713" s="68" t="str">
        <f>VLOOKUP(D713,'03. Insumos'!A:F,3,0)</f>
        <v>unid</v>
      </c>
      <c r="H713" s="69"/>
      <c r="I713" s="69">
        <v>1</v>
      </c>
      <c r="J713" s="70">
        <f t="shared" ref="J713" si="525">IFERROR(IF(K713&lt;&gt;0,K713*$K$5,0),0)</f>
        <v>115000</v>
      </c>
      <c r="K713" s="70">
        <f>IF(A713=0,VLOOKUP(D713,'03. Insumos'!A:F,4,0),"")</f>
        <v>115000</v>
      </c>
      <c r="L713" s="70">
        <f t="shared" ref="L713" si="526">H713*J713*I713</f>
        <v>0</v>
      </c>
      <c r="M713" s="355">
        <f t="shared" ref="M713" ca="1" si="527">L713/$L$7</f>
        <v>0</v>
      </c>
      <c r="O713" s="148"/>
      <c r="R713" s="356"/>
    </row>
    <row r="714" spans="1:18" s="51" customFormat="1" hidden="1" outlineLevel="1" x14ac:dyDescent="0.3">
      <c r="A714" s="13">
        <f t="shared" ref="A714:A716" si="528">LEN(C714)</f>
        <v>0</v>
      </c>
      <c r="B714" s="49"/>
      <c r="C714" s="49"/>
      <c r="D714" s="370" t="s">
        <v>6863</v>
      </c>
      <c r="E714" s="67" t="str">
        <f>VLOOKUP(D714,'03. Insumos'!A:D,2,0)</f>
        <v>Instalação de Gerador e Acessórios</v>
      </c>
      <c r="F714" s="68" t="s">
        <v>5218</v>
      </c>
      <c r="G714" s="68" t="str">
        <f>VLOOKUP(D714,'03. Insumos'!A:F,3,0)</f>
        <v>vb</v>
      </c>
      <c r="H714" s="69"/>
      <c r="I714" s="69">
        <v>1</v>
      </c>
      <c r="J714" s="70">
        <f t="shared" ref="J714:J716" si="529">IFERROR(IF(K714&lt;&gt;0,K714*$K$5,0),0)</f>
        <v>15000</v>
      </c>
      <c r="K714" s="70">
        <f>IF(A714=0,VLOOKUP(D714,'03. Insumos'!A:F,4,0),"")</f>
        <v>15000</v>
      </c>
      <c r="L714" s="70">
        <f t="shared" ref="L714:L716" si="530">H714*J714*I714</f>
        <v>0</v>
      </c>
      <c r="M714" s="153">
        <f t="shared" ref="M714:M716" ca="1" si="531">L714/$L$7</f>
        <v>0</v>
      </c>
      <c r="O714" s="148"/>
      <c r="R714" s="356"/>
    </row>
    <row r="715" spans="1:18" s="51" customFormat="1" hidden="1" outlineLevel="1" x14ac:dyDescent="0.3">
      <c r="A715" s="13">
        <f t="shared" si="528"/>
        <v>0</v>
      </c>
      <c r="B715" s="49"/>
      <c r="C715" s="49"/>
      <c r="D715" s="370" t="s">
        <v>6797</v>
      </c>
      <c r="E715" s="67" t="str">
        <f>VLOOKUP(D715,'03. Insumos'!A:D,2,0)</f>
        <v>Sistema de Aquecimento Central</v>
      </c>
      <c r="F715" s="68" t="s">
        <v>5218</v>
      </c>
      <c r="G715" s="68" t="str">
        <f>VLOOKUP(D715,'03. Insumos'!A:F,3,0)</f>
        <v>vb</v>
      </c>
      <c r="H715" s="69"/>
      <c r="I715" s="69">
        <v>1</v>
      </c>
      <c r="J715" s="70">
        <f t="shared" si="529"/>
        <v>1</v>
      </c>
      <c r="K715" s="70">
        <f>IF(A715=0,VLOOKUP(D715,'03. Insumos'!A:F,4,0),"")</f>
        <v>1</v>
      </c>
      <c r="L715" s="70">
        <f t="shared" si="530"/>
        <v>0</v>
      </c>
      <c r="M715" s="153">
        <f t="shared" ca="1" si="531"/>
        <v>0</v>
      </c>
      <c r="O715" s="148"/>
      <c r="R715" s="356"/>
    </row>
    <row r="716" spans="1:18" s="51" customFormat="1" hidden="1" outlineLevel="1" x14ac:dyDescent="0.3">
      <c r="A716" s="13">
        <f t="shared" si="528"/>
        <v>0</v>
      </c>
      <c r="B716" s="49"/>
      <c r="C716" s="49"/>
      <c r="D716" s="370" t="s">
        <v>7666</v>
      </c>
      <c r="E716" s="67" t="str">
        <f>VLOOKUP(D716,'03. Insumos'!A:D,2,0)</f>
        <v>Cabeamento e Equipamentos de Especiais - Interfone/CFTV/Antena/Wifi</v>
      </c>
      <c r="F716" s="68" t="s">
        <v>5218</v>
      </c>
      <c r="G716" s="68" t="str">
        <f>VLOOKUP(D716,'03. Insumos'!A:F,3,0)</f>
        <v>vb</v>
      </c>
      <c r="H716" s="69"/>
      <c r="I716" s="69">
        <v>1</v>
      </c>
      <c r="J716" s="70">
        <f t="shared" si="529"/>
        <v>1</v>
      </c>
      <c r="K716" s="70">
        <f>IF(A716=0,VLOOKUP(D716,'03. Insumos'!A:F,4,0),"")</f>
        <v>1</v>
      </c>
      <c r="L716" s="70">
        <f t="shared" si="530"/>
        <v>0</v>
      </c>
      <c r="M716" s="153">
        <f t="shared" ca="1" si="531"/>
        <v>0</v>
      </c>
      <c r="O716" s="148"/>
      <c r="R716" s="356"/>
    </row>
    <row r="717" spans="1:18" s="51" customFormat="1" hidden="1" outlineLevel="1" x14ac:dyDescent="0.3">
      <c r="A717" s="13">
        <f t="shared" ref="A717:A727" si="532">LEN(C717)</f>
        <v>0</v>
      </c>
      <c r="B717" s="49"/>
      <c r="C717" s="49"/>
      <c r="D717" s="370" t="s">
        <v>6534</v>
      </c>
      <c r="E717" s="67" t="str">
        <f>VLOOKUP(D717,'03. Insumos'!A:D,2,0)</f>
        <v>Reservatório Modular - Resermax</v>
      </c>
      <c r="F717" s="68" t="s">
        <v>5218</v>
      </c>
      <c r="G717" s="68" t="str">
        <f>VLOOKUP(D717,'03. Insumos'!A:F,3,0)</f>
        <v>vb</v>
      </c>
      <c r="H717" s="69"/>
      <c r="I717" s="69">
        <v>1</v>
      </c>
      <c r="J717" s="70">
        <f t="shared" si="523"/>
        <v>100772.542</v>
      </c>
      <c r="K717" s="70">
        <f>IF(A717=0,VLOOKUP(D717,'03. Insumos'!A:F,4,0),"")</f>
        <v>100772.542</v>
      </c>
      <c r="L717" s="70">
        <f t="shared" si="513"/>
        <v>0</v>
      </c>
      <c r="M717" s="153">
        <f t="shared" ca="1" si="445"/>
        <v>0</v>
      </c>
      <c r="O717" s="148"/>
      <c r="R717" s="356"/>
    </row>
    <row r="718" spans="1:18" s="18" customFormat="1" ht="13.5" customHeight="1" outlineLevel="1" x14ac:dyDescent="0.3">
      <c r="A718" s="18">
        <f t="shared" si="532"/>
        <v>6</v>
      </c>
      <c r="B718" s="606"/>
      <c r="C718" s="606" t="s">
        <v>1679</v>
      </c>
      <c r="D718" s="606" t="s">
        <v>6979</v>
      </c>
      <c r="E718" s="391"/>
      <c r="F718" s="325"/>
      <c r="G718" s="325"/>
      <c r="H718" s="326"/>
      <c r="I718" s="326"/>
      <c r="J718" s="334"/>
      <c r="K718" s="607" t="str">
        <f>IF(A718=0,VLOOKUP(D718,'03. Insumos'!A:F,4,0),"")</f>
        <v/>
      </c>
      <c r="L718" s="334">
        <f>SUM(L719:L727)</f>
        <v>20000</v>
      </c>
      <c r="M718" s="153">
        <f t="shared" ca="1" si="445"/>
        <v>1.2143746880589443E-3</v>
      </c>
      <c r="O718" s="600">
        <f t="shared" ref="O718:O727" si="533">IF(I718&lt;&gt;0,I718*H718*K718,)</f>
        <v>0</v>
      </c>
      <c r="R718" s="601">
        <f t="shared" ref="R718:R727" si="534">IF(J718&lt;&gt;0,J718/1.03-K718,0)</f>
        <v>0</v>
      </c>
    </row>
    <row r="719" spans="1:18" s="51" customFormat="1" outlineLevel="1" x14ac:dyDescent="0.3">
      <c r="A719" s="13">
        <f t="shared" si="532"/>
        <v>0</v>
      </c>
      <c r="B719" s="49"/>
      <c r="C719" s="49"/>
      <c r="D719" s="370" t="s">
        <v>592</v>
      </c>
      <c r="E719" s="67" t="str">
        <f>VLOOKUP(D719,'03. Insumos'!A:D,2,0)</f>
        <v>Luminárias</v>
      </c>
      <c r="F719" s="68" t="s">
        <v>5218</v>
      </c>
      <c r="G719" s="68" t="str">
        <f>VLOOKUP(D719,'03. Insumos'!A:F,3,0)</f>
        <v>vb</v>
      </c>
      <c r="H719" s="69">
        <v>1</v>
      </c>
      <c r="I719" s="69">
        <v>1</v>
      </c>
      <c r="J719" s="70">
        <v>20000</v>
      </c>
      <c r="K719" s="70">
        <f>IF(A719=0,VLOOKUP(D719,'03. Insumos'!A:F,4,0),"")</f>
        <v>1</v>
      </c>
      <c r="L719" s="70">
        <f t="shared" ref="L719:L725" si="535">H719*J719*I719</f>
        <v>20000</v>
      </c>
      <c r="M719" s="153">
        <f t="shared" ref="M719:M725" ca="1" si="536">L719/$L$7</f>
        <v>1.2143746880589443E-3</v>
      </c>
      <c r="O719" s="148">
        <f t="shared" si="533"/>
        <v>1</v>
      </c>
      <c r="R719" s="356">
        <f t="shared" si="534"/>
        <v>19416.475728155339</v>
      </c>
    </row>
    <row r="720" spans="1:18" s="51" customFormat="1" hidden="1" outlineLevel="1" x14ac:dyDescent="0.3">
      <c r="A720" s="13">
        <f t="shared" si="532"/>
        <v>0</v>
      </c>
      <c r="B720" s="49"/>
      <c r="C720" s="49"/>
      <c r="D720" s="370" t="s">
        <v>6806</v>
      </c>
      <c r="E720" s="67" t="str">
        <f>VLOOKUP(D720,'03. Insumos'!A:D,2,0)</f>
        <v xml:space="preserve">Plafon de sobrepor redondo com difusor em acrílico - cor Preta - Cod. RK.02128 </v>
      </c>
      <c r="F720" s="68" t="s">
        <v>5218</v>
      </c>
      <c r="G720" s="68" t="str">
        <f>VLOOKUP(D720,'03. Insumos'!A:F,3,0)</f>
        <v>unid</v>
      </c>
      <c r="H720" s="69">
        <v>12</v>
      </c>
      <c r="I720" s="69"/>
      <c r="J720" s="342">
        <f t="shared" ref="J720:J723" si="537">IFERROR(IF(K720&lt;&gt;0,K720*$K$5,0),0)</f>
        <v>418.32</v>
      </c>
      <c r="K720" s="70">
        <f>IF(A720=0,VLOOKUP(D720,'03. Insumos'!A:F,4,0),"")</f>
        <v>418.32</v>
      </c>
      <c r="L720" s="70">
        <f t="shared" ref="L720:L723" si="538">H720*J720*I720</f>
        <v>0</v>
      </c>
      <c r="M720" s="153">
        <f t="shared" ref="M720:M723" ca="1" si="539">L720/$L$7</f>
        <v>0</v>
      </c>
      <c r="O720" s="148">
        <f t="shared" si="533"/>
        <v>0</v>
      </c>
      <c r="R720" s="356">
        <f t="shared" si="534"/>
        <v>-12.184077669902933</v>
      </c>
    </row>
    <row r="721" spans="1:18" s="51" customFormat="1" hidden="1" outlineLevel="1" x14ac:dyDescent="0.3">
      <c r="A721" s="13">
        <f t="shared" ref="A721:A722" si="540">LEN(C721)</f>
        <v>0</v>
      </c>
      <c r="B721" s="49"/>
      <c r="C721" s="49"/>
      <c r="D721" s="370" t="s">
        <v>6807</v>
      </c>
      <c r="E721" s="67" t="str">
        <f>VLOOKUP(D721,'03. Insumos'!A:D,2,0)</f>
        <v>Luminária de emergência de teto com ponto elétrico embutido</v>
      </c>
      <c r="F721" s="68" t="s">
        <v>5218</v>
      </c>
      <c r="G721" s="68" t="str">
        <f>VLOOKUP(D721,'03. Insumos'!A:F,3,0)</f>
        <v>unid</v>
      </c>
      <c r="H721" s="69">
        <v>8</v>
      </c>
      <c r="I721" s="69"/>
      <c r="J721" s="342">
        <f t="shared" ref="J721:J722" si="541">IFERROR(IF(K721&lt;&gt;0,K721*$K$5,0),0)</f>
        <v>17</v>
      </c>
      <c r="K721" s="70">
        <f>IF(A721=0,VLOOKUP(D721,'03. Insumos'!A:F,4,0),"")</f>
        <v>17</v>
      </c>
      <c r="L721" s="70">
        <f t="shared" ref="L721:L722" si="542">H721*J721*I721</f>
        <v>0</v>
      </c>
      <c r="M721" s="153">
        <f t="shared" ref="M721:M722" ca="1" si="543">L721/$L$7</f>
        <v>0</v>
      </c>
      <c r="O721" s="148">
        <f t="shared" ref="O721:O722" si="544">IF(I721&lt;&gt;0,I721*H721*K721,)</f>
        <v>0</v>
      </c>
      <c r="R721" s="356">
        <f t="shared" si="534"/>
        <v>-0.49514563106796317</v>
      </c>
    </row>
    <row r="722" spans="1:18" s="51" customFormat="1" hidden="1" outlineLevel="1" x14ac:dyDescent="0.3">
      <c r="A722" s="13">
        <f t="shared" si="540"/>
        <v>0</v>
      </c>
      <c r="B722" s="49"/>
      <c r="C722" s="49"/>
      <c r="D722" s="370" t="s">
        <v>6808</v>
      </c>
      <c r="E722" s="67" t="str">
        <f>VLOOKUP(D722,'03. Insumos'!A:D,2,0)</f>
        <v>Fita de led 4,15m - iluminação lateral na sanca</v>
      </c>
      <c r="F722" s="68" t="s">
        <v>5218</v>
      </c>
      <c r="G722" s="68" t="str">
        <f>VLOOKUP(D722,'03. Insumos'!A:F,3,0)</f>
        <v>unid</v>
      </c>
      <c r="H722" s="69">
        <v>1</v>
      </c>
      <c r="I722" s="69"/>
      <c r="J722" s="342">
        <f t="shared" si="541"/>
        <v>207.50000000000003</v>
      </c>
      <c r="K722" s="70">
        <f>IF(A722=0,VLOOKUP(D722,'03. Insumos'!A:F,4,0),"")</f>
        <v>207.50000000000003</v>
      </c>
      <c r="L722" s="70">
        <f t="shared" si="542"/>
        <v>0</v>
      </c>
      <c r="M722" s="153">
        <f t="shared" ca="1" si="543"/>
        <v>0</v>
      </c>
      <c r="O722" s="148">
        <f t="shared" si="544"/>
        <v>0</v>
      </c>
      <c r="R722" s="356">
        <f t="shared" si="534"/>
        <v>-6.0436893203883528</v>
      </c>
    </row>
    <row r="723" spans="1:18" s="51" customFormat="1" hidden="1" outlineLevel="1" x14ac:dyDescent="0.3">
      <c r="A723" s="13">
        <f t="shared" si="532"/>
        <v>0</v>
      </c>
      <c r="B723" s="49"/>
      <c r="C723" s="49"/>
      <c r="D723" s="370" t="s">
        <v>6809</v>
      </c>
      <c r="E723" s="67" t="str">
        <f>VLOOKUP(D723,'03. Insumos'!A:D,2,0)</f>
        <v>Spot redondo de embutir com lâmpada de led + sensor de presença</v>
      </c>
      <c r="F723" s="68" t="s">
        <v>5218</v>
      </c>
      <c r="G723" s="68" t="str">
        <f>VLOOKUP(D723,'03. Insumos'!A:F,3,0)</f>
        <v>unid</v>
      </c>
      <c r="H723" s="69">
        <v>30</v>
      </c>
      <c r="I723" s="69"/>
      <c r="J723" s="342">
        <f t="shared" si="537"/>
        <v>112.53</v>
      </c>
      <c r="K723" s="70">
        <f>IF(A723=0,VLOOKUP(D723,'03. Insumos'!A:F,4,0),"")</f>
        <v>112.53</v>
      </c>
      <c r="L723" s="70">
        <f t="shared" si="538"/>
        <v>0</v>
      </c>
      <c r="M723" s="153">
        <f t="shared" ca="1" si="539"/>
        <v>0</v>
      </c>
      <c r="O723" s="148">
        <f t="shared" si="533"/>
        <v>0</v>
      </c>
      <c r="R723" s="356">
        <f t="shared" si="534"/>
        <v>-3.2775728155339863</v>
      </c>
    </row>
    <row r="724" spans="1:18" s="51" customFormat="1" hidden="1" outlineLevel="1" x14ac:dyDescent="0.3">
      <c r="A724" s="13">
        <f t="shared" ref="A724:A725" si="545">LEN(C724)</f>
        <v>0</v>
      </c>
      <c r="B724" s="49"/>
      <c r="C724" s="49"/>
      <c r="D724" s="370" t="s">
        <v>6810</v>
      </c>
      <c r="E724" s="67" t="str">
        <f>VLOOKUP(D724,'03. Insumos'!A:D,2,0)</f>
        <v>Fita de led 4,20m - iluminação lateral na sanca</v>
      </c>
      <c r="F724" s="68" t="s">
        <v>5218</v>
      </c>
      <c r="G724" s="68" t="str">
        <f>VLOOKUP(D724,'03. Insumos'!A:F,3,0)</f>
        <v>unid</v>
      </c>
      <c r="H724" s="69">
        <v>1</v>
      </c>
      <c r="I724" s="69"/>
      <c r="J724" s="342">
        <f t="shared" ref="J724:J725" si="546">IFERROR(IF(K724&lt;&gt;0,K724*$K$5,0),0)</f>
        <v>210</v>
      </c>
      <c r="K724" s="70">
        <f>IF(A724=0,VLOOKUP(D724,'03. Insumos'!A:F,4,0),"")</f>
        <v>210</v>
      </c>
      <c r="L724" s="70">
        <f t="shared" si="535"/>
        <v>0</v>
      </c>
      <c r="M724" s="153">
        <f t="shared" ca="1" si="536"/>
        <v>0</v>
      </c>
      <c r="O724" s="148">
        <f t="shared" ref="O724:O725" si="547">IF(I724&lt;&gt;0,I724*H724*K724,)</f>
        <v>0</v>
      </c>
      <c r="R724" s="356">
        <f t="shared" si="534"/>
        <v>-6.1165048543689409</v>
      </c>
    </row>
    <row r="725" spans="1:18" s="51" customFormat="1" hidden="1" outlineLevel="1" x14ac:dyDescent="0.3">
      <c r="A725" s="13">
        <f t="shared" si="545"/>
        <v>0</v>
      </c>
      <c r="B725" s="49"/>
      <c r="C725" s="49"/>
      <c r="D725" s="370" t="s">
        <v>6813</v>
      </c>
      <c r="E725" s="67" t="str">
        <f>VLOOKUP(D725,'03. Insumos'!A:D,2,0)</f>
        <v>Fita de led 7,50m</v>
      </c>
      <c r="F725" s="68" t="s">
        <v>5218</v>
      </c>
      <c r="G725" s="68" t="str">
        <f>VLOOKUP(D725,'03. Insumos'!A:F,3,0)</f>
        <v>unid</v>
      </c>
      <c r="H725" s="69">
        <v>1</v>
      </c>
      <c r="I725" s="69"/>
      <c r="J725" s="342">
        <f t="shared" si="546"/>
        <v>375</v>
      </c>
      <c r="K725" s="70">
        <f>IF(A725=0,VLOOKUP(D725,'03. Insumos'!A:F,4,0),"")</f>
        <v>375</v>
      </c>
      <c r="L725" s="70">
        <f t="shared" si="535"/>
        <v>0</v>
      </c>
      <c r="M725" s="153">
        <f t="shared" ca="1" si="536"/>
        <v>0</v>
      </c>
      <c r="O725" s="148">
        <f t="shared" si="547"/>
        <v>0</v>
      </c>
      <c r="R725" s="356">
        <f t="shared" si="534"/>
        <v>-10.922330097087411</v>
      </c>
    </row>
    <row r="726" spans="1:18" s="51" customFormat="1" hidden="1" outlineLevel="1" x14ac:dyDescent="0.3">
      <c r="A726" s="13">
        <f t="shared" ref="A726" si="548">LEN(C726)</f>
        <v>0</v>
      </c>
      <c r="B726" s="49"/>
      <c r="C726" s="49"/>
      <c r="D726" s="370" t="s">
        <v>6811</v>
      </c>
      <c r="E726" s="67" t="str">
        <f>VLOOKUP(D726,'03. Insumos'!A:D,2,0)</f>
        <v>Luminária de emergência de parede + tomada alta</v>
      </c>
      <c r="F726" s="68" t="s">
        <v>5218</v>
      </c>
      <c r="G726" s="68" t="str">
        <f>VLOOKUP(D726,'03. Insumos'!A:F,3,0)</f>
        <v>unid</v>
      </c>
      <c r="H726" s="69">
        <v>15</v>
      </c>
      <c r="I726" s="69"/>
      <c r="J726" s="342">
        <f t="shared" ref="J726" si="549">IFERROR(IF(K726&lt;&gt;0,K726*$K$5,0),0)</f>
        <v>17</v>
      </c>
      <c r="K726" s="70">
        <f>IF(A726=0,VLOOKUP(D726,'03. Insumos'!A:F,4,0),"")</f>
        <v>17</v>
      </c>
      <c r="L726" s="70">
        <f t="shared" ref="L726" si="550">H726*J726*I726</f>
        <v>0</v>
      </c>
      <c r="M726" s="153">
        <f t="shared" ref="M726" ca="1" si="551">L726/$L$7</f>
        <v>0</v>
      </c>
      <c r="O726" s="148">
        <f t="shared" ref="O726" si="552">IF(I726&lt;&gt;0,I726*H726*K726,)</f>
        <v>0</v>
      </c>
      <c r="R726" s="356">
        <f t="shared" si="534"/>
        <v>-0.49514563106796317</v>
      </c>
    </row>
    <row r="727" spans="1:18" s="51" customFormat="1" hidden="1" outlineLevel="1" x14ac:dyDescent="0.3">
      <c r="A727" s="13">
        <f t="shared" si="532"/>
        <v>0</v>
      </c>
      <c r="B727" s="49"/>
      <c r="C727" s="49"/>
      <c r="D727" s="370" t="s">
        <v>6812</v>
      </c>
      <c r="E727" s="67" t="str">
        <f>VLOOKUP(D727,'03. Insumos'!A:D,2,0)</f>
        <v>Arandela tartaruga branca com lâmpada de led</v>
      </c>
      <c r="F727" s="68" t="s">
        <v>5218</v>
      </c>
      <c r="G727" s="68" t="str">
        <f>VLOOKUP(D727,'03. Insumos'!A:F,3,0)</f>
        <v>unid</v>
      </c>
      <c r="H727" s="69">
        <v>20</v>
      </c>
      <c r="I727" s="69"/>
      <c r="J727" s="342">
        <f t="shared" ref="J727" si="553">IFERROR(IF(K727&lt;&gt;0,K727*$K$5,0),0)</f>
        <v>32.53</v>
      </c>
      <c r="K727" s="70">
        <f>IF(A727=0,VLOOKUP(D727,'03. Insumos'!A:F,4,0),"")</f>
        <v>32.53</v>
      </c>
      <c r="L727" s="70">
        <f t="shared" ref="L727" si="554">H727*J727*I727</f>
        <v>0</v>
      </c>
      <c r="M727" s="153">
        <f t="shared" ref="M727:M798" ca="1" si="555">L727/$L$7</f>
        <v>0</v>
      </c>
      <c r="O727" s="148">
        <f t="shared" si="533"/>
        <v>0</v>
      </c>
      <c r="R727" s="356">
        <f t="shared" si="534"/>
        <v>-0.94747572815533943</v>
      </c>
    </row>
    <row r="728" spans="1:18" s="18" customFormat="1" ht="13.5" customHeight="1" outlineLevel="1" x14ac:dyDescent="0.3">
      <c r="A728" s="290">
        <f t="shared" si="337"/>
        <v>4</v>
      </c>
      <c r="B728" s="45"/>
      <c r="C728" s="45" t="s">
        <v>1352</v>
      </c>
      <c r="D728" s="45" t="s">
        <v>4752</v>
      </c>
      <c r="E728" s="347"/>
      <c r="F728" s="327"/>
      <c r="G728" s="327"/>
      <c r="H728" s="328"/>
      <c r="I728" s="328"/>
      <c r="J728" s="335"/>
      <c r="K728" s="335"/>
      <c r="L728" s="335">
        <f>SUMIF(A729:A735,6,L729:L735)</f>
        <v>33309</v>
      </c>
      <c r="M728" s="153">
        <f t="shared" ca="1" si="555"/>
        <v>2.0224803242277684E-3</v>
      </c>
      <c r="O728" s="148">
        <f t="shared" ref="O728:O729" si="556">IF(I728&lt;&gt;0,I728*H728*K728,)</f>
        <v>0</v>
      </c>
      <c r="R728" s="12">
        <f>IF(J728&lt;&gt;0,J728/1.03-K728,0)</f>
        <v>0</v>
      </c>
    </row>
    <row r="729" spans="1:18" s="18" customFormat="1" ht="13.5" customHeight="1" outlineLevel="1" x14ac:dyDescent="0.3">
      <c r="A729" s="18">
        <f t="shared" si="337"/>
        <v>6</v>
      </c>
      <c r="B729" s="606"/>
      <c r="C729" s="606" t="s">
        <v>1353</v>
      </c>
      <c r="D729" s="606" t="s">
        <v>4752</v>
      </c>
      <c r="E729" s="391"/>
      <c r="F729" s="325"/>
      <c r="G729" s="325"/>
      <c r="H729" s="326"/>
      <c r="I729" s="326"/>
      <c r="J729" s="812"/>
      <c r="K729" s="607"/>
      <c r="L729" s="334">
        <f>SUM(L730:L735)</f>
        <v>33309</v>
      </c>
      <c r="M729" s="153">
        <f t="shared" ca="1" si="555"/>
        <v>2.0224803242277684E-3</v>
      </c>
      <c r="O729" s="600">
        <f t="shared" si="556"/>
        <v>0</v>
      </c>
      <c r="R729" s="601">
        <f>IF(J729&lt;&gt;0,J729/1.03-K729,0)</f>
        <v>0</v>
      </c>
    </row>
    <row r="730" spans="1:18" s="59" customFormat="1" outlineLevel="1" x14ac:dyDescent="0.3">
      <c r="A730" s="13">
        <f t="shared" si="337"/>
        <v>0</v>
      </c>
      <c r="B730" s="55"/>
      <c r="C730" s="55"/>
      <c r="D730" s="370" t="s">
        <v>6740</v>
      </c>
      <c r="E730" s="706" t="str">
        <f>VLOOKUP(D730,'03. Insumos'!A:D,2,0)</f>
        <v>Filtração Piscina - Equipamentos</v>
      </c>
      <c r="F730" s="68" t="s">
        <v>5218</v>
      </c>
      <c r="G730" s="68" t="str">
        <f>VLOOKUP(D730,'03. Insumos'!A:F,3,0)</f>
        <v>vb</v>
      </c>
      <c r="H730" s="69">
        <v>12488</v>
      </c>
      <c r="I730" s="69">
        <v>1</v>
      </c>
      <c r="J730" s="70">
        <f t="shared" ref="J730:J734" si="557">IFERROR(IF(K730&lt;&gt;0,K730*$K$5,0),0)</f>
        <v>1</v>
      </c>
      <c r="K730" s="70">
        <f>IF(A730=0,VLOOKUP(D730,'03. Insumos'!A:F,4,0),"")</f>
        <v>1</v>
      </c>
      <c r="L730" s="70">
        <f t="shared" ref="L730:L734" si="558">H730*J730*I730</f>
        <v>12488</v>
      </c>
      <c r="M730" s="153">
        <f t="shared" ca="1" si="555"/>
        <v>7.5825555522400479E-4</v>
      </c>
      <c r="O730" s="148"/>
      <c r="R730" s="356"/>
    </row>
    <row r="731" spans="1:18" s="59" customFormat="1" outlineLevel="1" x14ac:dyDescent="0.3">
      <c r="A731" s="13">
        <f>LEN(C731)</f>
        <v>0</v>
      </c>
      <c r="B731" s="55"/>
      <c r="C731" s="55"/>
      <c r="D731" s="370" t="s">
        <v>6741</v>
      </c>
      <c r="E731" s="706" t="str">
        <f>VLOOKUP(D731,'03. Insumos'!A:D,2,0)</f>
        <v>Iluminação - Equipamentos</v>
      </c>
      <c r="F731" s="68" t="s">
        <v>5218</v>
      </c>
      <c r="G731" s="68" t="str">
        <f>VLOOKUP(D731,'03. Insumos'!A:F,3,0)</f>
        <v>vb</v>
      </c>
      <c r="H731" s="69">
        <v>3042</v>
      </c>
      <c r="I731" s="69">
        <v>1</v>
      </c>
      <c r="J731" s="70">
        <f t="shared" si="557"/>
        <v>1</v>
      </c>
      <c r="K731" s="70">
        <f>IF(A731=0,VLOOKUP(D731,'03. Insumos'!A:F,4,0),"")</f>
        <v>1</v>
      </c>
      <c r="L731" s="70">
        <f t="shared" si="558"/>
        <v>3042</v>
      </c>
      <c r="M731" s="153">
        <f t="shared" ca="1" si="555"/>
        <v>1.8470639005376541E-4</v>
      </c>
      <c r="O731" s="148"/>
      <c r="R731" s="356"/>
    </row>
    <row r="732" spans="1:18" s="59" customFormat="1" hidden="1" outlineLevel="1" x14ac:dyDescent="0.3">
      <c r="A732" s="13">
        <f>LEN(C732)</f>
        <v>0</v>
      </c>
      <c r="B732" s="55"/>
      <c r="C732" s="55"/>
      <c r="D732" s="370" t="s">
        <v>6742</v>
      </c>
      <c r="E732" s="706" t="str">
        <f>VLOOKUP(D732,'03. Insumos'!A:D,2,0)</f>
        <v>Aquecimento - Equipamentos</v>
      </c>
      <c r="F732" s="68" t="s">
        <v>5218</v>
      </c>
      <c r="G732" s="68" t="str">
        <f>VLOOKUP(D732,'03. Insumos'!A:F,3,0)</f>
        <v>vb</v>
      </c>
      <c r="H732" s="69">
        <f>22340</f>
        <v>22340</v>
      </c>
      <c r="I732" s="69"/>
      <c r="J732" s="70">
        <f t="shared" si="557"/>
        <v>1</v>
      </c>
      <c r="K732" s="70">
        <f>IF(A732=0,VLOOKUP(D732,'03. Insumos'!A:F,4,0),"")</f>
        <v>1</v>
      </c>
      <c r="L732" s="70">
        <f t="shared" si="558"/>
        <v>0</v>
      </c>
      <c r="M732" s="153">
        <f t="shared" ca="1" si="555"/>
        <v>0</v>
      </c>
      <c r="O732" s="148"/>
      <c r="R732" s="356"/>
    </row>
    <row r="733" spans="1:18" s="59" customFormat="1" hidden="1" outlineLevel="1" x14ac:dyDescent="0.3">
      <c r="A733" s="13">
        <f t="shared" ref="A733" si="559">LEN(C733)</f>
        <v>0</v>
      </c>
      <c r="B733" s="55"/>
      <c r="C733" s="55"/>
      <c r="D733" s="370" t="s">
        <v>6743</v>
      </c>
      <c r="E733" s="706" t="str">
        <f>VLOOKUP(D733,'03. Insumos'!A:D,2,0)</f>
        <v>Sauna Vapor - Equipamentos</v>
      </c>
      <c r="F733" s="68" t="s">
        <v>5218</v>
      </c>
      <c r="G733" s="68" t="str">
        <f>VLOOKUP(D733,'03. Insumos'!A:F,3,0)</f>
        <v>vb</v>
      </c>
      <c r="H733" s="69"/>
      <c r="I733" s="69"/>
      <c r="J733" s="70">
        <f t="shared" si="557"/>
        <v>1</v>
      </c>
      <c r="K733" s="70">
        <f>IF(A733=0,VLOOKUP(D733,'03. Insumos'!A:F,4,0),"")</f>
        <v>1</v>
      </c>
      <c r="L733" s="70">
        <f t="shared" si="558"/>
        <v>0</v>
      </c>
      <c r="M733" s="153">
        <f t="shared" ca="1" si="555"/>
        <v>0</v>
      </c>
      <c r="O733" s="148"/>
      <c r="R733" s="356"/>
    </row>
    <row r="734" spans="1:18" s="59" customFormat="1" outlineLevel="1" x14ac:dyDescent="0.3">
      <c r="A734" s="13">
        <f>LEN(C734)</f>
        <v>0</v>
      </c>
      <c r="B734" s="55"/>
      <c r="C734" s="55"/>
      <c r="D734" s="370" t="s">
        <v>6744</v>
      </c>
      <c r="E734" s="706" t="str">
        <f>VLOOKUP(D734,'03. Insumos'!A:D,2,0)</f>
        <v>Mão de Obra para Instalação</v>
      </c>
      <c r="F734" s="68" t="s">
        <v>5218</v>
      </c>
      <c r="G734" s="68" t="str">
        <f>VLOOKUP(D734,'03. Insumos'!A:F,3,0)</f>
        <v>vb</v>
      </c>
      <c r="H734" s="69">
        <v>8000</v>
      </c>
      <c r="I734" s="69">
        <v>1</v>
      </c>
      <c r="J734" s="70">
        <f t="shared" si="557"/>
        <v>1</v>
      </c>
      <c r="K734" s="70">
        <f>IF(A734=0,VLOOKUP(D734,'03. Insumos'!A:F,4,0),"")</f>
        <v>1</v>
      </c>
      <c r="L734" s="70">
        <f t="shared" si="558"/>
        <v>8000</v>
      </c>
      <c r="M734" s="153">
        <f t="shared" ca="1" si="555"/>
        <v>4.8574987522357769E-4</v>
      </c>
      <c r="O734" s="148"/>
      <c r="R734" s="356"/>
    </row>
    <row r="735" spans="1:18" s="51" customFormat="1" outlineLevel="1" x14ac:dyDescent="0.3">
      <c r="A735" s="290">
        <f t="shared" ref="A735" si="560">LEN(C735)</f>
        <v>0</v>
      </c>
      <c r="B735" s="49"/>
      <c r="C735" s="49"/>
      <c r="D735" s="370" t="s">
        <v>6745</v>
      </c>
      <c r="E735" s="706" t="str">
        <f>VLOOKUP(D735,'03. Insumos'!A:D,2,0)</f>
        <v>Material para Instalação</v>
      </c>
      <c r="F735" s="68" t="s">
        <v>5218</v>
      </c>
      <c r="G735" s="68" t="str">
        <f>VLOOKUP(D735,'03. Insumos'!A:F,3,0)</f>
        <v>vb</v>
      </c>
      <c r="H735" s="69">
        <v>9779</v>
      </c>
      <c r="I735" s="483">
        <v>1</v>
      </c>
      <c r="J735" s="70">
        <f>IFERROR(IF(K735&lt;&gt;0,K735*$K$5,0),0)</f>
        <v>1</v>
      </c>
      <c r="K735" s="54">
        <f>IF(A735=0,VLOOKUP(D735,'03. Insumos'!A:F,4,0),"")</f>
        <v>1</v>
      </c>
      <c r="L735" s="485">
        <f>H735*J735*I735</f>
        <v>9779</v>
      </c>
      <c r="M735" s="153">
        <f t="shared" ca="1" si="555"/>
        <v>5.9376850372642076E-4</v>
      </c>
      <c r="O735" s="148">
        <f>IF(I735&lt;&gt;0,I735*H735*K735,)</f>
        <v>9779</v>
      </c>
      <c r="R735" s="12">
        <f t="shared" ref="R735" si="561">IF(J735&lt;&gt;0,J735/1.03-K735,0)</f>
        <v>-2.9126213592232997E-2</v>
      </c>
    </row>
    <row r="736" spans="1:18" s="592" customFormat="1" ht="13.5" customHeight="1" x14ac:dyDescent="0.3">
      <c r="A736" s="478">
        <f t="shared" si="337"/>
        <v>3</v>
      </c>
      <c r="B736" s="390"/>
      <c r="C736" s="390" t="s">
        <v>82</v>
      </c>
      <c r="D736" s="390" t="s">
        <v>3005</v>
      </c>
      <c r="E736" s="390"/>
      <c r="F736" s="323"/>
      <c r="G736" s="678"/>
      <c r="H736" s="324"/>
      <c r="I736" s="324"/>
      <c r="J736" s="333"/>
      <c r="K736" s="333"/>
      <c r="L736" s="333">
        <f>SUMIF(A737:A770,4,L737:L770)</f>
        <v>241413.07200000001</v>
      </c>
      <c r="M736" s="153">
        <f t="shared" ca="1" si="555"/>
        <v>1.4658296200167573E-2</v>
      </c>
      <c r="O736" s="499">
        <f t="shared" si="416"/>
        <v>0</v>
      </c>
      <c r="R736" s="348">
        <f>IF(J736&lt;&gt;0,J736/1.03-K736,0)</f>
        <v>0</v>
      </c>
    </row>
    <row r="737" spans="1:26" s="18" customFormat="1" ht="13.5" customHeight="1" outlineLevel="1" x14ac:dyDescent="0.3">
      <c r="A737" s="290">
        <f t="shared" si="337"/>
        <v>4</v>
      </c>
      <c r="B737" s="45"/>
      <c r="C737" s="45" t="s">
        <v>362</v>
      </c>
      <c r="D737" s="45" t="s">
        <v>2943</v>
      </c>
      <c r="E737" s="347"/>
      <c r="F737" s="327"/>
      <c r="G737" s="327"/>
      <c r="H737" s="328"/>
      <c r="I737" s="328"/>
      <c r="J737" s="335"/>
      <c r="K737" s="335" t="str">
        <f>IF(A737=0,VLOOKUP(D737,'03. Insumos'!A:F,4,0),"")</f>
        <v/>
      </c>
      <c r="L737" s="335">
        <f>SUMIF(A738:A770,6,L738:L770)</f>
        <v>241413.07200000001</v>
      </c>
      <c r="M737" s="153">
        <f t="shared" ca="1" si="555"/>
        <v>1.4658296200167573E-2</v>
      </c>
      <c r="O737" s="148">
        <f t="shared" si="416"/>
        <v>0</v>
      </c>
      <c r="R737" s="12">
        <f>IF(J737&lt;&gt;0,J737/1.03-K737,0)</f>
        <v>0</v>
      </c>
    </row>
    <row r="738" spans="1:26" s="18" customFormat="1" ht="13.5" customHeight="1" outlineLevel="1" x14ac:dyDescent="0.3">
      <c r="A738" s="18">
        <f t="shared" si="337"/>
        <v>6</v>
      </c>
      <c r="B738" s="606"/>
      <c r="C738" s="606" t="s">
        <v>277</v>
      </c>
      <c r="D738" s="606" t="s">
        <v>8794</v>
      </c>
      <c r="E738" s="391"/>
      <c r="F738" s="325"/>
      <c r="G738" s="325" t="s">
        <v>73</v>
      </c>
      <c r="H738" s="326">
        <f>SUM(I739:I748)</f>
        <v>3340.2</v>
      </c>
      <c r="I738" s="326"/>
      <c r="J738" s="831">
        <f>L738/H738</f>
        <v>39.644449434165622</v>
      </c>
      <c r="K738" s="607" t="str">
        <f>IF(A738=0,VLOOKUP(D738,'03. Insumos'!A:F,4,0),"")</f>
        <v/>
      </c>
      <c r="L738" s="334">
        <f>SUM(L739:L748)</f>
        <v>132420.39000000001</v>
      </c>
      <c r="M738" s="153">
        <f t="shared" ca="1" si="555"/>
        <v>8.0403984899446879E-3</v>
      </c>
      <c r="O738" s="600">
        <f t="shared" si="416"/>
        <v>0</v>
      </c>
      <c r="R738" s="601" t="e">
        <f>IF(J738&lt;&gt;0,J738/1.03-K738,0)</f>
        <v>#VALUE!</v>
      </c>
    </row>
    <row r="739" spans="1:26" s="823" customFormat="1" outlineLevel="1" x14ac:dyDescent="0.3">
      <c r="A739" s="351">
        <f t="shared" si="337"/>
        <v>0</v>
      </c>
      <c r="B739" s="822"/>
      <c r="C739" s="822"/>
      <c r="D739" s="748" t="s">
        <v>7393</v>
      </c>
      <c r="E739" s="668" t="s">
        <v>8805</v>
      </c>
      <c r="F739" s="669" t="s">
        <v>5218</v>
      </c>
      <c r="G739" s="669" t="str">
        <f>VLOOKUP(D739,'03. Insumos'!A:F,3,0)</f>
        <v>m²</v>
      </c>
      <c r="H739" s="631">
        <v>1</v>
      </c>
      <c r="I739" s="631">
        <v>413.82</v>
      </c>
      <c r="J739" s="632">
        <v>30</v>
      </c>
      <c r="K739" s="632">
        <f>IF(A739=0,VLOOKUP(D739,'03. Insumos'!A:F,4,0),"")</f>
        <v>90</v>
      </c>
      <c r="L739" s="632">
        <f t="shared" ref="L739:L748" si="562">H739*J739*I739</f>
        <v>12414.6</v>
      </c>
      <c r="M739" s="536">
        <f t="shared" ref="M739:M747" ca="1" si="563">L739/$L$7</f>
        <v>7.5379880011882847E-4</v>
      </c>
      <c r="O739" s="824"/>
      <c r="R739" s="825"/>
    </row>
    <row r="740" spans="1:26" s="59" customFormat="1" ht="13.5" customHeight="1" outlineLevel="1" x14ac:dyDescent="0.3">
      <c r="A740" s="13">
        <f t="shared" si="337"/>
        <v>0</v>
      </c>
      <c r="B740" s="55"/>
      <c r="C740" s="55"/>
      <c r="D740" s="370" t="s">
        <v>6753</v>
      </c>
      <c r="E740" s="706" t="s">
        <v>8806</v>
      </c>
      <c r="F740" s="68" t="s">
        <v>5218</v>
      </c>
      <c r="G740" s="68" t="str">
        <f>VLOOKUP(D740,'03. Insumos'!A:F,3,0)</f>
        <v>m²</v>
      </c>
      <c r="H740" s="69">
        <v>1</v>
      </c>
      <c r="I740" s="69">
        <v>704.11</v>
      </c>
      <c r="J740" s="70">
        <v>35</v>
      </c>
      <c r="K740" s="70">
        <f>IF(A740=0,VLOOKUP(D740,'03. Insumos'!A:F,4,0),"")</f>
        <v>6</v>
      </c>
      <c r="L740" s="70">
        <f t="shared" si="562"/>
        <v>24643.850000000002</v>
      </c>
      <c r="M740" s="153">
        <f t="shared" ref="M740" ca="1" si="564">L740/$L$7</f>
        <v>1.4963433828160707E-3</v>
      </c>
      <c r="O740" s="148"/>
      <c r="R740" s="356"/>
    </row>
    <row r="741" spans="1:26" s="59" customFormat="1" ht="13.5" customHeight="1" outlineLevel="1" x14ac:dyDescent="0.3">
      <c r="A741" s="13">
        <f t="shared" ref="A741:A744" si="565">LEN(C741)</f>
        <v>0</v>
      </c>
      <c r="B741" s="55"/>
      <c r="C741" s="55"/>
      <c r="D741" s="370" t="s">
        <v>6753</v>
      </c>
      <c r="E741" s="706" t="s">
        <v>8807</v>
      </c>
      <c r="F741" s="68" t="s">
        <v>5218</v>
      </c>
      <c r="G741" s="68" t="str">
        <f>VLOOKUP(D741,'03. Insumos'!A:F,3,0)</f>
        <v>m²</v>
      </c>
      <c r="H741" s="69">
        <v>1</v>
      </c>
      <c r="I741" s="69">
        <v>117.99</v>
      </c>
      <c r="J741" s="70">
        <v>30</v>
      </c>
      <c r="K741" s="70">
        <f>IF(A741=0,VLOOKUP(D741,'03. Insumos'!A:F,4,0),"")</f>
        <v>6</v>
      </c>
      <c r="L741" s="70">
        <f t="shared" si="562"/>
        <v>3539.7</v>
      </c>
      <c r="M741" s="153">
        <f t="shared" ca="1" si="563"/>
        <v>2.1492610416611223E-4</v>
      </c>
      <c r="O741" s="148"/>
      <c r="R741" s="356"/>
    </row>
    <row r="742" spans="1:26" s="823" customFormat="1" ht="24" outlineLevel="1" x14ac:dyDescent="0.3">
      <c r="A742" s="351">
        <f t="shared" si="565"/>
        <v>0</v>
      </c>
      <c r="B742" s="822"/>
      <c r="C742" s="822"/>
      <c r="D742" s="748" t="s">
        <v>6753</v>
      </c>
      <c r="E742" s="668" t="s">
        <v>8808</v>
      </c>
      <c r="F742" s="669" t="s">
        <v>5218</v>
      </c>
      <c r="G742" s="669" t="str">
        <f>VLOOKUP(D742,'03. Insumos'!A:F,3,0)</f>
        <v>m²</v>
      </c>
      <c r="H742" s="631">
        <v>1</v>
      </c>
      <c r="I742" s="631">
        <v>305.86</v>
      </c>
      <c r="J742" s="632">
        <v>35</v>
      </c>
      <c r="K742" s="632">
        <f>IF(A742=0,VLOOKUP(D742,'03. Insumos'!A:F,4,0),"")</f>
        <v>6</v>
      </c>
      <c r="L742" s="632">
        <f t="shared" si="562"/>
        <v>10705.1</v>
      </c>
      <c r="M742" s="536">
        <f t="shared" ca="1" si="563"/>
        <v>6.5000012365699022E-4</v>
      </c>
      <c r="O742" s="824"/>
      <c r="R742" s="825"/>
    </row>
    <row r="743" spans="1:26" s="59" customFormat="1" ht="13.5" customHeight="1" outlineLevel="1" x14ac:dyDescent="0.3">
      <c r="A743" s="13">
        <f t="shared" si="565"/>
        <v>0</v>
      </c>
      <c r="B743" s="55"/>
      <c r="C743" s="55"/>
      <c r="D743" s="370" t="s">
        <v>6753</v>
      </c>
      <c r="E743" s="706" t="s">
        <v>8809</v>
      </c>
      <c r="F743" s="68" t="s">
        <v>5218</v>
      </c>
      <c r="G743" s="68" t="str">
        <f>VLOOKUP(D743,'03. Insumos'!A:F,3,0)</f>
        <v>m²</v>
      </c>
      <c r="H743" s="69">
        <v>1</v>
      </c>
      <c r="I743" s="69">
        <v>145.34</v>
      </c>
      <c r="J743" s="70">
        <v>42</v>
      </c>
      <c r="K743" s="70">
        <f>IF(A743=0,VLOOKUP(D743,'03. Insumos'!A:F,4,0),"")</f>
        <v>6</v>
      </c>
      <c r="L743" s="70">
        <f t="shared" si="562"/>
        <v>6104.28</v>
      </c>
      <c r="M743" s="153">
        <f t="shared" ref="M743:M744" ca="1" si="566">L743/$L$7</f>
        <v>3.7064415604122258E-4</v>
      </c>
      <c r="O743" s="148"/>
      <c r="R743" s="356"/>
    </row>
    <row r="744" spans="1:26" s="59" customFormat="1" ht="13.5" customHeight="1" outlineLevel="1" x14ac:dyDescent="0.3">
      <c r="A744" s="13">
        <f t="shared" si="565"/>
        <v>0</v>
      </c>
      <c r="B744" s="55"/>
      <c r="C744" s="55"/>
      <c r="D744" s="370" t="s">
        <v>6753</v>
      </c>
      <c r="E744" s="706" t="s">
        <v>8811</v>
      </c>
      <c r="F744" s="68" t="s">
        <v>5218</v>
      </c>
      <c r="G744" s="68" t="str">
        <f>VLOOKUP(D744,'03. Insumos'!A:F,3,0)</f>
        <v>m²</v>
      </c>
      <c r="H744" s="69">
        <v>1</v>
      </c>
      <c r="I744" s="69">
        <v>385.25</v>
      </c>
      <c r="J744" s="70">
        <v>30</v>
      </c>
      <c r="K744" s="70">
        <f>IF(A744=0,VLOOKUP(D744,'03. Insumos'!A:F,4,0),"")</f>
        <v>6</v>
      </c>
      <c r="L744" s="70">
        <f t="shared" si="562"/>
        <v>11557.5</v>
      </c>
      <c r="M744" s="153">
        <f t="shared" ca="1" si="566"/>
        <v>7.0175677286206243E-4</v>
      </c>
      <c r="O744" s="148"/>
      <c r="R744" s="356"/>
    </row>
    <row r="745" spans="1:26" s="59" customFormat="1" ht="13.5" customHeight="1" outlineLevel="1" x14ac:dyDescent="0.3">
      <c r="A745" s="13">
        <f t="shared" si="337"/>
        <v>0</v>
      </c>
      <c r="B745" s="55"/>
      <c r="C745" s="55"/>
      <c r="D745" s="370" t="s">
        <v>6753</v>
      </c>
      <c r="E745" s="706" t="s">
        <v>8812</v>
      </c>
      <c r="F745" s="68" t="s">
        <v>5218</v>
      </c>
      <c r="G745" s="68" t="str">
        <f>VLOOKUP(D745,'03. Insumos'!A:F,3,0)</f>
        <v>m²</v>
      </c>
      <c r="H745" s="69">
        <v>1</v>
      </c>
      <c r="I745" s="69">
        <v>64.069999999999993</v>
      </c>
      <c r="J745" s="70">
        <v>35</v>
      </c>
      <c r="K745" s="70">
        <f>IF(A745=0,VLOOKUP(D745,'03. Insumos'!A:F,4,0),"")</f>
        <v>6</v>
      </c>
      <c r="L745" s="70">
        <f t="shared" si="562"/>
        <v>2242.4499999999998</v>
      </c>
      <c r="M745" s="153">
        <f t="shared" ref="M745:M746" ca="1" si="567">L745/$L$7</f>
        <v>1.3615872596188896E-4</v>
      </c>
      <c r="O745" s="148"/>
      <c r="R745" s="356"/>
    </row>
    <row r="746" spans="1:26" s="59" customFormat="1" ht="13.5" customHeight="1" outlineLevel="1" x14ac:dyDescent="0.3">
      <c r="A746" s="13">
        <f t="shared" ref="A746" si="568">LEN(C746)</f>
        <v>0</v>
      </c>
      <c r="B746" s="55"/>
      <c r="C746" s="55"/>
      <c r="D746" s="370" t="s">
        <v>6753</v>
      </c>
      <c r="E746" s="706" t="s">
        <v>8813</v>
      </c>
      <c r="F746" s="68" t="s">
        <v>5218</v>
      </c>
      <c r="G746" s="68" t="str">
        <f>VLOOKUP(D746,'03. Insumos'!A:F,3,0)</f>
        <v>m²</v>
      </c>
      <c r="H746" s="69">
        <v>1</v>
      </c>
      <c r="I746" s="69">
        <v>81.33</v>
      </c>
      <c r="J746" s="70">
        <v>35</v>
      </c>
      <c r="K746" s="70">
        <f>IF(A746=0,VLOOKUP(D746,'03. Insumos'!A:F,4,0),"")</f>
        <v>6</v>
      </c>
      <c r="L746" s="70">
        <f t="shared" si="562"/>
        <v>2846.5499999999997</v>
      </c>
      <c r="M746" s="153">
        <f t="shared" ca="1" si="567"/>
        <v>1.7283891341470938E-4</v>
      </c>
      <c r="O746" s="148"/>
      <c r="R746" s="356"/>
    </row>
    <row r="747" spans="1:26" s="823" customFormat="1" ht="24" outlineLevel="1" x14ac:dyDescent="0.3">
      <c r="A747" s="351">
        <f t="shared" ref="A747" si="569">LEN(C747)</f>
        <v>0</v>
      </c>
      <c r="B747" s="822"/>
      <c r="C747" s="822"/>
      <c r="D747" s="748" t="s">
        <v>6753</v>
      </c>
      <c r="E747" s="668" t="s">
        <v>8814</v>
      </c>
      <c r="F747" s="669" t="s">
        <v>5218</v>
      </c>
      <c r="G747" s="669" t="str">
        <f>VLOOKUP(D747,'03. Insumos'!A:F,3,0)</f>
        <v>m²</v>
      </c>
      <c r="H747" s="631">
        <v>1</v>
      </c>
      <c r="I747" s="631">
        <v>423</v>
      </c>
      <c r="J747" s="632">
        <v>52</v>
      </c>
      <c r="K747" s="632">
        <f>IF(A747=0,VLOOKUP(D747,'03. Insumos'!A:F,4,0),"")</f>
        <v>6</v>
      </c>
      <c r="L747" s="632">
        <f t="shared" si="562"/>
        <v>21996</v>
      </c>
      <c r="M747" s="536">
        <f t="shared" ca="1" si="563"/>
        <v>1.3355692819272268E-3</v>
      </c>
      <c r="O747" s="824"/>
      <c r="R747" s="825"/>
    </row>
    <row r="748" spans="1:26" s="823" customFormat="1" ht="24" outlineLevel="1" x14ac:dyDescent="0.3">
      <c r="A748" s="351">
        <f t="shared" si="337"/>
        <v>0</v>
      </c>
      <c r="B748" s="822"/>
      <c r="C748" s="822"/>
      <c r="D748" s="748" t="s">
        <v>6753</v>
      </c>
      <c r="E748" s="668" t="s">
        <v>8810</v>
      </c>
      <c r="F748" s="669" t="s">
        <v>5218</v>
      </c>
      <c r="G748" s="669" t="str">
        <f>VLOOKUP(D748,'03. Insumos'!A:F,3,0)</f>
        <v>m²</v>
      </c>
      <c r="H748" s="631">
        <v>1</v>
      </c>
      <c r="I748" s="631">
        <v>699.43</v>
      </c>
      <c r="J748" s="632">
        <v>52</v>
      </c>
      <c r="K748" s="632">
        <f>IF(A748=0,VLOOKUP(D748,'03. Insumos'!A:F,4,0),"")</f>
        <v>6</v>
      </c>
      <c r="L748" s="632">
        <f t="shared" si="562"/>
        <v>36370.36</v>
      </c>
      <c r="M748" s="536">
        <f t="shared" ca="1" si="555"/>
        <v>2.2083622289795751E-3</v>
      </c>
      <c r="O748" s="824"/>
      <c r="R748" s="825"/>
    </row>
    <row r="749" spans="1:26" customFormat="1" ht="13.5" customHeight="1" outlineLevel="1" x14ac:dyDescent="0.3">
      <c r="A749" s="726">
        <f t="shared" ref="A749:A819" si="570">LEN(C749)</f>
        <v>6</v>
      </c>
      <c r="B749" s="648"/>
      <c r="C749" s="648" t="s">
        <v>363</v>
      </c>
      <c r="D749" s="648" t="s">
        <v>8795</v>
      </c>
      <c r="E749" s="648"/>
      <c r="F749" s="727"/>
      <c r="G749" s="727" t="s">
        <v>29</v>
      </c>
      <c r="H749" s="728">
        <v>1</v>
      </c>
      <c r="I749" s="729"/>
      <c r="J749" s="831">
        <f>L749/H749</f>
        <v>75792.282000000007</v>
      </c>
      <c r="K749" s="730" t="s">
        <v>2787</v>
      </c>
      <c r="L749" s="730">
        <f>SUMIF(A750:A756,0,L750:L756)</f>
        <v>75792.282000000007</v>
      </c>
      <c r="M749" s="153">
        <f t="shared" ca="1" si="555"/>
        <v>4.6020114405512774E-3</v>
      </c>
      <c r="N749" s="732"/>
      <c r="O749" s="733">
        <f>IF(I749&lt;&gt;0,I749*H749*K749,)</f>
        <v>0</v>
      </c>
      <c r="P749" s="732"/>
      <c r="Q749" s="732"/>
      <c r="R749" s="734" t="e">
        <f>IF(J749&lt;&gt;0,J749/1.03-K749,0)</f>
        <v>#VALUE!</v>
      </c>
      <c r="S749" s="732"/>
      <c r="T749" s="732"/>
      <c r="U749" s="732"/>
      <c r="V749" s="732"/>
      <c r="W749" s="732"/>
      <c r="X749" s="732"/>
      <c r="Y749" s="732"/>
      <c r="Z749" s="732"/>
    </row>
    <row r="750" spans="1:26" s="352" customFormat="1" ht="14.4" outlineLevel="1" x14ac:dyDescent="0.3">
      <c r="A750" s="931">
        <f t="shared" ref="A750:A755" si="571">LEN(C750)</f>
        <v>0</v>
      </c>
      <c r="B750" s="932"/>
      <c r="C750" s="932"/>
      <c r="D750" s="748" t="s">
        <v>6749</v>
      </c>
      <c r="E750" s="668" t="s">
        <v>8798</v>
      </c>
      <c r="F750" s="669" t="s">
        <v>5218</v>
      </c>
      <c r="G750" s="669" t="s">
        <v>8796</v>
      </c>
      <c r="H750" s="933">
        <v>1</v>
      </c>
      <c r="I750" s="934">
        <v>126</v>
      </c>
      <c r="J750" s="935">
        <v>33.32</v>
      </c>
      <c r="K750" s="632">
        <f>IF(A750=0,VLOOKUP(D750,'03. Insumos'!A:F,4,0),"")</f>
        <v>25</v>
      </c>
      <c r="L750" s="936">
        <f t="shared" ref="L750:L755" si="572">H750*J750*I750</f>
        <v>4198.32</v>
      </c>
      <c r="M750" s="536">
        <f t="shared" ca="1" si="555"/>
        <v>2.5491667701858133E-4</v>
      </c>
      <c r="N750" s="931"/>
      <c r="O750" s="937"/>
      <c r="P750" s="931"/>
      <c r="Q750" s="931"/>
      <c r="R750" s="938"/>
      <c r="S750" s="931"/>
      <c r="T750" s="931"/>
      <c r="U750" s="931"/>
      <c r="V750" s="931"/>
      <c r="W750" s="931"/>
      <c r="X750" s="931"/>
      <c r="Y750" s="931"/>
      <c r="Z750" s="931"/>
    </row>
    <row r="751" spans="1:26" s="352" customFormat="1" ht="14.4" outlineLevel="1" x14ac:dyDescent="0.3">
      <c r="A751" s="931">
        <f t="shared" ref="A751:A753" si="573">LEN(C751)</f>
        <v>0</v>
      </c>
      <c r="B751" s="932"/>
      <c r="C751" s="932"/>
      <c r="D751" s="748" t="s">
        <v>6750</v>
      </c>
      <c r="E751" s="668" t="s">
        <v>8799</v>
      </c>
      <c r="F751" s="669" t="s">
        <v>5218</v>
      </c>
      <c r="G751" s="669" t="s">
        <v>8797</v>
      </c>
      <c r="H751" s="933">
        <v>1</v>
      </c>
      <c r="I751" s="934">
        <v>60</v>
      </c>
      <c r="J751" s="935">
        <v>191.69</v>
      </c>
      <c r="K751" s="632">
        <f>IF(A751=0,VLOOKUP(D751,'03. Insumos'!A:F,4,0),"")</f>
        <v>143</v>
      </c>
      <c r="L751" s="936">
        <f t="shared" ref="L751:L753" si="574">H751*J751*I751</f>
        <v>11501.4</v>
      </c>
      <c r="M751" s="536">
        <f t="shared" ref="M751:M753" ca="1" si="575">L751/$L$7</f>
        <v>6.9835045186205703E-4</v>
      </c>
      <c r="N751" s="931"/>
      <c r="O751" s="937"/>
      <c r="P751" s="931"/>
      <c r="Q751" s="931"/>
      <c r="R751" s="938"/>
      <c r="S751" s="931"/>
      <c r="T751" s="931"/>
      <c r="U751" s="931"/>
      <c r="V751" s="931"/>
      <c r="W751" s="931"/>
      <c r="X751" s="931"/>
      <c r="Y751" s="931"/>
      <c r="Z751" s="931"/>
    </row>
    <row r="752" spans="1:26" s="352" customFormat="1" ht="14.4" outlineLevel="1" x14ac:dyDescent="0.3">
      <c r="A752" s="931">
        <f t="shared" si="573"/>
        <v>0</v>
      </c>
      <c r="B752" s="932"/>
      <c r="C752" s="932"/>
      <c r="D752" s="748" t="s">
        <v>6751</v>
      </c>
      <c r="E752" s="668" t="s">
        <v>8800</v>
      </c>
      <c r="F752" s="669" t="s">
        <v>5218</v>
      </c>
      <c r="G752" s="669" t="s">
        <v>8797</v>
      </c>
      <c r="H752" s="933">
        <v>1</v>
      </c>
      <c r="I752" s="934">
        <v>29</v>
      </c>
      <c r="J752" s="935">
        <v>107.96</v>
      </c>
      <c r="K752" s="632">
        <f>IF(A752=0,VLOOKUP(D752,'03. Insumos'!A:F,4,0),"")</f>
        <v>18</v>
      </c>
      <c r="L752" s="936">
        <f t="shared" si="574"/>
        <v>3130.8399999999997</v>
      </c>
      <c r="M752" s="536">
        <f t="shared" ca="1" si="575"/>
        <v>1.9010064241812321E-4</v>
      </c>
      <c r="N752" s="931"/>
      <c r="O752" s="937"/>
      <c r="P752" s="931"/>
      <c r="Q752" s="931"/>
      <c r="R752" s="938"/>
      <c r="S752" s="931"/>
      <c r="T752" s="931"/>
      <c r="U752" s="931"/>
      <c r="V752" s="931"/>
      <c r="W752" s="931"/>
      <c r="X752" s="931"/>
      <c r="Y752" s="931"/>
      <c r="Z752" s="931"/>
    </row>
    <row r="753" spans="1:26" customFormat="1" ht="14.4" outlineLevel="1" x14ac:dyDescent="0.3">
      <c r="A753" s="739">
        <f t="shared" si="573"/>
        <v>0</v>
      </c>
      <c r="B753" s="735"/>
      <c r="C753" s="735"/>
      <c r="D753" s="370" t="s">
        <v>2272</v>
      </c>
      <c r="E753" s="668" t="s">
        <v>8801</v>
      </c>
      <c r="F753" s="68" t="s">
        <v>5218</v>
      </c>
      <c r="G753" s="68" t="s">
        <v>8796</v>
      </c>
      <c r="H753" s="736">
        <v>1</v>
      </c>
      <c r="I753" s="627">
        <v>14</v>
      </c>
      <c r="J753" s="929">
        <v>199.27</v>
      </c>
      <c r="K753" s="70">
        <f>IF(A753=0,VLOOKUP(D753,'03. Insumos'!A:F,4,0),"")</f>
        <v>23</v>
      </c>
      <c r="L753" s="737">
        <f t="shared" si="574"/>
        <v>2789.78</v>
      </c>
      <c r="M753" s="153">
        <f t="shared" ca="1" si="575"/>
        <v>1.6939191086265409E-4</v>
      </c>
      <c r="N753" s="739"/>
      <c r="O753" s="740"/>
      <c r="P753" s="739"/>
      <c r="Q753" s="739"/>
      <c r="R753" s="741"/>
      <c r="S753" s="739"/>
      <c r="T753" s="739"/>
      <c r="U753" s="739"/>
      <c r="V753" s="739"/>
      <c r="W753" s="739"/>
      <c r="X753" s="739"/>
      <c r="Y753" s="739"/>
      <c r="Z753" s="739"/>
    </row>
    <row r="754" spans="1:26" s="352" customFormat="1" ht="14.4" outlineLevel="1" x14ac:dyDescent="0.3">
      <c r="A754" s="931">
        <f t="shared" si="571"/>
        <v>0</v>
      </c>
      <c r="B754" s="932"/>
      <c r="C754" s="932"/>
      <c r="D754" s="748" t="s">
        <v>6750</v>
      </c>
      <c r="E754" s="668" t="s">
        <v>8802</v>
      </c>
      <c r="F754" s="669" t="s">
        <v>5218</v>
      </c>
      <c r="G754" s="669" t="s">
        <v>2051</v>
      </c>
      <c r="H754" s="933">
        <v>1</v>
      </c>
      <c r="I754" s="934">
        <v>3</v>
      </c>
      <c r="J754" s="935">
        <v>410.75</v>
      </c>
      <c r="K754" s="632">
        <f>IF(A754=0,VLOOKUP(D754,'03. Insumos'!A:F,4,0),"")</f>
        <v>143</v>
      </c>
      <c r="L754" s="936">
        <f t="shared" si="572"/>
        <v>1232.25</v>
      </c>
      <c r="M754" s="536">
        <f t="shared" ca="1" si="555"/>
        <v>7.4820660468031698E-5</v>
      </c>
      <c r="N754" s="931"/>
      <c r="O754" s="937"/>
      <c r="P754" s="931"/>
      <c r="Q754" s="931"/>
      <c r="R754" s="938"/>
      <c r="S754" s="931"/>
      <c r="T754" s="931"/>
      <c r="U754" s="931"/>
      <c r="V754" s="931"/>
      <c r="W754" s="931"/>
      <c r="X754" s="931"/>
      <c r="Y754" s="931"/>
      <c r="Z754" s="931"/>
    </row>
    <row r="755" spans="1:26" s="352" customFormat="1" ht="14.4" outlineLevel="1" x14ac:dyDescent="0.3">
      <c r="A755" s="931">
        <f t="shared" si="571"/>
        <v>0</v>
      </c>
      <c r="B755" s="932"/>
      <c r="C755" s="932"/>
      <c r="D755" s="748" t="s">
        <v>6751</v>
      </c>
      <c r="E755" s="668" t="s">
        <v>8803</v>
      </c>
      <c r="F755" s="669" t="s">
        <v>5218</v>
      </c>
      <c r="G755" s="669" t="s">
        <v>2051</v>
      </c>
      <c r="H755" s="933">
        <v>1</v>
      </c>
      <c r="I755" s="934">
        <v>49</v>
      </c>
      <c r="J755" s="935">
        <v>407.22840000000002</v>
      </c>
      <c r="K755" s="632">
        <f>IF(A755=0,VLOOKUP(D755,'03. Insumos'!A:F,4,0),"")</f>
        <v>18</v>
      </c>
      <c r="L755" s="936">
        <f t="shared" si="572"/>
        <v>19954.191600000002</v>
      </c>
      <c r="M755" s="536">
        <f t="shared" ca="1" si="555"/>
        <v>1.2115932599859203E-3</v>
      </c>
      <c r="N755" s="931"/>
      <c r="O755" s="937"/>
      <c r="P755" s="931"/>
      <c r="Q755" s="931"/>
      <c r="R755" s="938"/>
      <c r="S755" s="931"/>
      <c r="T755" s="931"/>
      <c r="U755" s="931"/>
      <c r="V755" s="931"/>
      <c r="W755" s="931"/>
      <c r="X755" s="931"/>
      <c r="Y755" s="931"/>
      <c r="Z755" s="931"/>
    </row>
    <row r="756" spans="1:26" customFormat="1" ht="14.4" outlineLevel="1" x14ac:dyDescent="0.3">
      <c r="A756" s="739">
        <f t="shared" si="570"/>
        <v>0</v>
      </c>
      <c r="B756" s="735"/>
      <c r="C756" s="735"/>
      <c r="D756" s="370" t="s">
        <v>2272</v>
      </c>
      <c r="E756" s="668" t="s">
        <v>8804</v>
      </c>
      <c r="F756" s="68" t="s">
        <v>5218</v>
      </c>
      <c r="G756" s="68" t="s">
        <v>2051</v>
      </c>
      <c r="H756" s="736">
        <v>1</v>
      </c>
      <c r="I756" s="627">
        <v>81</v>
      </c>
      <c r="J756" s="935">
        <v>407.22840000000002</v>
      </c>
      <c r="K756" s="70">
        <f>IF(A756=0,VLOOKUP(D756,'03. Insumos'!A:F,4,0),"")</f>
        <v>23</v>
      </c>
      <c r="L756" s="737">
        <f t="shared" ref="L756" si="576">H756*J756*I756</f>
        <v>32985.500400000004</v>
      </c>
      <c r="M756" s="153">
        <f t="shared" ca="1" si="555"/>
        <v>2.0028378379359094E-3</v>
      </c>
      <c r="N756" s="739"/>
      <c r="O756" s="740"/>
      <c r="P756" s="739"/>
      <c r="Q756" s="739"/>
      <c r="R756" s="741"/>
      <c r="S756" s="739"/>
      <c r="T756" s="739"/>
      <c r="U756" s="739"/>
      <c r="V756" s="739"/>
      <c r="W756" s="739"/>
      <c r="X756" s="739"/>
      <c r="Y756" s="739"/>
      <c r="Z756" s="739"/>
    </row>
    <row r="757" spans="1:26" s="18" customFormat="1" ht="13.5" hidden="1" customHeight="1" outlineLevel="1" x14ac:dyDescent="0.3">
      <c r="A757" s="18">
        <f>LEN(C757)</f>
        <v>6</v>
      </c>
      <c r="B757" s="606"/>
      <c r="C757" s="606" t="s">
        <v>1341</v>
      </c>
      <c r="D757" s="606" t="s">
        <v>6893</v>
      </c>
      <c r="E757" s="391"/>
      <c r="F757" s="325"/>
      <c r="G757" s="325" t="s">
        <v>73</v>
      </c>
      <c r="H757" s="326"/>
      <c r="I757" s="326"/>
      <c r="J757" s="831" t="e">
        <f>L757/H757</f>
        <v>#DIV/0!</v>
      </c>
      <c r="K757" s="607" t="str">
        <f>IF(A757=0,VLOOKUP(D757,'03. Insumos'!A:F,4,0),"")</f>
        <v/>
      </c>
      <c r="L757" s="334">
        <f>SUM(L758:L759)</f>
        <v>0</v>
      </c>
      <c r="M757" s="153">
        <f t="shared" ca="1" si="555"/>
        <v>0</v>
      </c>
      <c r="O757" s="600">
        <f>IF(I757&lt;&gt;0,I757*H757*K757,)</f>
        <v>0</v>
      </c>
      <c r="R757" s="601" t="e">
        <f>IF(J757&lt;&gt;0,J757/1.03-K757,0)</f>
        <v>#DIV/0!</v>
      </c>
    </row>
    <row r="758" spans="1:26" customFormat="1" ht="12.75" hidden="1" customHeight="1" outlineLevel="1" x14ac:dyDescent="0.3">
      <c r="A758" s="726">
        <f t="shared" ref="A758" si="577">LEN(C758)</f>
        <v>0</v>
      </c>
      <c r="B758" s="735"/>
      <c r="C758" s="735"/>
      <c r="D758" s="370" t="s">
        <v>6815</v>
      </c>
      <c r="E758" s="67" t="str">
        <f>VLOOKUP(D758,'03. Insumos'!A:D,2,0)</f>
        <v>Preparo de Superfície</v>
      </c>
      <c r="F758" s="68" t="s">
        <v>5218</v>
      </c>
      <c r="G758" s="68" t="str">
        <f>VLOOKUP(D758,'03. Insumos'!A:F,3,0)</f>
        <v>m²</v>
      </c>
      <c r="H758" s="736">
        <v>1</v>
      </c>
      <c r="I758" s="627">
        <f>$H$757</f>
        <v>0</v>
      </c>
      <c r="J758" s="737">
        <f t="shared" ref="J758" si="578">IFERROR(IF(K758&lt;&gt;0,K758*$K$5,0),0)</f>
        <v>30</v>
      </c>
      <c r="K758" s="70">
        <f>IF(A758=0,VLOOKUP(D758,'03. Insumos'!A:F,4,0),"")</f>
        <v>30</v>
      </c>
      <c r="L758" s="737">
        <f t="shared" ref="L758" si="579">H758*J758*I758</f>
        <v>0</v>
      </c>
      <c r="M758" s="153">
        <f t="shared" ca="1" si="555"/>
        <v>0</v>
      </c>
      <c r="N758" s="739"/>
      <c r="O758" s="740"/>
      <c r="P758" s="739"/>
      <c r="Q758" s="739"/>
      <c r="R758" s="741"/>
      <c r="S758" s="739"/>
      <c r="T758" s="739"/>
      <c r="U758" s="739"/>
      <c r="V758" s="739"/>
      <c r="W758" s="739"/>
      <c r="X758" s="739"/>
      <c r="Y758" s="739"/>
      <c r="Z758" s="739"/>
    </row>
    <row r="759" spans="1:26" s="59" customFormat="1" ht="13.5" hidden="1" customHeight="1" outlineLevel="1" x14ac:dyDescent="0.3">
      <c r="A759" s="13">
        <f>LEN(C759)</f>
        <v>0</v>
      </c>
      <c r="B759" s="55"/>
      <c r="C759" s="55"/>
      <c r="D759" s="370" t="s">
        <v>6469</v>
      </c>
      <c r="E759" s="67" t="str">
        <f>VLOOKUP(D759,'03. Insumos'!A:D,2,0)</f>
        <v>Impermeabilização com Epoxi - Material Mão de Obra</v>
      </c>
      <c r="F759" s="68" t="s">
        <v>5218</v>
      </c>
      <c r="G759" s="68" t="str">
        <f>VLOOKUP(D759,'03. Insumos'!A:F,3,0)</f>
        <v>m²</v>
      </c>
      <c r="H759" s="69">
        <v>1</v>
      </c>
      <c r="I759" s="69">
        <f>H757</f>
        <v>0</v>
      </c>
      <c r="J759" s="70">
        <f>IFERROR(IF(K759&lt;&gt;0,K759*$K$5,0),0)</f>
        <v>95</v>
      </c>
      <c r="K759" s="70">
        <f>IF(A759=0,VLOOKUP(D759,'03. Insumos'!A:F,4,0),"")</f>
        <v>95</v>
      </c>
      <c r="L759" s="70">
        <f>H759*J759*I759</f>
        <v>0</v>
      </c>
      <c r="M759" s="153">
        <f t="shared" ca="1" si="555"/>
        <v>0</v>
      </c>
      <c r="O759" s="148"/>
      <c r="R759" s="356"/>
    </row>
    <row r="760" spans="1:26" customFormat="1" ht="13.5" hidden="1" customHeight="1" outlineLevel="1" x14ac:dyDescent="0.3">
      <c r="A760" s="726">
        <f t="shared" ref="A760:A763" si="580">LEN(C760)</f>
        <v>6</v>
      </c>
      <c r="B760" s="648"/>
      <c r="C760" s="648" t="s">
        <v>1398</v>
      </c>
      <c r="D760" s="648" t="s">
        <v>7272</v>
      </c>
      <c r="E760" s="648"/>
      <c r="F760" s="727"/>
      <c r="G760" s="727" t="s">
        <v>73</v>
      </c>
      <c r="H760" s="728"/>
      <c r="I760" s="729"/>
      <c r="J760" s="831" t="e">
        <f>L760/H760</f>
        <v>#DIV/0!</v>
      </c>
      <c r="K760" s="730" t="s">
        <v>2787</v>
      </c>
      <c r="L760" s="730">
        <f>SUMIF(A761:A763,0,L761:L763)</f>
        <v>0</v>
      </c>
      <c r="M760" s="153">
        <f t="shared" ref="M760:M763" ca="1" si="581">L760/$L$7</f>
        <v>0</v>
      </c>
      <c r="N760" s="732"/>
      <c r="O760" s="733">
        <f>IF(I760&lt;&gt;0,I760*H760*K760,)</f>
        <v>0</v>
      </c>
      <c r="P760" s="732"/>
      <c r="Q760" s="732"/>
      <c r="R760" s="734" t="e">
        <f>IF(J760&lt;&gt;0,J760/1.03-K760,0)</f>
        <v>#DIV/0!</v>
      </c>
      <c r="S760" s="732"/>
      <c r="T760" s="732"/>
      <c r="U760" s="732"/>
      <c r="V760" s="732"/>
      <c r="W760" s="732"/>
      <c r="X760" s="732"/>
      <c r="Y760" s="732"/>
      <c r="Z760" s="732"/>
    </row>
    <row r="761" spans="1:26" customFormat="1" ht="12.75" hidden="1" customHeight="1" outlineLevel="1" x14ac:dyDescent="0.3">
      <c r="A761" s="726">
        <f t="shared" si="580"/>
        <v>0</v>
      </c>
      <c r="B761" s="735"/>
      <c r="C761" s="735"/>
      <c r="D761" s="370" t="s">
        <v>6815</v>
      </c>
      <c r="E761" s="67" t="str">
        <f>VLOOKUP(D761,'03. Insumos'!A:D,2,0)</f>
        <v>Preparo de Superfície</v>
      </c>
      <c r="F761" s="68" t="s">
        <v>5218</v>
      </c>
      <c r="G761" s="68" t="str">
        <f>VLOOKUP(D761,'03. Insumos'!A:F,3,0)</f>
        <v>m²</v>
      </c>
      <c r="H761" s="736">
        <v>1</v>
      </c>
      <c r="I761" s="627">
        <f>$H$760</f>
        <v>0</v>
      </c>
      <c r="J761" s="737">
        <f t="shared" ref="J761:J763" si="582">IFERROR(IF(K761&lt;&gt;0,K761*$K$5,0),0)</f>
        <v>30</v>
      </c>
      <c r="K761" s="70">
        <f>IF(A761=0,VLOOKUP(D761,'03. Insumos'!A:F,4,0),"")</f>
        <v>30</v>
      </c>
      <c r="L761" s="737">
        <f t="shared" ref="L761:L763" si="583">H761*J761*I761</f>
        <v>0</v>
      </c>
      <c r="M761" s="153">
        <f t="shared" ca="1" si="581"/>
        <v>0</v>
      </c>
      <c r="N761" s="739"/>
      <c r="O761" s="740"/>
      <c r="P761" s="739"/>
      <c r="Q761" s="739"/>
      <c r="R761" s="741"/>
      <c r="S761" s="739"/>
      <c r="T761" s="739"/>
      <c r="U761" s="739"/>
      <c r="V761" s="739"/>
      <c r="W761" s="739"/>
      <c r="X761" s="739"/>
      <c r="Y761" s="739"/>
      <c r="Z761" s="739"/>
    </row>
    <row r="762" spans="1:26" customFormat="1" ht="13.5" hidden="1" customHeight="1" outlineLevel="1" x14ac:dyDescent="0.3">
      <c r="A762" s="726">
        <f t="shared" si="580"/>
        <v>0</v>
      </c>
      <c r="B762" s="742"/>
      <c r="C762" s="742"/>
      <c r="D762" s="370" t="s">
        <v>6816</v>
      </c>
      <c r="E762" s="67" t="str">
        <f>VLOOKUP(D762,'03. Insumos'!A:D,2,0)</f>
        <v>Revestimento Impermeável - Resina Termoplástica + Proteção Anti-Corrosiva do Teto</v>
      </c>
      <c r="F762" s="68" t="s">
        <v>5218</v>
      </c>
      <c r="G762" s="68" t="str">
        <f>VLOOKUP(D762,'03. Insumos'!A:F,3,0)</f>
        <v>m²</v>
      </c>
      <c r="H762" s="736">
        <v>1</v>
      </c>
      <c r="I762" s="627">
        <f>$H$760</f>
        <v>0</v>
      </c>
      <c r="J762" s="737">
        <f t="shared" si="582"/>
        <v>89</v>
      </c>
      <c r="K762" s="70">
        <f>IF(A762=0,VLOOKUP(D762,'03. Insumos'!A:F,4,0),"")</f>
        <v>89</v>
      </c>
      <c r="L762" s="737">
        <f t="shared" si="583"/>
        <v>0</v>
      </c>
      <c r="M762" s="153">
        <f t="shared" ca="1" si="581"/>
        <v>0</v>
      </c>
      <c r="N762" s="743"/>
      <c r="O762" s="740">
        <f>IF(I762&lt;&gt;0,I762*H762*K762,)</f>
        <v>0</v>
      </c>
      <c r="P762" s="743"/>
      <c r="Q762" s="743"/>
      <c r="R762" s="741">
        <f>IF(J762&lt;&gt;0,J762/1.03-K762,0)</f>
        <v>-2.5922330097087354</v>
      </c>
      <c r="S762" s="743"/>
      <c r="T762" s="743"/>
      <c r="U762" s="743"/>
      <c r="V762" s="743"/>
      <c r="W762" s="743"/>
      <c r="X762" s="743"/>
      <c r="Y762" s="743"/>
      <c r="Z762" s="743"/>
    </row>
    <row r="763" spans="1:26" customFormat="1" ht="13.5" hidden="1" customHeight="1" outlineLevel="1" x14ac:dyDescent="0.3">
      <c r="A763" s="726">
        <f t="shared" si="580"/>
        <v>0</v>
      </c>
      <c r="B763" s="742"/>
      <c r="C763" s="742"/>
      <c r="D763" s="370" t="s">
        <v>6752</v>
      </c>
      <c r="E763" s="67" t="str">
        <f>VLOOKUP(D763,'03. Insumos'!A:D,2,0)</f>
        <v>Impermeabilização com argamassa polimérica,consumo2kg/m2 - Material e Mão de Obra</v>
      </c>
      <c r="F763" s="68" t="s">
        <v>5218</v>
      </c>
      <c r="G763" s="68" t="str">
        <f>VLOOKUP(D763,'03. Insumos'!A:F,3,0)</f>
        <v>m²</v>
      </c>
      <c r="H763" s="736">
        <v>1</v>
      </c>
      <c r="I763" s="627">
        <f>$H$760</f>
        <v>0</v>
      </c>
      <c r="J763" s="737">
        <f t="shared" si="582"/>
        <v>102.1</v>
      </c>
      <c r="K763" s="70">
        <f>IF(A763=0,VLOOKUP(D763,'03. Insumos'!A:F,4,0),"")</f>
        <v>102.1</v>
      </c>
      <c r="L763" s="737">
        <f t="shared" si="583"/>
        <v>0</v>
      </c>
      <c r="M763" s="153">
        <f t="shared" ca="1" si="581"/>
        <v>0</v>
      </c>
      <c r="N763" s="743">
        <f>SUMIF(D:D,N762,I:I)</f>
        <v>0</v>
      </c>
      <c r="O763" s="740"/>
      <c r="P763" s="743"/>
      <c r="Q763" s="743"/>
      <c r="R763" s="741"/>
      <c r="S763" s="743"/>
      <c r="T763" s="743"/>
      <c r="U763" s="743"/>
      <c r="V763" s="743"/>
      <c r="W763" s="743"/>
      <c r="X763" s="743"/>
      <c r="Y763" s="743"/>
      <c r="Z763" s="743"/>
    </row>
    <row r="764" spans="1:26" customFormat="1" ht="13.5" customHeight="1" outlineLevel="1" x14ac:dyDescent="0.3">
      <c r="A764" s="726">
        <f t="shared" ref="A764:A766" si="584">LEN(C764)</f>
        <v>6</v>
      </c>
      <c r="B764" s="648"/>
      <c r="C764" s="648" t="s">
        <v>1341</v>
      </c>
      <c r="D764" s="648" t="s">
        <v>7381</v>
      </c>
      <c r="E764" s="648"/>
      <c r="F764" s="727"/>
      <c r="G764" s="727" t="s">
        <v>73</v>
      </c>
      <c r="H764" s="728">
        <f>I748+I747+I743+I742+I741</f>
        <v>1691.6199999999997</v>
      </c>
      <c r="I764" s="729"/>
      <c r="J764" s="831">
        <f>L764/H764</f>
        <v>19.626393634504208</v>
      </c>
      <c r="K764" s="730" t="s">
        <v>2787</v>
      </c>
      <c r="L764" s="730">
        <f>SUMIF(A765:A766,0,L765:L766)</f>
        <v>33200.400000000001</v>
      </c>
      <c r="M764" s="153">
        <f t="shared" ref="M764:M766" ca="1" si="585">L764/$L$7</f>
        <v>2.0158862696716085E-3</v>
      </c>
      <c r="N764" s="732"/>
      <c r="O764" s="733">
        <f>IF(I764&lt;&gt;0,I764*H764*K764,)</f>
        <v>0</v>
      </c>
      <c r="P764" s="732"/>
      <c r="Q764" s="732"/>
      <c r="R764" s="734" t="e">
        <f>IF(J764&lt;&gt;0,J764/1.03-K764,0)</f>
        <v>#VALUE!</v>
      </c>
      <c r="S764" s="732"/>
      <c r="T764" s="732"/>
      <c r="U764" s="732"/>
      <c r="V764" s="732"/>
      <c r="W764" s="732"/>
      <c r="X764" s="732"/>
      <c r="Y764" s="732"/>
      <c r="Z764" s="732"/>
    </row>
    <row r="765" spans="1:26" customFormat="1" ht="12.75" customHeight="1" outlineLevel="1" x14ac:dyDescent="0.3">
      <c r="A765" s="726">
        <f t="shared" si="584"/>
        <v>0</v>
      </c>
      <c r="B765" s="735"/>
      <c r="C765" s="735"/>
      <c r="D765" s="370" t="s">
        <v>6456</v>
      </c>
      <c r="E765" s="67" t="str">
        <f>VLOOKUP(D765,'03. Insumos'!A:D,2,0)</f>
        <v>Cimento Portland CPIII 40 RS 50 KGs</v>
      </c>
      <c r="F765" s="68" t="s">
        <v>5218</v>
      </c>
      <c r="G765" s="68" t="str">
        <f>VLOOKUP(D765,'03. Insumos'!A:F,3,0)</f>
        <v>sc</v>
      </c>
      <c r="H765" s="736">
        <v>1</v>
      </c>
      <c r="I765" s="627">
        <f>ROUNDUP(H764*0.294,0)</f>
        <v>498</v>
      </c>
      <c r="J765" s="737">
        <f t="shared" ref="J765:J766" si="586">IFERROR(IF(K765&lt;&gt;0,K765*$K$5,0),0)</f>
        <v>29.8</v>
      </c>
      <c r="K765" s="70">
        <f>IF(A765=0,VLOOKUP(D765,'03. Insumos'!A:F,4,0),"")</f>
        <v>29.8</v>
      </c>
      <c r="L765" s="737">
        <f t="shared" ref="L765:L766" si="587">H765*J765*I765</f>
        <v>14840.4</v>
      </c>
      <c r="M765" s="153">
        <f t="shared" ca="1" si="585"/>
        <v>9.010903060334977E-4</v>
      </c>
      <c r="N765" s="739"/>
      <c r="O765" s="740"/>
      <c r="P765" s="739"/>
      <c r="Q765" s="739"/>
      <c r="R765" s="741"/>
      <c r="S765" s="739"/>
      <c r="T765" s="739"/>
      <c r="U765" s="739"/>
      <c r="V765" s="739"/>
      <c r="W765" s="739"/>
      <c r="X765" s="739"/>
      <c r="Y765" s="739"/>
      <c r="Z765" s="739"/>
    </row>
    <row r="766" spans="1:26" customFormat="1" ht="13.5" customHeight="1" outlineLevel="1" x14ac:dyDescent="0.3">
      <c r="A766" s="726">
        <f t="shared" si="584"/>
        <v>0</v>
      </c>
      <c r="B766" s="742"/>
      <c r="C766" s="742"/>
      <c r="D766" s="370" t="s">
        <v>4076</v>
      </c>
      <c r="E766" s="67" t="str">
        <f>VLOOKUP(D766,'03. Insumos'!A:D,2,0)</f>
        <v xml:space="preserve">Areia Lavada </v>
      </c>
      <c r="F766" s="68" t="s">
        <v>5218</v>
      </c>
      <c r="G766" s="68" t="str">
        <f>VLOOKUP(D766,'03. Insumos'!A:F,3,0)</f>
        <v>m³</v>
      </c>
      <c r="H766" s="736">
        <v>1</v>
      </c>
      <c r="I766" s="627">
        <f>ROUNDUP(H764*0.06,0)</f>
        <v>102</v>
      </c>
      <c r="J766" s="737">
        <f t="shared" si="586"/>
        <v>180</v>
      </c>
      <c r="K766" s="70">
        <f>IF(A766=0,VLOOKUP(D766,'03. Insumos'!A:F,4,0),"")</f>
        <v>180</v>
      </c>
      <c r="L766" s="737">
        <f t="shared" si="587"/>
        <v>18360</v>
      </c>
      <c r="M766" s="153">
        <f t="shared" ca="1" si="585"/>
        <v>1.1147959636381107E-3</v>
      </c>
      <c r="N766" s="743"/>
      <c r="O766" s="740">
        <f>IF(I766&lt;&gt;0,I766*H766*K766,)</f>
        <v>18360</v>
      </c>
      <c r="P766" s="743"/>
      <c r="Q766" s="743"/>
      <c r="R766" s="741">
        <f>IF(J766&lt;&gt;0,J766/1.03-K766,0)</f>
        <v>-5.2427184466019412</v>
      </c>
      <c r="S766" s="743"/>
      <c r="T766" s="743"/>
      <c r="U766" s="743"/>
      <c r="V766" s="743"/>
      <c r="W766" s="743"/>
      <c r="X766" s="743"/>
      <c r="Y766" s="743"/>
      <c r="Z766" s="743"/>
    </row>
    <row r="767" spans="1:26" customFormat="1" ht="13.5" hidden="1" customHeight="1" outlineLevel="1" x14ac:dyDescent="0.3">
      <c r="A767" s="726">
        <f t="shared" ref="A767:A768" si="588">LEN(C767)</f>
        <v>6</v>
      </c>
      <c r="B767" s="648"/>
      <c r="C767" s="648" t="s">
        <v>2201</v>
      </c>
      <c r="D767" s="648" t="s">
        <v>4486</v>
      </c>
      <c r="E767" s="648"/>
      <c r="F767" s="727"/>
      <c r="G767" s="325" t="s">
        <v>29</v>
      </c>
      <c r="H767" s="728">
        <v>1</v>
      </c>
      <c r="I767" s="729"/>
      <c r="J767" s="730"/>
      <c r="K767" s="730" t="s">
        <v>2787</v>
      </c>
      <c r="L767" s="730">
        <f>SUMIF(A768:A768,0,L768:L768)</f>
        <v>0</v>
      </c>
      <c r="M767" s="153">
        <f t="shared" ref="M767:M768" ca="1" si="589">L767/$L$7</f>
        <v>0</v>
      </c>
      <c r="N767" s="732"/>
      <c r="O767" s="733">
        <f>IF(I767&lt;&gt;0,I767*H767*K767,)</f>
        <v>0</v>
      </c>
      <c r="P767" s="732"/>
      <c r="Q767" s="732"/>
      <c r="R767" s="734">
        <f>IF(J767&lt;&gt;0,J767/1.03-K767,0)</f>
        <v>0</v>
      </c>
      <c r="S767" s="732"/>
      <c r="T767" s="732"/>
      <c r="U767" s="732"/>
      <c r="V767" s="732"/>
      <c r="W767" s="732"/>
      <c r="X767" s="732"/>
      <c r="Y767" s="732"/>
      <c r="Z767" s="732"/>
    </row>
    <row r="768" spans="1:26" customFormat="1" ht="12.75" hidden="1" customHeight="1" outlineLevel="1" x14ac:dyDescent="0.3">
      <c r="A768" s="726">
        <f t="shared" si="588"/>
        <v>0</v>
      </c>
      <c r="B768" s="735"/>
      <c r="C768" s="735"/>
      <c r="D768" s="370" t="s">
        <v>6814</v>
      </c>
      <c r="E768" s="67" t="str">
        <f>VLOOKUP(D768,'03. Insumos'!A:D,2,0)</f>
        <v>Tratamento de Ralo - Epoxi</v>
      </c>
      <c r="F768" s="68" t="s">
        <v>5218</v>
      </c>
      <c r="G768" s="68" t="str">
        <f>VLOOKUP(D768,'03. Insumos'!A:F,3,0)</f>
        <v>vb</v>
      </c>
      <c r="H768" s="736"/>
      <c r="I768" s="627">
        <f>H767</f>
        <v>1</v>
      </c>
      <c r="J768" s="737">
        <f t="shared" ref="J768" si="590">IFERROR(IF(K768&lt;&gt;0,K768*$K$5,0),0)</f>
        <v>1</v>
      </c>
      <c r="K768" s="70">
        <f>IF(A768=0,VLOOKUP(D768,'03. Insumos'!A:F,4,0),"")</f>
        <v>1</v>
      </c>
      <c r="L768" s="737">
        <f t="shared" ref="L768" si="591">H768*J768*I768</f>
        <v>0</v>
      </c>
      <c r="M768" s="153">
        <f t="shared" ca="1" si="589"/>
        <v>0</v>
      </c>
      <c r="N768" s="739"/>
      <c r="O768" s="740"/>
      <c r="P768" s="739"/>
      <c r="Q768" s="739"/>
      <c r="R768" s="741"/>
      <c r="S768" s="739"/>
      <c r="T768" s="739"/>
      <c r="U768" s="739"/>
      <c r="V768" s="739"/>
      <c r="W768" s="739"/>
      <c r="X768" s="739"/>
      <c r="Y768" s="739"/>
      <c r="Z768" s="739"/>
    </row>
    <row r="769" spans="1:26" customFormat="1" ht="13.5" hidden="1" customHeight="1" outlineLevel="1" x14ac:dyDescent="0.3">
      <c r="A769" s="726">
        <f t="shared" si="570"/>
        <v>6</v>
      </c>
      <c r="B769" s="648"/>
      <c r="C769" s="648" t="s">
        <v>2205</v>
      </c>
      <c r="D769" s="648" t="s">
        <v>7377</v>
      </c>
      <c r="E769" s="648"/>
      <c r="F769" s="727"/>
      <c r="G769" s="727" t="s">
        <v>73</v>
      </c>
      <c r="H769" s="326"/>
      <c r="I769" s="729"/>
      <c r="J769" s="730"/>
      <c r="K769" s="730" t="s">
        <v>2787</v>
      </c>
      <c r="L769" s="730">
        <f>SUMIF(A770:A770,,L770:L770)</f>
        <v>0</v>
      </c>
      <c r="M769" s="153">
        <f t="shared" ca="1" si="555"/>
        <v>0</v>
      </c>
      <c r="N769" s="732"/>
      <c r="O769" s="733">
        <f>IF(I769&lt;&gt;0,I769*H769*K769,)</f>
        <v>0</v>
      </c>
      <c r="P769" s="732"/>
      <c r="Q769" s="732"/>
      <c r="R769" s="734">
        <f>IF(J769&lt;&gt;0,J769/1.03-K769,0)</f>
        <v>0</v>
      </c>
      <c r="S769" s="732"/>
      <c r="T769" s="732"/>
      <c r="U769" s="732"/>
      <c r="V769" s="732"/>
      <c r="W769" s="732"/>
      <c r="X769" s="732"/>
      <c r="Y769" s="732"/>
      <c r="Z769" s="732"/>
    </row>
    <row r="770" spans="1:26" customFormat="1" ht="12.75" hidden="1" customHeight="1" outlineLevel="1" x14ac:dyDescent="0.3">
      <c r="A770" s="726">
        <f t="shared" si="570"/>
        <v>0</v>
      </c>
      <c r="B770" s="735"/>
      <c r="C770" s="735"/>
      <c r="D770" s="748" t="s">
        <v>6752</v>
      </c>
      <c r="E770" s="67" t="str">
        <f>VLOOKUP(D770,'03. Insumos'!A:D,2,0)</f>
        <v>Impermeabilização com argamassa polimérica,consumo2kg/m2 - Material e Mão de Obra</v>
      </c>
      <c r="F770" s="68" t="s">
        <v>5218</v>
      </c>
      <c r="G770" s="68" t="str">
        <f>VLOOKUP(D770,'03. Insumos'!A:F,3,0)</f>
        <v>m²</v>
      </c>
      <c r="H770" s="736">
        <v>1</v>
      </c>
      <c r="I770" s="627">
        <f>H769</f>
        <v>0</v>
      </c>
      <c r="J770" s="737">
        <f t="shared" ref="J770" si="592">IFERROR(IF(K770&lt;&gt;0,K770*$K$5,0),0)</f>
        <v>102.1</v>
      </c>
      <c r="K770" s="70">
        <f>IF(A770=0,VLOOKUP(D770,'03. Insumos'!A:F,4,0),"")</f>
        <v>102.1</v>
      </c>
      <c r="L770" s="737">
        <f t="shared" ref="L770" si="593">H770*J770*I770</f>
        <v>0</v>
      </c>
      <c r="M770" s="153">
        <f t="shared" ca="1" si="555"/>
        <v>0</v>
      </c>
      <c r="N770" s="739"/>
      <c r="O770" s="740"/>
      <c r="P770" s="739"/>
      <c r="Q770" s="739"/>
      <c r="R770" s="741"/>
      <c r="S770" s="739"/>
      <c r="T770" s="739"/>
      <c r="U770" s="739"/>
      <c r="V770" s="739"/>
      <c r="W770" s="739"/>
      <c r="X770" s="739"/>
      <c r="Y770" s="739"/>
      <c r="Z770" s="739"/>
    </row>
    <row r="771" spans="1:26" s="592" customFormat="1" ht="13.5" customHeight="1" x14ac:dyDescent="0.3">
      <c r="A771" s="478">
        <f t="shared" si="570"/>
        <v>3</v>
      </c>
      <c r="B771" s="390"/>
      <c r="C771" s="390" t="s">
        <v>275</v>
      </c>
      <c r="D771" s="390" t="s">
        <v>265</v>
      </c>
      <c r="E771" s="390"/>
      <c r="F771" s="323"/>
      <c r="G771" s="678"/>
      <c r="H771" s="324"/>
      <c r="I771" s="324"/>
      <c r="J771" s="333"/>
      <c r="K771" s="333"/>
      <c r="L771" s="333">
        <f>SUMIF(A772:A801,4,L772:L801)</f>
        <v>904246.00686890259</v>
      </c>
      <c r="M771" s="153">
        <f t="shared" ca="1" si="555"/>
        <v>5.4904673125998477E-2</v>
      </c>
      <c r="O771" s="499">
        <f t="shared" ref="O771:O811" si="594">IF(I771&lt;&gt;0,I771*H771*K771,)</f>
        <v>0</v>
      </c>
      <c r="R771" s="348">
        <f t="shared" ref="R771:R773" si="595">IF(J771&lt;&gt;0,J771/1.03-K771,0)</f>
        <v>0</v>
      </c>
    </row>
    <row r="772" spans="1:26" s="18" customFormat="1" ht="13.5" customHeight="1" outlineLevel="1" x14ac:dyDescent="0.3">
      <c r="A772" s="290">
        <f t="shared" si="570"/>
        <v>4</v>
      </c>
      <c r="B772" s="45"/>
      <c r="C772" s="45" t="s">
        <v>364</v>
      </c>
      <c r="D772" s="45" t="s">
        <v>3556</v>
      </c>
      <c r="E772" s="347"/>
      <c r="F772" s="327"/>
      <c r="G772" s="327"/>
      <c r="H772" s="328"/>
      <c r="I772" s="328"/>
      <c r="J772" s="335"/>
      <c r="K772" s="335" t="str">
        <f>IF(A772=0,VLOOKUP(D772,'03. Insumos'!A:F,4,0),"")</f>
        <v/>
      </c>
      <c r="L772" s="335">
        <f>SUMIF(A773:A801,6,L773:L801)</f>
        <v>904246.00686890259</v>
      </c>
      <c r="M772" s="153">
        <f t="shared" ca="1" si="555"/>
        <v>5.4904673125998477E-2</v>
      </c>
      <c r="O772" s="148">
        <f t="shared" si="594"/>
        <v>0</v>
      </c>
      <c r="R772" s="12">
        <f t="shared" si="595"/>
        <v>0</v>
      </c>
    </row>
    <row r="773" spans="1:26" s="18" customFormat="1" ht="13.5" customHeight="1" outlineLevel="1" x14ac:dyDescent="0.3">
      <c r="A773" s="18">
        <f t="shared" si="570"/>
        <v>6</v>
      </c>
      <c r="B773" s="606"/>
      <c r="C773" s="606" t="s">
        <v>278</v>
      </c>
      <c r="D773" s="606" t="s">
        <v>6897</v>
      </c>
      <c r="E773" s="391"/>
      <c r="F773" s="325"/>
      <c r="G773" s="325" t="s">
        <v>73</v>
      </c>
      <c r="H773" s="326">
        <f>H777</f>
        <v>2202.2160999999996</v>
      </c>
      <c r="I773" s="673"/>
      <c r="J773" s="812">
        <f>L773/H773</f>
        <v>16.58068977189793</v>
      </c>
      <c r="K773" s="607"/>
      <c r="L773" s="334">
        <f>SUM(L774:L776)</f>
        <v>36514.261964778947</v>
      </c>
      <c r="M773" s="153">
        <f t="shared" ca="1" si="555"/>
        <v>2.2170997741590504E-3</v>
      </c>
      <c r="O773" s="600">
        <f t="shared" si="594"/>
        <v>0</v>
      </c>
      <c r="R773" s="601">
        <f t="shared" si="595"/>
        <v>16.097757060095077</v>
      </c>
    </row>
    <row r="774" spans="1:26" s="51" customFormat="1" ht="13.5" customHeight="1" outlineLevel="1" x14ac:dyDescent="0.3">
      <c r="A774" s="13">
        <f t="shared" ref="A774" si="596">LEN(C774)</f>
        <v>0</v>
      </c>
      <c r="B774" s="49"/>
      <c r="C774" s="49"/>
      <c r="D774" s="370" t="s">
        <v>6471</v>
      </c>
      <c r="E774" s="67" t="str">
        <f>VLOOKUP(D774,'03. Insumos'!A:D,2,0)</f>
        <v>Chapisco Interno -Mão de obra</v>
      </c>
      <c r="F774" s="68" t="s">
        <v>3809</v>
      </c>
      <c r="G774" s="68" t="str">
        <f>VLOOKUP(D774,'03. Insumos'!A:F,3,0)</f>
        <v>m²</v>
      </c>
      <c r="H774" s="69">
        <v>1</v>
      </c>
      <c r="I774" s="69">
        <f>H773</f>
        <v>2202.2160999999996</v>
      </c>
      <c r="J774" s="70">
        <v>7.7</v>
      </c>
      <c r="K774" s="70">
        <f>IF(A774=0,VLOOKUP(D774,'03. Insumos'!A:F,4,0),"")</f>
        <v>8</v>
      </c>
      <c r="L774" s="70">
        <f>H774*J774*I774</f>
        <v>16957.063969999999</v>
      </c>
      <c r="M774" s="153">
        <f t="shared" ref="M774" ca="1" si="597">L774/$L$7</f>
        <v>1.0296114634482155E-3</v>
      </c>
      <c r="O774" s="148">
        <f t="shared" ref="O774" si="598">IF(I774&lt;&gt;0,I774*H774*K774,)</f>
        <v>17617.728799999997</v>
      </c>
      <c r="R774" s="356">
        <f t="shared" ref="R774" si="599">IF(J774&lt;&gt;0,J774/1.03-K774,0)</f>
        <v>-0.52427184466019394</v>
      </c>
    </row>
    <row r="775" spans="1:26" s="51" customFormat="1" ht="13.5" customHeight="1" outlineLevel="1" x14ac:dyDescent="0.3">
      <c r="A775" s="13">
        <f t="shared" ref="A775" si="600">LEN(C775)</f>
        <v>0</v>
      </c>
      <c r="B775" s="49"/>
      <c r="C775" s="49"/>
      <c r="D775" s="370" t="s">
        <v>193</v>
      </c>
      <c r="E775" s="67" t="str">
        <f>VLOOKUP(D775,'03. Insumos'!A:D,2,0)</f>
        <v>Argamassa chapisco 20Kg</v>
      </c>
      <c r="F775" s="68" t="s">
        <v>5218</v>
      </c>
      <c r="G775" s="68" t="str">
        <f>VLOOKUP(D775,'03. Insumos'!A:F,3,0)</f>
        <v>sc</v>
      </c>
      <c r="H775" s="69">
        <v>1.1000000000000001</v>
      </c>
      <c r="I775" s="69">
        <f>ROUNDUP((H773/2.7)*1,0)</f>
        <v>816</v>
      </c>
      <c r="J775" s="70">
        <f>IFERROR(IF(K775&lt;&gt;0,K775*$K$5,0),0)</f>
        <v>17</v>
      </c>
      <c r="K775" s="70">
        <f>IF(A775=0,VLOOKUP(D775,'03. Insumos'!A:F,4,0),"")</f>
        <v>17</v>
      </c>
      <c r="L775" s="70">
        <f>H775*J775*I775</f>
        <v>15259.200000000003</v>
      </c>
      <c r="M775" s="153">
        <f t="shared" ca="1" si="555"/>
        <v>9.2651931200145223E-4</v>
      </c>
      <c r="O775" s="148">
        <f t="shared" ref="O775" si="601">IF(I775&lt;&gt;0,I775*H775*K775,)</f>
        <v>15259.2</v>
      </c>
      <c r="R775" s="356">
        <f t="shared" ref="R775" si="602">IF(J775&lt;&gt;0,J775/1.03-K775,0)</f>
        <v>-0.49514563106796317</v>
      </c>
    </row>
    <row r="776" spans="1:26" s="51" customFormat="1" ht="13.5" customHeight="1" outlineLevel="1" x14ac:dyDescent="0.3">
      <c r="A776" s="13">
        <f t="shared" si="570"/>
        <v>0</v>
      </c>
      <c r="B776" s="49"/>
      <c r="C776" s="49"/>
      <c r="D776" s="370" t="s">
        <v>6472</v>
      </c>
      <c r="E776" s="67" t="str">
        <f>VLOOKUP(D776,'03. Insumos'!A:D,2,0)</f>
        <v>Aditivo Base PVA Wonderbond AM712 ( Barrica 55 KG's )</v>
      </c>
      <c r="F776" s="68" t="s">
        <v>5218</v>
      </c>
      <c r="G776" s="68" t="str">
        <f>VLOOKUP(D776,'03. Insumos'!A:F,3,0)</f>
        <v>br</v>
      </c>
      <c r="H776" s="69">
        <v>1.1000000000000001</v>
      </c>
      <c r="I776" s="69">
        <f>$H$773*0.0055</f>
        <v>12.112188549999997</v>
      </c>
      <c r="J776" s="70">
        <f>IFERROR(IF(K776&lt;&gt;0,K776*$K$5,0),0)</f>
        <v>322.58999999999997</v>
      </c>
      <c r="K776" s="70">
        <f>IF(A776=0,VLOOKUP(D776,'03. Insumos'!A:F,4,0),"")</f>
        <v>322.58999999999997</v>
      </c>
      <c r="L776" s="70">
        <f>H776*J776*I776</f>
        <v>4297.9979947789489</v>
      </c>
      <c r="M776" s="153">
        <f t="shared" ca="1" si="555"/>
        <v>2.609689987093827E-4</v>
      </c>
      <c r="O776" s="148">
        <f t="shared" si="594"/>
        <v>4297.9979947789489</v>
      </c>
      <c r="R776" s="356"/>
    </row>
    <row r="777" spans="1:26" s="18" customFormat="1" ht="13.5" customHeight="1" outlineLevel="1" x14ac:dyDescent="0.3">
      <c r="A777" s="18">
        <f t="shared" si="570"/>
        <v>6</v>
      </c>
      <c r="B777" s="606"/>
      <c r="C777" s="606" t="s">
        <v>1897</v>
      </c>
      <c r="D777" s="606" t="s">
        <v>4124</v>
      </c>
      <c r="E777" s="391"/>
      <c r="F777" s="325"/>
      <c r="G777" s="325" t="s">
        <v>73</v>
      </c>
      <c r="H777" s="326">
        <v>2202.2160999999996</v>
      </c>
      <c r="I777" s="326"/>
      <c r="J777" s="812">
        <f>L777/H777</f>
        <v>67.425221513092339</v>
      </c>
      <c r="K777" s="607" t="str">
        <f>IF(A777=0,VLOOKUP(D777,'03. Insumos'!A:F,4,0),"")</f>
        <v/>
      </c>
      <c r="L777" s="334">
        <f>SUM(L778:L781)</f>
        <v>148484.90836219827</v>
      </c>
      <c r="M777" s="153">
        <f t="shared" ca="1" si="555"/>
        <v>9.0158157136902718E-3</v>
      </c>
      <c r="N777" s="18">
        <f>L777/H777</f>
        <v>67.425221513092339</v>
      </c>
      <c r="O777" s="600">
        <f t="shared" si="594"/>
        <v>0</v>
      </c>
      <c r="R777" s="601" t="e">
        <f t="shared" ref="R777:R811" si="603">IF(J777&lt;&gt;0,J777/1.03-K777,0)</f>
        <v>#VALUE!</v>
      </c>
    </row>
    <row r="778" spans="1:26" s="51" customFormat="1" ht="13.5" customHeight="1" outlineLevel="1" x14ac:dyDescent="0.3">
      <c r="A778" s="13">
        <f t="shared" si="570"/>
        <v>0</v>
      </c>
      <c r="B778" s="49"/>
      <c r="C778" s="49"/>
      <c r="D778" s="370" t="s">
        <v>6473</v>
      </c>
      <c r="E778" s="67" t="str">
        <f>VLOOKUP(D778,'03. Insumos'!A:D,2,0)</f>
        <v>Emboço Paulista Interno - Mão de Obra</v>
      </c>
      <c r="F778" s="68" t="s">
        <v>3809</v>
      </c>
      <c r="G778" s="68" t="str">
        <f>VLOOKUP(D778,'03. Insumos'!A:F,3,0)</f>
        <v>m²</v>
      </c>
      <c r="H778" s="69">
        <v>1</v>
      </c>
      <c r="I778" s="69">
        <f>$H$777</f>
        <v>2202.2160999999996</v>
      </c>
      <c r="J778" s="70">
        <v>36.5</v>
      </c>
      <c r="K778" s="70">
        <f>IF(A778=0,VLOOKUP(D778,'03. Insumos'!A:F,4,0),"")</f>
        <v>40</v>
      </c>
      <c r="L778" s="70">
        <f>H778*J778*I778</f>
        <v>80380.88764999999</v>
      </c>
      <c r="M778" s="153">
        <f t="shared" ca="1" si="555"/>
        <v>4.8806257682934891E-3</v>
      </c>
      <c r="O778" s="148">
        <f t="shared" si="594"/>
        <v>88088.643999999986</v>
      </c>
      <c r="R778" s="356">
        <f t="shared" si="603"/>
        <v>-4.5631067961165073</v>
      </c>
    </row>
    <row r="779" spans="1:26" s="51" customFormat="1" ht="13.5" customHeight="1" outlineLevel="1" x14ac:dyDescent="0.3">
      <c r="A779" s="13">
        <f t="shared" ref="A779" si="604">LEN(C779)</f>
        <v>0</v>
      </c>
      <c r="B779" s="49"/>
      <c r="C779" s="49"/>
      <c r="D779" s="370" t="s">
        <v>2272</v>
      </c>
      <c r="E779" s="67" t="str">
        <f>VLOOKUP(D779,'03. Insumos'!A:D,2,0)</f>
        <v>Argamassa multiuso 50kg (grandes Qtde, acima de 240)</v>
      </c>
      <c r="F779" s="68" t="s">
        <v>5218</v>
      </c>
      <c r="G779" s="68" t="str">
        <f>VLOOKUP(D779,'03. Insumos'!A:F,3,0)</f>
        <v>sc</v>
      </c>
      <c r="H779" s="69">
        <v>1.1000000000000001</v>
      </c>
      <c r="I779" s="69">
        <f>ROUNDUP((H777/2.7)*3,0)</f>
        <v>2447</v>
      </c>
      <c r="J779" s="70">
        <f>IFERROR(IF(K779&lt;&gt;0,K779*$K$5,0),0)</f>
        <v>23</v>
      </c>
      <c r="K779" s="70">
        <f>IF(A779=0,VLOOKUP(D779,'03. Insumos'!A:F,4,0),"")</f>
        <v>23</v>
      </c>
      <c r="L779" s="70">
        <f>H779*J779*I779</f>
        <v>61909.1</v>
      </c>
      <c r="M779" s="153">
        <f t="shared" ca="1" si="555"/>
        <v>3.759042200025499E-3</v>
      </c>
      <c r="O779" s="148">
        <f t="shared" ref="O779" si="605">IF(I779&lt;&gt;0,I779*H779*K779,)</f>
        <v>61909.100000000006</v>
      </c>
      <c r="R779" s="356">
        <f t="shared" ref="R779" si="606">IF(J779&lt;&gt;0,J779/1.03-K779,0)</f>
        <v>-0.66990291262136026</v>
      </c>
    </row>
    <row r="780" spans="1:26" s="51" customFormat="1" ht="13.5" customHeight="1" outlineLevel="1" x14ac:dyDescent="0.3">
      <c r="A780" s="13">
        <f t="shared" si="570"/>
        <v>0</v>
      </c>
      <c r="B780" s="49"/>
      <c r="C780" s="49"/>
      <c r="D780" s="370" t="s">
        <v>6474</v>
      </c>
      <c r="E780" s="67" t="str">
        <f>VLOOKUP(D780,'03. Insumos'!A:D,2,0)</f>
        <v>Cerâmica Padrão para Talistacamento - Material</v>
      </c>
      <c r="F780" s="68" t="s">
        <v>5218</v>
      </c>
      <c r="G780" s="68" t="str">
        <f>VLOOKUP(D780,'03. Insumos'!A:F,3,0)</f>
        <v>m²</v>
      </c>
      <c r="H780" s="69">
        <v>1.1000000000000001</v>
      </c>
      <c r="I780" s="69">
        <f>$H$777*0.0058</f>
        <v>12.772853379999997</v>
      </c>
      <c r="J780" s="70">
        <f>IFERROR(IF(K780&lt;&gt;0,K780*$K$5,0),0)</f>
        <v>10.925047999999999</v>
      </c>
      <c r="K780" s="70">
        <f>IF(A780=0,VLOOKUP(D780,'03. Insumos'!A:F,4,0),"")</f>
        <v>10.925047999999999</v>
      </c>
      <c r="L780" s="70">
        <f>H780*J780*I780</f>
        <v>153.49843990080842</v>
      </c>
      <c r="M780" s="153">
        <f t="shared" ca="1" si="555"/>
        <v>9.3202310036039413E-6</v>
      </c>
      <c r="O780" s="148">
        <f t="shared" si="594"/>
        <v>153.49843990080842</v>
      </c>
      <c r="R780" s="356">
        <f t="shared" si="603"/>
        <v>-0.31820528155339822</v>
      </c>
    </row>
    <row r="781" spans="1:26" s="51" customFormat="1" ht="13.5" customHeight="1" outlineLevel="1" x14ac:dyDescent="0.3">
      <c r="A781" s="13">
        <f t="shared" si="570"/>
        <v>0</v>
      </c>
      <c r="B781" s="49"/>
      <c r="C781" s="49"/>
      <c r="D781" s="370" t="s">
        <v>6475</v>
      </c>
      <c r="E781" s="67" t="str">
        <f>VLOOKUP(D781,'03. Insumos'!A:D,2,0)</f>
        <v>Cal Hidratada CH-1 Saco c/ 20 Kg</v>
      </c>
      <c r="F781" s="68" t="s">
        <v>5218</v>
      </c>
      <c r="G781" s="68" t="str">
        <f>VLOOKUP(D781,'03. Insumos'!A:F,3,0)</f>
        <v>sc</v>
      </c>
      <c r="H781" s="69">
        <v>1.1000000000000001</v>
      </c>
      <c r="I781" s="69">
        <f>$H$777*0.03*4.295</f>
        <v>283.75554448499997</v>
      </c>
      <c r="J781" s="70">
        <f>IFERROR(IF(K781&lt;&gt;0,K781*$K$5,0),0)</f>
        <v>19.355399999999999</v>
      </c>
      <c r="K781" s="70">
        <f>IF(A781=0,VLOOKUP(D781,'03. Insumos'!A:F,4,0),"")</f>
        <v>19.355399999999999</v>
      </c>
      <c r="L781" s="70">
        <f>H781*J781*I781</f>
        <v>6041.4222722974664</v>
      </c>
      <c r="M781" s="153">
        <f t="shared" ca="1" si="555"/>
        <v>3.6682751436767971E-4</v>
      </c>
      <c r="O781" s="148">
        <f t="shared" si="594"/>
        <v>6041.4222722974655</v>
      </c>
      <c r="R781" s="356">
        <f t="shared" si="603"/>
        <v>-0.5637495145631064</v>
      </c>
    </row>
    <row r="782" spans="1:26" s="18" customFormat="1" ht="13.5" hidden="1" customHeight="1" outlineLevel="1" x14ac:dyDescent="0.3">
      <c r="A782" s="18">
        <f t="shared" si="570"/>
        <v>6</v>
      </c>
      <c r="B782" s="606"/>
      <c r="C782" s="606" t="s">
        <v>300</v>
      </c>
      <c r="D782" s="606" t="s">
        <v>6901</v>
      </c>
      <c r="E782" s="391"/>
      <c r="F782" s="325"/>
      <c r="G782" s="325" t="s">
        <v>73</v>
      </c>
      <c r="H782" s="326"/>
      <c r="I782" s="326"/>
      <c r="J782" s="334"/>
      <c r="K782" s="607" t="str">
        <f>IF(A782=0,VLOOKUP(D782,'03. Insumos'!A:F,4,0),"")</f>
        <v/>
      </c>
      <c r="L782" s="334">
        <f>SUM(L783:L786)</f>
        <v>0</v>
      </c>
      <c r="M782" s="153">
        <f t="shared" ca="1" si="555"/>
        <v>0</v>
      </c>
      <c r="N782" s="18" t="e">
        <f>L782/H782</f>
        <v>#DIV/0!</v>
      </c>
      <c r="O782" s="600">
        <f t="shared" si="594"/>
        <v>0</v>
      </c>
      <c r="R782" s="601">
        <f t="shared" si="603"/>
        <v>0</v>
      </c>
    </row>
    <row r="783" spans="1:26" s="51" customFormat="1" ht="13.5" hidden="1" customHeight="1" outlineLevel="1" x14ac:dyDescent="0.3">
      <c r="A783" s="13">
        <f t="shared" si="570"/>
        <v>0</v>
      </c>
      <c r="B783" s="49"/>
      <c r="C783" s="49"/>
      <c r="D783" s="370" t="s">
        <v>6489</v>
      </c>
      <c r="E783" s="67" t="str">
        <f>VLOOKUP(D783,'03. Insumos'!A:D,2,0)</f>
        <v>Emboço Paulista Externo - Mão de Obra</v>
      </c>
      <c r="F783" s="68" t="s">
        <v>3809</v>
      </c>
      <c r="G783" s="68" t="str">
        <f>VLOOKUP(D783,'03. Insumos'!A:F,3,0)</f>
        <v>m²</v>
      </c>
      <c r="H783" s="69">
        <v>1</v>
      </c>
      <c r="I783" s="69">
        <f>$H$782</f>
        <v>0</v>
      </c>
      <c r="J783" s="70">
        <f>IFERROR(IF(K783&lt;&gt;0,K783*$K$5,0),0)</f>
        <v>75</v>
      </c>
      <c r="K783" s="70">
        <f>IF(A783=0,VLOOKUP(D783,'03. Insumos'!A:F,4,0),"")</f>
        <v>75</v>
      </c>
      <c r="L783" s="70">
        <f>H783*J783*I783</f>
        <v>0</v>
      </c>
      <c r="M783" s="153">
        <f t="shared" ca="1" si="555"/>
        <v>0</v>
      </c>
      <c r="O783" s="148">
        <f t="shared" si="594"/>
        <v>0</v>
      </c>
      <c r="R783" s="356">
        <f t="shared" si="603"/>
        <v>-2.1844660194174708</v>
      </c>
    </row>
    <row r="784" spans="1:26" s="51" customFormat="1" ht="13.5" hidden="1" customHeight="1" outlineLevel="1" x14ac:dyDescent="0.3">
      <c r="A784" s="13">
        <f t="shared" ref="A784" si="607">LEN(C784)</f>
        <v>0</v>
      </c>
      <c r="B784" s="49"/>
      <c r="C784" s="49"/>
      <c r="D784" s="370" t="s">
        <v>2272</v>
      </c>
      <c r="E784" s="67" t="str">
        <f>VLOOKUP(D784,'03. Insumos'!A:D,2,0)</f>
        <v>Argamassa multiuso 50kg (grandes Qtde, acima de 240)</v>
      </c>
      <c r="F784" s="68" t="s">
        <v>5218</v>
      </c>
      <c r="G784" s="68" t="str">
        <f>VLOOKUP(D784,'03. Insumos'!A:F,3,0)</f>
        <v>sc</v>
      </c>
      <c r="H784" s="69">
        <v>1.1000000000000001</v>
      </c>
      <c r="I784" s="69">
        <f>ROUNDUP((H782/2.7)*3,0)</f>
        <v>0</v>
      </c>
      <c r="J784" s="70">
        <f>IFERROR(IF(K784&lt;&gt;0,K784*$K$5,0),0)</f>
        <v>23</v>
      </c>
      <c r="K784" s="70">
        <f>IF(A784=0,VLOOKUP(D784,'03. Insumos'!A:F,4,0),"")</f>
        <v>23</v>
      </c>
      <c r="L784" s="70">
        <f>H784*J784*I784</f>
        <v>0</v>
      </c>
      <c r="M784" s="153">
        <f t="shared" ca="1" si="555"/>
        <v>0</v>
      </c>
      <c r="O784" s="148">
        <f t="shared" ref="O784" si="608">IF(I784&lt;&gt;0,I784*H784*K784,)</f>
        <v>0</v>
      </c>
      <c r="R784" s="356">
        <f t="shared" ref="R784" si="609">IF(J784&lt;&gt;0,J784/1.03-K784,0)</f>
        <v>-0.66990291262136026</v>
      </c>
    </row>
    <row r="785" spans="1:18" s="51" customFormat="1" ht="13.5" hidden="1" customHeight="1" outlineLevel="1" x14ac:dyDescent="0.3">
      <c r="A785" s="13">
        <f t="shared" si="570"/>
        <v>0</v>
      </c>
      <c r="B785" s="49"/>
      <c r="C785" s="49"/>
      <c r="D785" s="370" t="s">
        <v>6474</v>
      </c>
      <c r="E785" s="67" t="str">
        <f>VLOOKUP(D785,'03. Insumos'!A:D,2,0)</f>
        <v>Cerâmica Padrão para Talistacamento - Material</v>
      </c>
      <c r="F785" s="68" t="s">
        <v>5218</v>
      </c>
      <c r="G785" s="68" t="str">
        <f>VLOOKUP(D785,'03. Insumos'!A:F,3,0)</f>
        <v>m²</v>
      </c>
      <c r="H785" s="69">
        <v>1.1000000000000001</v>
      </c>
      <c r="I785" s="69">
        <f>$H$782*0.0058</f>
        <v>0</v>
      </c>
      <c r="J785" s="70">
        <f>IFERROR(IF(K785&lt;&gt;0,K785*$K$5,0),0)</f>
        <v>10.925047999999999</v>
      </c>
      <c r="K785" s="70">
        <f>IF(A785=0,VLOOKUP(D785,'03. Insumos'!A:F,4,0),"")</f>
        <v>10.925047999999999</v>
      </c>
      <c r="L785" s="70">
        <f>H785*J785*I785</f>
        <v>0</v>
      </c>
      <c r="M785" s="153">
        <f t="shared" ca="1" si="555"/>
        <v>0</v>
      </c>
      <c r="O785" s="148">
        <f t="shared" si="594"/>
        <v>0</v>
      </c>
      <c r="R785" s="356">
        <f t="shared" si="603"/>
        <v>-0.31820528155339822</v>
      </c>
    </row>
    <row r="786" spans="1:18" s="51" customFormat="1" ht="13.5" hidden="1" customHeight="1" outlineLevel="1" x14ac:dyDescent="0.3">
      <c r="A786" s="13">
        <f t="shared" si="570"/>
        <v>0</v>
      </c>
      <c r="B786" s="49"/>
      <c r="C786" s="49"/>
      <c r="D786" s="370" t="s">
        <v>6475</v>
      </c>
      <c r="E786" s="67" t="str">
        <f>VLOOKUP(D786,'03. Insumos'!A:D,2,0)</f>
        <v>Cal Hidratada CH-1 Saco c/ 20 Kg</v>
      </c>
      <c r="F786" s="68" t="s">
        <v>5218</v>
      </c>
      <c r="G786" s="68" t="str">
        <f>VLOOKUP(D786,'03. Insumos'!A:F,3,0)</f>
        <v>sc</v>
      </c>
      <c r="H786" s="69">
        <v>1.1000000000000001</v>
      </c>
      <c r="I786" s="69">
        <f>$H$782*0.03*4.295</f>
        <v>0</v>
      </c>
      <c r="J786" s="70">
        <f>IFERROR(IF(K786&lt;&gt;0,K786*$K$5,0),0)</f>
        <v>19.355399999999999</v>
      </c>
      <c r="K786" s="70">
        <f>IF(A786=0,VLOOKUP(D786,'03. Insumos'!A:F,4,0),"")</f>
        <v>19.355399999999999</v>
      </c>
      <c r="L786" s="70">
        <f>H786*J786*I786</f>
        <v>0</v>
      </c>
      <c r="M786" s="153">
        <f t="shared" ca="1" si="555"/>
        <v>0</v>
      </c>
      <c r="O786" s="148">
        <f t="shared" si="594"/>
        <v>0</v>
      </c>
      <c r="R786" s="356">
        <f t="shared" si="603"/>
        <v>-0.5637495145631064</v>
      </c>
    </row>
    <row r="787" spans="1:18" s="18" customFormat="1" ht="13.5" customHeight="1" outlineLevel="1" x14ac:dyDescent="0.3">
      <c r="A787" s="18">
        <f t="shared" si="570"/>
        <v>6</v>
      </c>
      <c r="B787" s="606"/>
      <c r="C787" s="606" t="s">
        <v>300</v>
      </c>
      <c r="D787" s="606" t="s">
        <v>7281</v>
      </c>
      <c r="E787" s="391"/>
      <c r="F787" s="325"/>
      <c r="G787" s="325" t="s">
        <v>73</v>
      </c>
      <c r="H787" s="326">
        <f>SUM(I788:I789)</f>
        <v>9970.9997000000003</v>
      </c>
      <c r="I787" s="326" t="s">
        <v>2787</v>
      </c>
      <c r="J787" s="334"/>
      <c r="K787" s="607" t="str">
        <f>IF(A787=0,VLOOKUP(D787,'03. Insumos'!A:F,4,0),"")</f>
        <v/>
      </c>
      <c r="L787" s="334">
        <f>SUM(L788:L790)</f>
        <v>397732.28859999997</v>
      </c>
      <c r="M787" s="153">
        <f t="shared" ca="1" si="555"/>
        <v>2.4149801194979746E-2</v>
      </c>
      <c r="N787" s="18">
        <f>L787/H787</f>
        <v>39.888907889546921</v>
      </c>
      <c r="O787" s="600" t="e">
        <f t="shared" si="594"/>
        <v>#VALUE!</v>
      </c>
      <c r="R787" s="601">
        <f t="shared" si="603"/>
        <v>0</v>
      </c>
    </row>
    <row r="788" spans="1:18" s="51" customFormat="1" ht="13.5" customHeight="1" outlineLevel="1" x14ac:dyDescent="0.3">
      <c r="A788" s="13">
        <f t="shared" si="570"/>
        <v>0</v>
      </c>
      <c r="B788" s="49"/>
      <c r="C788" s="49"/>
      <c r="D788" s="370" t="s">
        <v>6476</v>
      </c>
      <c r="E788" s="67" t="str">
        <f>VLOOKUP(D788,'03. Insumos'!A:D,2,0)</f>
        <v>Estuque de Gesso em Parede - Material e Mão de Obra</v>
      </c>
      <c r="F788" s="68" t="s">
        <v>5218</v>
      </c>
      <c r="G788" s="68" t="str">
        <f>VLOOKUP(D788,'03. Insumos'!A:F,3,0)</f>
        <v>m²</v>
      </c>
      <c r="H788" s="69">
        <v>1</v>
      </c>
      <c r="I788" s="69">
        <v>8259.9297000000006</v>
      </c>
      <c r="J788" s="70">
        <v>38</v>
      </c>
      <c r="K788" s="70">
        <f>IF(A788=0,VLOOKUP(D788,'03. Insumos'!A:F,4,0),"")</f>
        <v>45</v>
      </c>
      <c r="L788" s="70">
        <f>H788*J788*I788</f>
        <v>313877.32860000001</v>
      </c>
      <c r="M788" s="153">
        <f t="shared" ca="1" si="555"/>
        <v>1.9058234150369988E-2</v>
      </c>
      <c r="O788" s="148">
        <f t="shared" si="594"/>
        <v>371696.83650000003</v>
      </c>
      <c r="R788" s="356">
        <f t="shared" si="603"/>
        <v>-8.106796116504853</v>
      </c>
    </row>
    <row r="789" spans="1:18" s="51" customFormat="1" ht="13.5" customHeight="1" outlineLevel="1" x14ac:dyDescent="0.3">
      <c r="A789" s="13">
        <f t="shared" ref="A789" si="610">LEN(C789)</f>
        <v>0</v>
      </c>
      <c r="B789" s="49"/>
      <c r="C789" s="49"/>
      <c r="D789" s="370" t="s">
        <v>6477</v>
      </c>
      <c r="E789" s="67" t="str">
        <f>VLOOKUP(D789,'03. Insumos'!A:D,2,0)</f>
        <v>Estuque de Gesso em Teto - Material e Mão de Obra</v>
      </c>
      <c r="F789" s="68" t="s">
        <v>5218</v>
      </c>
      <c r="G789" s="68" t="str">
        <f>VLOOKUP(D789,'03. Insumos'!A:F,3,0)</f>
        <v>m²</v>
      </c>
      <c r="H789" s="69">
        <v>1</v>
      </c>
      <c r="I789" s="69">
        <v>1711.07</v>
      </c>
      <c r="J789" s="70">
        <v>38</v>
      </c>
      <c r="K789" s="70">
        <f>IF(A789=0,VLOOKUP(D789,'03. Insumos'!A:F,4,0),"")</f>
        <v>45</v>
      </c>
      <c r="L789" s="70">
        <f>H789*J789*I789</f>
        <v>65020.659999999996</v>
      </c>
      <c r="M789" s="153">
        <f t="shared" ref="M789" ca="1" si="611">L789/$L$7</f>
        <v>3.947972185244333E-3</v>
      </c>
      <c r="O789" s="148">
        <f t="shared" ref="O789" si="612">IF(I789&lt;&gt;0,I789*H789*K789,)</f>
        <v>76998.149999999994</v>
      </c>
      <c r="R789" s="356">
        <f t="shared" ref="R789" si="613">IF(J789&lt;&gt;0,J789/1.03-K789,0)</f>
        <v>-8.106796116504853</v>
      </c>
    </row>
    <row r="790" spans="1:18" s="51" customFormat="1" ht="13.5" customHeight="1" outlineLevel="1" x14ac:dyDescent="0.3">
      <c r="A790" s="13">
        <f t="shared" si="570"/>
        <v>0</v>
      </c>
      <c r="B790" s="49"/>
      <c r="C790" s="49"/>
      <c r="D790" s="370" t="s">
        <v>193</v>
      </c>
      <c r="E790" s="67" t="str">
        <f>VLOOKUP(D790,'03. Insumos'!A:D,2,0)</f>
        <v>Argamassa chapisco 20Kg</v>
      </c>
      <c r="F790" s="68" t="s">
        <v>5218</v>
      </c>
      <c r="G790" s="68" t="str">
        <f>VLOOKUP(D790,'03. Insumos'!A:F,3,0)</f>
        <v>sc</v>
      </c>
      <c r="H790" s="69">
        <v>0.3</v>
      </c>
      <c r="I790" s="69">
        <f>ROUNDUP((H787/2.7)*1,0)</f>
        <v>3693</v>
      </c>
      <c r="J790" s="70">
        <f>IFERROR(IF(K790&lt;&gt;0,K790*$K$5,0),0)</f>
        <v>17</v>
      </c>
      <c r="K790" s="70">
        <f>IF(A790=0,VLOOKUP(D790,'03. Insumos'!A:F,4,0),"")</f>
        <v>17</v>
      </c>
      <c r="L790" s="70">
        <f>H790*J790*I790</f>
        <v>18834.3</v>
      </c>
      <c r="M790" s="153">
        <f t="shared" ca="1" si="555"/>
        <v>1.1435948593654286E-3</v>
      </c>
      <c r="O790" s="148">
        <f t="shared" si="594"/>
        <v>18834.3</v>
      </c>
      <c r="R790" s="356">
        <f t="shared" si="603"/>
        <v>-0.49514563106796317</v>
      </c>
    </row>
    <row r="791" spans="1:18" s="18" customFormat="1" ht="13.5" customHeight="1" outlineLevel="1" x14ac:dyDescent="0.3">
      <c r="A791" s="18">
        <f t="shared" si="570"/>
        <v>6</v>
      </c>
      <c r="B791" s="606"/>
      <c r="C791" s="606" t="s">
        <v>1421</v>
      </c>
      <c r="D791" s="606" t="s">
        <v>92</v>
      </c>
      <c r="E791" s="391"/>
      <c r="F791" s="325"/>
      <c r="G791" s="325" t="s">
        <v>73</v>
      </c>
      <c r="H791" s="326">
        <v>3529.39</v>
      </c>
      <c r="I791" s="673"/>
      <c r="J791" s="812">
        <f>L791/H791</f>
        <v>91.096350344372667</v>
      </c>
      <c r="K791" s="607"/>
      <c r="L791" s="334">
        <f>SUM(L792:L796)</f>
        <v>321514.54794192541</v>
      </c>
      <c r="M791" s="153">
        <f t="shared" ca="1" si="555"/>
        <v>1.9521956443169407E-2</v>
      </c>
      <c r="O791" s="600">
        <f t="shared" si="594"/>
        <v>0</v>
      </c>
      <c r="R791" s="601">
        <f t="shared" si="603"/>
        <v>88.443058586769581</v>
      </c>
    </row>
    <row r="792" spans="1:18" s="51" customFormat="1" ht="13.5" customHeight="1" outlineLevel="1" x14ac:dyDescent="0.3">
      <c r="A792" s="13">
        <f t="shared" si="570"/>
        <v>0</v>
      </c>
      <c r="B792" s="49"/>
      <c r="C792" s="49"/>
      <c r="D792" s="370" t="s">
        <v>6500</v>
      </c>
      <c r="E792" s="67" t="str">
        <f>VLOOKUP(D792,'03. Insumos'!A:D,2,0)</f>
        <v>Contrapiso - Mão de Obra</v>
      </c>
      <c r="F792" s="68" t="s">
        <v>3809</v>
      </c>
      <c r="G792" s="68" t="str">
        <f>VLOOKUP(D792,'03. Insumos'!A:F,3,0)</f>
        <v>m²</v>
      </c>
      <c r="H792" s="69">
        <v>1</v>
      </c>
      <c r="I792" s="69">
        <f>$H$791</f>
        <v>3529.39</v>
      </c>
      <c r="J792" s="70">
        <v>42.5</v>
      </c>
      <c r="K792" s="70">
        <f>IF(A792=0,VLOOKUP(D792,'03. Insumos'!A:F,4,0),"")</f>
        <v>38</v>
      </c>
      <c r="L792" s="70">
        <f>H792*J792*I792</f>
        <v>149999.07499999998</v>
      </c>
      <c r="M792" s="153">
        <f t="shared" ca="1" si="555"/>
        <v>9.1077539956127569E-3</v>
      </c>
      <c r="O792" s="148">
        <f t="shared" si="594"/>
        <v>134116.82</v>
      </c>
      <c r="R792" s="356">
        <f t="shared" si="603"/>
        <v>3.2621359223300956</v>
      </c>
    </row>
    <row r="793" spans="1:18" s="51" customFormat="1" ht="13.5" customHeight="1" outlineLevel="1" x14ac:dyDescent="0.3">
      <c r="A793" s="13">
        <f t="shared" ref="A793" si="614">LEN(C793)</f>
        <v>0</v>
      </c>
      <c r="B793" s="49"/>
      <c r="C793" s="49"/>
      <c r="D793" s="370" t="s">
        <v>5097</v>
      </c>
      <c r="E793" s="67" t="str">
        <f>VLOOKUP(D793,'03. Insumos'!A:D,2,0)</f>
        <v>Argamassa Multiuso Contrapiso - 50 kgs</v>
      </c>
      <c r="F793" s="68" t="s">
        <v>5218</v>
      </c>
      <c r="G793" s="68" t="str">
        <f>VLOOKUP(D793,'03. Insumos'!A:F,3,0)</f>
        <v>sc</v>
      </c>
      <c r="H793" s="69">
        <v>1.1000000000000001</v>
      </c>
      <c r="I793" s="69">
        <f>ROUNDUP((H791/2.7)*5,0)</f>
        <v>6536</v>
      </c>
      <c r="J793" s="70">
        <f>IFERROR(IF(K793&lt;&gt;0,K793*$K$5,0),0)</f>
        <v>23.5</v>
      </c>
      <c r="K793" s="70">
        <f>IF(A793=0,VLOOKUP(D793,'03. Insumos'!A:F,4,0),"")</f>
        <v>23.5</v>
      </c>
      <c r="L793" s="70">
        <f>H793*J793*I793</f>
        <v>168955.6</v>
      </c>
      <c r="M793" s="153">
        <f t="shared" ca="1" si="555"/>
        <v>1.0258770202290587E-2</v>
      </c>
      <c r="O793" s="148">
        <f t="shared" ref="O793" si="615">IF(I793&lt;&gt;0,I793*H793*K793,)</f>
        <v>168955.6</v>
      </c>
      <c r="R793" s="356">
        <f t="shared" ref="R793" si="616">IF(J793&lt;&gt;0,J793/1.03-K793,0)</f>
        <v>-0.68446601941747787</v>
      </c>
    </row>
    <row r="794" spans="1:18" s="51" customFormat="1" ht="13.5" customHeight="1" outlineLevel="1" x14ac:dyDescent="0.3">
      <c r="A794" s="13">
        <f t="shared" si="570"/>
        <v>0</v>
      </c>
      <c r="B794" s="49"/>
      <c r="C794" s="49"/>
      <c r="D794" s="370" t="s">
        <v>6474</v>
      </c>
      <c r="E794" s="67" t="str">
        <f>VLOOKUP(D794,'03. Insumos'!A:D,2,0)</f>
        <v>Cerâmica Padrão para Talistacamento - Material</v>
      </c>
      <c r="F794" s="68" t="s">
        <v>5218</v>
      </c>
      <c r="G794" s="68" t="str">
        <f>VLOOKUP(D794,'03. Insumos'!A:F,3,0)</f>
        <v>m²</v>
      </c>
      <c r="H794" s="69">
        <v>1.1000000000000001</v>
      </c>
      <c r="I794" s="69">
        <f>$H$791*0.0058</f>
        <v>20.470461999999998</v>
      </c>
      <c r="J794" s="70">
        <f>IFERROR(IF(K794&lt;&gt;0,K794*$K$5,0),0)</f>
        <v>10.925047999999999</v>
      </c>
      <c r="K794" s="70">
        <f>IF(A794=0,VLOOKUP(D794,'03. Insumos'!A:F,4,0),"")</f>
        <v>10.925047999999999</v>
      </c>
      <c r="L794" s="70">
        <f>H794*J794*I794</f>
        <v>246.00485792539354</v>
      </c>
      <c r="M794" s="153">
        <f t="shared" ca="1" si="555"/>
        <v>1.4937103630206732E-5</v>
      </c>
      <c r="O794" s="148">
        <f t="shared" si="594"/>
        <v>246.00485792539354</v>
      </c>
      <c r="R794" s="356">
        <f t="shared" si="603"/>
        <v>-0.31820528155339822</v>
      </c>
    </row>
    <row r="795" spans="1:18" s="51" customFormat="1" ht="13.5" customHeight="1" outlineLevel="1" x14ac:dyDescent="0.3">
      <c r="A795" s="13">
        <f t="shared" si="570"/>
        <v>0</v>
      </c>
      <c r="B795" s="49"/>
      <c r="C795" s="49"/>
      <c r="D795" s="370" t="s">
        <v>6456</v>
      </c>
      <c r="E795" s="67" t="str">
        <f>VLOOKUP(D795,'03. Insumos'!A:D,2,0)</f>
        <v>Cimento Portland CPIII 40 RS 50 KGs</v>
      </c>
      <c r="F795" s="68" t="s">
        <v>5218</v>
      </c>
      <c r="G795" s="68" t="str">
        <f>VLOOKUP(D795,'03. Insumos'!A:F,3,0)</f>
        <v>sc</v>
      </c>
      <c r="H795" s="69">
        <v>1.1000000000000001</v>
      </c>
      <c r="I795" s="69">
        <f>$H$791*0.02</f>
        <v>70.587800000000001</v>
      </c>
      <c r="J795" s="70">
        <f>IFERROR(IF(K795&lt;&gt;0,K795*$K$5,0),0)</f>
        <v>29.8</v>
      </c>
      <c r="K795" s="70">
        <f>IF(A795=0,VLOOKUP(D795,'03. Insumos'!A:F,4,0),"")</f>
        <v>29.8</v>
      </c>
      <c r="L795" s="70">
        <f>H795*J795*I795</f>
        <v>2313.8680840000002</v>
      </c>
      <c r="M795" s="153">
        <f t="shared" ca="1" si="555"/>
        <v>1.4049514163585235E-4</v>
      </c>
      <c r="O795" s="148">
        <f t="shared" si="594"/>
        <v>2313.8680840000006</v>
      </c>
      <c r="R795" s="356">
        <f t="shared" si="603"/>
        <v>-0.86796116504854481</v>
      </c>
    </row>
    <row r="796" spans="1:18" s="51" customFormat="1" ht="13.5" hidden="1" customHeight="1" outlineLevel="1" x14ac:dyDescent="0.3">
      <c r="A796" s="13">
        <f t="shared" ref="A796" si="617">LEN(C796)</f>
        <v>0</v>
      </c>
      <c r="B796" s="49"/>
      <c r="C796" s="49"/>
      <c r="D796" s="370" t="s">
        <v>7494</v>
      </c>
      <c r="E796" s="67" t="str">
        <f>VLOOKUP(D796,'03. Insumos'!A:D,2,0)</f>
        <v>Manta Acústica 10mm - Isolamento PEBD</v>
      </c>
      <c r="F796" s="68" t="s">
        <v>5218</v>
      </c>
      <c r="G796" s="68" t="str">
        <f>VLOOKUP(D796,'03. Insumos'!A:F,3,0)</f>
        <v>m²</v>
      </c>
      <c r="H796" s="69">
        <v>1.1000000000000001</v>
      </c>
      <c r="I796" s="69"/>
      <c r="J796" s="70">
        <f>IFERROR(IF(K796&lt;&gt;0,K796*$K$5,0),0)</f>
        <v>17.100000000000001</v>
      </c>
      <c r="K796" s="70">
        <f>IF(A796=0,VLOOKUP(D796,'03. Insumos'!A:F,4,0),"")</f>
        <v>17.100000000000001</v>
      </c>
      <c r="L796" s="70">
        <f>H796*J796*I796</f>
        <v>0</v>
      </c>
      <c r="M796" s="153">
        <f t="shared" ref="M796" ca="1" si="618">L796/$L$7</f>
        <v>0</v>
      </c>
      <c r="O796" s="148">
        <f t="shared" ref="O796" si="619">IF(I796&lt;&gt;0,I796*H796*K796,)</f>
        <v>0</v>
      </c>
      <c r="R796" s="356">
        <f t="shared" ref="R796" si="620">IF(J796&lt;&gt;0,J796/1.03-K796,0)</f>
        <v>-0.49805825242718527</v>
      </c>
    </row>
    <row r="797" spans="1:18" s="59" customFormat="1" hidden="1" outlineLevel="1" x14ac:dyDescent="0.3">
      <c r="A797" s="290">
        <f>LEN(C797)</f>
        <v>6</v>
      </c>
      <c r="B797" s="606"/>
      <c r="C797" s="606" t="s">
        <v>1422</v>
      </c>
      <c r="D797" s="606" t="s">
        <v>5423</v>
      </c>
      <c r="E797" s="391"/>
      <c r="F797" s="325"/>
      <c r="G797" s="325" t="s">
        <v>74</v>
      </c>
      <c r="H797" s="326"/>
      <c r="I797" s="326" t="s">
        <v>2787</v>
      </c>
      <c r="J797" s="334"/>
      <c r="K797" s="607" t="str">
        <f>IF(A797=0,VLOOKUP(D797,'03. Insumos'!A:F,4,0),"")</f>
        <v/>
      </c>
      <c r="L797" s="334">
        <f>SUM(L798:L799)</f>
        <v>0</v>
      </c>
      <c r="M797" s="153">
        <f t="shared" ref="M797" ca="1" si="621">L797/$L$7</f>
        <v>0</v>
      </c>
      <c r="O797" s="148" t="e">
        <f t="shared" ref="O797" si="622">IF(I797&lt;&gt;0,I797*H797*K797,)</f>
        <v>#VALUE!</v>
      </c>
      <c r="R797" s="12">
        <f t="shared" ref="R797" si="623">IF(J797&lt;&gt;0,J797/1.03-K797,0)</f>
        <v>0</v>
      </c>
    </row>
    <row r="798" spans="1:18" s="51" customFormat="1" ht="13.5" hidden="1" customHeight="1" outlineLevel="1" x14ac:dyDescent="0.3">
      <c r="A798" s="13">
        <f t="shared" si="570"/>
        <v>0</v>
      </c>
      <c r="B798" s="49"/>
      <c r="C798" s="49"/>
      <c r="D798" s="370" t="s">
        <v>2272</v>
      </c>
      <c r="E798" s="67" t="str">
        <f>VLOOKUP(D798,'03. Insumos'!A:D,2,0)</f>
        <v>Argamassa multiuso 50kg (grandes Qtde, acima de 240)</v>
      </c>
      <c r="F798" s="68" t="s">
        <v>5218</v>
      </c>
      <c r="G798" s="68" t="str">
        <f>VLOOKUP(D798,'03. Insumos'!A:F,3,0)</f>
        <v>sc</v>
      </c>
      <c r="H798" s="69"/>
      <c r="I798" s="69">
        <f>ROUNDUP((((H796*0.14)/2.7)),0)</f>
        <v>1</v>
      </c>
      <c r="J798" s="70">
        <f>IFERROR(IF(K798&lt;&gt;0,K798*$K$5,0),0)</f>
        <v>23</v>
      </c>
      <c r="K798" s="54">
        <f>IF(A798=0,VLOOKUP(D798,'03. Insumos'!A:F,4,0),"")</f>
        <v>23</v>
      </c>
      <c r="L798" s="70">
        <f>H798*J798*I798</f>
        <v>0</v>
      </c>
      <c r="M798" s="153">
        <f t="shared" ca="1" si="555"/>
        <v>0</v>
      </c>
      <c r="O798" s="148">
        <f t="shared" si="594"/>
        <v>0</v>
      </c>
      <c r="R798" s="356">
        <f t="shared" si="603"/>
        <v>-0.66990291262136026</v>
      </c>
    </row>
    <row r="799" spans="1:18" s="59" customFormat="1" hidden="1" outlineLevel="1" x14ac:dyDescent="0.3">
      <c r="A799" s="290">
        <f>LEN(C799)</f>
        <v>6</v>
      </c>
      <c r="B799" s="606"/>
      <c r="C799" s="606" t="s">
        <v>1423</v>
      </c>
      <c r="D799" s="606" t="s">
        <v>5424</v>
      </c>
      <c r="E799" s="391"/>
      <c r="F799" s="325"/>
      <c r="G799" s="325" t="s">
        <v>74</v>
      </c>
      <c r="H799" s="326"/>
      <c r="I799" s="326" t="s">
        <v>2787</v>
      </c>
      <c r="J799" s="334"/>
      <c r="K799" s="607" t="str">
        <f>IF(A799=0,VLOOKUP(D799,'03. Insumos'!A:F,4,0),"")</f>
        <v/>
      </c>
      <c r="L799" s="334">
        <f>SUM(L800:L801)</f>
        <v>0</v>
      </c>
      <c r="M799" s="153">
        <f t="shared" ref="M799:M876" ca="1" si="624">L799/$L$7</f>
        <v>0</v>
      </c>
      <c r="O799" s="148" t="e">
        <f t="shared" si="594"/>
        <v>#VALUE!</v>
      </c>
      <c r="R799" s="12">
        <f t="shared" si="603"/>
        <v>0</v>
      </c>
    </row>
    <row r="800" spans="1:18" s="51" customFormat="1" ht="13.5" hidden="1" customHeight="1" outlineLevel="1" x14ac:dyDescent="0.3">
      <c r="A800" s="13">
        <f t="shared" ref="A800:A801" si="625">LEN(C800)</f>
        <v>0</v>
      </c>
      <c r="B800" s="49"/>
      <c r="C800" s="49"/>
      <c r="D800" s="370" t="s">
        <v>5415</v>
      </c>
      <c r="E800" s="67" t="str">
        <f>VLOOKUP(D800,'03. Insumos'!A:D,2,0)</f>
        <v xml:space="preserve"> MO - Requadro de vão de porta, caixilho e etc.</v>
      </c>
      <c r="F800" s="68" t="s">
        <v>3809</v>
      </c>
      <c r="G800" s="68" t="str">
        <f>VLOOKUP(D800,'03. Insumos'!A:F,3,0)</f>
        <v>m</v>
      </c>
      <c r="H800" s="69"/>
      <c r="I800" s="69">
        <f>H799</f>
        <v>0</v>
      </c>
      <c r="J800" s="70">
        <f>IFERROR(IF(K800&lt;&gt;0,K800*$K$5,0),0)</f>
        <v>19.767441860465119</v>
      </c>
      <c r="K800" s="54">
        <f>IF(A800=0,VLOOKUP(D800,'03. Insumos'!A:F,4,0),"")</f>
        <v>19.767441860465119</v>
      </c>
      <c r="L800" s="70">
        <f>H800*J800*I800</f>
        <v>0</v>
      </c>
      <c r="M800" s="153">
        <f t="shared" ca="1" si="624"/>
        <v>0</v>
      </c>
      <c r="O800" s="148">
        <f t="shared" si="594"/>
        <v>0</v>
      </c>
      <c r="R800" s="356">
        <f t="shared" si="603"/>
        <v>-0.575750733799957</v>
      </c>
    </row>
    <row r="801" spans="1:18" s="51" customFormat="1" ht="13.5" hidden="1" customHeight="1" outlineLevel="1" x14ac:dyDescent="0.3">
      <c r="A801" s="13">
        <f t="shared" si="625"/>
        <v>0</v>
      </c>
      <c r="B801" s="49"/>
      <c r="C801" s="49"/>
      <c r="D801" s="370" t="s">
        <v>3433</v>
      </c>
      <c r="E801" s="67" t="str">
        <f>VLOOKUP(D801,'03. Insumos'!A:D,2,0)</f>
        <v>Argamassa multiuso 50kg (grandes Qtde, acima de 240)</v>
      </c>
      <c r="F801" s="68" t="s">
        <v>5218</v>
      </c>
      <c r="G801" s="68" t="str">
        <f>VLOOKUP(D801,'03. Insumos'!A:F,3,0)</f>
        <v>sc</v>
      </c>
      <c r="H801" s="69"/>
      <c r="I801" s="69">
        <f>ROUNDUP((((H799*0.04)/2.7)),0)</f>
        <v>0</v>
      </c>
      <c r="J801" s="70">
        <f>IFERROR(IF(K801&lt;&gt;0,K801*$K$5,0),0)</f>
        <v>15.5</v>
      </c>
      <c r="K801" s="54">
        <f>IF(A801=0,VLOOKUP(D801,'03. Insumos'!A:F,4,0),"")</f>
        <v>15.5</v>
      </c>
      <c r="L801" s="70">
        <f>H801*J801*I801</f>
        <v>0</v>
      </c>
      <c r="M801" s="153">
        <f t="shared" ca="1" si="624"/>
        <v>0</v>
      </c>
      <c r="O801" s="148">
        <f t="shared" si="594"/>
        <v>0</v>
      </c>
      <c r="R801" s="356">
        <f t="shared" si="603"/>
        <v>-0.45145631067961212</v>
      </c>
    </row>
    <row r="802" spans="1:18" s="592" customFormat="1" ht="13.5" customHeight="1" x14ac:dyDescent="0.3">
      <c r="A802" s="478">
        <f t="shared" si="570"/>
        <v>3</v>
      </c>
      <c r="B802" s="390"/>
      <c r="C802" s="390" t="s">
        <v>301</v>
      </c>
      <c r="D802" s="390" t="s">
        <v>267</v>
      </c>
      <c r="E802" s="390"/>
      <c r="F802" s="323"/>
      <c r="G802" s="678"/>
      <c r="H802" s="324"/>
      <c r="I802" s="324"/>
      <c r="J802" s="333"/>
      <c r="K802" s="333"/>
      <c r="L802" s="333">
        <f>SUMIF(A803:A809,4,L803:L809)</f>
        <v>34872.390000000007</v>
      </c>
      <c r="M802" s="153">
        <f t="shared" ca="1" si="624"/>
        <v>2.1174073864059927E-3</v>
      </c>
      <c r="O802" s="499">
        <f t="shared" si="594"/>
        <v>0</v>
      </c>
      <c r="R802" s="348">
        <f t="shared" si="603"/>
        <v>0</v>
      </c>
    </row>
    <row r="803" spans="1:18" s="18" customFormat="1" outlineLevel="1" x14ac:dyDescent="0.3">
      <c r="A803" s="290">
        <f t="shared" si="570"/>
        <v>4</v>
      </c>
      <c r="B803" s="45"/>
      <c r="C803" s="45" t="s">
        <v>302</v>
      </c>
      <c r="D803" s="45" t="s">
        <v>267</v>
      </c>
      <c r="E803" s="347"/>
      <c r="F803" s="327"/>
      <c r="G803" s="327"/>
      <c r="H803" s="328"/>
      <c r="I803" s="328"/>
      <c r="J803" s="335"/>
      <c r="K803" s="335" t="str">
        <f>IF(A803=0,VLOOKUP(D803,'03. Insumos'!A:F,4,0),"")</f>
        <v/>
      </c>
      <c r="L803" s="335">
        <f>SUMIF(A804:A809,6,L804:L809)</f>
        <v>34872.390000000007</v>
      </c>
      <c r="M803" s="153">
        <f t="shared" ca="1" si="624"/>
        <v>2.1174073864059927E-3</v>
      </c>
      <c r="O803" s="148">
        <f t="shared" si="594"/>
        <v>0</v>
      </c>
      <c r="R803" s="12">
        <f t="shared" si="603"/>
        <v>0</v>
      </c>
    </row>
    <row r="804" spans="1:18" s="59" customFormat="1" outlineLevel="1" x14ac:dyDescent="0.3">
      <c r="A804" s="290">
        <f t="shared" si="570"/>
        <v>6</v>
      </c>
      <c r="B804" s="606"/>
      <c r="C804" s="606" t="s">
        <v>303</v>
      </c>
      <c r="D804" s="606" t="s">
        <v>3464</v>
      </c>
      <c r="E804" s="391"/>
      <c r="F804" s="325"/>
      <c r="G804" s="325" t="s">
        <v>73</v>
      </c>
      <c r="H804" s="326">
        <f>I805</f>
        <v>638.01000000000022</v>
      </c>
      <c r="I804" s="326" t="s">
        <v>2787</v>
      </c>
      <c r="J804" s="812">
        <f>L804/H804</f>
        <v>39</v>
      </c>
      <c r="K804" s="607" t="str">
        <f>IF(A804=0,VLOOKUP(D804,'03. Insumos'!A:F,4,0),"")</f>
        <v/>
      </c>
      <c r="L804" s="334">
        <f>SUM(L805:L805)</f>
        <v>24882.390000000007</v>
      </c>
      <c r="M804" s="153">
        <f t="shared" ca="1" si="624"/>
        <v>1.5108272297205501E-3</v>
      </c>
      <c r="O804" s="148" t="e">
        <f t="shared" si="594"/>
        <v>#VALUE!</v>
      </c>
      <c r="R804" s="12" t="e">
        <f t="shared" si="603"/>
        <v>#VALUE!</v>
      </c>
    </row>
    <row r="805" spans="1:18" s="51" customFormat="1" outlineLevel="1" x14ac:dyDescent="0.3">
      <c r="A805" s="13">
        <f t="shared" si="570"/>
        <v>0</v>
      </c>
      <c r="B805" s="49"/>
      <c r="C805" s="49"/>
      <c r="D805" s="370" t="s">
        <v>7669</v>
      </c>
      <c r="E805" s="67" t="s">
        <v>7423</v>
      </c>
      <c r="F805" s="68" t="s">
        <v>5218</v>
      </c>
      <c r="G805" s="68" t="str">
        <f>VLOOKUP(D805,'03. Insumos'!A:F,3,0)</f>
        <v>m²</v>
      </c>
      <c r="H805" s="69">
        <v>1</v>
      </c>
      <c r="I805" s="69">
        <v>638.01000000000022</v>
      </c>
      <c r="J805" s="70">
        <v>39</v>
      </c>
      <c r="K805" s="54">
        <f>IF(A805=0,VLOOKUP(D805,'03. Insumos'!A:F,4,0),"")</f>
        <v>89</v>
      </c>
      <c r="L805" s="485">
        <f t="shared" ref="L805" si="626">H805*J805*I805</f>
        <v>24882.390000000007</v>
      </c>
      <c r="M805" s="153">
        <f t="shared" ca="1" si="624"/>
        <v>1.5108272297205501E-3</v>
      </c>
      <c r="O805" s="148">
        <f t="shared" si="594"/>
        <v>56782.890000000021</v>
      </c>
      <c r="R805" s="12">
        <f t="shared" si="603"/>
        <v>-51.135922330097088</v>
      </c>
    </row>
    <row r="806" spans="1:18" s="59" customFormat="1" outlineLevel="1" x14ac:dyDescent="0.3">
      <c r="A806" s="290">
        <f t="shared" ref="A806:A807" si="627">LEN(C806)</f>
        <v>6</v>
      </c>
      <c r="B806" s="606"/>
      <c r="C806" s="606" t="s">
        <v>1297</v>
      </c>
      <c r="D806" s="606" t="s">
        <v>7482</v>
      </c>
      <c r="E806" s="391"/>
      <c r="F806" s="325"/>
      <c r="G806" s="325" t="s">
        <v>74</v>
      </c>
      <c r="H806" s="326">
        <f>6.75*37*2</f>
        <v>499.5</v>
      </c>
      <c r="I806" s="326" t="s">
        <v>2787</v>
      </c>
      <c r="J806" s="812">
        <f>L806/H806</f>
        <v>20</v>
      </c>
      <c r="K806" s="607" t="str">
        <f>IF(A806=0,VLOOKUP(D806,'03. Insumos'!A:F,4,0),"")</f>
        <v/>
      </c>
      <c r="L806" s="334">
        <f>SUM(L807:L807)</f>
        <v>9990</v>
      </c>
      <c r="M806" s="153">
        <f t="shared" ref="M806:M807" ca="1" si="628">L806/$L$7</f>
        <v>6.0658015668544263E-4</v>
      </c>
      <c r="O806" s="148" t="e">
        <f t="shared" ref="O806:O807" si="629">IF(I806&lt;&gt;0,I806*H806*K806,)</f>
        <v>#VALUE!</v>
      </c>
      <c r="R806" s="12" t="e">
        <f t="shared" ref="R806:R807" si="630">IF(J806&lt;&gt;0,J806/1.03-K806,0)</f>
        <v>#VALUE!</v>
      </c>
    </row>
    <row r="807" spans="1:18" s="51" customFormat="1" outlineLevel="1" x14ac:dyDescent="0.3">
      <c r="A807" s="13">
        <f t="shared" si="627"/>
        <v>0</v>
      </c>
      <c r="B807" s="49"/>
      <c r="C807" s="49"/>
      <c r="D807" s="370" t="s">
        <v>7449</v>
      </c>
      <c r="E807" s="67" t="s">
        <v>8816</v>
      </c>
      <c r="F807" s="68" t="s">
        <v>5218</v>
      </c>
      <c r="G807" s="68" t="str">
        <f>VLOOKUP(D807,'03. Insumos'!A:F,3,0)</f>
        <v>m</v>
      </c>
      <c r="H807" s="69">
        <v>1</v>
      </c>
      <c r="I807" s="69">
        <f>H806</f>
        <v>499.5</v>
      </c>
      <c r="J807" s="70">
        <v>20</v>
      </c>
      <c r="K807" s="54">
        <f>IF(A807=0,VLOOKUP(D807,'03. Insumos'!A:F,4,0),"")</f>
        <v>50</v>
      </c>
      <c r="L807" s="485">
        <f t="shared" ref="L807" si="631">H807*J807*I807</f>
        <v>9990</v>
      </c>
      <c r="M807" s="153">
        <f t="shared" ca="1" si="628"/>
        <v>6.0658015668544263E-4</v>
      </c>
      <c r="O807" s="148">
        <f t="shared" si="629"/>
        <v>24975</v>
      </c>
      <c r="R807" s="12">
        <f t="shared" si="630"/>
        <v>-30.582524271844662</v>
      </c>
    </row>
    <row r="808" spans="1:18" s="59" customFormat="1" hidden="1" outlineLevel="1" x14ac:dyDescent="0.3">
      <c r="A808" s="290">
        <f t="shared" ref="A808:A809" si="632">LEN(C808)</f>
        <v>6</v>
      </c>
      <c r="B808" s="606"/>
      <c r="C808" s="606" t="s">
        <v>7282</v>
      </c>
      <c r="D808" s="606" t="s">
        <v>8054</v>
      </c>
      <c r="E808" s="391"/>
      <c r="F808" s="325"/>
      <c r="G808" s="325" t="s">
        <v>73</v>
      </c>
      <c r="H808" s="326">
        <f>I809</f>
        <v>0</v>
      </c>
      <c r="I808" s="326" t="s">
        <v>2787</v>
      </c>
      <c r="J808" s="812" t="e">
        <f>L808/H808</f>
        <v>#DIV/0!</v>
      </c>
      <c r="K808" s="607" t="str">
        <f>IF(A808=0,VLOOKUP(D808,'03. Insumos'!A:F,4,0),"")</f>
        <v/>
      </c>
      <c r="L808" s="334">
        <f>SUM(L809:L809)</f>
        <v>0</v>
      </c>
      <c r="M808" s="153">
        <f t="shared" ref="M808:M809" ca="1" si="633">L808/$L$7</f>
        <v>0</v>
      </c>
      <c r="O808" s="148" t="e">
        <f t="shared" ref="O808:O809" si="634">IF(I808&lt;&gt;0,I808*H808*K808,)</f>
        <v>#VALUE!</v>
      </c>
      <c r="R808" s="12" t="e">
        <f t="shared" ref="R808:R809" si="635">IF(J808&lt;&gt;0,J808/1.03-K808,0)</f>
        <v>#DIV/0!</v>
      </c>
    </row>
    <row r="809" spans="1:18" s="51" customFormat="1" hidden="1" outlineLevel="1" x14ac:dyDescent="0.3">
      <c r="A809" s="13">
        <f t="shared" si="632"/>
        <v>0</v>
      </c>
      <c r="B809" s="49"/>
      <c r="C809" s="49"/>
      <c r="D809" s="370" t="s">
        <v>6818</v>
      </c>
      <c r="E809" s="67" t="s">
        <v>8467</v>
      </c>
      <c r="F809" s="68" t="s">
        <v>5218</v>
      </c>
      <c r="G809" s="68" t="str">
        <f>VLOOKUP(D809,'03. Insumos'!A:F,3,0)</f>
        <v>m²</v>
      </c>
      <c r="H809" s="69">
        <v>1</v>
      </c>
      <c r="I809" s="69"/>
      <c r="J809" s="70">
        <v>48</v>
      </c>
      <c r="K809" s="54">
        <f>IF(A809=0,VLOOKUP(D809,'03. Insumos'!A:F,4,0),"")</f>
        <v>913.83</v>
      </c>
      <c r="L809" s="485">
        <f t="shared" ref="L809" si="636">H809*J809*I809</f>
        <v>0</v>
      </c>
      <c r="M809" s="153">
        <f t="shared" ca="1" si="633"/>
        <v>0</v>
      </c>
      <c r="O809" s="148">
        <f t="shared" si="634"/>
        <v>0</v>
      </c>
      <c r="R809" s="12">
        <f t="shared" si="635"/>
        <v>-867.22805825242722</v>
      </c>
    </row>
    <row r="810" spans="1:18" s="18" customFormat="1" x14ac:dyDescent="0.3">
      <c r="A810" s="290">
        <f t="shared" si="570"/>
        <v>3</v>
      </c>
      <c r="B810" s="35"/>
      <c r="C810" s="390" t="s">
        <v>319</v>
      </c>
      <c r="D810" s="390" t="s">
        <v>8478</v>
      </c>
      <c r="E810" s="390"/>
      <c r="F810" s="323"/>
      <c r="G810" s="678"/>
      <c r="H810" s="324"/>
      <c r="I810" s="324"/>
      <c r="J810" s="333"/>
      <c r="K810" s="333"/>
      <c r="L810" s="333">
        <f>SUMIF(A811:A920,4,L811:L920)</f>
        <v>829026.70979999995</v>
      </c>
      <c r="M810" s="153">
        <f t="shared" ca="1" si="624"/>
        <v>5.0337452605295388E-2</v>
      </c>
      <c r="O810" s="148">
        <f t="shared" si="594"/>
        <v>0</v>
      </c>
      <c r="R810" s="12">
        <f t="shared" si="603"/>
        <v>0</v>
      </c>
    </row>
    <row r="811" spans="1:18" s="493" customFormat="1" ht="13.5" customHeight="1" outlineLevel="1" x14ac:dyDescent="0.3">
      <c r="A811" s="290">
        <f t="shared" si="570"/>
        <v>4</v>
      </c>
      <c r="B811" s="45"/>
      <c r="C811" s="45" t="s">
        <v>320</v>
      </c>
      <c r="D811" s="45" t="s">
        <v>1507</v>
      </c>
      <c r="E811" s="347"/>
      <c r="F811" s="327"/>
      <c r="G811" s="327"/>
      <c r="H811" s="328"/>
      <c r="I811" s="328"/>
      <c r="J811" s="335"/>
      <c r="K811" s="335" t="str">
        <f>IF(A811=0,VLOOKUP(D811,'03. Insumos'!A:F,4,0),"")</f>
        <v/>
      </c>
      <c r="L811" s="335">
        <f>SUMIF(A811:A841,6,L811:L841)</f>
        <v>159917.21708299997</v>
      </c>
      <c r="M811" s="153">
        <f t="shared" ca="1" si="624"/>
        <v>9.7099710305211268E-3</v>
      </c>
      <c r="O811" s="512">
        <f t="shared" si="594"/>
        <v>0</v>
      </c>
      <c r="R811" s="487">
        <f t="shared" si="603"/>
        <v>0</v>
      </c>
    </row>
    <row r="812" spans="1:18" s="59" customFormat="1" ht="13.5" customHeight="1" outlineLevel="1" x14ac:dyDescent="0.3">
      <c r="A812" s="290">
        <f t="shared" si="570"/>
        <v>6</v>
      </c>
      <c r="B812" s="606"/>
      <c r="C812" s="606" t="s">
        <v>321</v>
      </c>
      <c r="D812" s="648" t="s">
        <v>7424</v>
      </c>
      <c r="E812" s="391"/>
      <c r="F812" s="325"/>
      <c r="G812" s="325" t="s">
        <v>73</v>
      </c>
      <c r="H812" s="326">
        <f>SUM(I813:I816)</f>
        <v>1136.3659999999998</v>
      </c>
      <c r="I812" s="65">
        <f>(5+12+12+5+3+9+9)*(0.3*0.6)</f>
        <v>9.9</v>
      </c>
      <c r="J812" s="812">
        <f>L812/H812</f>
        <v>140.72685832117469</v>
      </c>
      <c r="K812" s="607" t="str">
        <f>IF(A812=0,VLOOKUP(D812,'03. Insumos'!A:F,4,0),"")</f>
        <v/>
      </c>
      <c r="L812" s="334">
        <f>SUM(L813:L824)</f>
        <v>159917.21708299997</v>
      </c>
      <c r="M812" s="153">
        <f t="shared" ca="1" si="624"/>
        <v>9.7099710305211268E-3</v>
      </c>
      <c r="O812" s="148" t="e">
        <f t="shared" ref="O812:O818" si="637">IF(I812&lt;&gt;0,I812*H812*K812,)</f>
        <v>#VALUE!</v>
      </c>
      <c r="R812" s="12" t="e">
        <f t="shared" ref="R812:R818" si="638">IF(J812&lt;&gt;0,J812/1.03-K812,0)</f>
        <v>#VALUE!</v>
      </c>
    </row>
    <row r="813" spans="1:18" s="71" customFormat="1" outlineLevel="1" x14ac:dyDescent="0.3">
      <c r="A813" s="59">
        <f t="shared" ref="A813:A818" si="639">LEN(C813)</f>
        <v>0</v>
      </c>
      <c r="B813" s="67"/>
      <c r="C813" s="67"/>
      <c r="D813" s="370" t="s">
        <v>7790</v>
      </c>
      <c r="E813" s="67" t="s">
        <v>8695</v>
      </c>
      <c r="F813" s="68" t="s">
        <v>5218</v>
      </c>
      <c r="G813" s="68" t="str">
        <f>VLOOKUP(D813,'03. Insumos'!A:F,3,0)</f>
        <v>m²</v>
      </c>
      <c r="H813" s="69">
        <v>1.2</v>
      </c>
      <c r="I813" s="483">
        <v>31.875</v>
      </c>
      <c r="J813" s="70">
        <f>59.28+11.3</f>
        <v>70.58</v>
      </c>
      <c r="K813" s="70">
        <f>IF(A813=0,VLOOKUP(D813,'03. Insumos'!A:F,4,0),"")</f>
        <v>137.71</v>
      </c>
      <c r="L813" s="70">
        <f t="shared" ref="L813:L818" si="640">H813*J813*I813</f>
        <v>2699.6849999999999</v>
      </c>
      <c r="M813" s="153">
        <f t="shared" ref="M813:M818" ca="1" si="641">L813/$L$7</f>
        <v>1.6392145648662054E-4</v>
      </c>
      <c r="O813" s="499">
        <f t="shared" si="637"/>
        <v>5267.4075000000003</v>
      </c>
      <c r="R813" s="500">
        <f t="shared" si="638"/>
        <v>-69.185728155339817</v>
      </c>
    </row>
    <row r="814" spans="1:18" s="71" customFormat="1" ht="13.95" customHeight="1" outlineLevel="1" x14ac:dyDescent="0.3">
      <c r="A814" s="59">
        <f t="shared" si="639"/>
        <v>0</v>
      </c>
      <c r="B814" s="67"/>
      <c r="C814" s="67"/>
      <c r="D814" s="370" t="s">
        <v>7778</v>
      </c>
      <c r="E814" s="384" t="s">
        <v>8698</v>
      </c>
      <c r="F814" s="68" t="s">
        <v>5218</v>
      </c>
      <c r="G814" s="68" t="s">
        <v>73</v>
      </c>
      <c r="H814" s="69">
        <v>1.2</v>
      </c>
      <c r="I814" s="69">
        <v>459.83999999999992</v>
      </c>
      <c r="J814" s="338">
        <v>45</v>
      </c>
      <c r="K814" s="70">
        <f>IF(A814=0,VLOOKUP(D814,'03. Insumos'!A:F,4,0),"")</f>
        <v>50.230000000000004</v>
      </c>
      <c r="L814" s="70">
        <f t="shared" si="640"/>
        <v>24831.359999999997</v>
      </c>
      <c r="M814" s="153">
        <f t="shared" ca="1" si="641"/>
        <v>1.5077287527039671E-3</v>
      </c>
      <c r="O814" s="499">
        <f t="shared" si="637"/>
        <v>27717.315839999996</v>
      </c>
      <c r="R814" s="500">
        <f t="shared" si="638"/>
        <v>-6.5406796116504893</v>
      </c>
    </row>
    <row r="815" spans="1:18" s="71" customFormat="1" outlineLevel="1" x14ac:dyDescent="0.3">
      <c r="A815" s="59">
        <f t="shared" ref="A815" si="642">LEN(C815)</f>
        <v>0</v>
      </c>
      <c r="B815" s="67"/>
      <c r="C815" s="67"/>
      <c r="D815" s="370" t="s">
        <v>7781</v>
      </c>
      <c r="E815" s="67" t="s">
        <v>8759</v>
      </c>
      <c r="F815" s="68" t="s">
        <v>5218</v>
      </c>
      <c r="G815" s="68" t="str">
        <f>VLOOKUP(D815,'03. Insumos'!A:F,3,0)</f>
        <v>m²</v>
      </c>
      <c r="H815" s="69">
        <v>1.1000000000000001</v>
      </c>
      <c r="I815" s="69">
        <v>644.65099999999984</v>
      </c>
      <c r="J815" s="70">
        <f>39.32+6.71</f>
        <v>46.03</v>
      </c>
      <c r="K815" s="70">
        <f>IF(A815=0,VLOOKUP(D815,'03. Insumos'!A:F,4,0),"")</f>
        <v>202.32000000000002</v>
      </c>
      <c r="L815" s="70">
        <f t="shared" ref="L815" si="643">H815*J815*I815</f>
        <v>32640.614082999993</v>
      </c>
      <c r="M815" s="153">
        <f t="shared" ref="M815" ca="1" si="644">L815/$L$7</f>
        <v>1.9818967772547748E-3</v>
      </c>
      <c r="O815" s="499">
        <f t="shared" ref="O815" si="645">IF(I815&lt;&gt;0,I815*H815*K815,)</f>
        <v>143468.36935199998</v>
      </c>
      <c r="R815" s="500">
        <f t="shared" ref="R815" si="646">IF(J815&lt;&gt;0,J815/1.03-K815,0)</f>
        <v>-157.63067961165052</v>
      </c>
    </row>
    <row r="816" spans="1:18" s="71" customFormat="1" hidden="1" outlineLevel="1" x14ac:dyDescent="0.3">
      <c r="A816" s="59">
        <f t="shared" ref="A816:A817" si="647">LEN(C816)</f>
        <v>0</v>
      </c>
      <c r="B816" s="67"/>
      <c r="C816" s="67"/>
      <c r="D816" s="370" t="s">
        <v>8060</v>
      </c>
      <c r="E816" s="706" t="s">
        <v>7587</v>
      </c>
      <c r="F816" s="68" t="s">
        <v>5218</v>
      </c>
      <c r="G816" s="68" t="str">
        <f>VLOOKUP(D816,'03. Insumos'!A:F,3,0)</f>
        <v>m²</v>
      </c>
      <c r="H816" s="69">
        <v>1.2</v>
      </c>
      <c r="I816" s="69"/>
      <c r="J816" s="70">
        <f t="shared" ref="J816:J818" si="648">IFERROR(IF(K816&lt;&gt;0,K816*$K$5,0),0)</f>
        <v>84.27</v>
      </c>
      <c r="K816" s="70">
        <f>IF(A816=0,VLOOKUP(D816,'03. Insumos'!A:F,4,0),"")</f>
        <v>84.27</v>
      </c>
      <c r="L816" s="70">
        <f t="shared" ref="L816:L817" si="649">H816*J816*I816</f>
        <v>0</v>
      </c>
      <c r="M816" s="153">
        <f t="shared" ref="M816:M817" ca="1" si="650">L816/$L$7</f>
        <v>0</v>
      </c>
      <c r="O816" s="499">
        <f t="shared" si="637"/>
        <v>0</v>
      </c>
      <c r="R816" s="500">
        <f t="shared" si="638"/>
        <v>-2.454466019417481</v>
      </c>
    </row>
    <row r="817" spans="1:18" s="71" customFormat="1" hidden="1" outlineLevel="1" x14ac:dyDescent="0.3">
      <c r="A817" s="59">
        <f t="shared" si="647"/>
        <v>0</v>
      </c>
      <c r="B817" s="67"/>
      <c r="C817" s="67"/>
      <c r="D817" s="370" t="s">
        <v>7791</v>
      </c>
      <c r="E817" s="706" t="str">
        <f>VLOOKUP(D817,'03. Insumos'!A:D,2,0)</f>
        <v>Porcelanato Portobello Midnight Groove 30x90 NAT RET</v>
      </c>
      <c r="F817" s="68" t="s">
        <v>5218</v>
      </c>
      <c r="G817" s="68" t="str">
        <f>VLOOKUP(D817,'03. Insumos'!A:F,3,0)</f>
        <v>m²</v>
      </c>
      <c r="H817" s="69">
        <v>1.2</v>
      </c>
      <c r="I817" s="69"/>
      <c r="J817" s="70">
        <f t="shared" si="648"/>
        <v>123.08000000000001</v>
      </c>
      <c r="K817" s="70">
        <f>IF(A817=0,VLOOKUP(D817,'03. Insumos'!A:F,4,0),"")</f>
        <v>123.08000000000001</v>
      </c>
      <c r="L817" s="70">
        <f t="shared" si="649"/>
        <v>0</v>
      </c>
      <c r="M817" s="153">
        <f t="shared" ca="1" si="650"/>
        <v>0</v>
      </c>
      <c r="O817" s="499">
        <f t="shared" si="637"/>
        <v>0</v>
      </c>
      <c r="R817" s="500">
        <f t="shared" si="638"/>
        <v>-3.5848543689320422</v>
      </c>
    </row>
    <row r="818" spans="1:18" s="71" customFormat="1" hidden="1" outlineLevel="1" x14ac:dyDescent="0.3">
      <c r="A818" s="59">
        <f t="shared" si="639"/>
        <v>0</v>
      </c>
      <c r="B818" s="67"/>
      <c r="C818" s="67"/>
      <c r="D818" s="370" t="s">
        <v>7792</v>
      </c>
      <c r="E818" s="706" t="str">
        <f>VLOOKUP(D818,'03. Insumos'!A:D,2,0)</f>
        <v>Porcelanato Portobello Sunset Honolulu 14,5x14,5 EXT RET</v>
      </c>
      <c r="F818" s="68" t="s">
        <v>5218</v>
      </c>
      <c r="G818" s="68" t="str">
        <f>VLOOKUP(D818,'03. Insumos'!A:F,3,0)</f>
        <v>m²</v>
      </c>
      <c r="H818" s="69">
        <v>1.1000000000000001</v>
      </c>
      <c r="I818" s="69"/>
      <c r="J818" s="70">
        <f t="shared" si="648"/>
        <v>76.33</v>
      </c>
      <c r="K818" s="70">
        <f>IF(A818=0,VLOOKUP(D818,'03. Insumos'!A:F,4,0),"")</f>
        <v>76.33</v>
      </c>
      <c r="L818" s="70">
        <f t="shared" si="640"/>
        <v>0</v>
      </c>
      <c r="M818" s="153">
        <f t="shared" ca="1" si="641"/>
        <v>0</v>
      </c>
      <c r="O818" s="499">
        <f t="shared" si="637"/>
        <v>0</v>
      </c>
      <c r="R818" s="500">
        <f t="shared" si="638"/>
        <v>-2.2232038834951453</v>
      </c>
    </row>
    <row r="819" spans="1:18" s="51" customFormat="1" ht="13.5" customHeight="1" outlineLevel="1" x14ac:dyDescent="0.3">
      <c r="A819" s="13">
        <f t="shared" si="570"/>
        <v>0</v>
      </c>
      <c r="B819" s="49"/>
      <c r="C819" s="49"/>
      <c r="D819" s="370" t="s">
        <v>6480</v>
      </c>
      <c r="E819" s="67" t="str">
        <f>VLOOKUP(D819,'03. Insumos'!A:D,2,0)</f>
        <v>Revestimento de Parede - Mão de Obra</v>
      </c>
      <c r="F819" s="68" t="s">
        <v>3809</v>
      </c>
      <c r="G819" s="68" t="str">
        <f>VLOOKUP(D819,'03. Insumos'!A:F,3,0)</f>
        <v>m²</v>
      </c>
      <c r="H819" s="69">
        <v>1</v>
      </c>
      <c r="I819" s="69">
        <f>H812</f>
        <v>1136.3659999999998</v>
      </c>
      <c r="J819" s="70">
        <v>65.5</v>
      </c>
      <c r="K819" s="70">
        <f>IF(A819=0,VLOOKUP(D819,'03. Insumos'!A:F,4,0),"")</f>
        <v>90</v>
      </c>
      <c r="L819" s="70">
        <f t="shared" ref="L819:L824" si="651">H819*J819*I819</f>
        <v>74431.972999999984</v>
      </c>
      <c r="M819" s="153">
        <f t="shared" ca="1" si="624"/>
        <v>4.5194151996743367E-3</v>
      </c>
      <c r="O819" s="148"/>
      <c r="R819" s="356"/>
    </row>
    <row r="820" spans="1:18" s="51" customFormat="1" ht="13.5" customHeight="1" outlineLevel="1" x14ac:dyDescent="0.3">
      <c r="A820" s="13">
        <v>0</v>
      </c>
      <c r="B820" s="49"/>
      <c r="C820" s="49"/>
      <c r="D820" s="370" t="s">
        <v>4069</v>
      </c>
      <c r="E820" s="67" t="str">
        <f>VLOOKUP(D820,'03. Insumos'!A:D,2,0)</f>
        <v>Argamassa colante 20kg ACIII Cinza 20kg</v>
      </c>
      <c r="F820" s="68" t="s">
        <v>5218</v>
      </c>
      <c r="G820" s="68" t="str">
        <f>VLOOKUP(D820,'03. Insumos'!A:F,3,0)</f>
        <v>sc</v>
      </c>
      <c r="H820" s="69">
        <v>1.1000000000000001</v>
      </c>
      <c r="I820" s="69">
        <f>ROUNDUP(((H812*8)/20),0)</f>
        <v>455</v>
      </c>
      <c r="J820" s="70">
        <f t="shared" ref="J820:J824" si="652">IFERROR(IF(K820&lt;&gt;0,K820*$K$5,0),0)</f>
        <v>31.899999999999995</v>
      </c>
      <c r="K820" s="70">
        <f>IF(A820=0,VLOOKUP(D820,'03. Insumos'!A:F,4,0),"")</f>
        <v>31.899999999999995</v>
      </c>
      <c r="L820" s="70">
        <f t="shared" si="651"/>
        <v>15965.949999999999</v>
      </c>
      <c r="M820" s="153">
        <f t="shared" ca="1" si="624"/>
        <v>9.6943227754073497E-4</v>
      </c>
      <c r="O820" s="148"/>
      <c r="R820" s="356"/>
    </row>
    <row r="821" spans="1:18" s="51" customFormat="1" ht="13.5" customHeight="1" outlineLevel="1" x14ac:dyDescent="0.3">
      <c r="A821" s="13">
        <v>0</v>
      </c>
      <c r="B821" s="49"/>
      <c r="C821" s="49"/>
      <c r="D821" s="370" t="s">
        <v>6482</v>
      </c>
      <c r="E821" s="67" t="str">
        <f>VLOOKUP(D821,'03. Insumos'!A:D,2,0)</f>
        <v>Rejunte para Pisos e Azulejos</v>
      </c>
      <c r="F821" s="68" t="s">
        <v>5218</v>
      </c>
      <c r="G821" s="68" t="str">
        <f>VLOOKUP(D821,'03. Insumos'!A:F,3,0)</f>
        <v>bd</v>
      </c>
      <c r="H821" s="69">
        <v>1.1000000000000001</v>
      </c>
      <c r="I821" s="483">
        <f>ROUNDUP(((H812/8)),0)</f>
        <v>143</v>
      </c>
      <c r="J821" s="70">
        <f t="shared" si="652"/>
        <v>23.9</v>
      </c>
      <c r="K821" s="70">
        <f>IF(A821=0,VLOOKUP(D821,'03. Insumos'!A:F,4,0),"")</f>
        <v>23.9</v>
      </c>
      <c r="L821" s="70">
        <f t="shared" si="651"/>
        <v>3759.47</v>
      </c>
      <c r="M821" s="153">
        <f t="shared" ca="1" si="624"/>
        <v>2.2827026042584794E-4</v>
      </c>
      <c r="O821" s="148"/>
      <c r="R821" s="356"/>
    </row>
    <row r="822" spans="1:18" s="51" customFormat="1" ht="13.5" customHeight="1" outlineLevel="1" x14ac:dyDescent="0.3">
      <c r="A822" s="13">
        <v>0</v>
      </c>
      <c r="B822" s="49"/>
      <c r="C822" s="49"/>
      <c r="D822" s="370" t="s">
        <v>7447</v>
      </c>
      <c r="E822" s="67" t="str">
        <f>VLOOKUP(D822,'03. Insumos'!A:D,2,0)</f>
        <v>Nivelador de piso - Clips</v>
      </c>
      <c r="F822" s="68" t="s">
        <v>5218</v>
      </c>
      <c r="G822" s="68" t="str">
        <f>VLOOKUP(D822,'03. Insumos'!A:F,3,0)</f>
        <v>unid</v>
      </c>
      <c r="H822" s="69">
        <v>1.1000000000000001</v>
      </c>
      <c r="I822" s="483">
        <f>ROUNDUP(H812*12,0)</f>
        <v>13637</v>
      </c>
      <c r="J822" s="70">
        <f t="shared" ref="J822:J823" si="653">IFERROR(IF(K822&lt;&gt;0,K822*$K$5,0),0)</f>
        <v>0.25</v>
      </c>
      <c r="K822" s="70">
        <f>IF(A822=0,VLOOKUP(D822,'03. Insumos'!A:F,4,0),"")</f>
        <v>0.25</v>
      </c>
      <c r="L822" s="70">
        <f t="shared" ref="L822:L823" si="654">H822*J822*I822</f>
        <v>3750.1750000000002</v>
      </c>
      <c r="M822" s="153">
        <f t="shared" ref="M822:M823" ca="1" si="655">L822/$L$7</f>
        <v>2.2770587978957255E-4</v>
      </c>
      <c r="O822" s="148"/>
      <c r="R822" s="356"/>
    </row>
    <row r="823" spans="1:18" s="51" customFormat="1" ht="13.5" customHeight="1" outlineLevel="1" x14ac:dyDescent="0.3">
      <c r="A823" s="13">
        <v>0</v>
      </c>
      <c r="B823" s="49"/>
      <c r="C823" s="49"/>
      <c r="D823" s="370" t="s">
        <v>7448</v>
      </c>
      <c r="E823" s="67" t="str">
        <f>VLOOKUP(D823,'03. Insumos'!A:D,2,0)</f>
        <v>Nivelador de piso - Cunha</v>
      </c>
      <c r="F823" s="68" t="s">
        <v>5218</v>
      </c>
      <c r="G823" s="68" t="str">
        <f>VLOOKUP(D823,'03. Insumos'!A:F,3,0)</f>
        <v>unid</v>
      </c>
      <c r="H823" s="69">
        <v>1.1000000000000001</v>
      </c>
      <c r="I823" s="483">
        <f>ROUNDUP(H812*12/4,0)</f>
        <v>3410</v>
      </c>
      <c r="J823" s="70">
        <f t="shared" si="653"/>
        <v>0.49000000000000005</v>
      </c>
      <c r="K823" s="70">
        <f>IF(A823=0,VLOOKUP(D823,'03. Insumos'!A:F,4,0),"")</f>
        <v>0.49000000000000005</v>
      </c>
      <c r="L823" s="70">
        <f t="shared" si="654"/>
        <v>1837.9900000000005</v>
      </c>
      <c r="M823" s="153">
        <f t="shared" ca="1" si="655"/>
        <v>1.1160042664527297E-4</v>
      </c>
      <c r="O823" s="148"/>
      <c r="R823" s="356"/>
    </row>
    <row r="824" spans="1:18" s="51" customFormat="1" ht="13.5" hidden="1" customHeight="1" outlineLevel="1" x14ac:dyDescent="0.3">
      <c r="A824" s="13">
        <v>0</v>
      </c>
      <c r="B824" s="49"/>
      <c r="C824" s="49"/>
      <c r="D824" s="370" t="s">
        <v>7451</v>
      </c>
      <c r="E824" s="67" t="str">
        <f>VLOOKUP(D824,'03. Insumos'!A:D,2,0)</f>
        <v>Cantoneira de alumínio cor branca</v>
      </c>
      <c r="F824" s="68" t="s">
        <v>5218</v>
      </c>
      <c r="G824" s="68" t="str">
        <f>VLOOKUP(D824,'03. Insumos'!A:F,3,0)</f>
        <v>m</v>
      </c>
      <c r="H824" s="69">
        <v>1.1000000000000001</v>
      </c>
      <c r="I824" s="483"/>
      <c r="J824" s="70">
        <f t="shared" si="652"/>
        <v>47.5</v>
      </c>
      <c r="K824" s="70">
        <f>IF(A824=0,VLOOKUP(D824,'03. Insumos'!A:F,4,0),"")</f>
        <v>47.5</v>
      </c>
      <c r="L824" s="70">
        <f t="shared" si="651"/>
        <v>0</v>
      </c>
      <c r="M824" s="153">
        <f t="shared" ca="1" si="624"/>
        <v>0</v>
      </c>
      <c r="O824" s="148"/>
      <c r="R824" s="356"/>
    </row>
    <row r="825" spans="1:18" s="59" customFormat="1" ht="13.5" hidden="1" customHeight="1" outlineLevel="1" x14ac:dyDescent="0.3">
      <c r="A825" s="290">
        <f t="shared" ref="A825:A827" si="656">LEN(C825)</f>
        <v>6</v>
      </c>
      <c r="B825" s="606"/>
      <c r="C825" s="606" t="s">
        <v>1298</v>
      </c>
      <c r="D825" s="648" t="s">
        <v>7283</v>
      </c>
      <c r="E825" s="391"/>
      <c r="F825" s="325"/>
      <c r="G825" s="325" t="s">
        <v>73</v>
      </c>
      <c r="H825" s="326"/>
      <c r="I825" s="547"/>
      <c r="J825" s="812" t="e">
        <f>L825/H825</f>
        <v>#DIV/0!</v>
      </c>
      <c r="K825" s="607" t="str">
        <f>IF(A825=0,VLOOKUP(D825,'03. Insumos'!A:F,4,0),"")</f>
        <v/>
      </c>
      <c r="L825" s="334">
        <f>SUM(L826:L829)</f>
        <v>0</v>
      </c>
      <c r="M825" s="153">
        <f t="shared" ca="1" si="624"/>
        <v>0</v>
      </c>
      <c r="O825" s="148">
        <f t="shared" ref="O825:O829" si="657">IF(I825&lt;&gt;0,I825*H825*K825,)</f>
        <v>0</v>
      </c>
      <c r="R825" s="12" t="e">
        <f>IF(J825&lt;&gt;0,J825/1.03-K825,0)</f>
        <v>#DIV/0!</v>
      </c>
    </row>
    <row r="826" spans="1:18" s="71" customFormat="1" hidden="1" outlineLevel="1" x14ac:dyDescent="0.3">
      <c r="A826" s="59">
        <f t="shared" si="656"/>
        <v>0</v>
      </c>
      <c r="B826" s="67"/>
      <c r="C826" s="67"/>
      <c r="D826" s="370" t="s">
        <v>6821</v>
      </c>
      <c r="E826" s="706" t="str">
        <f>VLOOKUP(D826,'03. Insumos'!A:D,2,0)</f>
        <v>Revestimento Porcelanato Portobello, Gap White BR Retificado, 30 x 60 cm - Cod. 202220E - Material</v>
      </c>
      <c r="F826" s="68" t="s">
        <v>5218</v>
      </c>
      <c r="G826" s="68" t="str">
        <f>VLOOKUP(D826,'03. Insumos'!A:F,3,0)</f>
        <v>m²</v>
      </c>
      <c r="H826" s="69">
        <v>1.1000000000000001</v>
      </c>
      <c r="I826" s="483">
        <f>H825</f>
        <v>0</v>
      </c>
      <c r="J826" s="70">
        <f t="shared" ref="J826:J829" si="658">IFERROR(IF(K826&lt;&gt;0,K826*$K$5,0),0)</f>
        <v>74.709999999999994</v>
      </c>
      <c r="K826" s="70">
        <f>IF(A826=0,VLOOKUP(D826,'03. Insumos'!A:F,4,0),"")</f>
        <v>74.709999999999994</v>
      </c>
      <c r="L826" s="70">
        <f t="shared" ref="L826:L829" si="659">H826*J826*I826</f>
        <v>0</v>
      </c>
      <c r="M826" s="153">
        <f t="shared" ca="1" si="624"/>
        <v>0</v>
      </c>
      <c r="O826" s="499">
        <f t="shared" si="657"/>
        <v>0</v>
      </c>
      <c r="R826" s="500">
        <f>IF(J826&lt;&gt;0,J826/1.03-K826,0)</f>
        <v>-2.1760194174757288</v>
      </c>
    </row>
    <row r="827" spans="1:18" s="51" customFormat="1" ht="13.5" hidden="1" customHeight="1" outlineLevel="1" x14ac:dyDescent="0.3">
      <c r="A827" s="13">
        <f t="shared" si="656"/>
        <v>0</v>
      </c>
      <c r="B827" s="49"/>
      <c r="C827" s="49"/>
      <c r="D827" s="370" t="s">
        <v>6480</v>
      </c>
      <c r="E827" s="67" t="str">
        <f>VLOOKUP(D827,'03. Insumos'!A:D,2,0)</f>
        <v>Revestimento de Parede - Mão de Obra</v>
      </c>
      <c r="F827" s="68" t="s">
        <v>3809</v>
      </c>
      <c r="G827" s="68" t="str">
        <f>VLOOKUP(D827,'03. Insumos'!A:F,3,0)</f>
        <v>m²</v>
      </c>
      <c r="H827" s="69">
        <v>1</v>
      </c>
      <c r="I827" s="483">
        <f>H825</f>
        <v>0</v>
      </c>
      <c r="J827" s="70">
        <f t="shared" si="658"/>
        <v>90</v>
      </c>
      <c r="K827" s="70">
        <f>IF(A827=0,VLOOKUP(D827,'03. Insumos'!A:F,4,0),"")</f>
        <v>90</v>
      </c>
      <c r="L827" s="70">
        <f t="shared" si="659"/>
        <v>0</v>
      </c>
      <c r="M827" s="153">
        <f t="shared" ca="1" si="624"/>
        <v>0</v>
      </c>
      <c r="O827" s="148">
        <f t="shared" si="657"/>
        <v>0</v>
      </c>
      <c r="R827" s="356"/>
    </row>
    <row r="828" spans="1:18" s="51" customFormat="1" ht="13.5" hidden="1" customHeight="1" outlineLevel="1" x14ac:dyDescent="0.3">
      <c r="A828" s="13">
        <v>0</v>
      </c>
      <c r="B828" s="49"/>
      <c r="C828" s="49"/>
      <c r="D828" s="370" t="s">
        <v>6747</v>
      </c>
      <c r="E828" s="67" t="str">
        <f>VLOOKUP(D828,'03. Insumos'!A:D,2,0)</f>
        <v>Argamassa AC II Ligamax Gold Extra 20 Kgs</v>
      </c>
      <c r="F828" s="68" t="s">
        <v>5218</v>
      </c>
      <c r="G828" s="68" t="str">
        <f>VLOOKUP(D828,'03. Insumos'!A:F,3,0)</f>
        <v>sc</v>
      </c>
      <c r="H828" s="69">
        <v>1.1000000000000001</v>
      </c>
      <c r="I828" s="483">
        <f>ROUNDUP(((H825/4.5)),0)</f>
        <v>0</v>
      </c>
      <c r="J828" s="70">
        <f t="shared" si="658"/>
        <v>28.05</v>
      </c>
      <c r="K828" s="70">
        <f>IF(A828=0,VLOOKUP(D828,'03. Insumos'!A:F,4,0),"")</f>
        <v>28.05</v>
      </c>
      <c r="L828" s="70">
        <f t="shared" si="659"/>
        <v>0</v>
      </c>
      <c r="M828" s="153">
        <f t="shared" ca="1" si="624"/>
        <v>0</v>
      </c>
      <c r="O828" s="148">
        <f t="shared" si="657"/>
        <v>0</v>
      </c>
      <c r="R828" s="356"/>
    </row>
    <row r="829" spans="1:18" s="51" customFormat="1" ht="13.5" hidden="1" customHeight="1" outlineLevel="1" x14ac:dyDescent="0.3">
      <c r="A829" s="13">
        <v>0</v>
      </c>
      <c r="B829" s="49"/>
      <c r="C829" s="49"/>
      <c r="D829" s="370" t="s">
        <v>6482</v>
      </c>
      <c r="E829" s="67" t="str">
        <f>VLOOKUP(D829,'03. Insumos'!A:D,2,0)</f>
        <v>Rejunte para Pisos e Azulejos</v>
      </c>
      <c r="F829" s="68" t="s">
        <v>5218</v>
      </c>
      <c r="G829" s="68" t="str">
        <f>VLOOKUP(D829,'03. Insumos'!A:F,3,0)</f>
        <v>bd</v>
      </c>
      <c r="H829" s="69">
        <v>1.1000000000000001</v>
      </c>
      <c r="I829" s="69">
        <f>ROUNDUP((H825/11.1),0)</f>
        <v>0</v>
      </c>
      <c r="J829" s="70">
        <f t="shared" si="658"/>
        <v>23.9</v>
      </c>
      <c r="K829" s="70">
        <f>IF(A829=0,VLOOKUP(D829,'03. Insumos'!A:F,4,0),"")</f>
        <v>23.9</v>
      </c>
      <c r="L829" s="70">
        <f t="shared" si="659"/>
        <v>0</v>
      </c>
      <c r="M829" s="153">
        <f t="shared" ca="1" si="624"/>
        <v>0</v>
      </c>
      <c r="O829" s="148">
        <f t="shared" si="657"/>
        <v>0</v>
      </c>
      <c r="R829" s="356"/>
    </row>
    <row r="830" spans="1:18" s="59" customFormat="1" ht="13.5" hidden="1" customHeight="1" outlineLevel="1" x14ac:dyDescent="0.3">
      <c r="A830" s="290">
        <f t="shared" ref="A830:A832" si="660">LEN(C830)</f>
        <v>6</v>
      </c>
      <c r="B830" s="606"/>
      <c r="C830" s="606" t="s">
        <v>322</v>
      </c>
      <c r="D830" s="648" t="s">
        <v>7284</v>
      </c>
      <c r="E830" s="391"/>
      <c r="F830" s="325"/>
      <c r="G830" s="325" t="s">
        <v>73</v>
      </c>
      <c r="H830" s="326"/>
      <c r="I830" s="547"/>
      <c r="J830" s="812" t="e">
        <f>L830/H830</f>
        <v>#DIV/0!</v>
      </c>
      <c r="K830" s="607" t="str">
        <f>IF(A830=0,VLOOKUP(D830,'03. Insumos'!A:F,4,0),"")</f>
        <v/>
      </c>
      <c r="L830" s="334">
        <f>SUM(L831:L834)</f>
        <v>0</v>
      </c>
      <c r="M830" s="153">
        <f t="shared" ca="1" si="624"/>
        <v>0</v>
      </c>
      <c r="O830" s="148">
        <f t="shared" ref="O830:O841" si="661">IF(I830&lt;&gt;0,I830*H830*K830,)</f>
        <v>0</v>
      </c>
      <c r="R830" s="12" t="e">
        <f>IF(J830&lt;&gt;0,J830/1.03-K830,0)</f>
        <v>#DIV/0!</v>
      </c>
    </row>
    <row r="831" spans="1:18" s="71" customFormat="1" hidden="1" outlineLevel="1" x14ac:dyDescent="0.3">
      <c r="A831" s="59">
        <f t="shared" si="660"/>
        <v>0</v>
      </c>
      <c r="B831" s="67"/>
      <c r="C831" s="67"/>
      <c r="D831" s="370" t="s">
        <v>6822</v>
      </c>
      <c r="E831" s="706" t="str">
        <f>VLOOKUP(D831,'03. Insumos'!A:D,2,0)</f>
        <v>Revestimento Porcelanato Portobello, ST Martin Polido Retificado, 90 x 90 cm - Cod. 28927E - Material</v>
      </c>
      <c r="F831" s="68" t="s">
        <v>5218</v>
      </c>
      <c r="G831" s="68" t="str">
        <f>VLOOKUP(D831,'03. Insumos'!A:F,3,0)</f>
        <v>m²</v>
      </c>
      <c r="H831" s="69">
        <v>1.1000000000000001</v>
      </c>
      <c r="I831" s="483">
        <f>H830</f>
        <v>0</v>
      </c>
      <c r="J831" s="70">
        <f t="shared" ref="J831:J834" si="662">IFERROR(IF(K831&lt;&gt;0,K831*$K$5,0),0)</f>
        <v>89.56</v>
      </c>
      <c r="K831" s="70">
        <f>IF(A831=0,VLOOKUP(D831,'03. Insumos'!A:F,4,0),"")</f>
        <v>89.56</v>
      </c>
      <c r="L831" s="70">
        <f t="shared" ref="L831:L834" si="663">H831*J831*I831</f>
        <v>0</v>
      </c>
      <c r="M831" s="153">
        <f t="shared" ca="1" si="624"/>
        <v>0</v>
      </c>
      <c r="O831" s="499">
        <f t="shared" si="661"/>
        <v>0</v>
      </c>
      <c r="R831" s="500">
        <f>IF(J831&lt;&gt;0,J831/1.03-K831,0)</f>
        <v>-2.6085436893203848</v>
      </c>
    </row>
    <row r="832" spans="1:18" s="51" customFormat="1" ht="13.5" hidden="1" customHeight="1" outlineLevel="1" x14ac:dyDescent="0.3">
      <c r="A832" s="13">
        <f t="shared" si="660"/>
        <v>0</v>
      </c>
      <c r="B832" s="49"/>
      <c r="C832" s="49"/>
      <c r="D832" s="370" t="s">
        <v>6480</v>
      </c>
      <c r="E832" s="67" t="str">
        <f>VLOOKUP(D832,'03. Insumos'!A:D,2,0)</f>
        <v>Revestimento de Parede - Mão de Obra</v>
      </c>
      <c r="F832" s="68" t="s">
        <v>3809</v>
      </c>
      <c r="G832" s="68" t="str">
        <f>VLOOKUP(D832,'03. Insumos'!A:F,3,0)</f>
        <v>m²</v>
      </c>
      <c r="H832" s="69">
        <v>1</v>
      </c>
      <c r="I832" s="483">
        <f>H830</f>
        <v>0</v>
      </c>
      <c r="J832" s="70">
        <f t="shared" si="662"/>
        <v>90</v>
      </c>
      <c r="K832" s="70">
        <f>IF(A832=0,VLOOKUP(D832,'03. Insumos'!A:F,4,0),"")</f>
        <v>90</v>
      </c>
      <c r="L832" s="70">
        <f t="shared" si="663"/>
        <v>0</v>
      </c>
      <c r="M832" s="153">
        <f t="shared" ca="1" si="624"/>
        <v>0</v>
      </c>
      <c r="O832" s="148">
        <f t="shared" si="661"/>
        <v>0</v>
      </c>
      <c r="R832" s="356"/>
    </row>
    <row r="833" spans="1:18" s="51" customFormat="1" ht="13.5" hidden="1" customHeight="1" outlineLevel="1" x14ac:dyDescent="0.3">
      <c r="A833" s="13">
        <v>0</v>
      </c>
      <c r="B833" s="49"/>
      <c r="C833" s="49"/>
      <c r="D833" s="370" t="s">
        <v>6747</v>
      </c>
      <c r="E833" s="67" t="str">
        <f>VLOOKUP(D833,'03. Insumos'!A:D,2,0)</f>
        <v>Argamassa AC II Ligamax Gold Extra 20 Kgs</v>
      </c>
      <c r="F833" s="68" t="s">
        <v>5218</v>
      </c>
      <c r="G833" s="68" t="str">
        <f>VLOOKUP(D833,'03. Insumos'!A:F,3,0)</f>
        <v>sc</v>
      </c>
      <c r="H833" s="69">
        <v>1.1000000000000001</v>
      </c>
      <c r="I833" s="483">
        <f>ROUNDUP(((H830*8)/20),0)</f>
        <v>0</v>
      </c>
      <c r="J833" s="70">
        <f t="shared" si="662"/>
        <v>28.05</v>
      </c>
      <c r="K833" s="70">
        <f>IF(A833=0,VLOOKUP(D833,'03. Insumos'!A:F,4,0),"")</f>
        <v>28.05</v>
      </c>
      <c r="L833" s="70">
        <f t="shared" si="663"/>
        <v>0</v>
      </c>
      <c r="M833" s="153">
        <f t="shared" ca="1" si="624"/>
        <v>0</v>
      </c>
      <c r="O833" s="148">
        <f t="shared" si="661"/>
        <v>0</v>
      </c>
      <c r="R833" s="356"/>
    </row>
    <row r="834" spans="1:18" s="51" customFormat="1" ht="13.5" hidden="1" customHeight="1" outlineLevel="1" x14ac:dyDescent="0.3">
      <c r="A834" s="13">
        <v>0</v>
      </c>
      <c r="B834" s="49"/>
      <c r="C834" s="49"/>
      <c r="D834" s="370" t="s">
        <v>6482</v>
      </c>
      <c r="E834" s="67" t="str">
        <f>VLOOKUP(D834,'03. Insumos'!A:D,2,0)</f>
        <v>Rejunte para Pisos e Azulejos</v>
      </c>
      <c r="F834" s="68" t="s">
        <v>5218</v>
      </c>
      <c r="G834" s="68" t="str">
        <f>VLOOKUP(D834,'03. Insumos'!A:F,3,0)</f>
        <v>bd</v>
      </c>
      <c r="H834" s="69">
        <v>1.1000000000000001</v>
      </c>
      <c r="I834" s="483">
        <f>$H$830*0.1</f>
        <v>0</v>
      </c>
      <c r="J834" s="70">
        <f t="shared" si="662"/>
        <v>23.9</v>
      </c>
      <c r="K834" s="70">
        <f>IF(A834=0,VLOOKUP(D834,'03. Insumos'!A:F,4,0),"")</f>
        <v>23.9</v>
      </c>
      <c r="L834" s="70">
        <f t="shared" si="663"/>
        <v>0</v>
      </c>
      <c r="M834" s="153">
        <f t="shared" ca="1" si="624"/>
        <v>0</v>
      </c>
      <c r="O834" s="148">
        <f t="shared" si="661"/>
        <v>0</v>
      </c>
      <c r="R834" s="356"/>
    </row>
    <row r="835" spans="1:18" s="59" customFormat="1" ht="13.5" hidden="1" customHeight="1" outlineLevel="1" x14ac:dyDescent="0.3">
      <c r="A835" s="290">
        <f t="shared" ref="A835:A837" si="664">LEN(C835)</f>
        <v>6</v>
      </c>
      <c r="B835" s="606"/>
      <c r="C835" s="606" t="s">
        <v>323</v>
      </c>
      <c r="D835" s="648" t="s">
        <v>7285</v>
      </c>
      <c r="E835" s="391"/>
      <c r="F835" s="325"/>
      <c r="G835" s="325" t="s">
        <v>73</v>
      </c>
      <c r="H835" s="326"/>
      <c r="I835" s="547"/>
      <c r="J835" s="812" t="e">
        <f>L835/H835</f>
        <v>#DIV/0!</v>
      </c>
      <c r="K835" s="607" t="str">
        <f>IF(A835=0,VLOOKUP(D835,'03. Insumos'!A:F,4,0),"")</f>
        <v/>
      </c>
      <c r="L835" s="334">
        <f>SUM(L836:L839)</f>
        <v>0</v>
      </c>
      <c r="M835" s="153">
        <f t="shared" ca="1" si="624"/>
        <v>0</v>
      </c>
      <c r="O835" s="148">
        <f>IF(I835&lt;&gt;0,I835*H835*K835,)</f>
        <v>0</v>
      </c>
      <c r="R835" s="12" t="e">
        <f>IF(J835&lt;&gt;0,J835/1.03-K835,0)</f>
        <v>#DIV/0!</v>
      </c>
    </row>
    <row r="836" spans="1:18" s="71" customFormat="1" hidden="1" outlineLevel="1" x14ac:dyDescent="0.3">
      <c r="A836" s="59">
        <f t="shared" si="664"/>
        <v>0</v>
      </c>
      <c r="B836" s="67"/>
      <c r="C836" s="67"/>
      <c r="D836" s="370" t="s">
        <v>6823</v>
      </c>
      <c r="E836" s="67" t="str">
        <f>VLOOKUP(D836,'03. Insumos'!A:D,2,0)</f>
        <v>Revestimento Porcelanato Portobello, Simplesmente Branco Natural, 90 x 90 cm - Cod. 99522E - Material</v>
      </c>
      <c r="F836" s="68" t="s">
        <v>5218</v>
      </c>
      <c r="G836" s="68" t="str">
        <f>VLOOKUP(D836,'03. Insumos'!A:F,3,0)</f>
        <v>m²</v>
      </c>
      <c r="H836" s="69">
        <v>1.1000000000000001</v>
      </c>
      <c r="I836" s="483">
        <f>H835</f>
        <v>0</v>
      </c>
      <c r="J836" s="70">
        <f t="shared" ref="J836:J839" si="665">IFERROR(IF(K836&lt;&gt;0,K836*$K$5,0),0)</f>
        <v>229.98</v>
      </c>
      <c r="K836" s="70">
        <f>IF(A836=0,VLOOKUP(D836,'03. Insumos'!A:F,4,0),"")</f>
        <v>229.98</v>
      </c>
      <c r="L836" s="70">
        <f t="shared" ref="L836:L839" si="666">H836*J836*I836</f>
        <v>0</v>
      </c>
      <c r="M836" s="153">
        <f t="shared" ca="1" si="624"/>
        <v>0</v>
      </c>
      <c r="O836" s="499">
        <f>IF(I836&lt;&gt;0,I836*H836*K836,)</f>
        <v>0</v>
      </c>
      <c r="R836" s="500">
        <f>IF(J836&lt;&gt;0,J836/1.03-K836,0)</f>
        <v>-6.6984466019417539</v>
      </c>
    </row>
    <row r="837" spans="1:18" s="51" customFormat="1" ht="13.5" hidden="1" customHeight="1" outlineLevel="1" x14ac:dyDescent="0.3">
      <c r="A837" s="13">
        <f t="shared" si="664"/>
        <v>0</v>
      </c>
      <c r="B837" s="49"/>
      <c r="C837" s="49"/>
      <c r="D837" s="370" t="s">
        <v>6480</v>
      </c>
      <c r="E837" s="67" t="str">
        <f>VLOOKUP(D837,'03. Insumos'!A:D,2,0)</f>
        <v>Revestimento de Parede - Mão de Obra</v>
      </c>
      <c r="F837" s="68" t="s">
        <v>3809</v>
      </c>
      <c r="G837" s="68" t="str">
        <f>VLOOKUP(D837,'03. Insumos'!A:F,3,0)</f>
        <v>m²</v>
      </c>
      <c r="H837" s="69">
        <v>1</v>
      </c>
      <c r="I837" s="483">
        <f>H835</f>
        <v>0</v>
      </c>
      <c r="J837" s="70">
        <f t="shared" si="665"/>
        <v>90</v>
      </c>
      <c r="K837" s="70">
        <f>IF(A837=0,VLOOKUP(D837,'03. Insumos'!A:F,4,0),"")</f>
        <v>90</v>
      </c>
      <c r="L837" s="70">
        <f t="shared" si="666"/>
        <v>0</v>
      </c>
      <c r="M837" s="153">
        <f t="shared" ca="1" si="624"/>
        <v>0</v>
      </c>
      <c r="O837" s="148">
        <f>IF(I837&lt;&gt;0,I837*H837*K837,)</f>
        <v>0</v>
      </c>
      <c r="R837" s="356"/>
    </row>
    <row r="838" spans="1:18" s="51" customFormat="1" ht="13.5" hidden="1" customHeight="1" outlineLevel="1" x14ac:dyDescent="0.3">
      <c r="A838" s="13">
        <v>0</v>
      </c>
      <c r="B838" s="49"/>
      <c r="C838" s="49"/>
      <c r="D838" s="370" t="s">
        <v>6747</v>
      </c>
      <c r="E838" s="67" t="str">
        <f>VLOOKUP(D838,'03. Insumos'!A:D,2,0)</f>
        <v>Argamassa AC II Ligamax Gold Extra 20 Kgs</v>
      </c>
      <c r="F838" s="68" t="s">
        <v>5218</v>
      </c>
      <c r="G838" s="68" t="str">
        <f>VLOOKUP(D838,'03. Insumos'!A:F,3,0)</f>
        <v>sc</v>
      </c>
      <c r="H838" s="69">
        <v>1.1000000000000001</v>
      </c>
      <c r="I838" s="483">
        <f>ROUNDUP(((H835*8)/20),0)</f>
        <v>0</v>
      </c>
      <c r="J838" s="70">
        <f t="shared" si="665"/>
        <v>28.05</v>
      </c>
      <c r="K838" s="70">
        <f>IF(A838=0,VLOOKUP(D838,'03. Insumos'!A:F,4,0),"")</f>
        <v>28.05</v>
      </c>
      <c r="L838" s="70">
        <f t="shared" si="666"/>
        <v>0</v>
      </c>
      <c r="M838" s="153">
        <f t="shared" ca="1" si="624"/>
        <v>0</v>
      </c>
      <c r="O838" s="148">
        <f>IF(I838&lt;&gt;0,I838*H838*K838,)</f>
        <v>0</v>
      </c>
      <c r="R838" s="356"/>
    </row>
    <row r="839" spans="1:18" s="51" customFormat="1" ht="13.5" hidden="1" customHeight="1" outlineLevel="1" x14ac:dyDescent="0.3">
      <c r="A839" s="13">
        <v>0</v>
      </c>
      <c r="B839" s="49"/>
      <c r="C839" s="49"/>
      <c r="D839" s="370" t="s">
        <v>6482</v>
      </c>
      <c r="E839" s="67" t="str">
        <f>VLOOKUP(D839,'03. Insumos'!A:D,2,0)</f>
        <v>Rejunte para Pisos e Azulejos</v>
      </c>
      <c r="F839" s="68" t="s">
        <v>5218</v>
      </c>
      <c r="G839" s="68" t="str">
        <f>VLOOKUP(D839,'03. Insumos'!A:F,3,0)</f>
        <v>bd</v>
      </c>
      <c r="H839" s="69">
        <v>1</v>
      </c>
      <c r="I839" s="69">
        <f>ROUNDUP((H835*1.62)/20,0)</f>
        <v>0</v>
      </c>
      <c r="J839" s="70">
        <f t="shared" si="665"/>
        <v>23.9</v>
      </c>
      <c r="K839" s="70">
        <f>IF(A839=0,VLOOKUP(D839,'03. Insumos'!A:F,4,0),"")</f>
        <v>23.9</v>
      </c>
      <c r="L839" s="70">
        <f t="shared" si="666"/>
        <v>0</v>
      </c>
      <c r="M839" s="153">
        <f t="shared" ca="1" si="624"/>
        <v>0</v>
      </c>
      <c r="O839" s="148">
        <f>IF(I839&lt;&gt;0,I839*H839*K839,)</f>
        <v>0</v>
      </c>
      <c r="R839" s="356"/>
    </row>
    <row r="840" spans="1:18" s="59" customFormat="1" ht="13.5" hidden="1" customHeight="1" outlineLevel="1" x14ac:dyDescent="0.3">
      <c r="A840" s="290">
        <f t="shared" ref="A840:A841" si="667">LEN(C840)</f>
        <v>6</v>
      </c>
      <c r="B840" s="606"/>
      <c r="C840" s="606" t="s">
        <v>1298</v>
      </c>
      <c r="D840" s="648" t="s">
        <v>7286</v>
      </c>
      <c r="E840" s="391"/>
      <c r="F840" s="325"/>
      <c r="G840" s="325" t="s">
        <v>73</v>
      </c>
      <c r="H840" s="326"/>
      <c r="I840" s="673"/>
      <c r="J840" s="673"/>
      <c r="K840" s="607" t="str">
        <f>IF(A840=0,VLOOKUP(D840,'03. Insumos'!A:F,4,0),"")</f>
        <v/>
      </c>
      <c r="L840" s="334">
        <f>SUM(L841:L841)</f>
        <v>0</v>
      </c>
      <c r="M840" s="153">
        <f t="shared" ca="1" si="624"/>
        <v>0</v>
      </c>
      <c r="N840" s="59" t="e">
        <f>L840/H840</f>
        <v>#DIV/0!</v>
      </c>
      <c r="O840" s="148">
        <f t="shared" si="661"/>
        <v>0</v>
      </c>
      <c r="R840" s="12">
        <f>IF(J840&lt;&gt;0,J840/1.03-K840,0)</f>
        <v>0</v>
      </c>
    </row>
    <row r="841" spans="1:18" s="71" customFormat="1" hidden="1" outlineLevel="1" x14ac:dyDescent="0.3">
      <c r="A841" s="59">
        <f t="shared" si="667"/>
        <v>0</v>
      </c>
      <c r="B841" s="67"/>
      <c r="C841" s="67"/>
      <c r="D841" s="370" t="s">
        <v>6819</v>
      </c>
      <c r="E841" s="706" t="str">
        <f>VLOOKUP(D841,'03. Insumos'!A:D,2,0)</f>
        <v>Revestimento Acústico em Forrovid</v>
      </c>
      <c r="F841" s="68" t="s">
        <v>5218</v>
      </c>
      <c r="G841" s="68" t="str">
        <f>VLOOKUP(D841,'03. Insumos'!A:F,3,0)</f>
        <v>m²</v>
      </c>
      <c r="H841" s="69">
        <v>1</v>
      </c>
      <c r="I841" s="483">
        <f>$H$840</f>
        <v>0</v>
      </c>
      <c r="J841" s="70">
        <f t="shared" ref="J841" si="668">IFERROR(IF(K841&lt;&gt;0,K841*$K$5,0),0)</f>
        <v>198</v>
      </c>
      <c r="K841" s="70">
        <f>IF(A841=0,VLOOKUP(D841,'03. Insumos'!A:F,4,0),"")</f>
        <v>198</v>
      </c>
      <c r="L841" s="70">
        <f t="shared" ref="L841" si="669">H841*J841*I841</f>
        <v>0</v>
      </c>
      <c r="M841" s="153">
        <f t="shared" ca="1" si="624"/>
        <v>0</v>
      </c>
      <c r="O841" s="499">
        <f t="shared" si="661"/>
        <v>0</v>
      </c>
      <c r="R841" s="500">
        <f>IF(J841&lt;&gt;0,J841/1.03-K841,0)</f>
        <v>-5.7669902912621467</v>
      </c>
    </row>
    <row r="842" spans="1:18" s="51" customFormat="1" ht="13.5" customHeight="1" outlineLevel="1" x14ac:dyDescent="0.3">
      <c r="A842" s="290">
        <f t="shared" ref="A842:A853" si="670">LEN(C842)</f>
        <v>4</v>
      </c>
      <c r="B842" s="45"/>
      <c r="C842" s="45" t="s">
        <v>1508</v>
      </c>
      <c r="D842" s="45" t="s">
        <v>1509</v>
      </c>
      <c r="E842" s="347"/>
      <c r="F842" s="327"/>
      <c r="G842" s="328"/>
      <c r="H842" s="328"/>
      <c r="I842" s="548"/>
      <c r="J842" s="335"/>
      <c r="K842" s="335"/>
      <c r="L842" s="335">
        <f>SUMIF(A843:A903,6,L843:L903)</f>
        <v>481056.65681600006</v>
      </c>
      <c r="M842" s="153">
        <f t="shared" ca="1" si="624"/>
        <v>2.9209151377980431E-2</v>
      </c>
      <c r="O842" s="148"/>
      <c r="R842" s="12"/>
    </row>
    <row r="843" spans="1:18" s="59" customFormat="1" ht="13.5" customHeight="1" outlineLevel="1" x14ac:dyDescent="0.3">
      <c r="A843" s="290">
        <f t="shared" si="670"/>
        <v>6</v>
      </c>
      <c r="B843" s="606"/>
      <c r="C843" s="606" t="s">
        <v>1310</v>
      </c>
      <c r="D843" s="648" t="s">
        <v>7425</v>
      </c>
      <c r="E843" s="391"/>
      <c r="F843" s="325"/>
      <c r="G843" s="325" t="s">
        <v>73</v>
      </c>
      <c r="H843" s="326">
        <f>SUM(I844:I852)</f>
        <v>2616.7800000000002</v>
      </c>
      <c r="I843" s="65">
        <f>8*(1.2*1.2)</f>
        <v>11.52</v>
      </c>
      <c r="J843" s="812">
        <f>L843/H843</f>
        <v>149.43158408425623</v>
      </c>
      <c r="K843" s="607" t="str">
        <f>IF(A843=0,VLOOKUP(D843,'03. Insumos'!A:F,4,0),"")</f>
        <v/>
      </c>
      <c r="L843" s="334">
        <f>SUM(L844:L858)</f>
        <v>391029.58060000004</v>
      </c>
      <c r="M843" s="153">
        <f t="shared" ca="1" si="624"/>
        <v>2.3742821248147243E-2</v>
      </c>
      <c r="O843" s="148" t="e">
        <f t="shared" ref="O843:O849" si="671">IF(I843&lt;&gt;0,I843*H843*K843,)</f>
        <v>#VALUE!</v>
      </c>
      <c r="R843" s="12" t="e">
        <f t="shared" ref="R843:R849" si="672">IF(J843&lt;&gt;0,J843/1.03-K843,0)</f>
        <v>#VALUE!</v>
      </c>
    </row>
    <row r="844" spans="1:18" s="71" customFormat="1" outlineLevel="1" x14ac:dyDescent="0.3">
      <c r="A844" s="59">
        <f t="shared" si="670"/>
        <v>0</v>
      </c>
      <c r="B844" s="67"/>
      <c r="C844" s="67"/>
      <c r="D844" s="370" t="s">
        <v>7774</v>
      </c>
      <c r="E844" s="706" t="s">
        <v>8693</v>
      </c>
      <c r="F844" s="68" t="s">
        <v>5218</v>
      </c>
      <c r="G844" s="68" t="str">
        <f>VLOOKUP(D844,'03. Insumos'!A:F,3,0)</f>
        <v>m²</v>
      </c>
      <c r="H844" s="69">
        <v>1.2</v>
      </c>
      <c r="I844" s="483">
        <v>264.83000000000004</v>
      </c>
      <c r="J844" s="70">
        <f>58+9.35</f>
        <v>67.349999999999994</v>
      </c>
      <c r="K844" s="70">
        <f>IF(A844=0,VLOOKUP(D844,'03. Insumos'!A:F,4,0),"")</f>
        <v>103.67</v>
      </c>
      <c r="L844" s="70">
        <f t="shared" ref="L844:L848" si="673">H844*J844*I844</f>
        <v>21403.560600000001</v>
      </c>
      <c r="M844" s="153">
        <f t="shared" ca="1" si="624"/>
        <v>1.2995971113487854E-3</v>
      </c>
      <c r="O844" s="499">
        <f t="shared" si="671"/>
        <v>32945.911320000007</v>
      </c>
      <c r="R844" s="500">
        <f t="shared" si="672"/>
        <v>-38.281650485436899</v>
      </c>
    </row>
    <row r="845" spans="1:18" s="71" customFormat="1" hidden="1" outlineLevel="1" x14ac:dyDescent="0.3">
      <c r="A845" s="59">
        <f t="shared" si="670"/>
        <v>0</v>
      </c>
      <c r="B845" s="67"/>
      <c r="C845" s="67"/>
      <c r="D845" s="370" t="s">
        <v>7779</v>
      </c>
      <c r="E845" s="668" t="s">
        <v>8694</v>
      </c>
      <c r="F845" s="68" t="s">
        <v>5218</v>
      </c>
      <c r="G845" s="68" t="str">
        <f>VLOOKUP(D845,'03. Insumos'!A:F,3,0)</f>
        <v>m²</v>
      </c>
      <c r="H845" s="69">
        <v>1.1000000000000001</v>
      </c>
      <c r="I845" s="483">
        <v>0</v>
      </c>
      <c r="J845" s="70">
        <f>70.35+8.09</f>
        <v>78.44</v>
      </c>
      <c r="K845" s="70">
        <f>IF(A845=0,VLOOKUP(D845,'03. Insumos'!A:F,4,0),"")</f>
        <v>129.14000000000001</v>
      </c>
      <c r="L845" s="70">
        <f t="shared" si="673"/>
        <v>0</v>
      </c>
      <c r="M845" s="153">
        <f t="shared" ca="1" si="624"/>
        <v>0</v>
      </c>
      <c r="O845" s="499">
        <f t="shared" ref="O845:O848" si="674">IF(I845&lt;&gt;0,I845*H845*K845,)</f>
        <v>0</v>
      </c>
      <c r="R845" s="500">
        <f t="shared" ref="R845:R848" si="675">IF(J845&lt;&gt;0,J845/1.03-K845,0)</f>
        <v>-52.984660194174779</v>
      </c>
    </row>
    <row r="846" spans="1:18" s="71" customFormat="1" outlineLevel="1" x14ac:dyDescent="0.3">
      <c r="A846" s="59">
        <f t="shared" si="670"/>
        <v>0</v>
      </c>
      <c r="B846" s="67"/>
      <c r="C846" s="67"/>
      <c r="D846" s="370" t="s">
        <v>7790</v>
      </c>
      <c r="E846" s="706" t="s">
        <v>8695</v>
      </c>
      <c r="F846" s="68" t="s">
        <v>5218</v>
      </c>
      <c r="G846" s="68" t="str">
        <f>VLOOKUP(D846,'03. Insumos'!A:F,3,0)</f>
        <v>m²</v>
      </c>
      <c r="H846" s="69">
        <v>1.2</v>
      </c>
      <c r="I846" s="483">
        <v>32.74</v>
      </c>
      <c r="J846" s="70">
        <f>59.28+11.3</f>
        <v>70.58</v>
      </c>
      <c r="K846" s="70">
        <f>IF(A846=0,VLOOKUP(D846,'03. Insumos'!A:F,4,0),"")</f>
        <v>137.71</v>
      </c>
      <c r="L846" s="70">
        <f t="shared" si="673"/>
        <v>2772.94704</v>
      </c>
      <c r="M846" s="153">
        <f t="shared" ca="1" si="624"/>
        <v>1.6836983483519864E-4</v>
      </c>
      <c r="O846" s="499">
        <f t="shared" si="674"/>
        <v>5410.350480000001</v>
      </c>
      <c r="R846" s="500">
        <f t="shared" si="675"/>
        <v>-69.185728155339817</v>
      </c>
    </row>
    <row r="847" spans="1:18" s="71" customFormat="1" outlineLevel="1" x14ac:dyDescent="0.3">
      <c r="A847" s="59">
        <f t="shared" si="670"/>
        <v>0</v>
      </c>
      <c r="B847" s="67"/>
      <c r="C847" s="67"/>
      <c r="D847" s="370" t="s">
        <v>7791</v>
      </c>
      <c r="E847" s="706" t="s">
        <v>8696</v>
      </c>
      <c r="F847" s="68" t="s">
        <v>5218</v>
      </c>
      <c r="G847" s="68" t="str">
        <f>VLOOKUP(D847,'03. Insumos'!A:F,3,0)</f>
        <v>m²</v>
      </c>
      <c r="H847" s="69">
        <v>1.2</v>
      </c>
      <c r="I847" s="483">
        <v>421.53</v>
      </c>
      <c r="J847" s="70">
        <f>48.31+11.3</f>
        <v>59.61</v>
      </c>
      <c r="K847" s="70">
        <f>IF(A847=0,VLOOKUP(D847,'03. Insumos'!A:F,4,0),"")</f>
        <v>123.08000000000001</v>
      </c>
      <c r="L847" s="70">
        <f t="shared" si="673"/>
        <v>30152.883959999996</v>
      </c>
      <c r="M847" s="153">
        <f t="shared" ca="1" si="624"/>
        <v>1.8308449526501268E-3</v>
      </c>
      <c r="O847" s="499">
        <f t="shared" si="674"/>
        <v>62258.294880000001</v>
      </c>
      <c r="R847" s="500">
        <f t="shared" si="675"/>
        <v>-65.206213592233027</v>
      </c>
    </row>
    <row r="848" spans="1:18" s="71" customFormat="1" outlineLevel="1" x14ac:dyDescent="0.3">
      <c r="A848" s="59">
        <f t="shared" si="670"/>
        <v>0</v>
      </c>
      <c r="B848" s="67"/>
      <c r="C848" s="67"/>
      <c r="D848" s="370" t="s">
        <v>7781</v>
      </c>
      <c r="E848" s="1075" t="s">
        <v>8697</v>
      </c>
      <c r="F848" s="68" t="s">
        <v>5218</v>
      </c>
      <c r="G848" s="68" t="str">
        <f>VLOOKUP(D848,'03. Insumos'!A:F,3,0)</f>
        <v>m²</v>
      </c>
      <c r="H848" s="69">
        <v>1.2</v>
      </c>
      <c r="I848" s="483">
        <v>1711.07</v>
      </c>
      <c r="J848" s="338">
        <v>45</v>
      </c>
      <c r="K848" s="70">
        <f>IF(A848=0,VLOOKUP(D848,'03. Insumos'!A:F,4,0),"")</f>
        <v>202.32000000000002</v>
      </c>
      <c r="L848" s="70">
        <f t="shared" si="673"/>
        <v>92397.78</v>
      </c>
      <c r="M848" s="153">
        <f t="shared" ca="1" si="624"/>
        <v>5.6102762632419473E-3</v>
      </c>
      <c r="O848" s="499">
        <f t="shared" si="674"/>
        <v>415420.41887999995</v>
      </c>
      <c r="R848" s="500">
        <f t="shared" si="675"/>
        <v>-158.63067961165052</v>
      </c>
    </row>
    <row r="849" spans="1:18" s="71" customFormat="1" outlineLevel="1" x14ac:dyDescent="0.3">
      <c r="A849" s="59">
        <f t="shared" ref="A849" si="676">LEN(C849)</f>
        <v>0</v>
      </c>
      <c r="B849" s="67"/>
      <c r="C849" s="67"/>
      <c r="D849" s="370" t="s">
        <v>7779</v>
      </c>
      <c r="E849" s="1079" t="s">
        <v>8698</v>
      </c>
      <c r="F849" s="68" t="s">
        <v>5218</v>
      </c>
      <c r="G849" s="68" t="str">
        <f>VLOOKUP(D849,'03. Insumos'!A:F,3,0)</f>
        <v>m²</v>
      </c>
      <c r="H849" s="69">
        <v>1.2</v>
      </c>
      <c r="I849" s="483">
        <v>186.61</v>
      </c>
      <c r="J849" s="338">
        <v>45</v>
      </c>
      <c r="K849" s="70">
        <f>IF(A849=0,VLOOKUP(D849,'03. Insumos'!A:F,4,0),"")</f>
        <v>129.14000000000001</v>
      </c>
      <c r="L849" s="70">
        <f t="shared" ref="L849" si="677">H849*J849*I849</f>
        <v>10076.94</v>
      </c>
      <c r="M849" s="153">
        <f t="shared" ref="M849" ca="1" si="678">L849/$L$7</f>
        <v>6.118590434544349E-4</v>
      </c>
      <c r="O849" s="499">
        <f t="shared" si="671"/>
        <v>28918.578480000004</v>
      </c>
      <c r="R849" s="500">
        <f t="shared" si="672"/>
        <v>-85.4506796116505</v>
      </c>
    </row>
    <row r="850" spans="1:18" s="71" customFormat="1" hidden="1" outlineLevel="1" x14ac:dyDescent="0.3">
      <c r="A850" s="59">
        <f t="shared" ref="A850:A852" si="679">LEN(C850)</f>
        <v>0</v>
      </c>
      <c r="B850" s="67"/>
      <c r="C850" s="67"/>
      <c r="D850" s="370" t="s">
        <v>7790</v>
      </c>
      <c r="E850" s="706" t="s">
        <v>7591</v>
      </c>
      <c r="F850" s="68" t="s">
        <v>5218</v>
      </c>
      <c r="G850" s="68" t="str">
        <f>VLOOKUP(D850,'03. Insumos'!A:F,3,0)</f>
        <v>m²</v>
      </c>
      <c r="H850" s="69">
        <v>1.2</v>
      </c>
      <c r="I850" s="483"/>
      <c r="J850" s="70">
        <f>80.08+11.32</f>
        <v>91.4</v>
      </c>
      <c r="K850" s="70">
        <f>IF(A850=0,VLOOKUP(D850,'03. Insumos'!A:F,4,0),"")</f>
        <v>137.71</v>
      </c>
      <c r="L850" s="70">
        <f t="shared" ref="L850:L852" si="680">H850*J850*I850</f>
        <v>0</v>
      </c>
      <c r="M850" s="153">
        <f t="shared" ref="M850:M852" ca="1" si="681">L850/$L$7</f>
        <v>0</v>
      </c>
      <c r="O850" s="499">
        <f t="shared" ref="O850:O852" si="682">IF(I850&lt;&gt;0,I850*H850*K850,)</f>
        <v>0</v>
      </c>
      <c r="R850" s="500">
        <f t="shared" ref="R850:R852" si="683">IF(J850&lt;&gt;0,J850/1.03-K850,0)</f>
        <v>-48.972135922330096</v>
      </c>
    </row>
    <row r="851" spans="1:18" s="71" customFormat="1" hidden="1" outlineLevel="1" x14ac:dyDescent="0.3">
      <c r="A851" s="59">
        <f t="shared" si="679"/>
        <v>0</v>
      </c>
      <c r="B851" s="67"/>
      <c r="C851" s="67"/>
      <c r="D851" s="370" t="s">
        <v>7791</v>
      </c>
      <c r="E851" s="706" t="s">
        <v>7587</v>
      </c>
      <c r="F851" s="68" t="s">
        <v>5218</v>
      </c>
      <c r="G851" s="68" t="str">
        <f>VLOOKUP(D851,'03. Insumos'!A:F,3,0)</f>
        <v>m²</v>
      </c>
      <c r="H851" s="69">
        <v>1.2</v>
      </c>
      <c r="I851" s="483"/>
      <c r="J851" s="70">
        <f>98.99+11.73</f>
        <v>110.72</v>
      </c>
      <c r="K851" s="70">
        <f>IF(A851=0,VLOOKUP(D851,'03. Insumos'!A:F,4,0),"")</f>
        <v>123.08000000000001</v>
      </c>
      <c r="L851" s="70">
        <f t="shared" si="680"/>
        <v>0</v>
      </c>
      <c r="M851" s="153">
        <f t="shared" ca="1" si="681"/>
        <v>0</v>
      </c>
      <c r="O851" s="499">
        <f t="shared" si="682"/>
        <v>0</v>
      </c>
      <c r="R851" s="500">
        <f t="shared" si="683"/>
        <v>-15.584854368932056</v>
      </c>
    </row>
    <row r="852" spans="1:18" s="71" customFormat="1" hidden="1" outlineLevel="1" x14ac:dyDescent="0.3">
      <c r="A852" s="59">
        <f t="shared" si="679"/>
        <v>0</v>
      </c>
      <c r="B852" s="67"/>
      <c r="C852" s="67"/>
      <c r="D852" s="370" t="s">
        <v>7781</v>
      </c>
      <c r="E852" s="706" t="s">
        <v>7592</v>
      </c>
      <c r="F852" s="68" t="s">
        <v>5218</v>
      </c>
      <c r="G852" s="68" t="str">
        <f>VLOOKUP(D852,'03. Insumos'!A:F,3,0)</f>
        <v>m²</v>
      </c>
      <c r="H852" s="69">
        <v>1.2</v>
      </c>
      <c r="I852" s="483"/>
      <c r="J852" s="70">
        <f>84.15+10.4</f>
        <v>94.550000000000011</v>
      </c>
      <c r="K852" s="70">
        <f>IF(A852=0,VLOOKUP(D852,'03. Insumos'!A:F,4,0),"")</f>
        <v>202.32000000000002</v>
      </c>
      <c r="L852" s="70">
        <f t="shared" si="680"/>
        <v>0</v>
      </c>
      <c r="M852" s="153">
        <f t="shared" ca="1" si="681"/>
        <v>0</v>
      </c>
      <c r="O852" s="499">
        <f t="shared" si="682"/>
        <v>0</v>
      </c>
      <c r="R852" s="500">
        <f t="shared" si="683"/>
        <v>-110.52388349514564</v>
      </c>
    </row>
    <row r="853" spans="1:18" s="51" customFormat="1" ht="13.5" customHeight="1" outlineLevel="1" x14ac:dyDescent="0.3">
      <c r="A853" s="13">
        <f t="shared" si="670"/>
        <v>0</v>
      </c>
      <c r="B853" s="49"/>
      <c r="C853" s="49"/>
      <c r="D853" s="370" t="s">
        <v>6502</v>
      </c>
      <c r="E853" s="67" t="str">
        <f>VLOOKUP(D853,'03. Insumos'!A:D,2,0)</f>
        <v>Revestimento de Piso - Mão de Obra</v>
      </c>
      <c r="F853" s="68" t="s">
        <v>3809</v>
      </c>
      <c r="G853" s="68" t="str">
        <f>VLOOKUP(D853,'03. Insumos'!A:F,3,0)</f>
        <v>m²</v>
      </c>
      <c r="H853" s="69">
        <v>1</v>
      </c>
      <c r="I853" s="483">
        <f t="shared" ref="I853" si="684">$H$843</f>
        <v>2616.7800000000002</v>
      </c>
      <c r="J853" s="70">
        <v>65.5</v>
      </c>
      <c r="K853" s="70">
        <f>IF(A853=0,VLOOKUP(D853,'03. Insumos'!A:F,4,0),"")</f>
        <v>90</v>
      </c>
      <c r="L853" s="70">
        <f t="shared" ref="L853:L858" si="685">H853*J853*I853</f>
        <v>171399.09000000003</v>
      </c>
      <c r="M853" s="153">
        <f t="shared" ca="1" si="624"/>
        <v>1.0407135822616846E-2</v>
      </c>
      <c r="O853" s="148"/>
      <c r="R853" s="356"/>
    </row>
    <row r="854" spans="1:18" s="51" customFormat="1" ht="13.5" customHeight="1" outlineLevel="1" x14ac:dyDescent="0.3">
      <c r="A854" s="13">
        <v>0</v>
      </c>
      <c r="B854" s="49"/>
      <c r="C854" s="49"/>
      <c r="D854" s="370" t="s">
        <v>4069</v>
      </c>
      <c r="E854" s="67" t="str">
        <f>VLOOKUP(D854,'03. Insumos'!A:D,2,0)</f>
        <v>Argamassa colante 20kg ACIII Cinza 20kg</v>
      </c>
      <c r="F854" s="68" t="s">
        <v>5218</v>
      </c>
      <c r="G854" s="68" t="str">
        <f>VLOOKUP(D854,'03. Insumos'!A:F,3,0)</f>
        <v>sc</v>
      </c>
      <c r="H854" s="69">
        <v>1.1000000000000001</v>
      </c>
      <c r="I854" s="483">
        <f>ROUNDUP(((H843*9)/20),0)</f>
        <v>1178</v>
      </c>
      <c r="J854" s="70">
        <f t="shared" ref="J854:J858" si="686">IFERROR(IF(K854&lt;&gt;0,K854*$K$5,0),0)</f>
        <v>31.899999999999995</v>
      </c>
      <c r="K854" s="70">
        <f>IF(A854=0,VLOOKUP(D854,'03. Insumos'!A:F,4,0),"")</f>
        <v>31.899999999999995</v>
      </c>
      <c r="L854" s="70">
        <f t="shared" si="685"/>
        <v>41336.019999999997</v>
      </c>
      <c r="M854" s="153">
        <f t="shared" ca="1" si="624"/>
        <v>2.5098708196549138E-3</v>
      </c>
      <c r="O854" s="148"/>
      <c r="R854" s="356"/>
    </row>
    <row r="855" spans="1:18" s="51" customFormat="1" ht="13.5" customHeight="1" outlineLevel="1" x14ac:dyDescent="0.3">
      <c r="A855" s="13">
        <v>0</v>
      </c>
      <c r="B855" s="49"/>
      <c r="C855" s="49"/>
      <c r="D855" s="370" t="s">
        <v>6482</v>
      </c>
      <c r="E855" s="67" t="str">
        <f>VLOOKUP(D855,'03. Insumos'!A:D,2,0)</f>
        <v>Rejunte para Pisos e Azulejos</v>
      </c>
      <c r="F855" s="68" t="s">
        <v>5218</v>
      </c>
      <c r="G855" s="68" t="str">
        <f>VLOOKUP(D855,'03. Insumos'!A:F,3,0)</f>
        <v>bd</v>
      </c>
      <c r="H855" s="69">
        <v>1.1000000000000001</v>
      </c>
      <c r="I855" s="483">
        <f>ROUNDUP(((H843/8)),0)</f>
        <v>328</v>
      </c>
      <c r="J855" s="70">
        <f t="shared" ref="J855:J856" si="687">IFERROR(IF(K855&lt;&gt;0,K855*$K$5,0),0)</f>
        <v>23.9</v>
      </c>
      <c r="K855" s="70">
        <f>IF(A855=0,VLOOKUP(D855,'03. Insumos'!A:F,4,0),"")</f>
        <v>23.9</v>
      </c>
      <c r="L855" s="70">
        <f t="shared" ref="L855:L856" si="688">H855*J855*I855</f>
        <v>8623.119999999999</v>
      </c>
      <c r="M855" s="153">
        <f t="shared" ref="M855:M856" ca="1" si="689">L855/$L$7</f>
        <v>5.2358493300474205E-4</v>
      </c>
      <c r="O855" s="148"/>
      <c r="R855" s="356"/>
    </row>
    <row r="856" spans="1:18" s="51" customFormat="1" ht="13.5" hidden="1" customHeight="1" outlineLevel="1" x14ac:dyDescent="0.3">
      <c r="A856" s="13">
        <v>0</v>
      </c>
      <c r="B856" s="49"/>
      <c r="C856" s="49"/>
      <c r="D856" s="370" t="s">
        <v>7451</v>
      </c>
      <c r="E856" s="67" t="str">
        <f>VLOOKUP(D856,'03. Insumos'!A:D,2,0)</f>
        <v>Cantoneira de alumínio cor branca</v>
      </c>
      <c r="F856" s="68" t="s">
        <v>5218</v>
      </c>
      <c r="G856" s="68" t="str">
        <f>VLOOKUP(D856,'03. Insumos'!A:F,3,0)</f>
        <v>m</v>
      </c>
      <c r="H856" s="69">
        <v>1.1000000000000001</v>
      </c>
      <c r="I856" s="483"/>
      <c r="J856" s="70">
        <f t="shared" si="687"/>
        <v>47.5</v>
      </c>
      <c r="K856" s="70">
        <f>IF(A856=0,VLOOKUP(D856,'03. Insumos'!A:F,4,0),"")</f>
        <v>47.5</v>
      </c>
      <c r="L856" s="70">
        <f t="shared" si="688"/>
        <v>0</v>
      </c>
      <c r="M856" s="153">
        <f t="shared" ca="1" si="689"/>
        <v>0</v>
      </c>
      <c r="O856" s="148"/>
      <c r="R856" s="356"/>
    </row>
    <row r="857" spans="1:18" s="51" customFormat="1" ht="13.5" customHeight="1" outlineLevel="1" x14ac:dyDescent="0.3">
      <c r="A857" s="13">
        <v>0</v>
      </c>
      <c r="B857" s="49"/>
      <c r="C857" s="49"/>
      <c r="D857" s="370" t="s">
        <v>7447</v>
      </c>
      <c r="E857" s="67" t="str">
        <f>VLOOKUP(D857,'03. Insumos'!A:D,2,0)</f>
        <v>Nivelador de piso - Clips</v>
      </c>
      <c r="F857" s="68" t="s">
        <v>5218</v>
      </c>
      <c r="G857" s="68" t="str">
        <f>VLOOKUP(D857,'03. Insumos'!A:F,3,0)</f>
        <v>unid</v>
      </c>
      <c r="H857" s="69">
        <v>1.1000000000000001</v>
      </c>
      <c r="I857" s="483">
        <f>ROUNDUP(H843*12,0)</f>
        <v>31402</v>
      </c>
      <c r="J857" s="70">
        <f t="shared" si="686"/>
        <v>0.25</v>
      </c>
      <c r="K857" s="70">
        <f>IF(A857=0,VLOOKUP(D857,'03. Insumos'!A:F,4,0),"")</f>
        <v>0.25</v>
      </c>
      <c r="L857" s="70">
        <f t="shared" si="685"/>
        <v>8635.5500000000011</v>
      </c>
      <c r="M857" s="153">
        <f t="shared" ca="1" si="624"/>
        <v>5.2433966687337084E-4</v>
      </c>
      <c r="O857" s="148"/>
      <c r="R857" s="356"/>
    </row>
    <row r="858" spans="1:18" s="51" customFormat="1" ht="13.5" customHeight="1" outlineLevel="1" x14ac:dyDescent="0.3">
      <c r="A858" s="13">
        <v>0</v>
      </c>
      <c r="B858" s="49"/>
      <c r="C858" s="49"/>
      <c r="D858" s="370" t="s">
        <v>7448</v>
      </c>
      <c r="E858" s="67" t="str">
        <f>VLOOKUP(D858,'03. Insumos'!A:D,2,0)</f>
        <v>Nivelador de piso - Cunha</v>
      </c>
      <c r="F858" s="68" t="s">
        <v>5218</v>
      </c>
      <c r="G858" s="68" t="str">
        <f>VLOOKUP(D858,'03. Insumos'!A:F,3,0)</f>
        <v>unid</v>
      </c>
      <c r="H858" s="69">
        <v>1.1000000000000001</v>
      </c>
      <c r="I858" s="483">
        <f>ROUNDUP(H843*12/4,0)</f>
        <v>7851</v>
      </c>
      <c r="J858" s="70">
        <f t="shared" si="686"/>
        <v>0.49000000000000005</v>
      </c>
      <c r="K858" s="70">
        <f>IF(A858=0,VLOOKUP(D858,'03. Insumos'!A:F,4,0),"")</f>
        <v>0.49000000000000005</v>
      </c>
      <c r="L858" s="70">
        <f t="shared" si="685"/>
        <v>4231.6890000000012</v>
      </c>
      <c r="M858" s="153">
        <f t="shared" ref="M858" ca="1" si="690">L858/$L$7</f>
        <v>2.5694280046687336E-4</v>
      </c>
      <c r="O858" s="148"/>
      <c r="R858" s="356"/>
    </row>
    <row r="859" spans="1:18" s="59" customFormat="1" ht="13.5" hidden="1" customHeight="1" outlineLevel="1" x14ac:dyDescent="0.3">
      <c r="A859" s="290">
        <f t="shared" ref="A859:A861" si="691">LEN(C859)</f>
        <v>6</v>
      </c>
      <c r="B859" s="606"/>
      <c r="C859" s="606" t="s">
        <v>1312</v>
      </c>
      <c r="D859" s="648" t="s">
        <v>7287</v>
      </c>
      <c r="E859" s="391"/>
      <c r="F859" s="325"/>
      <c r="G859" s="325" t="s">
        <v>73</v>
      </c>
      <c r="H859" s="326"/>
      <c r="I859" s="65">
        <f>8*(1.2*1.2)</f>
        <v>11.52</v>
      </c>
      <c r="J859" s="812" t="e">
        <f>L859/H859</f>
        <v>#DIV/0!</v>
      </c>
      <c r="K859" s="607" t="str">
        <f>IF(A859=0,VLOOKUP(D859,'03. Insumos'!A:F,4,0),"")</f>
        <v/>
      </c>
      <c r="L859" s="334">
        <f>SUM(L860:L863)</f>
        <v>0</v>
      </c>
      <c r="M859" s="153">
        <f t="shared" ca="1" si="624"/>
        <v>0</v>
      </c>
      <c r="O859" s="148" t="e">
        <f>IF(I859&lt;&gt;0,I859*H859*K859,)</f>
        <v>#VALUE!</v>
      </c>
      <c r="R859" s="12" t="e">
        <f>IF(J859&lt;&gt;0,J859/1.03-K859,0)</f>
        <v>#DIV/0!</v>
      </c>
    </row>
    <row r="860" spans="1:18" s="71" customFormat="1" ht="24.6" hidden="1" outlineLevel="1" x14ac:dyDescent="0.3">
      <c r="A860" s="59">
        <f t="shared" si="691"/>
        <v>0</v>
      </c>
      <c r="B860" s="67"/>
      <c r="C860" s="67"/>
      <c r="D860" s="370" t="s">
        <v>6825</v>
      </c>
      <c r="E860" s="706" t="str">
        <f>VLOOKUP(D860,'03. Insumos'!A:D,2,0)</f>
        <v>Porcelanato Portobello, Bianco Covelano Natural Retificado, 90 x 90 cm - Cod. 24486E - Material</v>
      </c>
      <c r="F860" s="68" t="s">
        <v>5218</v>
      </c>
      <c r="G860" s="68" t="str">
        <f>VLOOKUP(D860,'03. Insumos'!A:F,3,0)</f>
        <v>m²</v>
      </c>
      <c r="H860" s="69">
        <v>1.35</v>
      </c>
      <c r="I860" s="483">
        <f>$H$859*1751200431385</f>
        <v>0</v>
      </c>
      <c r="J860" s="70">
        <f t="shared" ref="J860:J863" si="692">IFERROR(IF(K860&lt;&gt;0,K860*$K$5,0),0)</f>
        <v>96.54</v>
      </c>
      <c r="K860" s="70">
        <f>IF(A860=0,VLOOKUP(D860,'03. Insumos'!A:F,4,0),"")</f>
        <v>96.54</v>
      </c>
      <c r="L860" s="70">
        <f t="shared" ref="L860:L863" si="693">H860*J860*I860</f>
        <v>0</v>
      </c>
      <c r="M860" s="153">
        <f t="shared" ca="1" si="624"/>
        <v>0</v>
      </c>
      <c r="O860" s="499">
        <f>IF(I860&lt;&gt;0,I860*H860*K860,)</f>
        <v>0</v>
      </c>
      <c r="R860" s="500">
        <f>IF(J860&lt;&gt;0,J860/1.03-K860,0)</f>
        <v>-2.8118446601941827</v>
      </c>
    </row>
    <row r="861" spans="1:18" s="51" customFormat="1" ht="13.5" hidden="1" customHeight="1" outlineLevel="1" x14ac:dyDescent="0.3">
      <c r="A861" s="13">
        <f t="shared" si="691"/>
        <v>0</v>
      </c>
      <c r="B861" s="49"/>
      <c r="C861" s="49"/>
      <c r="D861" s="370" t="s">
        <v>6502</v>
      </c>
      <c r="E861" s="67" t="str">
        <f>VLOOKUP(D861,'03. Insumos'!A:D,2,0)</f>
        <v>Revestimento de Piso - Mão de Obra</v>
      </c>
      <c r="F861" s="68" t="s">
        <v>3809</v>
      </c>
      <c r="G861" s="68" t="str">
        <f>VLOOKUP(D861,'03. Insumos'!A:F,3,0)</f>
        <v>m²</v>
      </c>
      <c r="H861" s="69">
        <v>1</v>
      </c>
      <c r="I861" s="483">
        <f>$H$859</f>
        <v>0</v>
      </c>
      <c r="J861" s="70">
        <f t="shared" si="692"/>
        <v>90</v>
      </c>
      <c r="K861" s="70">
        <f>IF(A861=0,VLOOKUP(D861,'03. Insumos'!A:F,4,0),"")</f>
        <v>90</v>
      </c>
      <c r="L861" s="70">
        <f t="shared" si="693"/>
        <v>0</v>
      </c>
      <c r="M861" s="153">
        <f t="shared" ca="1" si="624"/>
        <v>0</v>
      </c>
      <c r="O861" s="148"/>
      <c r="R861" s="356"/>
    </row>
    <row r="862" spans="1:18" s="51" customFormat="1" ht="13.5" hidden="1" customHeight="1" outlineLevel="1" x14ac:dyDescent="0.3">
      <c r="A862" s="13">
        <v>0</v>
      </c>
      <c r="B862" s="49"/>
      <c r="C862" s="49"/>
      <c r="D862" s="370" t="s">
        <v>6747</v>
      </c>
      <c r="E862" s="67" t="str">
        <f>VLOOKUP(D862,'03. Insumos'!A:D,2,0)</f>
        <v>Argamassa AC II Ligamax Gold Extra 20 Kgs</v>
      </c>
      <c r="F862" s="68" t="s">
        <v>5218</v>
      </c>
      <c r="G862" s="68" t="str">
        <f>VLOOKUP(D862,'03. Insumos'!A:F,3,0)</f>
        <v>sc</v>
      </c>
      <c r="H862" s="69">
        <v>1.1000000000000001</v>
      </c>
      <c r="I862" s="483">
        <f>$H$859*0.5</f>
        <v>0</v>
      </c>
      <c r="J862" s="70">
        <f t="shared" si="692"/>
        <v>28.05</v>
      </c>
      <c r="K862" s="70">
        <f>IF(A862=0,VLOOKUP(D862,'03. Insumos'!A:F,4,0),"")</f>
        <v>28.05</v>
      </c>
      <c r="L862" s="70">
        <f t="shared" si="693"/>
        <v>0</v>
      </c>
      <c r="M862" s="153">
        <f t="shared" ca="1" si="624"/>
        <v>0</v>
      </c>
      <c r="O862" s="148"/>
      <c r="R862" s="356"/>
    </row>
    <row r="863" spans="1:18" s="51" customFormat="1" ht="13.5" hidden="1" customHeight="1" outlineLevel="1" x14ac:dyDescent="0.3">
      <c r="A863" s="13">
        <v>0</v>
      </c>
      <c r="B863" s="49"/>
      <c r="C863" s="49"/>
      <c r="D863" s="370" t="s">
        <v>6482</v>
      </c>
      <c r="E863" s="67" t="str">
        <f>VLOOKUP(D863,'03. Insumos'!A:D,2,0)</f>
        <v>Rejunte para Pisos e Azulejos</v>
      </c>
      <c r="F863" s="68" t="s">
        <v>5218</v>
      </c>
      <c r="G863" s="68" t="str">
        <f>VLOOKUP(D863,'03. Insumos'!A:F,3,0)</f>
        <v>bd</v>
      </c>
      <c r="H863" s="69">
        <v>1.1000000000000001</v>
      </c>
      <c r="I863" s="483">
        <f>H859*0.1</f>
        <v>0</v>
      </c>
      <c r="J863" s="70">
        <f t="shared" si="692"/>
        <v>23.9</v>
      </c>
      <c r="K863" s="70">
        <f>IF(A863=0,VLOOKUP(D863,'03. Insumos'!A:F,4,0),"")</f>
        <v>23.9</v>
      </c>
      <c r="L863" s="70">
        <f t="shared" si="693"/>
        <v>0</v>
      </c>
      <c r="M863" s="153">
        <f t="shared" ca="1" si="624"/>
        <v>0</v>
      </c>
      <c r="O863" s="148"/>
      <c r="R863" s="356"/>
    </row>
    <row r="864" spans="1:18" s="59" customFormat="1" ht="13.5" hidden="1" customHeight="1" outlineLevel="1" x14ac:dyDescent="0.3">
      <c r="A864" s="290">
        <f t="shared" ref="A864:A866" si="694">LEN(C864)</f>
        <v>6</v>
      </c>
      <c r="B864" s="606"/>
      <c r="C864" s="606" t="s">
        <v>1311</v>
      </c>
      <c r="D864" s="648" t="s">
        <v>7288</v>
      </c>
      <c r="E864" s="391"/>
      <c r="F864" s="325"/>
      <c r="G864" s="325" t="s">
        <v>73</v>
      </c>
      <c r="H864" s="326"/>
      <c r="I864" s="547"/>
      <c r="J864" s="812" t="e">
        <f>L864/H864</f>
        <v>#DIV/0!</v>
      </c>
      <c r="K864" s="607" t="str">
        <f>IF(A864=0,VLOOKUP(D864,'03. Insumos'!A:F,4,0),"")</f>
        <v/>
      </c>
      <c r="L864" s="334">
        <f>SUM(L865:L868)</f>
        <v>0</v>
      </c>
      <c r="M864" s="153">
        <f t="shared" ca="1" si="624"/>
        <v>0</v>
      </c>
      <c r="O864" s="148">
        <f t="shared" ref="O864:O868" si="695">IF(I864&lt;&gt;0,I864*H864*K864,)</f>
        <v>0</v>
      </c>
      <c r="R864" s="12" t="e">
        <f>IF(J864&lt;&gt;0,J864/1.03-K864,0)</f>
        <v>#DIV/0!</v>
      </c>
    </row>
    <row r="865" spans="1:18" s="71" customFormat="1" hidden="1" outlineLevel="1" x14ac:dyDescent="0.3">
      <c r="A865" s="59">
        <f t="shared" si="694"/>
        <v>0</v>
      </c>
      <c r="B865" s="67"/>
      <c r="C865" s="67"/>
      <c r="D865" s="370" t="s">
        <v>6826</v>
      </c>
      <c r="E865" s="67" t="str">
        <f>VLOOKUP(D865,'03. Insumos'!A:D,2,0)</f>
        <v>Porcelanato Portobello, Nord RIS Externo Retificado, 90 x 90 cm - Cod. 27027E - Material</v>
      </c>
      <c r="F865" s="68" t="s">
        <v>5218</v>
      </c>
      <c r="G865" s="68" t="str">
        <f>VLOOKUP(D865,'03. Insumos'!A:F,3,0)</f>
        <v>m²</v>
      </c>
      <c r="H865" s="69">
        <v>1.35</v>
      </c>
      <c r="I865" s="483">
        <f>H864</f>
        <v>0</v>
      </c>
      <c r="J865" s="70">
        <f t="shared" ref="J865:J868" si="696">IFERROR(IF(K865&lt;&gt;0,K865*$K$5,0),0)</f>
        <v>90.14</v>
      </c>
      <c r="K865" s="70">
        <f>IF(A865=0,VLOOKUP(D865,'03. Insumos'!A:F,4,0),"")</f>
        <v>90.14</v>
      </c>
      <c r="L865" s="70">
        <f t="shared" ref="L865:L868" si="697">H865*J865*I865</f>
        <v>0</v>
      </c>
      <c r="M865" s="153">
        <f t="shared" ca="1" si="624"/>
        <v>0</v>
      </c>
      <c r="O865" s="499">
        <f t="shared" si="695"/>
        <v>0</v>
      </c>
      <c r="R865" s="500">
        <f>IF(J865&lt;&gt;0,J865/1.03-K865,0)</f>
        <v>-2.625436893203883</v>
      </c>
    </row>
    <row r="866" spans="1:18" s="51" customFormat="1" ht="13.5" hidden="1" customHeight="1" outlineLevel="1" x14ac:dyDescent="0.3">
      <c r="A866" s="13">
        <f t="shared" si="694"/>
        <v>0</v>
      </c>
      <c r="B866" s="49"/>
      <c r="C866" s="49"/>
      <c r="D866" s="370" t="s">
        <v>6502</v>
      </c>
      <c r="E866" s="67" t="str">
        <f>VLOOKUP(D866,'03. Insumos'!A:D,2,0)</f>
        <v>Revestimento de Piso - Mão de Obra</v>
      </c>
      <c r="F866" s="68" t="s">
        <v>3809</v>
      </c>
      <c r="G866" s="68" t="str">
        <f>VLOOKUP(D866,'03. Insumos'!A:F,3,0)</f>
        <v>m²</v>
      </c>
      <c r="H866" s="69">
        <v>1</v>
      </c>
      <c r="I866" s="483">
        <f>H864</f>
        <v>0</v>
      </c>
      <c r="J866" s="70">
        <f t="shared" si="696"/>
        <v>90</v>
      </c>
      <c r="K866" s="70">
        <f>IF(A866=0,VLOOKUP(D866,'03. Insumos'!A:F,4,0),"")</f>
        <v>90</v>
      </c>
      <c r="L866" s="70">
        <f t="shared" si="697"/>
        <v>0</v>
      </c>
      <c r="M866" s="153">
        <f t="shared" ca="1" si="624"/>
        <v>0</v>
      </c>
      <c r="O866" s="148">
        <f t="shared" si="695"/>
        <v>0</v>
      </c>
      <c r="R866" s="356"/>
    </row>
    <row r="867" spans="1:18" s="51" customFormat="1" ht="13.5" hidden="1" customHeight="1" outlineLevel="1" x14ac:dyDescent="0.3">
      <c r="A867" s="13">
        <v>0</v>
      </c>
      <c r="B867" s="49"/>
      <c r="C867" s="49"/>
      <c r="D867" s="370" t="s">
        <v>6747</v>
      </c>
      <c r="E867" s="67" t="str">
        <f>VLOOKUP(D867,'03. Insumos'!A:D,2,0)</f>
        <v>Argamassa AC II Ligamax Gold Extra 20 Kgs</v>
      </c>
      <c r="F867" s="68" t="s">
        <v>5218</v>
      </c>
      <c r="G867" s="68" t="str">
        <f>VLOOKUP(D867,'03. Insumos'!A:F,3,0)</f>
        <v>sc</v>
      </c>
      <c r="H867" s="69">
        <v>1.1000000000000001</v>
      </c>
      <c r="I867" s="483">
        <f>$H$864*0.5</f>
        <v>0</v>
      </c>
      <c r="J867" s="70">
        <f t="shared" si="696"/>
        <v>28.05</v>
      </c>
      <c r="K867" s="70">
        <f>IF(A867=0,VLOOKUP(D867,'03. Insumos'!A:F,4,0),"")</f>
        <v>28.05</v>
      </c>
      <c r="L867" s="70">
        <f t="shared" si="697"/>
        <v>0</v>
      </c>
      <c r="M867" s="153">
        <f t="shared" ca="1" si="624"/>
        <v>0</v>
      </c>
      <c r="O867" s="148">
        <f t="shared" si="695"/>
        <v>0</v>
      </c>
      <c r="R867" s="356"/>
    </row>
    <row r="868" spans="1:18" s="51" customFormat="1" ht="13.5" hidden="1" customHeight="1" outlineLevel="1" x14ac:dyDescent="0.3">
      <c r="A868" s="13">
        <v>0</v>
      </c>
      <c r="B868" s="49"/>
      <c r="C868" s="49"/>
      <c r="D868" s="370" t="s">
        <v>6482</v>
      </c>
      <c r="E868" s="67" t="str">
        <f>VLOOKUP(D868,'03. Insumos'!A:D,2,0)</f>
        <v>Rejunte para Pisos e Azulejos</v>
      </c>
      <c r="F868" s="68" t="s">
        <v>5218</v>
      </c>
      <c r="G868" s="68" t="str">
        <f>VLOOKUP(D868,'03. Insumos'!A:F,3,0)</f>
        <v>bd</v>
      </c>
      <c r="H868" s="69">
        <v>1.1000000000000001</v>
      </c>
      <c r="I868" s="483">
        <f>H864*0.1</f>
        <v>0</v>
      </c>
      <c r="J868" s="70">
        <f t="shared" si="696"/>
        <v>23.9</v>
      </c>
      <c r="K868" s="70">
        <f>IF(A868=0,VLOOKUP(D868,'03. Insumos'!A:F,4,0),"")</f>
        <v>23.9</v>
      </c>
      <c r="L868" s="70">
        <f t="shared" si="697"/>
        <v>0</v>
      </c>
      <c r="M868" s="153">
        <f t="shared" ca="1" si="624"/>
        <v>0</v>
      </c>
      <c r="O868" s="148">
        <f t="shared" si="695"/>
        <v>0</v>
      </c>
      <c r="R868" s="356"/>
    </row>
    <row r="869" spans="1:18" s="59" customFormat="1" ht="13.5" hidden="1" customHeight="1" outlineLevel="1" x14ac:dyDescent="0.3">
      <c r="A869" s="290">
        <f t="shared" ref="A869:A871" si="698">LEN(C869)</f>
        <v>6</v>
      </c>
      <c r="B869" s="606"/>
      <c r="C869" s="606" t="s">
        <v>1369</v>
      </c>
      <c r="D869" s="648" t="s">
        <v>7289</v>
      </c>
      <c r="E869" s="391"/>
      <c r="F869" s="325"/>
      <c r="G869" s="325" t="s">
        <v>73</v>
      </c>
      <c r="H869" s="326"/>
      <c r="I869" s="65">
        <f>8*(1.2*1.2)</f>
        <v>11.52</v>
      </c>
      <c r="J869" s="812" t="e">
        <f>L869/H869</f>
        <v>#DIV/0!</v>
      </c>
      <c r="K869" s="607" t="str">
        <f>IF(A869=0,VLOOKUP(D869,'03. Insumos'!A:F,4,0),"")</f>
        <v/>
      </c>
      <c r="L869" s="334">
        <f>SUM(L870:L871)</f>
        <v>0</v>
      </c>
      <c r="M869" s="153">
        <f t="shared" ca="1" si="624"/>
        <v>0</v>
      </c>
      <c r="O869" s="148" t="e">
        <f>IF(I869&lt;&gt;0,I869*H869*K869,)</f>
        <v>#VALUE!</v>
      </c>
      <c r="R869" s="12" t="e">
        <f>IF(J869&lt;&gt;0,J869/1.03-K869,0)</f>
        <v>#DIV/0!</v>
      </c>
    </row>
    <row r="870" spans="1:18" s="71" customFormat="1" hidden="1" outlineLevel="1" x14ac:dyDescent="0.3">
      <c r="A870" s="59">
        <f t="shared" si="698"/>
        <v>0</v>
      </c>
      <c r="B870" s="67"/>
      <c r="C870" s="67"/>
      <c r="D870" s="370" t="s">
        <v>5870</v>
      </c>
      <c r="E870" s="67" t="str">
        <f>VLOOKUP(D870,'03. Insumos'!A:D,2,0)</f>
        <v>Pedra Portuguesa branca e preta MG - MAT</v>
      </c>
      <c r="F870" s="68" t="s">
        <v>5218</v>
      </c>
      <c r="G870" s="68" t="str">
        <f>VLOOKUP(D870,'03. Insumos'!A:F,3,0)</f>
        <v>m²</v>
      </c>
      <c r="H870" s="69">
        <v>1.1000000000000001</v>
      </c>
      <c r="I870" s="483">
        <f>H869</f>
        <v>0</v>
      </c>
      <c r="J870" s="70">
        <f t="shared" ref="J870:J871" si="699">IFERROR(IF(K870&lt;&gt;0,K870*$K$5,0),0)</f>
        <v>228.15</v>
      </c>
      <c r="K870" s="70">
        <f>IF(A870=0,VLOOKUP(D870,'03. Insumos'!A:F,4,0),"")</f>
        <v>228.15</v>
      </c>
      <c r="L870" s="70">
        <f t="shared" ref="L870:L871" si="700">H870*J870*I870</f>
        <v>0</v>
      </c>
      <c r="M870" s="153">
        <f t="shared" ca="1" si="624"/>
        <v>0</v>
      </c>
      <c r="O870" s="499">
        <f>IF(I870&lt;&gt;0,I870*H870*K870,)</f>
        <v>0</v>
      </c>
      <c r="R870" s="500">
        <f>IF(J870&lt;&gt;0,J870/1.03-K870,0)</f>
        <v>-6.645145631067976</v>
      </c>
    </row>
    <row r="871" spans="1:18" s="51" customFormat="1" ht="13.5" hidden="1" customHeight="1" outlineLevel="1" x14ac:dyDescent="0.3">
      <c r="A871" s="13">
        <f t="shared" si="698"/>
        <v>0</v>
      </c>
      <c r="B871" s="49"/>
      <c r="C871" s="49"/>
      <c r="D871" s="370" t="s">
        <v>5871</v>
      </c>
      <c r="E871" s="67" t="str">
        <f>VLOOKUP(D871,'03. Insumos'!A:D,2,0)</f>
        <v>Pedra Portuguesa branca e preta MG - MO</v>
      </c>
      <c r="F871" s="68" t="s">
        <v>3809</v>
      </c>
      <c r="G871" s="68" t="str">
        <f>VLOOKUP(D871,'03. Insumos'!A:F,3,0)</f>
        <v>m²</v>
      </c>
      <c r="H871" s="69">
        <v>1</v>
      </c>
      <c r="I871" s="483">
        <f>$H$869</f>
        <v>0</v>
      </c>
      <c r="J871" s="70">
        <f t="shared" si="699"/>
        <v>144.86000000000001</v>
      </c>
      <c r="K871" s="70">
        <f>IF(A871=0,VLOOKUP(D871,'03. Insumos'!A:F,4,0),"")</f>
        <v>144.86000000000001</v>
      </c>
      <c r="L871" s="70">
        <f t="shared" si="700"/>
        <v>0</v>
      </c>
      <c r="M871" s="153">
        <f t="shared" ca="1" si="624"/>
        <v>0</v>
      </c>
      <c r="O871" s="148"/>
      <c r="R871" s="356"/>
    </row>
    <row r="872" spans="1:18" s="59" customFormat="1" ht="13.5" hidden="1" customHeight="1" outlineLevel="1" x14ac:dyDescent="0.3">
      <c r="A872" s="290">
        <f t="shared" ref="A872:A874" si="701">LEN(C872)</f>
        <v>6</v>
      </c>
      <c r="B872" s="606"/>
      <c r="C872" s="606" t="s">
        <v>1370</v>
      </c>
      <c r="D872" s="648" t="s">
        <v>7118</v>
      </c>
      <c r="E872" s="391"/>
      <c r="F872" s="325"/>
      <c r="G872" s="325" t="s">
        <v>73</v>
      </c>
      <c r="H872" s="326"/>
      <c r="I872" s="65">
        <f>61*(0.2*1.2)</f>
        <v>14.639999999999999</v>
      </c>
      <c r="J872" s="812" t="e">
        <f>L872/H872</f>
        <v>#DIV/0!</v>
      </c>
      <c r="K872" s="607" t="str">
        <f>IF(A872=0,VLOOKUP(D872,'03. Insumos'!A:F,4,0),"")</f>
        <v/>
      </c>
      <c r="L872" s="334">
        <f>SUM(L873:L876)</f>
        <v>0</v>
      </c>
      <c r="M872" s="153">
        <f t="shared" ca="1" si="624"/>
        <v>0</v>
      </c>
      <c r="O872" s="148" t="e">
        <f t="shared" ref="O872:O876" si="702">IF(I872&lt;&gt;0,I872*H872*K872,)</f>
        <v>#VALUE!</v>
      </c>
      <c r="R872" s="12" t="e">
        <f>IF(J872&lt;&gt;0,J872/1.03-K872,0)</f>
        <v>#DIV/0!</v>
      </c>
    </row>
    <row r="873" spans="1:18" s="71" customFormat="1" ht="24.6" hidden="1" outlineLevel="1" x14ac:dyDescent="0.3">
      <c r="A873" s="59">
        <f t="shared" si="701"/>
        <v>0</v>
      </c>
      <c r="B873" s="67"/>
      <c r="C873" s="67"/>
      <c r="D873" s="370" t="s">
        <v>6637</v>
      </c>
      <c r="E873" s="706" t="str">
        <f>VLOOKUP(D873,'03. Insumos'!A:D,2,0)</f>
        <v>Porcelanato Eliane, Park Camel Natural, 19,7 x 120 cm - 804600 - Material</v>
      </c>
      <c r="F873" s="68" t="s">
        <v>5218</v>
      </c>
      <c r="G873" s="68" t="str">
        <f>VLOOKUP(D873,'03. Insumos'!A:F,3,0)</f>
        <v>m²</v>
      </c>
      <c r="H873" s="69">
        <v>1.1000000000000001</v>
      </c>
      <c r="I873" s="483">
        <f>H872</f>
        <v>0</v>
      </c>
      <c r="J873" s="70">
        <f t="shared" ref="J873:J876" si="703">IFERROR(IF(K873&lt;&gt;0,K873*$K$5,0),0)</f>
        <v>156.24985915492954</v>
      </c>
      <c r="K873" s="70">
        <f>IF(A873=0,VLOOKUP(D873,'03. Insumos'!A:F,4,0),"")</f>
        <v>156.24985915492954</v>
      </c>
      <c r="L873" s="70">
        <f t="shared" ref="L873:L876" si="704">H873*J873*I873</f>
        <v>0</v>
      </c>
      <c r="M873" s="153">
        <f t="shared" ca="1" si="624"/>
        <v>0</v>
      </c>
      <c r="O873" s="499">
        <f t="shared" si="702"/>
        <v>0</v>
      </c>
      <c r="R873" s="500">
        <f>IF(J873&lt;&gt;0,J873/1.03-K873,0)</f>
        <v>-4.5509667715028002</v>
      </c>
    </row>
    <row r="874" spans="1:18" s="51" customFormat="1" ht="13.5" hidden="1" customHeight="1" outlineLevel="1" x14ac:dyDescent="0.3">
      <c r="A874" s="13">
        <f t="shared" si="701"/>
        <v>0</v>
      </c>
      <c r="B874" s="49"/>
      <c r="C874" s="49"/>
      <c r="D874" s="370" t="s">
        <v>6502</v>
      </c>
      <c r="E874" s="67" t="str">
        <f>VLOOKUP(D874,'03. Insumos'!A:D,2,0)</f>
        <v>Revestimento de Piso - Mão de Obra</v>
      </c>
      <c r="F874" s="68" t="s">
        <v>3809</v>
      </c>
      <c r="G874" s="68" t="str">
        <f>VLOOKUP(D874,'03. Insumos'!A:F,3,0)</f>
        <v>m²</v>
      </c>
      <c r="H874" s="69">
        <v>1</v>
      </c>
      <c r="I874" s="483">
        <f>H872</f>
        <v>0</v>
      </c>
      <c r="J874" s="70">
        <f t="shared" si="703"/>
        <v>90</v>
      </c>
      <c r="K874" s="70">
        <f>IF(A874=0,VLOOKUP(D874,'03. Insumos'!A:F,4,0),"")</f>
        <v>90</v>
      </c>
      <c r="L874" s="70">
        <f t="shared" si="704"/>
        <v>0</v>
      </c>
      <c r="M874" s="153">
        <f t="shared" ca="1" si="624"/>
        <v>0</v>
      </c>
      <c r="O874" s="148">
        <f t="shared" si="702"/>
        <v>0</v>
      </c>
      <c r="R874" s="356"/>
    </row>
    <row r="875" spans="1:18" s="51" customFormat="1" ht="13.5" hidden="1" customHeight="1" outlineLevel="1" x14ac:dyDescent="0.3">
      <c r="A875" s="13">
        <v>0</v>
      </c>
      <c r="B875" s="49"/>
      <c r="C875" s="49"/>
      <c r="D875" s="370" t="s">
        <v>6747</v>
      </c>
      <c r="E875" s="67" t="str">
        <f>VLOOKUP(D875,'03. Insumos'!A:D,2,0)</f>
        <v>Argamassa AC II Ligamax Gold Extra 20 Kgs</v>
      </c>
      <c r="F875" s="68" t="s">
        <v>5218</v>
      </c>
      <c r="G875" s="68" t="str">
        <f>VLOOKUP(D875,'03. Insumos'!A:F,3,0)</f>
        <v>sc</v>
      </c>
      <c r="H875" s="69">
        <v>1.1000000000000001</v>
      </c>
      <c r="I875" s="483">
        <f>ROUNDUP(((H872*8)/20),0)</f>
        <v>0</v>
      </c>
      <c r="J875" s="70">
        <f t="shared" si="703"/>
        <v>28.05</v>
      </c>
      <c r="K875" s="70">
        <f>IF(A875=0,VLOOKUP(D875,'03. Insumos'!A:F,4,0),"")</f>
        <v>28.05</v>
      </c>
      <c r="L875" s="70">
        <f t="shared" si="704"/>
        <v>0</v>
      </c>
      <c r="M875" s="153">
        <f t="shared" ca="1" si="624"/>
        <v>0</v>
      </c>
      <c r="O875" s="148">
        <f t="shared" si="702"/>
        <v>0</v>
      </c>
      <c r="R875" s="356"/>
    </row>
    <row r="876" spans="1:18" s="51" customFormat="1" ht="13.5" hidden="1" customHeight="1" outlineLevel="1" x14ac:dyDescent="0.3">
      <c r="A876" s="13">
        <v>0</v>
      </c>
      <c r="B876" s="49"/>
      <c r="C876" s="49"/>
      <c r="D876" s="370" t="s">
        <v>6482</v>
      </c>
      <c r="E876" s="67" t="str">
        <f>VLOOKUP(D876,'03. Insumos'!A:D,2,0)</f>
        <v>Rejunte para Pisos e Azulejos</v>
      </c>
      <c r="F876" s="68" t="s">
        <v>5218</v>
      </c>
      <c r="G876" s="68" t="str">
        <f>VLOOKUP(D876,'03. Insumos'!A:F,3,0)</f>
        <v>bd</v>
      </c>
      <c r="H876" s="69">
        <v>1.1000000000000001</v>
      </c>
      <c r="I876" s="483">
        <f>H872*0.1</f>
        <v>0</v>
      </c>
      <c r="J876" s="70">
        <f t="shared" si="703"/>
        <v>23.9</v>
      </c>
      <c r="K876" s="70">
        <f>IF(A876=0,VLOOKUP(D876,'03. Insumos'!A:F,4,0),"")</f>
        <v>23.9</v>
      </c>
      <c r="L876" s="70">
        <f t="shared" si="704"/>
        <v>0</v>
      </c>
      <c r="M876" s="153">
        <f t="shared" ca="1" si="624"/>
        <v>0</v>
      </c>
      <c r="O876" s="148">
        <f t="shared" si="702"/>
        <v>0</v>
      </c>
      <c r="R876" s="356"/>
    </row>
    <row r="877" spans="1:18" s="59" customFormat="1" ht="13.5" hidden="1" customHeight="1" outlineLevel="1" x14ac:dyDescent="0.3">
      <c r="A877" s="290">
        <f t="shared" ref="A877:A879" si="705">LEN(C877)</f>
        <v>6</v>
      </c>
      <c r="B877" s="606"/>
      <c r="C877" s="606" t="s">
        <v>1510</v>
      </c>
      <c r="D877" s="648" t="s">
        <v>7240</v>
      </c>
      <c r="E877" s="391"/>
      <c r="F877" s="325"/>
      <c r="G877" s="325" t="s">
        <v>73</v>
      </c>
      <c r="H877" s="326"/>
      <c r="I877" s="65">
        <f>61*(0.2*1.2)</f>
        <v>14.639999999999999</v>
      </c>
      <c r="J877" s="812" t="e">
        <f>L877/H877</f>
        <v>#DIV/0!</v>
      </c>
      <c r="K877" s="607" t="str">
        <f>IF(A877=0,VLOOKUP(D877,'03. Insumos'!A:F,4,0),"")</f>
        <v/>
      </c>
      <c r="L877" s="334">
        <f>SUM(L878:L881)</f>
        <v>0</v>
      </c>
      <c r="M877" s="153">
        <f t="shared" ref="M877:M985" ca="1" si="706">L877/$L$7</f>
        <v>0</v>
      </c>
      <c r="O877" s="148" t="e">
        <f t="shared" ref="O877:O903" si="707">IF(I877&lt;&gt;0,I877*H877*K877,)</f>
        <v>#VALUE!</v>
      </c>
      <c r="R877" s="12" t="e">
        <f>IF(J877&lt;&gt;0,J877/1.03-K877,0)</f>
        <v>#DIV/0!</v>
      </c>
    </row>
    <row r="878" spans="1:18" s="71" customFormat="1" hidden="1" outlineLevel="1" x14ac:dyDescent="0.3">
      <c r="A878" s="59">
        <f t="shared" si="705"/>
        <v>0</v>
      </c>
      <c r="B878" s="67"/>
      <c r="C878" s="67"/>
      <c r="D878" s="370" t="s">
        <v>6638</v>
      </c>
      <c r="E878" s="67" t="str">
        <f>VLOOKUP(D878,'03. Insumos'!A:D,2,0)</f>
        <v>Porcelanato Eliane, Minimum Cimento Natural, 60 x 60 cm - 8021651 - Material</v>
      </c>
      <c r="F878" s="68" t="s">
        <v>5218</v>
      </c>
      <c r="G878" s="68" t="str">
        <f>VLOOKUP(D878,'03. Insumos'!A:F,3,0)</f>
        <v>m²</v>
      </c>
      <c r="H878" s="69">
        <v>1.1000000000000001</v>
      </c>
      <c r="I878" s="483">
        <f>$H$877</f>
        <v>0</v>
      </c>
      <c r="J878" s="70">
        <f t="shared" ref="J878:J881" si="708">IFERROR(IF(K878&lt;&gt;0,K878*$K$5,0),0)</f>
        <v>110.53399659863946</v>
      </c>
      <c r="K878" s="70">
        <f>IF(A878=0,VLOOKUP(D878,'03. Insumos'!A:F,4,0),"")</f>
        <v>110.53399659863946</v>
      </c>
      <c r="L878" s="70">
        <f t="shared" ref="L878:L881" si="709">H878*J878*I878</f>
        <v>0</v>
      </c>
      <c r="M878" s="153">
        <f t="shared" ca="1" si="706"/>
        <v>0</v>
      </c>
      <c r="O878" s="499">
        <f t="shared" si="707"/>
        <v>0</v>
      </c>
      <c r="R878" s="500">
        <f>IF(J878&lt;&gt;0,J878/1.03-K878,0)</f>
        <v>-3.2194367941351345</v>
      </c>
    </row>
    <row r="879" spans="1:18" s="51" customFormat="1" ht="13.5" hidden="1" customHeight="1" outlineLevel="1" x14ac:dyDescent="0.3">
      <c r="A879" s="13">
        <f t="shared" si="705"/>
        <v>0</v>
      </c>
      <c r="B879" s="49"/>
      <c r="C879" s="49"/>
      <c r="D879" s="370" t="s">
        <v>6502</v>
      </c>
      <c r="E879" s="67" t="str">
        <f>VLOOKUP(D879,'03. Insumos'!A:D,2,0)</f>
        <v>Revestimento de Piso - Mão de Obra</v>
      </c>
      <c r="F879" s="68" t="s">
        <v>3809</v>
      </c>
      <c r="G879" s="68" t="str">
        <f>VLOOKUP(D879,'03. Insumos'!A:F,3,0)</f>
        <v>m²</v>
      </c>
      <c r="H879" s="69">
        <v>1</v>
      </c>
      <c r="I879" s="483">
        <f t="shared" ref="I879" si="710">$H$877</f>
        <v>0</v>
      </c>
      <c r="J879" s="70">
        <f t="shared" si="708"/>
        <v>90</v>
      </c>
      <c r="K879" s="70">
        <f>IF(A879=0,VLOOKUP(D879,'03. Insumos'!A:F,4,0),"")</f>
        <v>90</v>
      </c>
      <c r="L879" s="70">
        <f t="shared" si="709"/>
        <v>0</v>
      </c>
      <c r="M879" s="153">
        <f t="shared" ca="1" si="706"/>
        <v>0</v>
      </c>
      <c r="O879" s="148">
        <f t="shared" si="707"/>
        <v>0</v>
      </c>
      <c r="R879" s="356"/>
    </row>
    <row r="880" spans="1:18" s="51" customFormat="1" ht="13.5" hidden="1" customHeight="1" outlineLevel="1" x14ac:dyDescent="0.3">
      <c r="A880" s="13">
        <v>0</v>
      </c>
      <c r="B880" s="49"/>
      <c r="C880" s="49"/>
      <c r="D880" s="370" t="s">
        <v>6747</v>
      </c>
      <c r="E880" s="67" t="str">
        <f>VLOOKUP(D880,'03. Insumos'!A:D,2,0)</f>
        <v>Argamassa AC II Ligamax Gold Extra 20 Kgs</v>
      </c>
      <c r="F880" s="68" t="s">
        <v>5218</v>
      </c>
      <c r="G880" s="68" t="str">
        <f>VLOOKUP(D880,'03. Insumos'!A:F,3,0)</f>
        <v>sc</v>
      </c>
      <c r="H880" s="69">
        <v>1.1000000000000001</v>
      </c>
      <c r="I880" s="483">
        <f>ROUNDUP(((H877*8)/20),0)</f>
        <v>0</v>
      </c>
      <c r="J880" s="70">
        <f t="shared" si="708"/>
        <v>28.05</v>
      </c>
      <c r="K880" s="70">
        <f>IF(A880=0,VLOOKUP(D880,'03. Insumos'!A:F,4,0),"")</f>
        <v>28.05</v>
      </c>
      <c r="L880" s="70">
        <f t="shared" si="709"/>
        <v>0</v>
      </c>
      <c r="M880" s="153">
        <f t="shared" ca="1" si="706"/>
        <v>0</v>
      </c>
      <c r="O880" s="148">
        <f t="shared" si="707"/>
        <v>0</v>
      </c>
      <c r="R880" s="356"/>
    </row>
    <row r="881" spans="1:18" s="51" customFormat="1" ht="13.5" hidden="1" customHeight="1" outlineLevel="1" x14ac:dyDescent="0.3">
      <c r="A881" s="13">
        <v>0</v>
      </c>
      <c r="B881" s="49"/>
      <c r="C881" s="49"/>
      <c r="D881" s="370" t="s">
        <v>6482</v>
      </c>
      <c r="E881" s="67" t="str">
        <f>VLOOKUP(D881,'03. Insumos'!A:D,2,0)</f>
        <v>Rejunte para Pisos e Azulejos</v>
      </c>
      <c r="F881" s="68" t="s">
        <v>5218</v>
      </c>
      <c r="G881" s="68" t="str">
        <f>VLOOKUP(D881,'03. Insumos'!A:F,3,0)</f>
        <v>bd</v>
      </c>
      <c r="H881" s="69">
        <v>1.1000000000000001</v>
      </c>
      <c r="I881" s="483">
        <f>H877*0.1</f>
        <v>0</v>
      </c>
      <c r="J881" s="70">
        <f t="shared" si="708"/>
        <v>23.9</v>
      </c>
      <c r="K881" s="70">
        <f>IF(A881=0,VLOOKUP(D881,'03. Insumos'!A:F,4,0),"")</f>
        <v>23.9</v>
      </c>
      <c r="L881" s="70">
        <f t="shared" si="709"/>
        <v>0</v>
      </c>
      <c r="M881" s="153">
        <f t="shared" ca="1" si="706"/>
        <v>0</v>
      </c>
      <c r="O881" s="148">
        <f t="shared" si="707"/>
        <v>0</v>
      </c>
      <c r="R881" s="356"/>
    </row>
    <row r="882" spans="1:18" s="59" customFormat="1" ht="13.5" hidden="1" customHeight="1" outlineLevel="1" x14ac:dyDescent="0.3">
      <c r="A882" s="290">
        <f t="shared" ref="A882:A884" si="711">LEN(C882)</f>
        <v>6</v>
      </c>
      <c r="B882" s="606"/>
      <c r="C882" s="606" t="s">
        <v>1511</v>
      </c>
      <c r="D882" s="648" t="s">
        <v>7110</v>
      </c>
      <c r="E882" s="391"/>
      <c r="F882" s="325"/>
      <c r="G882" s="325" t="s">
        <v>73</v>
      </c>
      <c r="H882" s="326"/>
      <c r="I882" s="547"/>
      <c r="J882" s="812" t="e">
        <f>L882/H882</f>
        <v>#DIV/0!</v>
      </c>
      <c r="K882" s="607" t="str">
        <f>IF(A882=0,VLOOKUP(D882,'03. Insumos'!A:F,4,0),"")</f>
        <v/>
      </c>
      <c r="L882" s="334">
        <f>SUM(L883:L886)</f>
        <v>0</v>
      </c>
      <c r="M882" s="153">
        <f t="shared" ca="1" si="706"/>
        <v>0</v>
      </c>
      <c r="O882" s="148">
        <f t="shared" ref="O882:O888" si="712">IF(I882&lt;&gt;0,I882*H882*K882,)</f>
        <v>0</v>
      </c>
      <c r="R882" s="12" t="e">
        <f>IF(J882&lt;&gt;0,J882/1.03-K882,0)</f>
        <v>#DIV/0!</v>
      </c>
    </row>
    <row r="883" spans="1:18" s="71" customFormat="1" hidden="1" outlineLevel="1" x14ac:dyDescent="0.3">
      <c r="A883" s="59">
        <f t="shared" si="711"/>
        <v>0</v>
      </c>
      <c r="B883" s="67"/>
      <c r="C883" s="67"/>
      <c r="D883" s="370" t="s">
        <v>6633</v>
      </c>
      <c r="E883" s="67" t="str">
        <f>VLOOKUP(D883,'03. Insumos'!A:D,2,0)</f>
        <v>Revestimento Cerâmico Eliane, Noronha Agua Mesh Br, 7,5 x 7,5 cm - 8040054 - Material</v>
      </c>
      <c r="F883" s="68" t="s">
        <v>5218</v>
      </c>
      <c r="G883" s="68" t="str">
        <f>VLOOKUP(D883,'03. Insumos'!A:F,3,0)</f>
        <v>m²</v>
      </c>
      <c r="H883" s="69">
        <v>1.1000000000000001</v>
      </c>
      <c r="I883" s="483">
        <f>H882</f>
        <v>0</v>
      </c>
      <c r="J883" s="70">
        <f t="shared" ref="J883:J886" si="713">IFERROR(IF(K883&lt;&gt;0,K883*$K$5,0),0)</f>
        <v>96.047428371767992</v>
      </c>
      <c r="K883" s="70">
        <f>IF(A883=0,VLOOKUP(D883,'03. Insumos'!A:F,4,0),"")</f>
        <v>96.047428371767992</v>
      </c>
      <c r="L883" s="70">
        <f t="shared" ref="L883:L886" si="714">H883*J883*I883</f>
        <v>0</v>
      </c>
      <c r="M883" s="153">
        <f t="shared" ca="1" si="706"/>
        <v>0</v>
      </c>
      <c r="O883" s="499">
        <f t="shared" si="712"/>
        <v>0</v>
      </c>
      <c r="R883" s="500">
        <f>IF(J883&lt;&gt;0,J883/1.03-K883,0)</f>
        <v>-2.7974979137408127</v>
      </c>
    </row>
    <row r="884" spans="1:18" s="51" customFormat="1" ht="13.5" hidden="1" customHeight="1" outlineLevel="1" x14ac:dyDescent="0.3">
      <c r="A884" s="13">
        <f t="shared" si="711"/>
        <v>0</v>
      </c>
      <c r="B884" s="49"/>
      <c r="C884" s="49"/>
      <c r="D884" s="370" t="s">
        <v>6484</v>
      </c>
      <c r="E884" s="67" t="str">
        <f>VLOOKUP(D884,'03. Insumos'!A:D,2,0)</f>
        <v>Revestimento de Parede( pastilha ) - Mão de Obra</v>
      </c>
      <c r="F884" s="68" t="s">
        <v>3809</v>
      </c>
      <c r="G884" s="68" t="str">
        <f>VLOOKUP(D884,'03. Insumos'!A:F,3,0)</f>
        <v>m²</v>
      </c>
      <c r="H884" s="69">
        <v>1</v>
      </c>
      <c r="I884" s="483">
        <f>H882</f>
        <v>0</v>
      </c>
      <c r="J884" s="70">
        <f t="shared" si="713"/>
        <v>47.129804</v>
      </c>
      <c r="K884" s="70">
        <f>IF(A884=0,VLOOKUP(D884,'03. Insumos'!A:F,4,0),"")</f>
        <v>47.129804</v>
      </c>
      <c r="L884" s="70">
        <f t="shared" si="714"/>
        <v>0</v>
      </c>
      <c r="M884" s="153">
        <f t="shared" ca="1" si="706"/>
        <v>0</v>
      </c>
      <c r="O884" s="148">
        <f t="shared" si="712"/>
        <v>0</v>
      </c>
      <c r="R884" s="356"/>
    </row>
    <row r="885" spans="1:18" s="51" customFormat="1" ht="13.5" hidden="1" customHeight="1" outlineLevel="1" x14ac:dyDescent="0.3">
      <c r="A885" s="13">
        <v>0</v>
      </c>
      <c r="B885" s="49"/>
      <c r="C885" s="49"/>
      <c r="D885" s="748" t="s">
        <v>6568</v>
      </c>
      <c r="E885" s="67" t="str">
        <f>VLOOKUP(D885,'03. Insumos'!A:D,2,0)</f>
        <v>Argamassa Pastifix  - Saco com 20 Kgs</v>
      </c>
      <c r="F885" s="68" t="s">
        <v>5218</v>
      </c>
      <c r="G885" s="68" t="str">
        <f>VLOOKUP(D885,'03. Insumos'!A:F,3,0)</f>
        <v>sc</v>
      </c>
      <c r="H885" s="69">
        <v>1.1000000000000001</v>
      </c>
      <c r="I885" s="483">
        <f>ROUNDUP(((H882*6)/20),0)</f>
        <v>0</v>
      </c>
      <c r="J885" s="70">
        <f t="shared" si="713"/>
        <v>28.387919999999998</v>
      </c>
      <c r="K885" s="70">
        <f>IF(A885=0,VLOOKUP(D885,'03. Insumos'!A:F,4,0),"")</f>
        <v>28.387919999999998</v>
      </c>
      <c r="L885" s="70">
        <f t="shared" si="714"/>
        <v>0</v>
      </c>
      <c r="M885" s="153">
        <f t="shared" ca="1" si="706"/>
        <v>0</v>
      </c>
      <c r="O885" s="148">
        <f t="shared" si="712"/>
        <v>0</v>
      </c>
      <c r="R885" s="356"/>
    </row>
    <row r="886" spans="1:18" s="51" customFormat="1" ht="13.5" hidden="1" customHeight="1" outlineLevel="1" x14ac:dyDescent="0.3">
      <c r="A886" s="13">
        <v>0</v>
      </c>
      <c r="B886" s="49"/>
      <c r="C886" s="49"/>
      <c r="D886" s="748" t="s">
        <v>6569</v>
      </c>
      <c r="E886" s="67" t="str">
        <f>VLOOKUP(D886,'03. Insumos'!A:D,2,0)</f>
        <v>Rejunte Flexível para Piscina - Saco com 20 KGs</v>
      </c>
      <c r="F886" s="68" t="s">
        <v>5218</v>
      </c>
      <c r="G886" s="68" t="str">
        <f>VLOOKUP(D886,'03. Insumos'!A:F,3,0)</f>
        <v>sc</v>
      </c>
      <c r="H886" s="69">
        <v>1.1000000000000001</v>
      </c>
      <c r="I886" s="69">
        <f>ROUNDUP((H882*1.62)/20,0)</f>
        <v>0</v>
      </c>
      <c r="J886" s="70">
        <f t="shared" si="713"/>
        <v>49.075299999999999</v>
      </c>
      <c r="K886" s="70">
        <f>IF(A886=0,VLOOKUP(D886,'03. Insumos'!A:F,4,0),"")</f>
        <v>49.075299999999999</v>
      </c>
      <c r="L886" s="70">
        <f t="shared" si="714"/>
        <v>0</v>
      </c>
      <c r="M886" s="153">
        <f t="shared" ca="1" si="706"/>
        <v>0</v>
      </c>
      <c r="O886" s="148">
        <f t="shared" si="712"/>
        <v>0</v>
      </c>
      <c r="R886" s="356"/>
    </row>
    <row r="887" spans="1:18" s="59" customFormat="1" ht="13.5" hidden="1" customHeight="1" outlineLevel="1" x14ac:dyDescent="0.3">
      <c r="A887" s="290">
        <f t="shared" ref="A887:A889" si="715">LEN(C887)</f>
        <v>6</v>
      </c>
      <c r="B887" s="606"/>
      <c r="C887" s="606" t="s">
        <v>1512</v>
      </c>
      <c r="D887" s="648" t="s">
        <v>7241</v>
      </c>
      <c r="E887" s="391"/>
      <c r="F887" s="325"/>
      <c r="G887" s="325" t="s">
        <v>73</v>
      </c>
      <c r="H887" s="326"/>
      <c r="I887" s="65">
        <f>8*(1.2*1.2)</f>
        <v>11.52</v>
      </c>
      <c r="J887" s="812" t="e">
        <f>L887/H887</f>
        <v>#DIV/0!</v>
      </c>
      <c r="K887" s="607" t="str">
        <f>IF(A887=0,VLOOKUP(D887,'03. Insumos'!A:F,4,0),"")</f>
        <v/>
      </c>
      <c r="L887" s="334">
        <f>SUM(L888:L891)</f>
        <v>0</v>
      </c>
      <c r="M887" s="153">
        <f t="shared" ca="1" si="706"/>
        <v>0</v>
      </c>
      <c r="O887" s="148" t="e">
        <f t="shared" si="712"/>
        <v>#VALUE!</v>
      </c>
      <c r="R887" s="12" t="e">
        <f>IF(J887&lt;&gt;0,J887/1.03-K887,0)</f>
        <v>#DIV/0!</v>
      </c>
    </row>
    <row r="888" spans="1:18" s="71" customFormat="1" hidden="1" outlineLevel="1" x14ac:dyDescent="0.3">
      <c r="A888" s="59">
        <f t="shared" si="715"/>
        <v>0</v>
      </c>
      <c r="B888" s="67"/>
      <c r="C888" s="67"/>
      <c r="D888" s="370" t="s">
        <v>6639</v>
      </c>
      <c r="E888" s="67" t="str">
        <f>VLOOKUP(D888,'03. Insumos'!A:D,2,0)</f>
        <v>Porcelanato Eliane, Munari Marfim Acetinado, 59 x 59 cm - 8033789 - Material</v>
      </c>
      <c r="F888" s="68" t="s">
        <v>5218</v>
      </c>
      <c r="G888" s="68" t="str">
        <f>VLOOKUP(D888,'03. Insumos'!A:F,3,0)</f>
        <v>m²</v>
      </c>
      <c r="H888" s="69">
        <v>1.1000000000000001</v>
      </c>
      <c r="I888" s="483">
        <f>H887</f>
        <v>0</v>
      </c>
      <c r="J888" s="70">
        <f t="shared" ref="J888:J891" si="716">IFERROR(IF(K888&lt;&gt;0,K888*$K$5,0),0)</f>
        <v>85.218347282177803</v>
      </c>
      <c r="K888" s="70">
        <f>IF(A888=0,VLOOKUP(D888,'03. Insumos'!A:F,4,0),"")</f>
        <v>85.218347282177803</v>
      </c>
      <c r="L888" s="70">
        <f t="shared" ref="L888:L891" si="717">H888*J888*I888</f>
        <v>0</v>
      </c>
      <c r="M888" s="153">
        <f t="shared" ca="1" si="706"/>
        <v>0</v>
      </c>
      <c r="O888" s="499">
        <f t="shared" si="712"/>
        <v>0</v>
      </c>
      <c r="R888" s="500">
        <f>IF(J888&lt;&gt;0,J888/1.03-K888,0)</f>
        <v>-2.4820877849178089</v>
      </c>
    </row>
    <row r="889" spans="1:18" s="51" customFormat="1" ht="13.5" hidden="1" customHeight="1" outlineLevel="1" x14ac:dyDescent="0.3">
      <c r="A889" s="13">
        <f t="shared" si="715"/>
        <v>0</v>
      </c>
      <c r="B889" s="49"/>
      <c r="C889" s="49"/>
      <c r="D889" s="370" t="s">
        <v>6502</v>
      </c>
      <c r="E889" s="67" t="str">
        <f>VLOOKUP(D889,'03. Insumos'!A:D,2,0)</f>
        <v>Revestimento de Piso - Mão de Obra</v>
      </c>
      <c r="F889" s="68" t="s">
        <v>3809</v>
      </c>
      <c r="G889" s="68" t="str">
        <f>VLOOKUP(D889,'03. Insumos'!A:F,3,0)</f>
        <v>m²</v>
      </c>
      <c r="H889" s="69">
        <v>1</v>
      </c>
      <c r="I889" s="483">
        <f>H887</f>
        <v>0</v>
      </c>
      <c r="J889" s="70">
        <f t="shared" si="716"/>
        <v>90</v>
      </c>
      <c r="K889" s="70">
        <f>IF(A889=0,VLOOKUP(D889,'03. Insumos'!A:F,4,0),"")</f>
        <v>90</v>
      </c>
      <c r="L889" s="70">
        <f t="shared" si="717"/>
        <v>0</v>
      </c>
      <c r="M889" s="153">
        <f t="shared" ca="1" si="706"/>
        <v>0</v>
      </c>
      <c r="O889" s="148"/>
      <c r="R889" s="356"/>
    </row>
    <row r="890" spans="1:18" s="51" customFormat="1" ht="13.5" hidden="1" customHeight="1" outlineLevel="1" x14ac:dyDescent="0.3">
      <c r="A890" s="13">
        <v>0</v>
      </c>
      <c r="B890" s="49"/>
      <c r="C890" s="49"/>
      <c r="D890" s="370" t="s">
        <v>6747</v>
      </c>
      <c r="E890" s="67" t="str">
        <f>VLOOKUP(D890,'03. Insumos'!A:D,2,0)</f>
        <v>Argamassa AC II Ligamax Gold Extra 20 Kgs</v>
      </c>
      <c r="F890" s="68" t="s">
        <v>5218</v>
      </c>
      <c r="G890" s="68" t="str">
        <f>VLOOKUP(D890,'03. Insumos'!A:F,3,0)</f>
        <v>sc</v>
      </c>
      <c r="H890" s="69">
        <v>1.1000000000000001</v>
      </c>
      <c r="I890" s="483">
        <f>ROUNDUP(((H887*8)/20),0)</f>
        <v>0</v>
      </c>
      <c r="J890" s="70">
        <f t="shared" si="716"/>
        <v>28.05</v>
      </c>
      <c r="K890" s="70">
        <f>IF(A890=0,VLOOKUP(D890,'03. Insumos'!A:F,4,0),"")</f>
        <v>28.05</v>
      </c>
      <c r="L890" s="70">
        <f t="shared" si="717"/>
        <v>0</v>
      </c>
      <c r="M890" s="153">
        <f t="shared" ca="1" si="706"/>
        <v>0</v>
      </c>
      <c r="O890" s="148"/>
      <c r="R890" s="356"/>
    </row>
    <row r="891" spans="1:18" s="51" customFormat="1" ht="13.5" hidden="1" customHeight="1" outlineLevel="1" x14ac:dyDescent="0.3">
      <c r="A891" s="13">
        <v>0</v>
      </c>
      <c r="B891" s="49"/>
      <c r="C891" s="49"/>
      <c r="D891" s="370" t="s">
        <v>6482</v>
      </c>
      <c r="E891" s="67" t="str">
        <f>VLOOKUP(D891,'03. Insumos'!A:D,2,0)</f>
        <v>Rejunte para Pisos e Azulejos</v>
      </c>
      <c r="F891" s="68" t="s">
        <v>5218</v>
      </c>
      <c r="G891" s="68" t="str">
        <f>VLOOKUP(D891,'03. Insumos'!A:F,3,0)</f>
        <v>bd</v>
      </c>
      <c r="H891" s="69">
        <v>1.1000000000000001</v>
      </c>
      <c r="I891" s="483">
        <f>H887*0.1</f>
        <v>0</v>
      </c>
      <c r="J891" s="70">
        <f t="shared" si="716"/>
        <v>23.9</v>
      </c>
      <c r="K891" s="70">
        <f>IF(A891=0,VLOOKUP(D891,'03. Insumos'!A:F,4,0),"")</f>
        <v>23.9</v>
      </c>
      <c r="L891" s="70">
        <f t="shared" si="717"/>
        <v>0</v>
      </c>
      <c r="M891" s="153">
        <f t="shared" ca="1" si="706"/>
        <v>0</v>
      </c>
      <c r="O891" s="148"/>
      <c r="R891" s="356"/>
    </row>
    <row r="892" spans="1:18" s="59" customFormat="1" ht="13.5" customHeight="1" outlineLevel="1" x14ac:dyDescent="0.3">
      <c r="A892" s="290">
        <f t="shared" ref="A892:A894" si="718">LEN(C892)</f>
        <v>6</v>
      </c>
      <c r="B892" s="606"/>
      <c r="C892" s="606" t="s">
        <v>1370</v>
      </c>
      <c r="D892" s="648" t="s">
        <v>7403</v>
      </c>
      <c r="E892" s="391"/>
      <c r="F892" s="325"/>
      <c r="G892" s="325" t="s">
        <v>73</v>
      </c>
      <c r="H892" s="326">
        <f>H843+H859+H864</f>
        <v>2616.7800000000002</v>
      </c>
      <c r="I892" s="65" t="s">
        <v>2787</v>
      </c>
      <c r="J892" s="812">
        <f>L892/H892</f>
        <v>8.7687921797017694</v>
      </c>
      <c r="K892" s="607" t="str">
        <f>IF(A892=0,VLOOKUP(D892,'03. Insumos'!A:F,4,0),"")</f>
        <v/>
      </c>
      <c r="L892" s="334">
        <f>SUM(L893:L894)</f>
        <v>22946</v>
      </c>
      <c r="M892" s="153">
        <f t="shared" ref="M892:M894" ca="1" si="719">L892/$L$7</f>
        <v>1.3932520796100267E-3</v>
      </c>
      <c r="O892" s="148" t="e">
        <f t="shared" ref="O892:O894" si="720">IF(I892&lt;&gt;0,I892*H892*K892,)</f>
        <v>#VALUE!</v>
      </c>
      <c r="R892" s="12" t="e">
        <f>IF(J892&lt;&gt;0,J892/1.03-K892,0)</f>
        <v>#VALUE!</v>
      </c>
    </row>
    <row r="893" spans="1:18" s="71" customFormat="1" outlineLevel="1" x14ac:dyDescent="0.3">
      <c r="A893" s="59">
        <f t="shared" si="718"/>
        <v>0</v>
      </c>
      <c r="B893" s="67"/>
      <c r="C893" s="67"/>
      <c r="D893" s="370" t="s">
        <v>5200</v>
      </c>
      <c r="E893" s="706" t="str">
        <f>VLOOKUP(D893,'03. Insumos'!A:D,2,0)</f>
        <v>Papelão ondulado 1,2m largura</v>
      </c>
      <c r="F893" s="68" t="s">
        <v>5218</v>
      </c>
      <c r="G893" s="68" t="str">
        <f>VLOOKUP(D893,'03. Insumos'!A:F,3,0)</f>
        <v>RL</v>
      </c>
      <c r="H893" s="69">
        <v>1.3</v>
      </c>
      <c r="I893" s="483">
        <f>ROUNDUP($H$892/(25*1.2),0)</f>
        <v>88</v>
      </c>
      <c r="J893" s="70">
        <f t="shared" ref="J893:J894" si="721">IFERROR(IF(K893&lt;&gt;0,K893*$K$5,0),0)</f>
        <v>184.5</v>
      </c>
      <c r="K893" s="70">
        <f>IF(A893=0,VLOOKUP(D893,'03. Insumos'!A:F,4,0),"")</f>
        <v>184.5</v>
      </c>
      <c r="L893" s="70">
        <f t="shared" ref="L893:L894" si="722">H893*J893*I893</f>
        <v>21106.799999999999</v>
      </c>
      <c r="M893" s="153">
        <f t="shared" ca="1" si="719"/>
        <v>1.2815781832961261E-3</v>
      </c>
      <c r="O893" s="499">
        <f t="shared" si="720"/>
        <v>21106.799999999999</v>
      </c>
      <c r="R893" s="500">
        <f>IF(J893&lt;&gt;0,J893/1.03-K893,0)</f>
        <v>-5.3737864077669997</v>
      </c>
    </row>
    <row r="894" spans="1:18" s="51" customFormat="1" ht="13.5" customHeight="1" outlineLevel="1" x14ac:dyDescent="0.3">
      <c r="A894" s="13">
        <f t="shared" si="718"/>
        <v>0</v>
      </c>
      <c r="B894" s="49"/>
      <c r="C894" s="49"/>
      <c r="D894" s="370" t="s">
        <v>5199</v>
      </c>
      <c r="E894" s="67" t="str">
        <f>VLOOKUP(D894,'03. Insumos'!A:D,2,0)</f>
        <v xml:space="preserve">Fita crepe 48x50m </v>
      </c>
      <c r="F894" s="68" t="s">
        <v>3809</v>
      </c>
      <c r="G894" s="68" t="str">
        <f>VLOOKUP(D894,'03. Insumos'!A:F,3,0)</f>
        <v>uni</v>
      </c>
      <c r="H894" s="69">
        <v>1.1000000000000001</v>
      </c>
      <c r="I894" s="483">
        <f>I893*2</f>
        <v>176</v>
      </c>
      <c r="J894" s="70">
        <f t="shared" si="721"/>
        <v>9.5</v>
      </c>
      <c r="K894" s="70">
        <f>IF(A894=0,VLOOKUP(D894,'03. Insumos'!A:F,4,0),"")</f>
        <v>9.5</v>
      </c>
      <c r="L894" s="70">
        <f t="shared" si="722"/>
        <v>1839.2000000000003</v>
      </c>
      <c r="M894" s="153">
        <f t="shared" ca="1" si="719"/>
        <v>1.1167389631390053E-4</v>
      </c>
      <c r="O894" s="148">
        <f t="shared" si="720"/>
        <v>1839.2000000000003</v>
      </c>
      <c r="R894" s="356"/>
    </row>
    <row r="895" spans="1:18" s="59" customFormat="1" ht="13.5" hidden="1" customHeight="1" outlineLevel="1" x14ac:dyDescent="0.3">
      <c r="A895" s="290">
        <f t="shared" ref="A895:A898" si="723">LEN(C895)</f>
        <v>6</v>
      </c>
      <c r="B895" s="606"/>
      <c r="C895" s="606" t="s">
        <v>1510</v>
      </c>
      <c r="D895" s="648" t="s">
        <v>1163</v>
      </c>
      <c r="E895" s="391"/>
      <c r="F895" s="325"/>
      <c r="G895" s="325" t="s">
        <v>73</v>
      </c>
      <c r="H895" s="326">
        <f>I896</f>
        <v>0</v>
      </c>
      <c r="I895" s="65" t="s">
        <v>2787</v>
      </c>
      <c r="J895" s="812" t="e">
        <f>L895/H895</f>
        <v>#DIV/0!</v>
      </c>
      <c r="K895" s="607" t="str">
        <f>IF(A895=0,VLOOKUP(D895,'03. Insumos'!A:F,4,0),"")</f>
        <v/>
      </c>
      <c r="L895" s="334">
        <f>SUM(L896)</f>
        <v>0</v>
      </c>
      <c r="M895" s="153">
        <f t="shared" ref="M895:M898" ca="1" si="724">L895/$L$7</f>
        <v>0</v>
      </c>
      <c r="O895" s="148" t="e">
        <f t="shared" ref="O895:O898" si="725">IF(I895&lt;&gt;0,I895*H895*K895,)</f>
        <v>#VALUE!</v>
      </c>
      <c r="R895" s="12" t="e">
        <f t="shared" ref="R895:R901" si="726">IF(J895&lt;&gt;0,J895/1.03-K895,0)</f>
        <v>#DIV/0!</v>
      </c>
    </row>
    <row r="896" spans="1:18" s="71" customFormat="1" hidden="1" outlineLevel="1" x14ac:dyDescent="0.3">
      <c r="A896" s="59">
        <f t="shared" si="723"/>
        <v>0</v>
      </c>
      <c r="B896" s="67"/>
      <c r="C896" s="67"/>
      <c r="D896" s="370" t="s">
        <v>7389</v>
      </c>
      <c r="E896" s="706" t="s">
        <v>8365</v>
      </c>
      <c r="F896" s="68" t="s">
        <v>5218</v>
      </c>
      <c r="G896" s="68" t="str">
        <f>VLOOKUP(D896,'03. Insumos'!A:F,3,0)</f>
        <v>m²</v>
      </c>
      <c r="H896" s="69">
        <v>1.1000000000000001</v>
      </c>
      <c r="I896" s="483"/>
      <c r="J896" s="70">
        <v>228.04</v>
      </c>
      <c r="K896" s="70">
        <f>IF(A896=0,VLOOKUP(D896,'03. Insumos'!A:F,4,0),"")</f>
        <v>50.4</v>
      </c>
      <c r="L896" s="70">
        <f t="shared" ref="L896" si="727">H896*J896*I896</f>
        <v>0</v>
      </c>
      <c r="M896" s="153">
        <f t="shared" ca="1" si="724"/>
        <v>0</v>
      </c>
      <c r="O896" s="499">
        <f t="shared" si="725"/>
        <v>0</v>
      </c>
      <c r="R896" s="500">
        <f t="shared" si="726"/>
        <v>170.99805825242717</v>
      </c>
    </row>
    <row r="897" spans="1:18" s="59" customFormat="1" ht="13.5" hidden="1" customHeight="1" outlineLevel="1" x14ac:dyDescent="0.3">
      <c r="A897" s="290">
        <f t="shared" si="723"/>
        <v>6</v>
      </c>
      <c r="B897" s="606"/>
      <c r="C897" s="606" t="s">
        <v>1370</v>
      </c>
      <c r="D897" s="648" t="s">
        <v>8475</v>
      </c>
      <c r="E897" s="391"/>
      <c r="F897" s="325"/>
      <c r="G897" s="325" t="s">
        <v>73</v>
      </c>
      <c r="H897" s="326">
        <f>I898</f>
        <v>0</v>
      </c>
      <c r="I897" s="65" t="s">
        <v>2787</v>
      </c>
      <c r="J897" s="812"/>
      <c r="K897" s="607" t="str">
        <f>IF(A897=0,VLOOKUP(D897,'03. Insumos'!A:F,4,0),"")</f>
        <v/>
      </c>
      <c r="L897" s="334">
        <f>SUM(L898)</f>
        <v>0</v>
      </c>
      <c r="M897" s="153">
        <f t="shared" ca="1" si="724"/>
        <v>0</v>
      </c>
      <c r="O897" s="148" t="e">
        <f t="shared" si="725"/>
        <v>#VALUE!</v>
      </c>
      <c r="R897" s="12">
        <f t="shared" si="726"/>
        <v>0</v>
      </c>
    </row>
    <row r="898" spans="1:18" s="71" customFormat="1" hidden="1" outlineLevel="1" x14ac:dyDescent="0.3">
      <c r="A898" s="59">
        <f t="shared" si="723"/>
        <v>0</v>
      </c>
      <c r="B898" s="67"/>
      <c r="C898" s="67"/>
      <c r="D898" s="370" t="s">
        <v>8060</v>
      </c>
      <c r="E898" s="706" t="s">
        <v>8476</v>
      </c>
      <c r="F898" s="68" t="s">
        <v>5218</v>
      </c>
      <c r="G898" s="68" t="str">
        <f>VLOOKUP(D898,'03. Insumos'!A:F,3,0)</f>
        <v>m²</v>
      </c>
      <c r="H898" s="69">
        <v>1.05</v>
      </c>
      <c r="I898" s="483"/>
      <c r="J898" s="70">
        <v>70</v>
      </c>
      <c r="K898" s="70">
        <f>IF(A898=0,VLOOKUP(D898,'03. Insumos'!A:F,4,0),"")</f>
        <v>84.27</v>
      </c>
      <c r="L898" s="70">
        <f t="shared" ref="L898" si="728">H898*J898*I898</f>
        <v>0</v>
      </c>
      <c r="M898" s="153">
        <f t="shared" ca="1" si="724"/>
        <v>0</v>
      </c>
      <c r="O898" s="499">
        <f t="shared" si="725"/>
        <v>0</v>
      </c>
      <c r="R898" s="500">
        <f t="shared" si="726"/>
        <v>-16.308834951456305</v>
      </c>
    </row>
    <row r="899" spans="1:18" s="59" customFormat="1" ht="13.5" customHeight="1" outlineLevel="1" x14ac:dyDescent="0.3">
      <c r="A899" s="290">
        <f t="shared" ref="A899:A902" si="729">LEN(C899)</f>
        <v>6</v>
      </c>
      <c r="B899" s="606"/>
      <c r="C899" s="606" t="s">
        <v>1511</v>
      </c>
      <c r="D899" s="648" t="s">
        <v>6947</v>
      </c>
      <c r="E899" s="391"/>
      <c r="F899" s="325"/>
      <c r="G899" s="325" t="s">
        <v>73</v>
      </c>
      <c r="H899" s="326">
        <v>1089.42</v>
      </c>
      <c r="I899" s="65" t="s">
        <v>2787</v>
      </c>
      <c r="J899" s="812">
        <f>L899/H899</f>
        <v>61.575036456095901</v>
      </c>
      <c r="K899" s="607" t="str">
        <f>IF(A899=0,VLOOKUP(D899,'03. Insumos'!A:F,4,0),"")</f>
        <v/>
      </c>
      <c r="L899" s="334">
        <f>SUM(L900:L903)</f>
        <v>67081.076216000001</v>
      </c>
      <c r="M899" s="153">
        <f t="shared" ca="1" si="706"/>
        <v>4.0730780502231632E-3</v>
      </c>
      <c r="O899" s="148" t="e">
        <f t="shared" si="707"/>
        <v>#VALUE!</v>
      </c>
      <c r="R899" s="12" t="e">
        <f t="shared" si="726"/>
        <v>#VALUE!</v>
      </c>
    </row>
    <row r="900" spans="1:18" s="71" customFormat="1" outlineLevel="1" x14ac:dyDescent="0.3">
      <c r="A900" s="59">
        <f t="shared" si="729"/>
        <v>0</v>
      </c>
      <c r="B900" s="67"/>
      <c r="C900" s="67"/>
      <c r="D900" s="370" t="s">
        <v>6508</v>
      </c>
      <c r="E900" s="706" t="str">
        <f>VLOOKUP(D900,'03. Insumos'!A:D,2,0)</f>
        <v>Piso Cimentado - Mão de Obra</v>
      </c>
      <c r="F900" s="68" t="s">
        <v>5218</v>
      </c>
      <c r="G900" s="68" t="str">
        <f>VLOOKUP(D900,'03. Insumos'!A:F,3,0)</f>
        <v>m²</v>
      </c>
      <c r="H900" s="69">
        <v>1</v>
      </c>
      <c r="I900" s="483">
        <f>H899</f>
        <v>1089.42</v>
      </c>
      <c r="J900" s="70">
        <f t="shared" ref="J900" si="730">IFERROR(IF(K900&lt;&gt;0,K900*$K$5,0),0)</f>
        <v>42</v>
      </c>
      <c r="K900" s="70">
        <f>IF(A900=0,VLOOKUP(D900,'03. Insumos'!A:F,4,0),"")</f>
        <v>42</v>
      </c>
      <c r="L900" s="70">
        <f t="shared" ref="L900:L903" si="731">H900*J900*I900</f>
        <v>45755.64</v>
      </c>
      <c r="M900" s="153">
        <f t="shared" ca="1" si="706"/>
        <v>2.7782245525968673E-3</v>
      </c>
      <c r="O900" s="499">
        <f t="shared" si="707"/>
        <v>45755.64</v>
      </c>
      <c r="R900" s="500">
        <f t="shared" si="726"/>
        <v>-1.2233009708737868</v>
      </c>
    </row>
    <row r="901" spans="1:18" s="71" customFormat="1" outlineLevel="1" x14ac:dyDescent="0.3">
      <c r="A901" s="59">
        <f t="shared" ref="A901" si="732">LEN(C901)</f>
        <v>0</v>
      </c>
      <c r="B901" s="67"/>
      <c r="C901" s="67"/>
      <c r="D901" s="370" t="s">
        <v>7668</v>
      </c>
      <c r="E901" s="706" t="str">
        <f>VLOOKUP(D901,'03. Insumos'!A:D,2,0)</f>
        <v>Piso Cimentado Escada degrau e espelho - Mão de Obra</v>
      </c>
      <c r="F901" s="68" t="s">
        <v>5218</v>
      </c>
      <c r="G901" s="68" t="str">
        <f>VLOOKUP(D901,'03. Insumos'!A:F,3,0)</f>
        <v>pav</v>
      </c>
      <c r="H901" s="69">
        <v>1</v>
      </c>
      <c r="I901" s="69">
        <v>5</v>
      </c>
      <c r="J901" s="70">
        <f t="shared" ref="J901" si="733">IFERROR(IF(K901&lt;&gt;0,K901*$K$5,0),0)</f>
        <v>1900</v>
      </c>
      <c r="K901" s="70">
        <f>IF(A901=0,VLOOKUP(D901,'03. Insumos'!A:F,4,0),"")</f>
        <v>1900</v>
      </c>
      <c r="L901" s="70">
        <f t="shared" ref="L901" si="734">H901*J901*I901</f>
        <v>9500</v>
      </c>
      <c r="M901" s="153">
        <f t="shared" ref="M901" ca="1" si="735">L901/$L$7</f>
        <v>5.7682797682799851E-4</v>
      </c>
      <c r="O901" s="499">
        <f t="shared" ref="O901" si="736">IF(I901&lt;&gt;0,I901*H901*K901,)</f>
        <v>9500</v>
      </c>
      <c r="R901" s="500">
        <f t="shared" si="726"/>
        <v>-55.33980582524282</v>
      </c>
    </row>
    <row r="902" spans="1:18" s="51" customFormat="1" ht="13.5" customHeight="1" outlineLevel="1" x14ac:dyDescent="0.3">
      <c r="A902" s="13">
        <f t="shared" si="729"/>
        <v>0</v>
      </c>
      <c r="B902" s="49"/>
      <c r="C902" s="49"/>
      <c r="D902" s="370" t="s">
        <v>6457</v>
      </c>
      <c r="E902" s="67" t="str">
        <f>VLOOKUP(D902,'03. Insumos'!A:D,2,0)</f>
        <v>Areia Media Lavada</v>
      </c>
      <c r="F902" s="68" t="s">
        <v>3809</v>
      </c>
      <c r="G902" s="68" t="str">
        <f>VLOOKUP(D902,'03. Insumos'!A:F,3,0)</f>
        <v>m³</v>
      </c>
      <c r="H902" s="69">
        <v>1.1000000000000001</v>
      </c>
      <c r="I902" s="483">
        <f>$H$899*0.04</f>
        <v>43.576800000000006</v>
      </c>
      <c r="J902" s="70">
        <f t="shared" ref="J902:J903" si="737">IFERROR(IF(K902&lt;&gt;0,K902*$K$5,0),0)</f>
        <v>127.50000000000001</v>
      </c>
      <c r="K902" s="70">
        <f>IF(A902=0,VLOOKUP(D902,'03. Insumos'!A:F,4,0),"")</f>
        <v>127.50000000000001</v>
      </c>
      <c r="L902" s="70">
        <f t="shared" si="731"/>
        <v>6111.646200000002</v>
      </c>
      <c r="M902" s="153">
        <f t="shared" ca="1" si="706"/>
        <v>3.710914223825817E-4</v>
      </c>
      <c r="O902" s="148">
        <f t="shared" si="707"/>
        <v>6111.646200000002</v>
      </c>
      <c r="R902" s="356"/>
    </row>
    <row r="903" spans="1:18" s="51" customFormat="1" ht="13.5" customHeight="1" outlineLevel="1" x14ac:dyDescent="0.3">
      <c r="A903" s="13">
        <v>0</v>
      </c>
      <c r="B903" s="49"/>
      <c r="C903" s="49"/>
      <c r="D903" s="370" t="s">
        <v>6456</v>
      </c>
      <c r="E903" s="67" t="str">
        <f>VLOOKUP(D903,'03. Insumos'!A:D,2,0)</f>
        <v>Cimento Portland CPIII 40 RS 50 KGs</v>
      </c>
      <c r="F903" s="68" t="s">
        <v>5218</v>
      </c>
      <c r="G903" s="68" t="str">
        <f>VLOOKUP(D903,'03. Insumos'!A:F,3,0)</f>
        <v>sc</v>
      </c>
      <c r="H903" s="69">
        <v>1.1000000000000001</v>
      </c>
      <c r="I903" s="483">
        <f>$H$899*0.16</f>
        <v>174.30720000000002</v>
      </c>
      <c r="J903" s="70">
        <f t="shared" si="737"/>
        <v>29.8</v>
      </c>
      <c r="K903" s="70">
        <f>IF(A903=0,VLOOKUP(D903,'03. Insumos'!A:F,4,0),"")</f>
        <v>29.8</v>
      </c>
      <c r="L903" s="70">
        <f t="shared" si="731"/>
        <v>5713.7900160000008</v>
      </c>
      <c r="M903" s="153">
        <f t="shared" ca="1" si="706"/>
        <v>3.4693409841571554E-4</v>
      </c>
      <c r="O903" s="148">
        <f t="shared" si="707"/>
        <v>5713.7900160000008</v>
      </c>
      <c r="R903" s="356"/>
    </row>
    <row r="904" spans="1:18" s="51" customFormat="1" ht="13.5" customHeight="1" outlineLevel="1" x14ac:dyDescent="0.3">
      <c r="A904" s="290">
        <f>LEN(C904)</f>
        <v>4</v>
      </c>
      <c r="B904" s="45"/>
      <c r="C904" s="45" t="s">
        <v>2747</v>
      </c>
      <c r="D904" s="45" t="s">
        <v>2756</v>
      </c>
      <c r="E904" s="347"/>
      <c r="F904" s="327"/>
      <c r="G904" s="680"/>
      <c r="H904" s="328"/>
      <c r="I904" s="548"/>
      <c r="J904" s="335"/>
      <c r="K904" s="335"/>
      <c r="L904" s="335">
        <f>SUMIF(A905:A920,6,L905:L920)</f>
        <v>188052.83590099993</v>
      </c>
      <c r="M904" s="153">
        <f t="shared" ca="1" si="706"/>
        <v>1.141833019679383E-2</v>
      </c>
      <c r="O904" s="148"/>
      <c r="R904" s="12"/>
    </row>
    <row r="905" spans="1:18" s="51" customFormat="1" ht="13.5" customHeight="1" outlineLevel="1" x14ac:dyDescent="0.3">
      <c r="A905" s="290">
        <v>6</v>
      </c>
      <c r="B905" s="391"/>
      <c r="C905" s="391" t="s">
        <v>2757</v>
      </c>
      <c r="D905" s="606" t="s">
        <v>7119</v>
      </c>
      <c r="E905" s="391"/>
      <c r="F905" s="325"/>
      <c r="G905" s="325" t="s">
        <v>74</v>
      </c>
      <c r="H905" s="326">
        <v>130.41999999999999</v>
      </c>
      <c r="I905" s="326"/>
      <c r="J905" s="812">
        <f>L905/H905</f>
        <v>28.232400000000002</v>
      </c>
      <c r="K905" s="334" t="str">
        <f>IF(A905=0,VLOOKUP(D905,'03. Insumos'!A:F,4,0),"")</f>
        <v/>
      </c>
      <c r="L905" s="334">
        <f>SUM(L906:L908)</f>
        <v>3682.0696079999998</v>
      </c>
      <c r="M905" s="153">
        <f t="shared" ca="1" si="706"/>
        <v>2.2357060658131594E-4</v>
      </c>
      <c r="O905" s="148"/>
      <c r="R905" s="12"/>
    </row>
    <row r="906" spans="1:18" s="51" customFormat="1" ht="13.5" customHeight="1" outlineLevel="1" x14ac:dyDescent="0.3">
      <c r="A906" s="13">
        <v>0</v>
      </c>
      <c r="B906" s="49"/>
      <c r="C906" s="49"/>
      <c r="D906" s="370" t="s">
        <v>6507</v>
      </c>
      <c r="E906" s="67" t="str">
        <f>VLOOKUP(D906,'03. Insumos'!A:D,2,0)</f>
        <v>Rodapé Cimentado - Mão de Obra</v>
      </c>
      <c r="F906" s="68" t="s">
        <v>3809</v>
      </c>
      <c r="G906" s="68" t="str">
        <f>VLOOKUP(D906,'03. Insumos'!A:F,3,0)</f>
        <v>m</v>
      </c>
      <c r="H906" s="69">
        <v>1</v>
      </c>
      <c r="I906" s="483">
        <f>$H$905</f>
        <v>130.41999999999999</v>
      </c>
      <c r="J906" s="70">
        <f t="shared" ref="J906:J908" si="738">IFERROR(IF(K906&lt;&gt;0,K906*$K$5,0),0)</f>
        <v>20</v>
      </c>
      <c r="K906" s="70">
        <f>IF(A906=0,VLOOKUP(D906,'03. Insumos'!A:F,4,0),"")</f>
        <v>20</v>
      </c>
      <c r="L906" s="70">
        <f t="shared" ref="L906:L908" si="739">H906*J906*I906</f>
        <v>2608.3999999999996</v>
      </c>
      <c r="M906" s="153">
        <f t="shared" ca="1" si="706"/>
        <v>1.5837874681664748E-4</v>
      </c>
      <c r="O906" s="148"/>
      <c r="R906" s="12"/>
    </row>
    <row r="907" spans="1:18" s="51" customFormat="1" ht="13.5" customHeight="1" outlineLevel="1" x14ac:dyDescent="0.3">
      <c r="A907" s="13">
        <v>0</v>
      </c>
      <c r="B907" s="49"/>
      <c r="C907" s="49"/>
      <c r="D907" s="370" t="s">
        <v>6457</v>
      </c>
      <c r="E907" s="67" t="str">
        <f>VLOOKUP(D907,'03. Insumos'!A:D,2,0)</f>
        <v>Areia Media Lavada</v>
      </c>
      <c r="F907" s="68" t="s">
        <v>5218</v>
      </c>
      <c r="G907" s="68" t="str">
        <f>VLOOKUP(D907,'03. Insumos'!A:F,3,0)</f>
        <v>m³</v>
      </c>
      <c r="H907" s="69">
        <v>1.1000000000000001</v>
      </c>
      <c r="I907" s="483">
        <f>$H$905*0.2*0.2</f>
        <v>5.2168000000000001</v>
      </c>
      <c r="J907" s="70">
        <f t="shared" si="738"/>
        <v>127.50000000000001</v>
      </c>
      <c r="K907" s="70">
        <f>IF(A907=0,VLOOKUP(D907,'03. Insumos'!A:F,4,0),"")</f>
        <v>127.50000000000001</v>
      </c>
      <c r="L907" s="70">
        <f t="shared" si="739"/>
        <v>731.65620000000013</v>
      </c>
      <c r="M907" s="153">
        <f t="shared" ca="1" si="706"/>
        <v>4.4425238482069632E-5</v>
      </c>
      <c r="O907" s="148"/>
      <c r="R907" s="12"/>
    </row>
    <row r="908" spans="1:18" s="51" customFormat="1" ht="13.5" customHeight="1" outlineLevel="1" x14ac:dyDescent="0.3">
      <c r="A908" s="13">
        <v>0</v>
      </c>
      <c r="B908" s="49"/>
      <c r="C908" s="49"/>
      <c r="D908" s="370" t="s">
        <v>6456</v>
      </c>
      <c r="E908" s="67" t="str">
        <f>VLOOKUP(D908,'03. Insumos'!A:D,2,0)</f>
        <v>Cimento Portland CPIII 40 RS 50 KGs</v>
      </c>
      <c r="F908" s="68" t="s">
        <v>5218</v>
      </c>
      <c r="G908" s="68" t="str">
        <f>VLOOKUP(D908,'03. Insumos'!A:F,3,0)</f>
        <v>sc</v>
      </c>
      <c r="H908" s="69">
        <v>1.1000000000000001</v>
      </c>
      <c r="I908" s="483">
        <f>$H$905*0.2*0.4</f>
        <v>10.4336</v>
      </c>
      <c r="J908" s="70">
        <f t="shared" si="738"/>
        <v>29.8</v>
      </c>
      <c r="K908" s="70">
        <f>IF(A908=0,VLOOKUP(D908,'03. Insumos'!A:F,4,0),"")</f>
        <v>29.8</v>
      </c>
      <c r="L908" s="70">
        <f t="shared" si="739"/>
        <v>342.01340800000003</v>
      </c>
      <c r="M908" s="153">
        <f t="shared" ca="1" si="706"/>
        <v>2.0766621282598824E-5</v>
      </c>
      <c r="O908" s="148"/>
      <c r="R908" s="12"/>
    </row>
    <row r="909" spans="1:18" s="51" customFormat="1" ht="13.5" customHeight="1" outlineLevel="1" x14ac:dyDescent="0.3">
      <c r="A909" s="290">
        <v>6</v>
      </c>
      <c r="B909" s="391"/>
      <c r="C909" s="391" t="s">
        <v>5716</v>
      </c>
      <c r="D909" s="606" t="s">
        <v>8760</v>
      </c>
      <c r="E909" s="391"/>
      <c r="F909" s="325"/>
      <c r="G909" s="325" t="s">
        <v>74</v>
      </c>
      <c r="H909" s="326">
        <f>SUM(I910:I916)</f>
        <v>5585.03</v>
      </c>
      <c r="I909" s="326"/>
      <c r="J909" s="812">
        <f>L909/H909</f>
        <v>31.714000872510972</v>
      </c>
      <c r="K909" s="334" t="str">
        <f>IF(A909=0,VLOOKUP(D909,'03. Insumos'!A:F,4,0),"")</f>
        <v/>
      </c>
      <c r="L909" s="334">
        <f>SUM(L910:L917)</f>
        <v>177123.64629299994</v>
      </c>
      <c r="M909" s="153">
        <f t="shared" ca="1" si="706"/>
        <v>1.0754723635746229E-2</v>
      </c>
      <c r="O909" s="148"/>
      <c r="R909" s="12"/>
    </row>
    <row r="910" spans="1:18" s="51" customFormat="1" ht="13.5" customHeight="1" outlineLevel="1" x14ac:dyDescent="0.3">
      <c r="A910" s="290">
        <v>0</v>
      </c>
      <c r="B910" s="49"/>
      <c r="C910" s="49"/>
      <c r="D910" s="370" t="s">
        <v>7580</v>
      </c>
      <c r="E910" s="67" t="s">
        <v>8366</v>
      </c>
      <c r="F910" s="68" t="s">
        <v>3809</v>
      </c>
      <c r="G910" s="68" t="str">
        <f>VLOOKUP(D910,'03. Insumos'!A:F,3,0)</f>
        <v>m</v>
      </c>
      <c r="H910" s="69">
        <v>1.1000000000000001</v>
      </c>
      <c r="I910" s="627">
        <v>2053.2299999999996</v>
      </c>
      <c r="J910" s="70">
        <v>33.99</v>
      </c>
      <c r="K910" s="70">
        <f>IF(A910=0,VLOOKUP(D910,'03. Insumos'!A:F,4,0),"")</f>
        <v>29.23</v>
      </c>
      <c r="L910" s="70">
        <f>H910*J910*I910</f>
        <v>76768.216469999985</v>
      </c>
      <c r="M910" s="153">
        <f t="shared" ref="M910:M916" ca="1" si="740">L910/$L$7</f>
        <v>4.6612689464298864E-3</v>
      </c>
      <c r="O910" s="148"/>
      <c r="R910" s="12"/>
    </row>
    <row r="911" spans="1:18" s="51" customFormat="1" ht="13.5" customHeight="1" outlineLevel="1" x14ac:dyDescent="0.3">
      <c r="A911" s="290">
        <v>0</v>
      </c>
      <c r="B911" s="49"/>
      <c r="C911" s="49"/>
      <c r="D911" s="370" t="s">
        <v>6828</v>
      </c>
      <c r="E911" s="67" t="str">
        <f>VLOOKUP(D911,'03. Insumos'!A:D,2,0)</f>
        <v>Rodapé Santa Luzia - Mão de Obra</v>
      </c>
      <c r="F911" s="68" t="s">
        <v>5218</v>
      </c>
      <c r="G911" s="68" t="str">
        <f>VLOOKUP(D911,'03. Insumos'!A:F,3,0)</f>
        <v>m</v>
      </c>
      <c r="H911" s="69">
        <v>1</v>
      </c>
      <c r="I911" s="627">
        <f>I910</f>
        <v>2053.2299999999996</v>
      </c>
      <c r="J911" s="70">
        <f>IFERROR(IF(K911&lt;&gt;0,K911*$K$5,0),0)</f>
        <v>14.1</v>
      </c>
      <c r="K911" s="70">
        <f>IF(A911=0,VLOOKUP(D911,'03. Insumos'!A:F,4,0),"")</f>
        <v>14.1</v>
      </c>
      <c r="L911" s="70">
        <f>H911*J911*I911</f>
        <v>28950.542999999994</v>
      </c>
      <c r="M911" s="153">
        <f ca="1">L911/$L$7</f>
        <v>1.7578403312381021E-3</v>
      </c>
      <c r="O911" s="148"/>
      <c r="R911" s="12"/>
    </row>
    <row r="912" spans="1:18" s="71" customFormat="1" outlineLevel="1" x14ac:dyDescent="0.3">
      <c r="A912" s="59">
        <v>0</v>
      </c>
      <c r="B912" s="67"/>
      <c r="C912" s="67"/>
      <c r="D912" s="370" t="s">
        <v>7580</v>
      </c>
      <c r="E912" s="706" t="s">
        <v>8761</v>
      </c>
      <c r="F912" s="68" t="s">
        <v>3809</v>
      </c>
      <c r="G912" s="68" t="str">
        <f>VLOOKUP(D912,'03. Insumos'!A:F,3,0)</f>
        <v>m</v>
      </c>
      <c r="H912" s="69">
        <v>1.1000000000000001</v>
      </c>
      <c r="I912" s="483">
        <v>230.01999999999998</v>
      </c>
      <c r="J912" s="70">
        <f>0.8*0.8*J848/1.6</f>
        <v>18</v>
      </c>
      <c r="K912" s="70">
        <f>IF(A912=0,VLOOKUP(D912,'03. Insumos'!A:F,4,0),"")</f>
        <v>29.23</v>
      </c>
      <c r="L912" s="70">
        <f>H912*J912*I912</f>
        <v>4554.3959999999997</v>
      </c>
      <c r="M912" s="153">
        <f t="shared" ref="M912:M913" ca="1" si="741">L912/$L$7</f>
        <v>2.7653716108984517E-4</v>
      </c>
      <c r="O912" s="499"/>
      <c r="R912" s="500"/>
    </row>
    <row r="913" spans="1:18" s="71" customFormat="1" outlineLevel="1" x14ac:dyDescent="0.3">
      <c r="A913" s="59">
        <v>0</v>
      </c>
      <c r="B913" s="67"/>
      <c r="C913" s="67"/>
      <c r="D913" s="370" t="s">
        <v>7580</v>
      </c>
      <c r="E913" s="706" t="s">
        <v>8762</v>
      </c>
      <c r="F913" s="68" t="s">
        <v>3809</v>
      </c>
      <c r="G913" s="68" t="str">
        <f>VLOOKUP(D913,'03. Insumos'!A:F,3,0)</f>
        <v>m</v>
      </c>
      <c r="H913" s="69">
        <v>1.1000000000000001</v>
      </c>
      <c r="I913" s="483">
        <v>663.47000000000014</v>
      </c>
      <c r="J913" s="70">
        <f>0.6*0.6*J847/1.2</f>
        <v>17.882999999999999</v>
      </c>
      <c r="K913" s="70">
        <f>IF(A913=0,VLOOKUP(D913,'03. Insumos'!A:F,4,0),"")</f>
        <v>29.23</v>
      </c>
      <c r="L913" s="70">
        <f t="shared" ref="L913" si="742">H913*J913*I913</f>
        <v>13051.317411000004</v>
      </c>
      <c r="M913" s="153">
        <f t="shared" ca="1" si="741"/>
        <v>7.9245947548706988E-4</v>
      </c>
      <c r="O913" s="499"/>
      <c r="R913" s="500"/>
    </row>
    <row r="914" spans="1:18" s="71" customFormat="1" outlineLevel="1" x14ac:dyDescent="0.3">
      <c r="A914" s="59">
        <v>0</v>
      </c>
      <c r="B914" s="67"/>
      <c r="C914" s="67"/>
      <c r="D914" s="370" t="s">
        <v>7580</v>
      </c>
      <c r="E914" s="706" t="s">
        <v>8763</v>
      </c>
      <c r="F914" s="68" t="s">
        <v>3809</v>
      </c>
      <c r="G914" s="68" t="str">
        <f>VLOOKUP(D914,'03. Insumos'!A:F,3,0)</f>
        <v>m</v>
      </c>
      <c r="H914" s="69">
        <v>1.1000000000000001</v>
      </c>
      <c r="I914" s="483">
        <v>563.50000000000011</v>
      </c>
      <c r="J914" s="70">
        <f>0.8*0.8*J848/1.6</f>
        <v>18</v>
      </c>
      <c r="K914" s="70">
        <f>IF(A914=0,VLOOKUP(D914,'03. Insumos'!A:F,4,0),"")</f>
        <v>29.23</v>
      </c>
      <c r="L914" s="70">
        <f t="shared" ref="L914:L915" si="743">H914*J914*I914</f>
        <v>11157.300000000003</v>
      </c>
      <c r="M914" s="153">
        <f t="shared" ref="M914:M915" ca="1" si="744">L914/$L$7</f>
        <v>6.7745713535400309E-4</v>
      </c>
      <c r="O914" s="499"/>
      <c r="R914" s="500"/>
    </row>
    <row r="915" spans="1:18" s="71" customFormat="1" outlineLevel="1" x14ac:dyDescent="0.3">
      <c r="A915" s="59">
        <v>0</v>
      </c>
      <c r="B915" s="67"/>
      <c r="C915" s="67"/>
      <c r="D915" s="370" t="s">
        <v>7580</v>
      </c>
      <c r="E915" s="706" t="s">
        <v>8764</v>
      </c>
      <c r="F915" s="68" t="s">
        <v>3809</v>
      </c>
      <c r="G915" s="68" t="str">
        <f>VLOOKUP(D915,'03. Insumos'!A:F,3,0)</f>
        <v>m</v>
      </c>
      <c r="H915" s="69">
        <v>1.1000000000000001</v>
      </c>
      <c r="I915" s="483">
        <v>21.58</v>
      </c>
      <c r="J915" s="70">
        <f>0.6*0.6*J846/1.2</f>
        <v>21.173999999999999</v>
      </c>
      <c r="K915" s="70">
        <f>IF(A915=0,VLOOKUP(D915,'03. Insumos'!A:F,4,0),"")</f>
        <v>29.23</v>
      </c>
      <c r="L915" s="70">
        <f t="shared" si="743"/>
        <v>502.62841200000003</v>
      </c>
      <c r="M915" s="153">
        <f t="shared" ca="1" si="744"/>
        <v>3.0518961051603128E-5</v>
      </c>
      <c r="O915" s="499"/>
      <c r="R915" s="500"/>
    </row>
    <row r="916" spans="1:18" s="51" customFormat="1" ht="13.5" hidden="1" customHeight="1" outlineLevel="1" x14ac:dyDescent="0.3">
      <c r="A916" s="290">
        <v>0</v>
      </c>
      <c r="B916" s="49"/>
      <c r="C916" s="49"/>
      <c r="D916" s="370" t="s">
        <v>7581</v>
      </c>
      <c r="E916" s="67" t="str">
        <f>VLOOKUP(D916,'03. Insumos'!A:D,2,0)</f>
        <v>Rodapé Inverso Santa Luzia Neo alumínio 30x3000 branco - Material</v>
      </c>
      <c r="F916" s="68" t="s">
        <v>3809</v>
      </c>
      <c r="G916" s="68" t="str">
        <f>VLOOKUP(D916,'03. Insumos'!A:F,3,0)</f>
        <v>m</v>
      </c>
      <c r="H916" s="69">
        <v>1.1000000000000001</v>
      </c>
      <c r="I916" s="627"/>
      <c r="J916" s="70">
        <f>IFERROR(IF(K916&lt;&gt;0,K916*$K$5,0),0)</f>
        <v>39.26</v>
      </c>
      <c r="K916" s="70">
        <f>IF(A916=0,VLOOKUP(D916,'03. Insumos'!A:F,4,0),"")</f>
        <v>39.26</v>
      </c>
      <c r="L916" s="70">
        <f>H916*J916*I916</f>
        <v>0</v>
      </c>
      <c r="M916" s="153">
        <f t="shared" ca="1" si="740"/>
        <v>0</v>
      </c>
      <c r="O916" s="148"/>
      <c r="R916" s="12"/>
    </row>
    <row r="917" spans="1:18" s="51" customFormat="1" ht="13.5" customHeight="1" outlineLevel="1" x14ac:dyDescent="0.3">
      <c r="A917" s="290">
        <v>0</v>
      </c>
      <c r="B917" s="49"/>
      <c r="C917" s="49"/>
      <c r="D917" s="370" t="s">
        <v>6828</v>
      </c>
      <c r="E917" s="67" t="s">
        <v>8611</v>
      </c>
      <c r="F917" s="68" t="s">
        <v>5218</v>
      </c>
      <c r="G917" s="68" t="str">
        <f>VLOOKUP(D917,'03. Insumos'!A:F,3,0)</f>
        <v>m</v>
      </c>
      <c r="H917" s="69">
        <v>1</v>
      </c>
      <c r="I917" s="627">
        <f>SUM(I912:I915)</f>
        <v>1478.5700000000002</v>
      </c>
      <c r="J917" s="70">
        <v>28.5</v>
      </c>
      <c r="K917" s="70">
        <f>IF(A917=0,VLOOKUP(D917,'03. Insumos'!A:F,4,0),"")</f>
        <v>14.1</v>
      </c>
      <c r="L917" s="70">
        <f>H917*J917*I917</f>
        <v>42139.245000000003</v>
      </c>
      <c r="M917" s="153">
        <f ca="1">L917/$L$7</f>
        <v>2.5586416250957212E-3</v>
      </c>
      <c r="O917" s="148"/>
      <c r="R917" s="12"/>
    </row>
    <row r="918" spans="1:18" s="51" customFormat="1" ht="13.5" customHeight="1" outlineLevel="1" x14ac:dyDescent="0.3">
      <c r="A918" s="290">
        <v>6</v>
      </c>
      <c r="B918" s="391"/>
      <c r="C918" s="391" t="s">
        <v>5716</v>
      </c>
      <c r="D918" s="606" t="s">
        <v>8699</v>
      </c>
      <c r="E918" s="391"/>
      <c r="F918" s="325"/>
      <c r="G918" s="325" t="s">
        <v>74</v>
      </c>
      <c r="H918" s="326">
        <v>46.16</v>
      </c>
      <c r="I918" s="326"/>
      <c r="J918" s="334"/>
      <c r="K918" s="334" t="str">
        <f>IF(A918=0,VLOOKUP(D918,'03. Insumos'!A:F,4,0),"")</f>
        <v/>
      </c>
      <c r="L918" s="334">
        <f>SUM(L919:L920)</f>
        <v>7247.119999999999</v>
      </c>
      <c r="M918" s="153">
        <f t="shared" ca="1" si="706"/>
        <v>4.4003595446628674E-4</v>
      </c>
      <c r="O918" s="148"/>
      <c r="R918" s="12"/>
    </row>
    <row r="919" spans="1:18" s="51" customFormat="1" ht="13.5" customHeight="1" outlineLevel="1" x14ac:dyDescent="0.3">
      <c r="A919" s="290">
        <v>0</v>
      </c>
      <c r="B919" s="49"/>
      <c r="C919" s="49"/>
      <c r="D919" s="370" t="s">
        <v>5997</v>
      </c>
      <c r="E919" s="67" t="str">
        <f>VLOOKUP(D919,'03. Insumos'!A:D,2,0)</f>
        <v>Rodapé em Granito Branco Dallas h 10cm - MAT+ MO</v>
      </c>
      <c r="F919" s="68" t="s">
        <v>3809</v>
      </c>
      <c r="G919" s="68" t="str">
        <f>VLOOKUP(D919,'03. Insumos'!A:F,3,0)</f>
        <v>m</v>
      </c>
      <c r="H919" s="69">
        <v>1</v>
      </c>
      <c r="I919" s="627">
        <f>H918</f>
        <v>46.16</v>
      </c>
      <c r="J919" s="70">
        <f>IFERROR(IF(K919&lt;&gt;0,K919*$K$5,0),0)</f>
        <v>122</v>
      </c>
      <c r="K919" s="70">
        <f>IF(A919=0,VLOOKUP(D919,'03. Insumos'!A:F,4,0),"")</f>
        <v>122</v>
      </c>
      <c r="L919" s="70">
        <f>H919*J919*I919</f>
        <v>5631.5199999999995</v>
      </c>
      <c r="M919" s="153">
        <f t="shared" ca="1" si="706"/>
        <v>3.4193876716488524E-4</v>
      </c>
      <c r="O919" s="148"/>
      <c r="R919" s="12"/>
    </row>
    <row r="920" spans="1:18" s="51" customFormat="1" ht="13.5" customHeight="1" outlineLevel="1" x14ac:dyDescent="0.3">
      <c r="A920" s="290">
        <v>0</v>
      </c>
      <c r="B920" s="49"/>
      <c r="C920" s="49"/>
      <c r="D920" s="370" t="s">
        <v>4709</v>
      </c>
      <c r="E920" s="67" t="str">
        <f>VLOOKUP(D920,'03. Insumos'!A:D,2,0)</f>
        <v>Mão de obra - execução de rodapé</v>
      </c>
      <c r="F920" s="68" t="s">
        <v>5218</v>
      </c>
      <c r="G920" s="68" t="str">
        <f>VLOOKUP(D920,'03. Insumos'!A:F,3,0)</f>
        <v>m</v>
      </c>
      <c r="H920" s="69">
        <v>1</v>
      </c>
      <c r="I920" s="627">
        <f>H918</f>
        <v>46.16</v>
      </c>
      <c r="J920" s="70">
        <f>IFERROR(IF(K920&lt;&gt;0,K920*$K$5,0),0)</f>
        <v>35</v>
      </c>
      <c r="K920" s="70">
        <f>IF(A920=0,VLOOKUP(D920,'03. Insumos'!A:F,4,0),"")</f>
        <v>35</v>
      </c>
      <c r="L920" s="70">
        <f>H920*J920*I920</f>
        <v>1615.6</v>
      </c>
      <c r="M920" s="153">
        <f t="shared" ca="1" si="706"/>
        <v>9.80971873014015E-5</v>
      </c>
      <c r="O920" s="148"/>
      <c r="R920" s="12"/>
    </row>
    <row r="921" spans="1:18" s="18" customFormat="1" ht="13.5" customHeight="1" x14ac:dyDescent="0.3">
      <c r="A921" s="290">
        <f t="shared" ref="A921:A984" si="745">LEN(C921)</f>
        <v>3</v>
      </c>
      <c r="B921" s="35"/>
      <c r="C921" s="390" t="s">
        <v>324</v>
      </c>
      <c r="D921" s="390" t="s">
        <v>6951</v>
      </c>
      <c r="E921" s="390"/>
      <c r="F921" s="323"/>
      <c r="G921" s="678"/>
      <c r="H921" s="324"/>
      <c r="I921" s="324"/>
      <c r="J921" s="333"/>
      <c r="K921" s="333"/>
      <c r="L921" s="333">
        <f>SUMIF(A922:A986,4,L922:L986)</f>
        <v>203956.92070564104</v>
      </c>
      <c r="M921" s="153">
        <f t="shared" ca="1" si="706"/>
        <v>1.2384006097968782E-2</v>
      </c>
      <c r="O921" s="148">
        <f>IF(I921&lt;&gt;0,I921*H921*K921,)</f>
        <v>0</v>
      </c>
      <c r="R921" s="12">
        <f>IF(J921&lt;&gt;0,J921/1.03-K921,0)</f>
        <v>0</v>
      </c>
    </row>
    <row r="922" spans="1:18" s="493" customFormat="1" ht="13.5" customHeight="1" outlineLevel="1" x14ac:dyDescent="0.3">
      <c r="A922" s="290">
        <f t="shared" si="745"/>
        <v>4</v>
      </c>
      <c r="B922" s="45"/>
      <c r="C922" s="347" t="s">
        <v>325</v>
      </c>
      <c r="D922" s="45" t="s">
        <v>336</v>
      </c>
      <c r="E922" s="347"/>
      <c r="F922" s="327"/>
      <c r="G922" s="327"/>
      <c r="H922" s="328"/>
      <c r="I922" s="548"/>
      <c r="J922" s="335"/>
      <c r="K922" s="335" t="str">
        <f>IF(A922=0,VLOOKUP(D922,'03. Insumos'!A:F,4,0),"")</f>
        <v/>
      </c>
      <c r="L922" s="335">
        <f>SUMIF(A923:A971,6,L923:L971)</f>
        <v>188422.92602564103</v>
      </c>
      <c r="M922" s="153">
        <f t="shared" ca="1" si="706"/>
        <v>1.1440801600777067E-2</v>
      </c>
      <c r="O922" s="512">
        <f>IF(I922&lt;&gt;0,I922*H922*K922,)</f>
        <v>0</v>
      </c>
      <c r="R922" s="487">
        <f>IF(J922&lt;&gt;0,J922/1.03-K922,0)</f>
        <v>0</v>
      </c>
    </row>
    <row r="923" spans="1:18" s="59" customFormat="1" ht="13.5" customHeight="1" outlineLevel="1" x14ac:dyDescent="0.3">
      <c r="A923" s="290">
        <f t="shared" ref="A923" si="746">LEN(C923)</f>
        <v>6</v>
      </c>
      <c r="B923" s="391"/>
      <c r="C923" s="391" t="s">
        <v>326</v>
      </c>
      <c r="D923" s="606" t="s">
        <v>7248</v>
      </c>
      <c r="E923" s="391"/>
      <c r="F923" s="325"/>
      <c r="G923" s="325"/>
      <c r="H923" s="326">
        <f>SUM(I938:I940)</f>
        <v>148</v>
      </c>
      <c r="I923" s="547"/>
      <c r="J923" s="812">
        <f>L923/H923</f>
        <v>760.25</v>
      </c>
      <c r="K923" s="334" t="str">
        <f>IF(A923=0,VLOOKUP(D923,'03. Insumos'!A:F,4,0),"")</f>
        <v/>
      </c>
      <c r="L923" s="334">
        <f>SUM(L924:L943)</f>
        <v>112517</v>
      </c>
      <c r="M923" s="153">
        <f t="shared" ca="1" si="706"/>
        <v>6.8318898388164111E-3</v>
      </c>
      <c r="O923" s="148">
        <f>IF(I923&lt;&gt;0,I923*H923*K923,)</f>
        <v>0</v>
      </c>
      <c r="R923" s="12" t="e">
        <f>IF(J923&lt;&gt;0,J923/1.03-K923,0)</f>
        <v>#VALUE!</v>
      </c>
    </row>
    <row r="924" spans="1:18" s="59" customFormat="1" hidden="1" outlineLevel="1" x14ac:dyDescent="0.3">
      <c r="A924" s="13">
        <f t="shared" ref="A924" si="747">LEN(C924)</f>
        <v>0</v>
      </c>
      <c r="B924" s="55"/>
      <c r="C924" s="494"/>
      <c r="D924" s="748" t="s">
        <v>7866</v>
      </c>
      <c r="E924" s="706" t="s">
        <v>8690</v>
      </c>
      <c r="F924" s="669" t="s">
        <v>5218</v>
      </c>
      <c r="G924" s="669" t="s">
        <v>29</v>
      </c>
      <c r="H924" s="631">
        <v>1</v>
      </c>
      <c r="I924" s="631"/>
      <c r="J924" s="632">
        <v>102159</v>
      </c>
      <c r="K924" s="632">
        <f>IF(A924=0,VLOOKUP(D924,'03. Insumos'!A:F,4,0),"")</f>
        <v>2205.8820000000001</v>
      </c>
      <c r="L924" s="632">
        <f t="shared" ref="L924:L942" si="748">H924*J924*I924</f>
        <v>0</v>
      </c>
      <c r="M924" s="153">
        <f t="shared" ref="M924:M942" ca="1" si="749">L924/$L$7</f>
        <v>0</v>
      </c>
      <c r="O924" s="148"/>
      <c r="R924" s="12"/>
    </row>
    <row r="925" spans="1:18" s="59" customFormat="1" hidden="1" outlineLevel="1" x14ac:dyDescent="0.3">
      <c r="A925" s="13">
        <f t="shared" ref="A925:A945" si="750">LEN(C925)</f>
        <v>0</v>
      </c>
      <c r="B925" s="55"/>
      <c r="C925" s="494"/>
      <c r="D925" s="748" t="s">
        <v>6833</v>
      </c>
      <c r="E925" s="706" t="str">
        <f>VLOOKUP(D925,'03. Insumos'!A:D,2,0)</f>
        <v>Bancada em L Cozinha C=3,90m em Granito Preto São Grabriel - Material</v>
      </c>
      <c r="F925" s="669" t="s">
        <v>5218</v>
      </c>
      <c r="G925" s="669" t="str">
        <f>VLOOKUP(D925,'03. Insumos'!A:F,3,0)</f>
        <v>unid</v>
      </c>
      <c r="H925" s="631"/>
      <c r="I925" s="631"/>
      <c r="J925" s="632">
        <f t="shared" ref="J925" si="751">IFERROR(IF(K925&lt;&gt;0,K925*$K$5,0),0)</f>
        <v>3059.1</v>
      </c>
      <c r="K925" s="632">
        <f>IF(A925=0,VLOOKUP(D925,'03. Insumos'!A:F,4,0),"")</f>
        <v>3059.1</v>
      </c>
      <c r="L925" s="632">
        <f t="shared" ref="L925:L926" si="752">H925*J925*I925</f>
        <v>0</v>
      </c>
      <c r="M925" s="153">
        <f t="shared" ref="M925:M926" ca="1" si="753">L925/$L$7</f>
        <v>0</v>
      </c>
      <c r="O925" s="148"/>
      <c r="R925" s="12"/>
    </row>
    <row r="926" spans="1:18" s="59" customFormat="1" hidden="1" outlineLevel="1" x14ac:dyDescent="0.3">
      <c r="A926" s="13">
        <f t="shared" si="750"/>
        <v>0</v>
      </c>
      <c r="B926" s="55"/>
      <c r="C926" s="494"/>
      <c r="D926" s="748" t="s">
        <v>7818</v>
      </c>
      <c r="E926" s="706" t="str">
        <f>VLOOKUP(D926,'03. Insumos'!A:D,2,0)</f>
        <v>Bancada Cozinha 2,50x0,60 em Marmore Branco Siena - Material</v>
      </c>
      <c r="F926" s="669" t="s">
        <v>5218</v>
      </c>
      <c r="G926" s="669" t="s">
        <v>73</v>
      </c>
      <c r="H926" s="631"/>
      <c r="I926" s="631"/>
      <c r="J926" s="632">
        <v>902.91250000000002</v>
      </c>
      <c r="K926" s="632">
        <f>IF(A926=0,VLOOKUP(D926,'03. Insumos'!A:F,4,0),"")</f>
        <v>1921.5</v>
      </c>
      <c r="L926" s="632">
        <f t="shared" si="752"/>
        <v>0</v>
      </c>
      <c r="M926" s="153">
        <f t="shared" ca="1" si="753"/>
        <v>0</v>
      </c>
      <c r="O926" s="148"/>
      <c r="R926" s="12"/>
    </row>
    <row r="927" spans="1:18" s="59" customFormat="1" outlineLevel="1" x14ac:dyDescent="0.3">
      <c r="A927" s="13">
        <f t="shared" ref="A927" si="754">LEN(C927)</f>
        <v>0</v>
      </c>
      <c r="B927" s="55"/>
      <c r="C927" s="494"/>
      <c r="D927" s="748" t="s">
        <v>7819</v>
      </c>
      <c r="E927" s="706" t="str">
        <f>VLOOKUP(D927,'03. Insumos'!A:D,2,0)</f>
        <v>Bancada Cozinha 1,50x0,60 em Granito Verde Ubatuba - Material</v>
      </c>
      <c r="F927" s="669" t="s">
        <v>5218</v>
      </c>
      <c r="G927" s="669" t="str">
        <f>VLOOKUP(D927,'03. Insumos'!A:F,3,0)</f>
        <v>unid</v>
      </c>
      <c r="H927" s="631">
        <v>1</v>
      </c>
      <c r="I927" s="631">
        <v>37</v>
      </c>
      <c r="J927" s="632">
        <f t="shared" ref="J927:J942" si="755">IFERROR(IF(K927&lt;&gt;0,K927*$K$5,0),0)</f>
        <v>540</v>
      </c>
      <c r="K927" s="632">
        <f>IF(A927=0,VLOOKUP(D927,'03. Insumos'!A:F,4,0),"")</f>
        <v>540</v>
      </c>
      <c r="L927" s="632">
        <f t="shared" si="748"/>
        <v>19980</v>
      </c>
      <c r="M927" s="153">
        <f t="shared" ca="1" si="749"/>
        <v>1.2131603133708853E-3</v>
      </c>
      <c r="O927" s="148"/>
      <c r="R927" s="12"/>
    </row>
    <row r="928" spans="1:18" s="59" customFormat="1" outlineLevel="1" x14ac:dyDescent="0.3">
      <c r="A928" s="13">
        <f t="shared" si="750"/>
        <v>0</v>
      </c>
      <c r="B928" s="55"/>
      <c r="C928" s="494"/>
      <c r="D928" s="748" t="s">
        <v>7822</v>
      </c>
      <c r="E928" s="706" t="str">
        <f>VLOOKUP(D928,'03. Insumos'!A:D,2,0)</f>
        <v>Bancada Varanda 1,00x0,25 em Granito Verde Ubatuba - Material</v>
      </c>
      <c r="F928" s="669" t="s">
        <v>5218</v>
      </c>
      <c r="G928" s="669" t="str">
        <f>VLOOKUP(D928,'03. Insumos'!A:F,3,0)</f>
        <v>unid</v>
      </c>
      <c r="H928" s="631">
        <v>1</v>
      </c>
      <c r="I928" s="631">
        <v>37</v>
      </c>
      <c r="J928" s="632">
        <f t="shared" ref="J928:J931" si="756">IFERROR(IF(K928&lt;&gt;0,K928*$K$5,0),0)</f>
        <v>415</v>
      </c>
      <c r="K928" s="632">
        <f>IF(A928=0,VLOOKUP(D928,'03. Insumos'!A:F,4,0),"")</f>
        <v>415</v>
      </c>
      <c r="L928" s="632">
        <f t="shared" ref="L928:L931" si="757">H928*J928*I928</f>
        <v>15355</v>
      </c>
      <c r="M928" s="153">
        <f t="shared" ref="M928:M931" ca="1" si="758">L928/$L$7</f>
        <v>9.3233616675725435E-4</v>
      </c>
      <c r="O928" s="148"/>
      <c r="R928" s="12"/>
    </row>
    <row r="929" spans="1:18" s="59" customFormat="1" hidden="1" outlineLevel="1" x14ac:dyDescent="0.3">
      <c r="A929" s="13">
        <f t="shared" si="750"/>
        <v>0</v>
      </c>
      <c r="B929" s="55"/>
      <c r="C929" s="494"/>
      <c r="D929" s="748" t="s">
        <v>7823</v>
      </c>
      <c r="E929" s="706" t="str">
        <f>VLOOKUP(D929,'03. Insumos'!A:D,2,0)</f>
        <v>Bancada Cozinha 2,00x0,65 em Marmore Branco Prime - Material</v>
      </c>
      <c r="F929" s="669" t="s">
        <v>5218</v>
      </c>
      <c r="G929" s="669" t="str">
        <f>VLOOKUP(D929,'03. Insumos'!A:F,3,0)</f>
        <v>unid</v>
      </c>
      <c r="H929" s="631"/>
      <c r="I929" s="631"/>
      <c r="J929" s="632">
        <f t="shared" si="756"/>
        <v>1795.3</v>
      </c>
      <c r="K929" s="632">
        <f>IF(A929=0,VLOOKUP(D929,'03. Insumos'!A:F,4,0),"")</f>
        <v>1795.3</v>
      </c>
      <c r="L929" s="632">
        <f t="shared" si="757"/>
        <v>0</v>
      </c>
      <c r="M929" s="153">
        <f t="shared" ca="1" si="758"/>
        <v>0</v>
      </c>
      <c r="O929" s="148"/>
      <c r="R929" s="12"/>
    </row>
    <row r="930" spans="1:18" s="59" customFormat="1" hidden="1" outlineLevel="1" x14ac:dyDescent="0.3">
      <c r="A930" s="13">
        <f t="shared" si="750"/>
        <v>0</v>
      </c>
      <c r="B930" s="55"/>
      <c r="C930" s="494"/>
      <c r="D930" s="748" t="s">
        <v>7819</v>
      </c>
      <c r="E930" s="706" t="str">
        <f>VLOOKUP(D930,'03. Insumos'!A:D,2,0)</f>
        <v>Bancada Cozinha 1,50x0,60 em Granito Verde Ubatuba - Material</v>
      </c>
      <c r="F930" s="669" t="s">
        <v>5218</v>
      </c>
      <c r="G930" s="669" t="str">
        <f>VLOOKUP(D930,'03. Insumos'!A:F,3,0)</f>
        <v>unid</v>
      </c>
      <c r="H930" s="631"/>
      <c r="I930" s="631"/>
      <c r="J930" s="632">
        <f t="shared" ref="J930" si="759">IFERROR(IF(K930&lt;&gt;0,K930*$K$5,0),0)</f>
        <v>540</v>
      </c>
      <c r="K930" s="632">
        <f>IF(A930=0,VLOOKUP(D930,'03. Insumos'!A:F,4,0),"")</f>
        <v>540</v>
      </c>
      <c r="L930" s="632">
        <f t="shared" ref="L930" si="760">H930*J930*I930</f>
        <v>0</v>
      </c>
      <c r="M930" s="153">
        <f t="shared" ref="M930" ca="1" si="761">L930/$L$7</f>
        <v>0</v>
      </c>
      <c r="O930" s="148"/>
      <c r="R930" s="12"/>
    </row>
    <row r="931" spans="1:18" s="59" customFormat="1" hidden="1" outlineLevel="1" x14ac:dyDescent="0.3">
      <c r="A931" s="13">
        <f t="shared" ref="A931" si="762">LEN(C931)</f>
        <v>0</v>
      </c>
      <c r="B931" s="55"/>
      <c r="C931" s="494"/>
      <c r="D931" s="748" t="s">
        <v>7818</v>
      </c>
      <c r="E931" s="706" t="str">
        <f>VLOOKUP(D931,'03. Insumos'!A:D,2,0)</f>
        <v>Bancada Cozinha 2,50x0,60 em Marmore Branco Siena - Material</v>
      </c>
      <c r="F931" s="669" t="s">
        <v>5218</v>
      </c>
      <c r="G931" s="669" t="str">
        <f>VLOOKUP(D931,'03. Insumos'!A:F,3,0)</f>
        <v>unid</v>
      </c>
      <c r="H931" s="631"/>
      <c r="I931" s="631"/>
      <c r="J931" s="632">
        <f t="shared" si="756"/>
        <v>1921.5</v>
      </c>
      <c r="K931" s="632">
        <f>IF(A931=0,VLOOKUP(D931,'03. Insumos'!A:F,4,0),"")</f>
        <v>1921.5</v>
      </c>
      <c r="L931" s="632">
        <f t="shared" si="757"/>
        <v>0</v>
      </c>
      <c r="M931" s="153">
        <f t="shared" ca="1" si="758"/>
        <v>0</v>
      </c>
      <c r="O931" s="148"/>
      <c r="R931" s="12"/>
    </row>
    <row r="932" spans="1:18" s="59" customFormat="1" hidden="1" outlineLevel="1" x14ac:dyDescent="0.3">
      <c r="A932" s="13">
        <f t="shared" si="750"/>
        <v>0</v>
      </c>
      <c r="B932" s="55"/>
      <c r="C932" s="1069"/>
      <c r="D932" s="1070" t="s">
        <v>7818</v>
      </c>
      <c r="E932" s="706" t="str">
        <f>VLOOKUP(D932,'03. Insumos'!A:D,2,0)</f>
        <v>Bancada Cozinha 2,50x0,60 em Marmore Branco Siena - Material</v>
      </c>
      <c r="F932" s="1071" t="s">
        <v>5218</v>
      </c>
      <c r="G932" s="1071" t="s">
        <v>1376</v>
      </c>
      <c r="H932" s="1072">
        <v>1</v>
      </c>
      <c r="I932" s="1072"/>
      <c r="J932" s="1073">
        <v>180</v>
      </c>
      <c r="K932" s="1073">
        <f>IF(A932=0,VLOOKUP(D932,'03. Insumos'!A:F,4,0),"")</f>
        <v>1921.5</v>
      </c>
      <c r="L932" s="1073">
        <f t="shared" si="748"/>
        <v>0</v>
      </c>
      <c r="M932" s="153">
        <f t="shared" ca="1" si="749"/>
        <v>0</v>
      </c>
      <c r="O932" s="148"/>
      <c r="R932" s="12"/>
    </row>
    <row r="933" spans="1:18" s="59" customFormat="1" hidden="1" outlineLevel="1" x14ac:dyDescent="0.3">
      <c r="A933" s="13">
        <f t="shared" si="750"/>
        <v>0</v>
      </c>
      <c r="B933" s="55"/>
      <c r="C933" s="494"/>
      <c r="D933" s="748"/>
      <c r="E933" s="706" t="e">
        <f>VLOOKUP(D933,'03. Insumos'!A:D,2,0)</f>
        <v>#N/A</v>
      </c>
      <c r="F933" s="669" t="s">
        <v>5218</v>
      </c>
      <c r="G933" s="669" t="e">
        <f>VLOOKUP(D933,'03. Insumos'!A:F,3,0)</f>
        <v>#N/A</v>
      </c>
      <c r="H933" s="631"/>
      <c r="I933" s="631"/>
      <c r="J933" s="632">
        <f t="shared" si="755"/>
        <v>0</v>
      </c>
      <c r="K933" s="632" t="e">
        <f>IF(A933=0,VLOOKUP(D933,'03. Insumos'!A:F,4,0),"")</f>
        <v>#N/A</v>
      </c>
      <c r="L933" s="632">
        <f t="shared" si="748"/>
        <v>0</v>
      </c>
      <c r="M933" s="153">
        <f t="shared" ca="1" si="749"/>
        <v>0</v>
      </c>
      <c r="O933" s="148"/>
      <c r="R933" s="12"/>
    </row>
    <row r="934" spans="1:18" s="59" customFormat="1" hidden="1" outlineLevel="1" x14ac:dyDescent="0.3">
      <c r="A934" s="13">
        <f t="shared" ref="A934:A936" si="763">LEN(C934)</f>
        <v>0</v>
      </c>
      <c r="B934" s="55"/>
      <c r="C934" s="494"/>
      <c r="D934" s="748"/>
      <c r="E934" s="706" t="e">
        <f>VLOOKUP(D934,'03. Insumos'!A:D,2,0)</f>
        <v>#N/A</v>
      </c>
      <c r="F934" s="669" t="s">
        <v>5218</v>
      </c>
      <c r="G934" s="669" t="e">
        <f>VLOOKUP(D934,'03. Insumos'!A:F,3,0)</f>
        <v>#N/A</v>
      </c>
      <c r="H934" s="631"/>
      <c r="I934" s="631"/>
      <c r="J934" s="632">
        <f t="shared" ref="J934:J936" si="764">IFERROR(IF(K934&lt;&gt;0,K934*$K$5,0),0)</f>
        <v>0</v>
      </c>
      <c r="K934" s="632" t="e">
        <f>IF(A934=0,VLOOKUP(D934,'03. Insumos'!A:F,4,0),"")</f>
        <v>#N/A</v>
      </c>
      <c r="L934" s="632">
        <f t="shared" ref="L934:L936" si="765">H934*J934*I934</f>
        <v>0</v>
      </c>
      <c r="M934" s="153">
        <f t="shared" ref="M934:M936" ca="1" si="766">L934/$L$7</f>
        <v>0</v>
      </c>
      <c r="O934" s="148"/>
      <c r="R934" s="12"/>
    </row>
    <row r="935" spans="1:18" s="59" customFormat="1" outlineLevel="1" x14ac:dyDescent="0.3">
      <c r="A935" s="13">
        <f t="shared" ref="A935" si="767">LEN(C935)</f>
        <v>0</v>
      </c>
      <c r="B935" s="55"/>
      <c r="C935" s="494"/>
      <c r="D935" s="748" t="s">
        <v>7867</v>
      </c>
      <c r="E935" s="706" t="str">
        <f>VLOOKUP(D935,'03. Insumos'!A:D,2,0)</f>
        <v>Bancada Lavatório 0,65x0,45 em Granito Branco Dallas - Material</v>
      </c>
      <c r="F935" s="669" t="s">
        <v>5218</v>
      </c>
      <c r="G935" s="669" t="str">
        <f>VLOOKUP(D935,'03. Insumos'!A:F,3,0)</f>
        <v>unid</v>
      </c>
      <c r="H935" s="631">
        <v>1</v>
      </c>
      <c r="I935" s="631">
        <v>74</v>
      </c>
      <c r="J935" s="632">
        <f t="shared" ref="J935" si="768">IFERROR(IF(K935&lt;&gt;0,K935*$K$5,0),0)</f>
        <v>225</v>
      </c>
      <c r="K935" s="632">
        <f>IF(A935=0,VLOOKUP(D935,'03. Insumos'!A:F,4,0),"")</f>
        <v>225</v>
      </c>
      <c r="L935" s="632">
        <f t="shared" ref="L935" si="769">H935*J935*I935</f>
        <v>16650</v>
      </c>
      <c r="M935" s="153">
        <f t="shared" ref="M935" ca="1" si="770">L935/$L$7</f>
        <v>1.010966927809071E-3</v>
      </c>
      <c r="O935" s="148"/>
      <c r="R935" s="12"/>
    </row>
    <row r="936" spans="1:18" s="59" customFormat="1" hidden="1" outlineLevel="1" x14ac:dyDescent="0.3">
      <c r="A936" s="13">
        <f t="shared" si="763"/>
        <v>0</v>
      </c>
      <c r="B936" s="55"/>
      <c r="C936" s="494"/>
      <c r="D936" s="748" t="s">
        <v>7869</v>
      </c>
      <c r="E936" s="706" t="str">
        <f>VLOOKUP(D936,'03. Insumos'!A:D,2,0)</f>
        <v>Bancada Lavatório 0,80x0,50 em Marmore Branco Prime - Material</v>
      </c>
      <c r="F936" s="669" t="s">
        <v>5218</v>
      </c>
      <c r="G936" s="669" t="str">
        <f>VLOOKUP(D936,'03. Insumos'!A:F,3,0)</f>
        <v>unid</v>
      </c>
      <c r="H936" s="631">
        <v>1</v>
      </c>
      <c r="I936" s="631"/>
      <c r="J936" s="632">
        <f t="shared" si="764"/>
        <v>432.40000000000003</v>
      </c>
      <c r="K936" s="632">
        <f>IF(A936=0,VLOOKUP(D936,'03. Insumos'!A:F,4,0),"")</f>
        <v>432.40000000000003</v>
      </c>
      <c r="L936" s="632">
        <f t="shared" si="765"/>
        <v>0</v>
      </c>
      <c r="M936" s="153">
        <f t="shared" ca="1" si="766"/>
        <v>0</v>
      </c>
      <c r="O936" s="148"/>
      <c r="R936" s="12"/>
    </row>
    <row r="937" spans="1:18" s="59" customFormat="1" hidden="1" outlineLevel="1" x14ac:dyDescent="0.3">
      <c r="A937" s="13">
        <f t="shared" ref="A937" si="771">LEN(C937)</f>
        <v>0</v>
      </c>
      <c r="B937" s="55"/>
      <c r="C937" s="494"/>
      <c r="D937" s="748" t="s">
        <v>7870</v>
      </c>
      <c r="E937" s="706" t="str">
        <f>VLOOKUP(D937,'03. Insumos'!A:D,2,0)</f>
        <v>Bancada Lavatório 1,23x0,50 em Marmore Branco Prime - Material</v>
      </c>
      <c r="F937" s="669" t="s">
        <v>5218</v>
      </c>
      <c r="G937" s="669" t="str">
        <f>VLOOKUP(D937,'03. Insumos'!A:F,3,0)</f>
        <v>unid</v>
      </c>
      <c r="H937" s="631">
        <v>1</v>
      </c>
      <c r="I937" s="631"/>
      <c r="J937" s="632">
        <f t="shared" ref="J937" si="772">IFERROR(IF(K937&lt;&gt;0,K937*$K$5,0),0)</f>
        <v>664.81499999999994</v>
      </c>
      <c r="K937" s="632">
        <f>IF(A937=0,VLOOKUP(D937,'03. Insumos'!A:F,4,0),"")</f>
        <v>664.81499999999994</v>
      </c>
      <c r="L937" s="632">
        <f t="shared" ref="L937" si="773">H937*J937*I937</f>
        <v>0</v>
      </c>
      <c r="M937" s="153">
        <f t="shared" ref="M937" ca="1" si="774">L937/$L$7</f>
        <v>0</v>
      </c>
      <c r="O937" s="148"/>
      <c r="R937" s="12"/>
    </row>
    <row r="938" spans="1:18" s="59" customFormat="1" outlineLevel="1" x14ac:dyDescent="0.3">
      <c r="A938" s="13">
        <f t="shared" ref="A938:A939" si="775">LEN(C938)</f>
        <v>0</v>
      </c>
      <c r="B938" s="55"/>
      <c r="C938" s="494"/>
      <c r="D938" s="748" t="s">
        <v>6647</v>
      </c>
      <c r="E938" s="706" t="str">
        <f>VLOOKUP(D938,'03. Insumos'!A:D,2,0)</f>
        <v>Bancada Varanda Reta - Mão de Obra</v>
      </c>
      <c r="F938" s="669" t="s">
        <v>5218</v>
      </c>
      <c r="G938" s="669" t="str">
        <f>VLOOKUP(D938,'03. Insumos'!A:F,3,0)</f>
        <v>unid</v>
      </c>
      <c r="H938" s="631">
        <v>1</v>
      </c>
      <c r="I938" s="631">
        <f>I928</f>
        <v>37</v>
      </c>
      <c r="J938" s="632">
        <f t="shared" ref="J938:J939" si="776">IFERROR(IF(K938&lt;&gt;0,K938*$K$5,0),0)</f>
        <v>250</v>
      </c>
      <c r="K938" s="632">
        <f>IF(A938=0,VLOOKUP(D938,'03. Insumos'!A:F,4,0),"")</f>
        <v>250</v>
      </c>
      <c r="L938" s="632">
        <f t="shared" si="748"/>
        <v>9250</v>
      </c>
      <c r="M938" s="153">
        <f t="shared" ca="1" si="749"/>
        <v>5.6164829322726169E-4</v>
      </c>
      <c r="O938" s="148"/>
      <c r="R938" s="12"/>
    </row>
    <row r="939" spans="1:18" s="59" customFormat="1" outlineLevel="1" x14ac:dyDescent="0.3">
      <c r="A939" s="13">
        <f t="shared" si="775"/>
        <v>0</v>
      </c>
      <c r="B939" s="55"/>
      <c r="C939" s="494"/>
      <c r="D939" s="748" t="s">
        <v>6648</v>
      </c>
      <c r="E939" s="706" t="str">
        <f>VLOOKUP(D939,'03. Insumos'!A:D,2,0)</f>
        <v>Bancada Cozinha Reta - Mão de Obra</v>
      </c>
      <c r="F939" s="669" t="s">
        <v>5218</v>
      </c>
      <c r="G939" s="669" t="str">
        <f>VLOOKUP(D939,'03. Insumos'!A:F,3,0)</f>
        <v>unid</v>
      </c>
      <c r="H939" s="631">
        <v>1</v>
      </c>
      <c r="I939" s="631">
        <f>I927</f>
        <v>37</v>
      </c>
      <c r="J939" s="632">
        <f t="shared" si="776"/>
        <v>250</v>
      </c>
      <c r="K939" s="632">
        <f>IF(A939=0,VLOOKUP(D939,'03. Insumos'!A:F,4,0),"")</f>
        <v>250</v>
      </c>
      <c r="L939" s="632">
        <f t="shared" ref="L939" si="777">H939*J939*I939</f>
        <v>9250</v>
      </c>
      <c r="M939" s="153">
        <f t="shared" ref="M939" ca="1" si="778">L939/$L$7</f>
        <v>5.6164829322726169E-4</v>
      </c>
      <c r="O939" s="148"/>
      <c r="R939" s="12"/>
    </row>
    <row r="940" spans="1:18" s="59" customFormat="1" outlineLevel="1" x14ac:dyDescent="0.3">
      <c r="A940" s="13">
        <f t="shared" ref="A940:A942" si="779">LEN(C940)</f>
        <v>0</v>
      </c>
      <c r="B940" s="55"/>
      <c r="C940" s="494"/>
      <c r="D940" s="748" t="s">
        <v>6835</v>
      </c>
      <c r="E940" s="706" t="str">
        <f>VLOOKUP(D940,'03. Insumos'!A:D,2,0)</f>
        <v>Bancada Lavatório - Mão de Obra</v>
      </c>
      <c r="F940" s="669" t="s">
        <v>5218</v>
      </c>
      <c r="G940" s="669" t="str">
        <f>VLOOKUP(D940,'03. Insumos'!A:F,3,0)</f>
        <v>unid</v>
      </c>
      <c r="H940" s="631">
        <v>1</v>
      </c>
      <c r="I940" s="631">
        <f>SUM(I932:I937)</f>
        <v>74</v>
      </c>
      <c r="J940" s="632">
        <f t="shared" si="755"/>
        <v>250</v>
      </c>
      <c r="K940" s="632">
        <f>IF(A940=0,VLOOKUP(D940,'03. Insumos'!A:F,4,0),"")</f>
        <v>250</v>
      </c>
      <c r="L940" s="632">
        <f t="shared" si="748"/>
        <v>18500</v>
      </c>
      <c r="M940" s="153">
        <f t="shared" ca="1" si="749"/>
        <v>1.1232965864545234E-3</v>
      </c>
      <c r="O940" s="148"/>
      <c r="R940" s="12"/>
    </row>
    <row r="941" spans="1:18" s="59" customFormat="1" outlineLevel="1" x14ac:dyDescent="0.3">
      <c r="A941" s="13">
        <f t="shared" si="779"/>
        <v>0</v>
      </c>
      <c r="B941" s="55"/>
      <c r="C941" s="494"/>
      <c r="D941" s="748" t="s">
        <v>7373</v>
      </c>
      <c r="E941" s="706" t="str">
        <f>VLOOKUP(D941,'03. Insumos'!A:D,2,0)</f>
        <v>Mão Francesa para bancada</v>
      </c>
      <c r="F941" s="669" t="s">
        <v>5218</v>
      </c>
      <c r="G941" s="669" t="str">
        <f>VLOOKUP(D941,'03. Insumos'!A:F,3,0)</f>
        <v>unid</v>
      </c>
      <c r="H941" s="631">
        <v>1</v>
      </c>
      <c r="I941" s="631">
        <f>I938*2+I939*2+I940*2</f>
        <v>296</v>
      </c>
      <c r="J941" s="632">
        <f t="shared" si="755"/>
        <v>45</v>
      </c>
      <c r="K941" s="632">
        <f>IF(A941=0,VLOOKUP(D941,'03. Insumos'!A:F,4,0),"")</f>
        <v>45</v>
      </c>
      <c r="L941" s="632">
        <f t="shared" si="748"/>
        <v>13320</v>
      </c>
      <c r="M941" s="153">
        <f t="shared" ca="1" si="749"/>
        <v>8.087735422472568E-4</v>
      </c>
      <c r="O941" s="148"/>
      <c r="R941" s="12"/>
    </row>
    <row r="942" spans="1:18" s="59" customFormat="1" outlineLevel="1" x14ac:dyDescent="0.3">
      <c r="A942" s="13">
        <f t="shared" si="779"/>
        <v>0</v>
      </c>
      <c r="B942" s="55"/>
      <c r="C942" s="494"/>
      <c r="D942" s="748" t="s">
        <v>7374</v>
      </c>
      <c r="E942" s="706" t="str">
        <f>VLOOKUP(D942,'03. Insumos'!A:D,2,0)</f>
        <v>Parafuso com bucha N10</v>
      </c>
      <c r="F942" s="669" t="s">
        <v>5218</v>
      </c>
      <c r="G942" s="669" t="str">
        <f>VLOOKUP(D942,'03. Insumos'!A:F,3,0)</f>
        <v>unid</v>
      </c>
      <c r="H942" s="631">
        <v>1</v>
      </c>
      <c r="I942" s="631">
        <f>I941*2</f>
        <v>592</v>
      </c>
      <c r="J942" s="632">
        <f t="shared" si="755"/>
        <v>8</v>
      </c>
      <c r="K942" s="632">
        <f>IF(A942=0,VLOOKUP(D942,'03. Insumos'!A:F,4,0),"")</f>
        <v>8</v>
      </c>
      <c r="L942" s="632">
        <f t="shared" si="748"/>
        <v>4736</v>
      </c>
      <c r="M942" s="153">
        <f t="shared" ca="1" si="749"/>
        <v>2.8756392613235799E-4</v>
      </c>
      <c r="O942" s="148"/>
      <c r="R942" s="12"/>
    </row>
    <row r="943" spans="1:18" s="59" customFormat="1" outlineLevel="1" x14ac:dyDescent="0.3">
      <c r="A943" s="13">
        <f t="shared" si="750"/>
        <v>0</v>
      </c>
      <c r="B943" s="55"/>
      <c r="C943" s="494"/>
      <c r="D943" s="748" t="s">
        <v>7387</v>
      </c>
      <c r="E943" s="706" t="str">
        <f>VLOOKUP(D943,'03. Insumos'!A:D,2,0)</f>
        <v>Silicone Branco</v>
      </c>
      <c r="F943" s="669" t="s">
        <v>5218</v>
      </c>
      <c r="G943" s="669" t="str">
        <f>VLOOKUP(D943,'03. Insumos'!A:F,3,0)</f>
        <v>bis</v>
      </c>
      <c r="H943" s="631">
        <v>1</v>
      </c>
      <c r="I943" s="631">
        <f>I941/2</f>
        <v>148</v>
      </c>
      <c r="J943" s="632">
        <f t="shared" ref="J943" si="780">IFERROR(IF(K943&lt;&gt;0,K943*$K$5,0),0)</f>
        <v>37</v>
      </c>
      <c r="K943" s="632">
        <f>IF(A943=0,VLOOKUP(D943,'03. Insumos'!A:F,4,0),"")</f>
        <v>37</v>
      </c>
      <c r="L943" s="632">
        <f t="shared" ref="L943" si="781">H943*J943*I943</f>
        <v>5476</v>
      </c>
      <c r="M943" s="153">
        <f t="shared" ca="1" si="706"/>
        <v>3.3249578959053893E-4</v>
      </c>
      <c r="O943" s="148"/>
      <c r="R943" s="12"/>
    </row>
    <row r="944" spans="1:18" s="59" customFormat="1" ht="13.5" hidden="1" customHeight="1" outlineLevel="1" x14ac:dyDescent="0.3">
      <c r="A944" s="290">
        <f t="shared" si="750"/>
        <v>6</v>
      </c>
      <c r="B944" s="391"/>
      <c r="C944" s="391" t="s">
        <v>326</v>
      </c>
      <c r="D944" s="606" t="s">
        <v>8454</v>
      </c>
      <c r="E944" s="391"/>
      <c r="F944" s="325"/>
      <c r="G944" s="325"/>
      <c r="H944" s="326">
        <f>SUM(H945:H947)</f>
        <v>37</v>
      </c>
      <c r="I944" s="547"/>
      <c r="J944" s="812">
        <f>L944/H944</f>
        <v>0</v>
      </c>
      <c r="K944" s="334" t="str">
        <f>IF(A944=0,VLOOKUP(D944,'03. Insumos'!A:F,4,0),"")</f>
        <v/>
      </c>
      <c r="L944" s="334">
        <f>SUM(L945:L947)</f>
        <v>0</v>
      </c>
      <c r="M944" s="153">
        <f t="shared" ref="M944:M947" ca="1" si="782">L944/$L$7</f>
        <v>0</v>
      </c>
      <c r="O944" s="148">
        <f>IF(I944&lt;&gt;0,I944*H944*K944,)</f>
        <v>0</v>
      </c>
      <c r="R944" s="12">
        <f>IF(J944&lt;&gt;0,J944/1.03-K944,0)</f>
        <v>0</v>
      </c>
    </row>
    <row r="945" spans="1:18" s="59" customFormat="1" hidden="1" outlineLevel="1" x14ac:dyDescent="0.3">
      <c r="A945" s="13">
        <f t="shared" si="750"/>
        <v>0</v>
      </c>
      <c r="B945" s="55"/>
      <c r="C945" s="494"/>
      <c r="D945" s="748" t="s">
        <v>7866</v>
      </c>
      <c r="E945" s="706" t="s">
        <v>8452</v>
      </c>
      <c r="F945" s="669" t="s">
        <v>5218</v>
      </c>
      <c r="G945" s="669" t="str">
        <f>VLOOKUP(D945,'03. Insumos'!A:F,3,0)</f>
        <v>unid</v>
      </c>
      <c r="H945" s="631">
        <v>27</v>
      </c>
      <c r="I945" s="631"/>
      <c r="J945" s="632">
        <v>3223.95</v>
      </c>
      <c r="K945" s="632">
        <f>IF(A945=0,VLOOKUP(D945,'03. Insumos'!A:F,4,0),"")</f>
        <v>2205.8820000000001</v>
      </c>
      <c r="L945" s="632">
        <f t="shared" ref="L945:L947" si="783">H945*J945*I945</f>
        <v>0</v>
      </c>
      <c r="M945" s="153">
        <f t="shared" ca="1" si="782"/>
        <v>0</v>
      </c>
      <c r="O945" s="148"/>
      <c r="R945" s="12"/>
    </row>
    <row r="946" spans="1:18" s="59" customFormat="1" ht="24.6" hidden="1" customHeight="1" outlineLevel="1" x14ac:dyDescent="0.3">
      <c r="A946" s="13">
        <f t="shared" ref="A946:A947" si="784">LEN(C946)</f>
        <v>0</v>
      </c>
      <c r="B946" s="55"/>
      <c r="C946" s="494"/>
      <c r="D946" s="748" t="s">
        <v>6833</v>
      </c>
      <c r="E946" s="706" t="s">
        <v>8452</v>
      </c>
      <c r="F946" s="669" t="s">
        <v>5218</v>
      </c>
      <c r="G946" s="669" t="str">
        <f>VLOOKUP(D946,'03. Insumos'!A:F,3,0)</f>
        <v>unid</v>
      </c>
      <c r="H946" s="631"/>
      <c r="I946" s="631"/>
      <c r="J946" s="632">
        <f t="shared" ref="J946" si="785">IFERROR(IF(K946&lt;&gt;0,K946*$K$5,0),0)</f>
        <v>3059.1</v>
      </c>
      <c r="K946" s="632">
        <f>IF(A946=0,VLOOKUP(D946,'03. Insumos'!A:F,4,0),"")</f>
        <v>3059.1</v>
      </c>
      <c r="L946" s="632">
        <f t="shared" si="783"/>
        <v>0</v>
      </c>
      <c r="M946" s="153">
        <f t="shared" ca="1" si="782"/>
        <v>0</v>
      </c>
      <c r="O946" s="148"/>
      <c r="R946" s="12"/>
    </row>
    <row r="947" spans="1:18" s="59" customFormat="1" hidden="1" outlineLevel="1" x14ac:dyDescent="0.3">
      <c r="A947" s="13">
        <f t="shared" si="784"/>
        <v>0</v>
      </c>
      <c r="B947" s="55"/>
      <c r="C947" s="494"/>
      <c r="D947" s="748" t="s">
        <v>7820</v>
      </c>
      <c r="E947" s="706" t="s">
        <v>8453</v>
      </c>
      <c r="F947" s="669" t="s">
        <v>5218</v>
      </c>
      <c r="G947" s="669" t="str">
        <f>VLOOKUP(D947,'03. Insumos'!A:F,3,0)</f>
        <v>unid</v>
      </c>
      <c r="H947" s="631">
        <v>10</v>
      </c>
      <c r="I947" s="631"/>
      <c r="J947" s="632">
        <v>4989.8999999999996</v>
      </c>
      <c r="K947" s="632">
        <f>IF(A947=0,VLOOKUP(D947,'03. Insumos'!A:F,4,0),"")</f>
        <v>2175.0749999999998</v>
      </c>
      <c r="L947" s="632">
        <f t="shared" si="783"/>
        <v>0</v>
      </c>
      <c r="M947" s="153">
        <f t="shared" ca="1" si="782"/>
        <v>0</v>
      </c>
      <c r="O947" s="148"/>
      <c r="R947" s="12"/>
    </row>
    <row r="948" spans="1:18" s="59" customFormat="1" ht="13.5" customHeight="1" outlineLevel="1" x14ac:dyDescent="0.3">
      <c r="A948" s="290">
        <f t="shared" ref="A948" si="786">LEN(C948)</f>
        <v>6</v>
      </c>
      <c r="B948" s="391"/>
      <c r="C948" s="391" t="s">
        <v>896</v>
      </c>
      <c r="D948" s="606" t="s">
        <v>6992</v>
      </c>
      <c r="E948" s="391"/>
      <c r="F948" s="325"/>
      <c r="G948" s="325" t="s">
        <v>74</v>
      </c>
      <c r="H948" s="326">
        <f>74*0.92</f>
        <v>68.08</v>
      </c>
      <c r="I948" s="547"/>
      <c r="J948" s="812">
        <f>L948/H948</f>
        <v>108.58695652173911</v>
      </c>
      <c r="K948" s="334" t="str">
        <f>IF(A948=0,VLOOKUP(D948,'03. Insumos'!A:F,4,0),"")</f>
        <v/>
      </c>
      <c r="L948" s="334">
        <f>SUM(L949:L950)</f>
        <v>7392.5999999999985</v>
      </c>
      <c r="M948" s="153">
        <f t="shared" ca="1" si="706"/>
        <v>4.4886931594722743E-4</v>
      </c>
      <c r="O948" s="148">
        <f>IF(I948&lt;&gt;0,I948*H948*K948,)</f>
        <v>0</v>
      </c>
      <c r="R948" s="12" t="e">
        <f>IF(J948&lt;&gt;0,J948/1.03-K948,0)</f>
        <v>#VALUE!</v>
      </c>
    </row>
    <row r="949" spans="1:18" s="59" customFormat="1" outlineLevel="1" x14ac:dyDescent="0.3">
      <c r="A949" s="13">
        <f>LEN(C949)</f>
        <v>0</v>
      </c>
      <c r="B949" s="55"/>
      <c r="C949" s="494"/>
      <c r="D949" s="748" t="s">
        <v>6540</v>
      </c>
      <c r="E949" s="706" t="str">
        <f>VLOOKUP(D949,'03. Insumos'!A:D,2,0)</f>
        <v>Tento, Soleira, Filite e Peitoril - Mão de Obra</v>
      </c>
      <c r="F949" s="669" t="s">
        <v>5218</v>
      </c>
      <c r="G949" s="669" t="str">
        <f>VLOOKUP(D949,'03. Insumos'!A:F,3,0)</f>
        <v>m</v>
      </c>
      <c r="H949" s="631">
        <v>1</v>
      </c>
      <c r="I949" s="631">
        <f>H948</f>
        <v>68.08</v>
      </c>
      <c r="J949" s="632">
        <v>32.5</v>
      </c>
      <c r="K949" s="632">
        <f>IF(A949=0,VLOOKUP(D949,'03. Insumos'!A:F,4,0),"")</f>
        <v>49</v>
      </c>
      <c r="L949" s="632">
        <f t="shared" ref="L949:L950" si="787">H949*J949*I949</f>
        <v>2212.6</v>
      </c>
      <c r="M949" s="153">
        <f t="shared" ca="1" si="706"/>
        <v>1.34346271739961E-4</v>
      </c>
      <c r="O949" s="148"/>
      <c r="R949" s="12"/>
    </row>
    <row r="950" spans="1:18" s="59" customFormat="1" outlineLevel="1" x14ac:dyDescent="0.3">
      <c r="A950" s="13">
        <f>LEN(C950)</f>
        <v>0</v>
      </c>
      <c r="B950" s="55"/>
      <c r="C950" s="494"/>
      <c r="D950" s="748" t="s">
        <v>6550</v>
      </c>
      <c r="E950" s="706" t="str">
        <f>VLOOKUP(D950,'03. Insumos'!A:D,2,0)</f>
        <v>Tento em Granito Branco Dallas - Material</v>
      </c>
      <c r="F950" s="669" t="s">
        <v>5218</v>
      </c>
      <c r="G950" s="669" t="str">
        <f>VLOOKUP(D950,'03. Insumos'!A:F,3,0)</f>
        <v>m</v>
      </c>
      <c r="H950" s="631">
        <v>1</v>
      </c>
      <c r="I950" s="631">
        <f>I949</f>
        <v>68.08</v>
      </c>
      <c r="J950" s="632">
        <f t="shared" ref="J950" si="788">IFERROR(IF(K950&lt;&gt;0,K950*$K$5,0),0)</f>
        <v>76.086956521739125</v>
      </c>
      <c r="K950" s="632">
        <f>IF(A950=0,VLOOKUP(D950,'03. Insumos'!A:F,4,0),"")</f>
        <v>76.086956521739125</v>
      </c>
      <c r="L950" s="632">
        <f t="shared" si="787"/>
        <v>5179.9999999999991</v>
      </c>
      <c r="M950" s="153">
        <f t="shared" ca="1" si="706"/>
        <v>3.1452304420726647E-4</v>
      </c>
      <c r="O950" s="148"/>
      <c r="R950" s="12"/>
    </row>
    <row r="951" spans="1:18" s="59" customFormat="1" ht="13.5" customHeight="1" outlineLevel="1" x14ac:dyDescent="0.3">
      <c r="A951" s="13">
        <f t="shared" ref="A951" si="789">LEN(C951)</f>
        <v>6</v>
      </c>
      <c r="B951" s="391"/>
      <c r="C951" s="391" t="s">
        <v>1467</v>
      </c>
      <c r="D951" s="606" t="s">
        <v>6984</v>
      </c>
      <c r="E951" s="391"/>
      <c r="F951" s="325"/>
      <c r="G951" s="325" t="s">
        <v>74</v>
      </c>
      <c r="H951" s="326">
        <f>37*0.8+37*1.95+37*0.9+6*0.9</f>
        <v>140.45000000000002</v>
      </c>
      <c r="I951" s="547"/>
      <c r="J951" s="812">
        <f>L951/H951</f>
        <v>105.32051282051282</v>
      </c>
      <c r="K951" s="334" t="str">
        <f>IF(A951=0,VLOOKUP(D951,'03. Insumos'!A:F,4,0),"")</f>
        <v/>
      </c>
      <c r="L951" s="334">
        <f>SUM(L952:L954)</f>
        <v>14792.266025641027</v>
      </c>
      <c r="M951" s="355">
        <f t="shared" ca="1" si="706"/>
        <v>8.9816767202863701E-4</v>
      </c>
      <c r="O951" s="148">
        <f>IF(I951&lt;&gt;0,I951*H951*K951,)</f>
        <v>0</v>
      </c>
      <c r="R951" s="356" t="e">
        <f>IF(J951&lt;&gt;0,J951/1.03-K951,0)</f>
        <v>#VALUE!</v>
      </c>
    </row>
    <row r="952" spans="1:18" s="59" customFormat="1" outlineLevel="1" x14ac:dyDescent="0.3">
      <c r="A952" s="13">
        <f>LEN(C952)</f>
        <v>0</v>
      </c>
      <c r="B952" s="55"/>
      <c r="C952" s="494"/>
      <c r="D952" s="748" t="s">
        <v>6540</v>
      </c>
      <c r="E952" s="706" t="str">
        <f>VLOOKUP(D952,'03. Insumos'!A:D,2,0)</f>
        <v>Tento, Soleira, Filite e Peitoril - Mão de Obra</v>
      </c>
      <c r="F952" s="669" t="s">
        <v>5218</v>
      </c>
      <c r="G952" s="669" t="str">
        <f>VLOOKUP(D952,'03. Insumos'!A:F,3,0)</f>
        <v>m</v>
      </c>
      <c r="H952" s="631">
        <v>1</v>
      </c>
      <c r="I952" s="631">
        <f>H951</f>
        <v>140.45000000000002</v>
      </c>
      <c r="J952" s="632">
        <v>32.5</v>
      </c>
      <c r="K952" s="632">
        <f>IF(A952=0,VLOOKUP(D952,'03. Insumos'!A:F,4,0),"")</f>
        <v>49</v>
      </c>
      <c r="L952" s="632">
        <f t="shared" ref="L952:L954" si="790">H952*J952*I952</f>
        <v>4564.6250000000009</v>
      </c>
      <c r="M952" s="153">
        <f t="shared" ca="1" si="706"/>
        <v>2.7715825302405294E-4</v>
      </c>
      <c r="O952" s="148"/>
      <c r="R952" s="12"/>
    </row>
    <row r="953" spans="1:18" s="59" customFormat="1" outlineLevel="1" x14ac:dyDescent="0.3">
      <c r="A953" s="13">
        <f>LEN(C953)</f>
        <v>0</v>
      </c>
      <c r="B953" s="55"/>
      <c r="C953" s="494"/>
      <c r="D953" s="748" t="s">
        <v>6543</v>
      </c>
      <c r="E953" s="706" t="str">
        <f>VLOOKUP(D953,'03. Insumos'!A:D,2,0)</f>
        <v>Soleira em Granito Branco Dallas - Material</v>
      </c>
      <c r="F953" s="669" t="s">
        <v>5218</v>
      </c>
      <c r="G953" s="669" t="str">
        <f>VLOOKUP(D953,'03. Insumos'!A:F,3,0)</f>
        <v>m</v>
      </c>
      <c r="H953" s="631">
        <v>1</v>
      </c>
      <c r="I953" s="631">
        <f>H951</f>
        <v>140.45000000000002</v>
      </c>
      <c r="J953" s="632">
        <f t="shared" ref="J953" si="791">IFERROR(IF(K953&lt;&gt;0,K953*$K$5,0),0)</f>
        <v>72.820512820512818</v>
      </c>
      <c r="K953" s="632">
        <f>IF(A953=0,VLOOKUP(D953,'03. Insumos'!A:F,4,0),"")</f>
        <v>72.820512820512818</v>
      </c>
      <c r="L953" s="632">
        <f t="shared" si="790"/>
        <v>10227.641025641027</v>
      </c>
      <c r="M953" s="153">
        <f t="shared" ca="1" si="706"/>
        <v>6.2100941900458412E-4</v>
      </c>
      <c r="O953" s="148"/>
      <c r="R953" s="12"/>
    </row>
    <row r="954" spans="1:18" s="59" customFormat="1" hidden="1" outlineLevel="1" x14ac:dyDescent="0.3">
      <c r="A954" s="13">
        <f>LEN(C954)</f>
        <v>0</v>
      </c>
      <c r="B954" s="55"/>
      <c r="C954" s="494"/>
      <c r="D954" s="748" t="s">
        <v>7991</v>
      </c>
      <c r="E954" s="706" t="str">
        <f>VLOOKUP(D954,'03. Insumos'!A:D,2,0)</f>
        <v>Soleira em Quartzito Olympus Levigado - Material</v>
      </c>
      <c r="F954" s="669" t="s">
        <v>5218</v>
      </c>
      <c r="G954" s="669" t="str">
        <f>VLOOKUP(D954,'03. Insumos'!A:F,3,0)</f>
        <v>m</v>
      </c>
      <c r="H954" s="631">
        <v>1</v>
      </c>
      <c r="I954" s="631"/>
      <c r="J954" s="632">
        <f t="shared" ref="J954" si="792">IFERROR(IF(K954&lt;&gt;0,K954*$K$5,0),0)</f>
        <v>114.64599999999999</v>
      </c>
      <c r="K954" s="632">
        <f>IF(A954=0,VLOOKUP(D954,'03. Insumos'!A:F,4,0),"")</f>
        <v>114.64599999999999</v>
      </c>
      <c r="L954" s="632">
        <f t="shared" si="790"/>
        <v>0</v>
      </c>
      <c r="M954" s="153">
        <f t="shared" ca="1" si="706"/>
        <v>0</v>
      </c>
      <c r="O954" s="148"/>
      <c r="R954" s="12"/>
    </row>
    <row r="955" spans="1:18" s="59" customFormat="1" ht="13.5" customHeight="1" outlineLevel="1" x14ac:dyDescent="0.3">
      <c r="A955" s="290">
        <f t="shared" ref="A955" si="793">LEN(C955)</f>
        <v>6</v>
      </c>
      <c r="B955" s="391"/>
      <c r="C955" s="391" t="s">
        <v>955</v>
      </c>
      <c r="D955" s="606" t="s">
        <v>7347</v>
      </c>
      <c r="E955" s="391"/>
      <c r="F955" s="325"/>
      <c r="G955" s="325" t="s">
        <v>74</v>
      </c>
      <c r="H955" s="326">
        <f>75*0.6</f>
        <v>45</v>
      </c>
      <c r="I955" s="547"/>
      <c r="J955" s="812">
        <f>L955/H955</f>
        <v>59.166666666666664</v>
      </c>
      <c r="K955" s="334" t="str">
        <f>IF(A955=0,VLOOKUP(D955,'03. Insumos'!A:F,4,0),"")</f>
        <v/>
      </c>
      <c r="L955" s="334">
        <f>SUM(L956:L957)</f>
        <v>2662.5</v>
      </c>
      <c r="M955" s="153">
        <f t="shared" ref="M955:M956" ca="1" si="794">L955/$L$7</f>
        <v>1.6166363034784696E-4</v>
      </c>
      <c r="O955" s="148">
        <f>IF(I955&lt;&gt;0,I955*H955*K955,)</f>
        <v>0</v>
      </c>
      <c r="R955" s="12" t="e">
        <f>IF(J955&lt;&gt;0,J955/1.03-K955,0)</f>
        <v>#VALUE!</v>
      </c>
    </row>
    <row r="956" spans="1:18" s="59" customFormat="1" outlineLevel="1" x14ac:dyDescent="0.3">
      <c r="A956" s="13">
        <f>LEN(C956)</f>
        <v>0</v>
      </c>
      <c r="B956" s="55"/>
      <c r="C956" s="494"/>
      <c r="D956" s="748" t="s">
        <v>6540</v>
      </c>
      <c r="E956" s="706" t="str">
        <f>VLOOKUP(D956,'03. Insumos'!A:D,2,0)</f>
        <v>Tento, Soleira, Filite e Peitoril - Mão de Obra</v>
      </c>
      <c r="F956" s="669" t="s">
        <v>5218</v>
      </c>
      <c r="G956" s="669" t="str">
        <f>VLOOKUP(D956,'03. Insumos'!A:F,3,0)</f>
        <v>m</v>
      </c>
      <c r="H956" s="631">
        <v>1</v>
      </c>
      <c r="I956" s="631">
        <f>H955</f>
        <v>45</v>
      </c>
      <c r="J956" s="632">
        <v>32.5</v>
      </c>
      <c r="K956" s="632">
        <f>IF(A956=0,VLOOKUP(D956,'03. Insumos'!A:F,4,0),"")</f>
        <v>49</v>
      </c>
      <c r="L956" s="632">
        <f t="shared" ref="L956" si="795">H956*J956*I956</f>
        <v>1462.5</v>
      </c>
      <c r="M956" s="153">
        <f t="shared" ca="1" si="794"/>
        <v>8.8801149064310299E-5</v>
      </c>
      <c r="O956" s="148"/>
      <c r="R956" s="12"/>
    </row>
    <row r="957" spans="1:18" s="59" customFormat="1" outlineLevel="1" x14ac:dyDescent="0.3">
      <c r="A957" s="13">
        <f>LEN(C957)</f>
        <v>0</v>
      </c>
      <c r="B957" s="55"/>
      <c r="C957" s="494"/>
      <c r="D957" s="748" t="s">
        <v>6539</v>
      </c>
      <c r="E957" s="706" t="str">
        <f>VLOOKUP(D957,'03. Insumos'!A:D,2,0)</f>
        <v>Filete em Granito Branco Dallas - Material</v>
      </c>
      <c r="F957" s="669" t="s">
        <v>5218</v>
      </c>
      <c r="G957" s="669" t="str">
        <f>VLOOKUP(D957,'03. Insumos'!A:F,3,0)</f>
        <v>m</v>
      </c>
      <c r="H957" s="631">
        <v>1</v>
      </c>
      <c r="I957" s="631">
        <f>H955</f>
        <v>45</v>
      </c>
      <c r="J957" s="632">
        <f t="shared" ref="J957" si="796">IFERROR(IF(K957&lt;&gt;0,K957*$K$5,0),0)</f>
        <v>26.666666666666668</v>
      </c>
      <c r="K957" s="632">
        <f>IF(A957=0,VLOOKUP(D957,'03. Insumos'!A:F,4,0),"")</f>
        <v>26.666666666666668</v>
      </c>
      <c r="L957" s="632">
        <f t="shared" ref="L957" si="797">H957*J957*I957</f>
        <v>1200</v>
      </c>
      <c r="M957" s="153">
        <f t="shared" ref="M957" ca="1" si="798">L957/$L$7</f>
        <v>7.2862481283536646E-5</v>
      </c>
      <c r="O957" s="148"/>
      <c r="R957" s="12"/>
    </row>
    <row r="958" spans="1:18" s="59" customFormat="1" ht="13.5" customHeight="1" outlineLevel="1" x14ac:dyDescent="0.3">
      <c r="A958" s="290">
        <f t="shared" ref="A958" si="799">LEN(C958)</f>
        <v>6</v>
      </c>
      <c r="B958" s="391"/>
      <c r="C958" s="391" t="s">
        <v>1477</v>
      </c>
      <c r="D958" s="606" t="s">
        <v>6987</v>
      </c>
      <c r="E958" s="391"/>
      <c r="F958" s="325"/>
      <c r="G958" s="325" t="s">
        <v>74</v>
      </c>
      <c r="H958" s="326">
        <f>88*1.4</f>
        <v>123.19999999999999</v>
      </c>
      <c r="I958" s="547"/>
      <c r="J958" s="812">
        <f>L958/H958</f>
        <v>109.64285714285715</v>
      </c>
      <c r="K958" s="334" t="str">
        <f>IF(A958=0,VLOOKUP(D958,'03. Insumos'!A:F,4,0),"")</f>
        <v/>
      </c>
      <c r="L958" s="334">
        <f>SUM(L959:L960)</f>
        <v>13508</v>
      </c>
      <c r="M958" s="153">
        <f t="shared" ca="1" si="706"/>
        <v>8.2018866431501089E-4</v>
      </c>
      <c r="O958" s="148">
        <f>IF(I958&lt;&gt;0,I958*H958*K958,)</f>
        <v>0</v>
      </c>
      <c r="R958" s="12" t="e">
        <f>IF(J958&lt;&gt;0,J958/1.03-K958,0)</f>
        <v>#VALUE!</v>
      </c>
    </row>
    <row r="959" spans="1:18" s="59" customFormat="1" outlineLevel="1" x14ac:dyDescent="0.3">
      <c r="A959" s="13">
        <f>LEN(C959)</f>
        <v>0</v>
      </c>
      <c r="B959" s="55"/>
      <c r="C959" s="494"/>
      <c r="D959" s="748" t="s">
        <v>6540</v>
      </c>
      <c r="E959" s="706" t="str">
        <f>VLOOKUP(D959,'03. Insumos'!A:D,2,0)</f>
        <v>Tento, Soleira, Filite e Peitoril - Mão de Obra</v>
      </c>
      <c r="F959" s="669" t="s">
        <v>5218</v>
      </c>
      <c r="G959" s="669" t="str">
        <f>VLOOKUP(D959,'03. Insumos'!A:F,3,0)</f>
        <v>m</v>
      </c>
      <c r="H959" s="631">
        <v>1</v>
      </c>
      <c r="I959" s="631">
        <f>H958</f>
        <v>123.19999999999999</v>
      </c>
      <c r="J959" s="632">
        <v>32.5</v>
      </c>
      <c r="K959" s="632">
        <f>IF(A959=0,VLOOKUP(D959,'03. Insumos'!A:F,4,0),"")</f>
        <v>49</v>
      </c>
      <c r="L959" s="632">
        <f t="shared" ref="L959:L960" si="800">H959*J959*I959</f>
        <v>4003.9999999999995</v>
      </c>
      <c r="M959" s="153">
        <f t="shared" ca="1" si="706"/>
        <v>2.4311781254940059E-4</v>
      </c>
      <c r="O959" s="148"/>
      <c r="R959" s="12"/>
    </row>
    <row r="960" spans="1:18" s="59" customFormat="1" outlineLevel="1" x14ac:dyDescent="0.3">
      <c r="A960" s="13">
        <f>LEN(C960)</f>
        <v>0</v>
      </c>
      <c r="B960" s="55"/>
      <c r="C960" s="494"/>
      <c r="D960" s="748" t="s">
        <v>6546</v>
      </c>
      <c r="E960" s="706" t="str">
        <f>VLOOKUP(D960,'03. Insumos'!A:D,2,0)</f>
        <v>Peitoril em Granito Branco Dallas - Material</v>
      </c>
      <c r="F960" s="669" t="s">
        <v>5218</v>
      </c>
      <c r="G960" s="669" t="str">
        <f>VLOOKUP(D960,'03. Insumos'!A:F,3,0)</f>
        <v>m</v>
      </c>
      <c r="H960" s="631">
        <v>1</v>
      </c>
      <c r="I960" s="631">
        <f>H958</f>
        <v>123.19999999999999</v>
      </c>
      <c r="J960" s="632">
        <f t="shared" ref="J960" si="801">IFERROR(IF(K960&lt;&gt;0,K960*$K$5,0),0)</f>
        <v>77.142857142857153</v>
      </c>
      <c r="K960" s="632">
        <f>IF(A960=0,VLOOKUP(D960,'03. Insumos'!A:F,4,0),"")</f>
        <v>77.142857142857153</v>
      </c>
      <c r="L960" s="632">
        <f t="shared" si="800"/>
        <v>9504</v>
      </c>
      <c r="M960" s="153">
        <f t="shared" ca="1" si="706"/>
        <v>5.7707085176561025E-4</v>
      </c>
      <c r="O960" s="148"/>
      <c r="R960" s="12"/>
    </row>
    <row r="961" spans="1:18" s="59" customFormat="1" ht="13.5" customHeight="1" outlineLevel="1" x14ac:dyDescent="0.3">
      <c r="A961" s="13">
        <f t="shared" ref="A961" si="802">LEN(C961)</f>
        <v>6</v>
      </c>
      <c r="B961" s="391"/>
      <c r="C961" s="391" t="s">
        <v>1480</v>
      </c>
      <c r="D961" s="606" t="s">
        <v>6989</v>
      </c>
      <c r="E961" s="391"/>
      <c r="F961" s="325"/>
      <c r="G961" s="325" t="s">
        <v>74</v>
      </c>
      <c r="H961" s="326">
        <f>SUM(I963:I964)</f>
        <v>225.88</v>
      </c>
      <c r="I961" s="547"/>
      <c r="J961" s="812">
        <f>L961/H961</f>
        <v>159</v>
      </c>
      <c r="K961" s="334" t="str">
        <f>IF(A961=0,VLOOKUP(D961,'03. Insumos'!A:F,4,0),"")</f>
        <v/>
      </c>
      <c r="L961" s="334">
        <f>SUM(L962:L964)</f>
        <v>35914.92</v>
      </c>
      <c r="M961" s="355">
        <f t="shared" ca="1" si="706"/>
        <v>2.1807084885830967E-3</v>
      </c>
      <c r="O961" s="148">
        <f>IF(I961&lt;&gt;0,I961*H961*K961,)</f>
        <v>0</v>
      </c>
      <c r="R961" s="356" t="e">
        <f>IF(J961&lt;&gt;0,J961/1.03-K961,0)</f>
        <v>#VALUE!</v>
      </c>
    </row>
    <row r="962" spans="1:18" s="59" customFormat="1" outlineLevel="1" x14ac:dyDescent="0.3">
      <c r="A962" s="13">
        <f>LEN(C962)</f>
        <v>0</v>
      </c>
      <c r="B962" s="55"/>
      <c r="C962" s="494"/>
      <c r="D962" s="748" t="s">
        <v>6547</v>
      </c>
      <c r="E962" s="706" t="str">
        <f>VLOOKUP(D962,'03. Insumos'!A:D,2,0)</f>
        <v>Chapim - Mão de Obra</v>
      </c>
      <c r="F962" s="669" t="s">
        <v>5218</v>
      </c>
      <c r="G962" s="669" t="str">
        <f>VLOOKUP(D962,'03. Insumos'!A:F,3,0)</f>
        <v>m</v>
      </c>
      <c r="H962" s="631">
        <v>1</v>
      </c>
      <c r="I962" s="631">
        <f>H961</f>
        <v>225.88</v>
      </c>
      <c r="J962" s="632">
        <f t="shared" ref="J962" si="803">IFERROR(IF(K962&lt;&gt;0,K962*$K$5,0),0)</f>
        <v>59</v>
      </c>
      <c r="K962" s="632">
        <f>IF(A962=0,VLOOKUP(D962,'03. Insumos'!A:F,4,0),"")</f>
        <v>59</v>
      </c>
      <c r="L962" s="632">
        <f t="shared" ref="L962:L964" si="804">H962*J962*I962</f>
        <v>13326.92</v>
      </c>
      <c r="M962" s="153">
        <f t="shared" ca="1" si="706"/>
        <v>8.0919371588932519E-4</v>
      </c>
      <c r="O962" s="148"/>
      <c r="R962" s="12"/>
    </row>
    <row r="963" spans="1:18" s="59" customFormat="1" outlineLevel="1" x14ac:dyDescent="0.3">
      <c r="A963" s="13">
        <f>LEN(C963)</f>
        <v>0</v>
      </c>
      <c r="B963" s="55"/>
      <c r="C963" s="494"/>
      <c r="D963" s="748" t="s">
        <v>6548</v>
      </c>
      <c r="E963" s="706" t="str">
        <f>VLOOKUP(D963,'03. Insumos'!A:D,2,0)</f>
        <v>Chapim em Granito Branco Dallas - Material</v>
      </c>
      <c r="F963" s="669" t="s">
        <v>5218</v>
      </c>
      <c r="G963" s="669" t="str">
        <f>VLOOKUP(D963,'03. Insumos'!A:F,3,0)</f>
        <v>m</v>
      </c>
      <c r="H963" s="631">
        <v>1</v>
      </c>
      <c r="I963" s="631">
        <f>14*4.52+14*3.15+12*4.05+12*1.5+6*5.5+6*3.15</f>
        <v>225.88</v>
      </c>
      <c r="J963" s="632">
        <f t="shared" ref="J963" si="805">IFERROR(IF(K963&lt;&gt;0,K963*$K$5,0),0)</f>
        <v>100</v>
      </c>
      <c r="K963" s="632">
        <f>IF(A963=0,VLOOKUP(D963,'03. Insumos'!A:F,4,0),"")</f>
        <v>100</v>
      </c>
      <c r="L963" s="632">
        <f t="shared" ref="L963" si="806">H963*J963*I963</f>
        <v>22588</v>
      </c>
      <c r="M963" s="153">
        <f t="shared" ref="M963" ca="1" si="807">L963/$L$7</f>
        <v>1.3715147726937715E-3</v>
      </c>
      <c r="O963" s="148"/>
      <c r="R963" s="12"/>
    </row>
    <row r="964" spans="1:18" s="59" customFormat="1" hidden="1" outlineLevel="1" x14ac:dyDescent="0.3">
      <c r="A964" s="13">
        <f>LEN(C964)</f>
        <v>0</v>
      </c>
      <c r="B964" s="55"/>
      <c r="C964" s="494"/>
      <c r="D964" s="748" t="s">
        <v>6548</v>
      </c>
      <c r="E964" s="706" t="s">
        <v>8384</v>
      </c>
      <c r="F964" s="669" t="s">
        <v>5218</v>
      </c>
      <c r="G964" s="669" t="str">
        <f>VLOOKUP(D964,'03. Insumos'!A:F,3,0)</f>
        <v>m</v>
      </c>
      <c r="H964" s="631">
        <v>1</v>
      </c>
      <c r="I964" s="631"/>
      <c r="J964" s="632">
        <v>279</v>
      </c>
      <c r="K964" s="632">
        <f>IF(A964=0,VLOOKUP(D964,'03. Insumos'!A:F,4,0),"")</f>
        <v>100</v>
      </c>
      <c r="L964" s="632">
        <f t="shared" si="804"/>
        <v>0</v>
      </c>
      <c r="M964" s="153">
        <f t="shared" ca="1" si="706"/>
        <v>0</v>
      </c>
      <c r="O964" s="148"/>
      <c r="R964" s="12"/>
    </row>
    <row r="965" spans="1:18" s="59" customFormat="1" ht="13.5" customHeight="1" outlineLevel="1" x14ac:dyDescent="0.3">
      <c r="A965" s="13">
        <f t="shared" ref="A965" si="808">LEN(C965)</f>
        <v>6</v>
      </c>
      <c r="B965" s="391"/>
      <c r="C965" s="391" t="s">
        <v>1487</v>
      </c>
      <c r="D965" s="606" t="s">
        <v>7856</v>
      </c>
      <c r="E965" s="391"/>
      <c r="F965" s="325"/>
      <c r="G965" s="325" t="s">
        <v>73</v>
      </c>
      <c r="H965" s="326">
        <f>SUM(I966:I967)</f>
        <v>4.12</v>
      </c>
      <c r="I965" s="547"/>
      <c r="J965" s="812">
        <f>L965/H965</f>
        <v>397</v>
      </c>
      <c r="K965" s="334" t="str">
        <f>IF(A965=0,VLOOKUP(D965,'03. Insumos'!A:F,4,0),"")</f>
        <v/>
      </c>
      <c r="L965" s="334">
        <f>SUM(L966:L968)</f>
        <v>1635.64</v>
      </c>
      <c r="M965" s="153">
        <f t="shared" ref="M965:M968" ca="1" si="809">L965/$L$7</f>
        <v>9.9313990738836581E-5</v>
      </c>
      <c r="O965" s="148">
        <f>IF(I965&lt;&gt;0,I965*H965*K965,)</f>
        <v>0</v>
      </c>
      <c r="R965" s="12" t="e">
        <f>IF(J965&lt;&gt;0,J965/1.03-K965,0)</f>
        <v>#VALUE!</v>
      </c>
    </row>
    <row r="966" spans="1:18" s="59" customFormat="1" outlineLevel="1" x14ac:dyDescent="0.3">
      <c r="A966" s="13">
        <f>LEN(C966)</f>
        <v>0</v>
      </c>
      <c r="B966" s="55"/>
      <c r="C966" s="494"/>
      <c r="D966" s="748" t="s">
        <v>6838</v>
      </c>
      <c r="E966" s="706" t="s">
        <v>8601</v>
      </c>
      <c r="F966" s="669" t="s">
        <v>5218</v>
      </c>
      <c r="G966" s="669" t="str">
        <f>VLOOKUP(D966,'03. Insumos'!A:F,3,0)</f>
        <v>m²</v>
      </c>
      <c r="H966" s="631">
        <v>1</v>
      </c>
      <c r="I966" s="631">
        <v>4.12</v>
      </c>
      <c r="J966" s="632">
        <v>272</v>
      </c>
      <c r="K966" s="632">
        <f>IF(A966=0,VLOOKUP(D966,'03. Insumos'!A:F,4,0),"")</f>
        <v>314.5</v>
      </c>
      <c r="L966" s="632">
        <f t="shared" ref="L966:L968" si="810">H966*J966*I966</f>
        <v>1120.6400000000001</v>
      </c>
      <c r="M966" s="153">
        <f t="shared" ca="1" si="809"/>
        <v>6.8043842521318769E-5</v>
      </c>
      <c r="O966" s="148"/>
      <c r="R966" s="12"/>
    </row>
    <row r="967" spans="1:18" s="59" customFormat="1" hidden="1" outlineLevel="1" x14ac:dyDescent="0.3">
      <c r="A967" s="13">
        <f>LEN(C967)</f>
        <v>0</v>
      </c>
      <c r="B967" s="55"/>
      <c r="C967" s="494"/>
      <c r="D967" s="748" t="s">
        <v>6836</v>
      </c>
      <c r="E967" s="706" t="str">
        <f>VLOOKUP(D967,'03. Insumos'!A:D,2,0)</f>
        <v>Escada em granito Branco Siena - Material</v>
      </c>
      <c r="F967" s="669" t="s">
        <v>5218</v>
      </c>
      <c r="G967" s="669" t="str">
        <f>VLOOKUP(D967,'03. Insumos'!A:F,3,0)</f>
        <v>m²</v>
      </c>
      <c r="H967" s="631">
        <v>1</v>
      </c>
      <c r="I967" s="631"/>
      <c r="J967" s="632">
        <f t="shared" ref="J967" si="811">IFERROR(IF(K967&lt;&gt;0,K967*$K$5,0),0)</f>
        <v>314.5</v>
      </c>
      <c r="K967" s="632">
        <f>IF(A967=0,VLOOKUP(D967,'03. Insumos'!A:F,4,0),"")</f>
        <v>314.5</v>
      </c>
      <c r="L967" s="632">
        <f t="shared" ref="L967" si="812">H967*J967*I967</f>
        <v>0</v>
      </c>
      <c r="M967" s="153">
        <f t="shared" ref="M967" ca="1" si="813">L967/$L$7</f>
        <v>0</v>
      </c>
      <c r="O967" s="148"/>
      <c r="R967" s="12"/>
    </row>
    <row r="968" spans="1:18" s="59" customFormat="1" outlineLevel="1" x14ac:dyDescent="0.3">
      <c r="A968" s="13">
        <f>LEN(C968)</f>
        <v>0</v>
      </c>
      <c r="B968" s="55"/>
      <c r="C968" s="494"/>
      <c r="D968" s="748" t="s">
        <v>6839</v>
      </c>
      <c r="E968" s="706" t="str">
        <f>VLOOKUP(D968,'03. Insumos'!A:D,2,0)</f>
        <v>Piso Elevador em granito - Mão de Obra</v>
      </c>
      <c r="F968" s="669" t="s">
        <v>5218</v>
      </c>
      <c r="G968" s="669" t="str">
        <f>VLOOKUP(D968,'03. Insumos'!A:F,3,0)</f>
        <v>m²</v>
      </c>
      <c r="H968" s="631">
        <v>1</v>
      </c>
      <c r="I968" s="631">
        <f>H965</f>
        <v>4.12</v>
      </c>
      <c r="J968" s="632">
        <v>125</v>
      </c>
      <c r="K968" s="632">
        <f>IF(A968=0,VLOOKUP(D968,'03. Insumos'!A:F,4,0),"")</f>
        <v>160</v>
      </c>
      <c r="L968" s="632">
        <f t="shared" si="810"/>
        <v>515</v>
      </c>
      <c r="M968" s="153">
        <f t="shared" ca="1" si="809"/>
        <v>3.1270148217517812E-5</v>
      </c>
      <c r="O968" s="148"/>
      <c r="R968" s="12"/>
    </row>
    <row r="969" spans="1:18" s="59" customFormat="1" ht="13.5" hidden="1" customHeight="1" outlineLevel="1" x14ac:dyDescent="0.3">
      <c r="A969" s="13">
        <f t="shared" ref="A969" si="814">LEN(C969)</f>
        <v>6</v>
      </c>
      <c r="B969" s="391"/>
      <c r="C969" s="391" t="s">
        <v>1493</v>
      </c>
      <c r="D969" s="606" t="s">
        <v>6993</v>
      </c>
      <c r="E969" s="391"/>
      <c r="F969" s="325"/>
      <c r="G969" s="325" t="s">
        <v>74</v>
      </c>
      <c r="H969" s="326"/>
      <c r="I969" s="547"/>
      <c r="J969" s="812" t="e">
        <f>L969/H969</f>
        <v>#DIV/0!</v>
      </c>
      <c r="K969" s="334" t="str">
        <f>IF(A969=0,VLOOKUP(D969,'03. Insumos'!A:F,4,0),"")</f>
        <v/>
      </c>
      <c r="L969" s="334">
        <f>SUM(L970:L971)</f>
        <v>0</v>
      </c>
      <c r="M969" s="153">
        <f t="shared" ca="1" si="706"/>
        <v>0</v>
      </c>
      <c r="O969" s="148">
        <f>IF(I969&lt;&gt;0,I969*H969*K969,)</f>
        <v>0</v>
      </c>
      <c r="R969" s="12" t="e">
        <f>IF(J969&lt;&gt;0,J969/1.03-K969,0)</f>
        <v>#DIV/0!</v>
      </c>
    </row>
    <row r="970" spans="1:18" s="59" customFormat="1" hidden="1" outlineLevel="1" x14ac:dyDescent="0.3">
      <c r="A970" s="13">
        <f>LEN(C970)</f>
        <v>0</v>
      </c>
      <c r="B970" s="55"/>
      <c r="C970" s="494"/>
      <c r="D970" s="748" t="s">
        <v>6551</v>
      </c>
      <c r="E970" s="706" t="str">
        <f>VLOOKUP(D970,'03. Insumos'!A:D,2,0)</f>
        <v>Aduela e Alisares - Mão de Obra</v>
      </c>
      <c r="F970" s="669" t="s">
        <v>5218</v>
      </c>
      <c r="G970" s="669" t="str">
        <f>VLOOKUP(D970,'03. Insumos'!A:F,3,0)</f>
        <v>m</v>
      </c>
      <c r="H970" s="631">
        <v>1</v>
      </c>
      <c r="I970" s="631">
        <f>H969</f>
        <v>0</v>
      </c>
      <c r="J970" s="632">
        <f t="shared" ref="J970:J971" si="815">IFERROR(IF(K970&lt;&gt;0,K970*$K$5,0),0)</f>
        <v>52</v>
      </c>
      <c r="K970" s="632">
        <f>IF(A970=0,VLOOKUP(D970,'03. Insumos'!A:F,4,0),"")</f>
        <v>52</v>
      </c>
      <c r="L970" s="632">
        <f t="shared" ref="L970:L971" si="816">H970*J970*I970</f>
        <v>0</v>
      </c>
      <c r="M970" s="153">
        <f t="shared" ca="1" si="706"/>
        <v>0</v>
      </c>
      <c r="O970" s="148"/>
      <c r="R970" s="12"/>
    </row>
    <row r="971" spans="1:18" s="59" customFormat="1" hidden="1" outlineLevel="1" x14ac:dyDescent="0.3">
      <c r="A971" s="13">
        <f>LEN(C971)</f>
        <v>0</v>
      </c>
      <c r="B971" s="55"/>
      <c r="C971" s="494"/>
      <c r="D971" s="748" t="s">
        <v>6552</v>
      </c>
      <c r="E971" s="706" t="str">
        <f>VLOOKUP(D971,'03. Insumos'!A:D,2,0)</f>
        <v>Aduela em Marmore Branco Itaúnas - Material</v>
      </c>
      <c r="F971" s="669" t="s">
        <v>5218</v>
      </c>
      <c r="G971" s="669" t="str">
        <f>VLOOKUP(D971,'03. Insumos'!A:F,3,0)</f>
        <v>m</v>
      </c>
      <c r="H971" s="631">
        <v>1</v>
      </c>
      <c r="I971" s="631">
        <f>I970</f>
        <v>0</v>
      </c>
      <c r="J971" s="632">
        <f t="shared" si="815"/>
        <v>120</v>
      </c>
      <c r="K971" s="632">
        <f>IF(A971=0,VLOOKUP(D971,'03. Insumos'!A:F,4,0),"")</f>
        <v>120</v>
      </c>
      <c r="L971" s="632">
        <f t="shared" si="816"/>
        <v>0</v>
      </c>
      <c r="M971" s="153">
        <f t="shared" ca="1" si="706"/>
        <v>0</v>
      </c>
      <c r="O971" s="148"/>
      <c r="R971" s="12"/>
    </row>
    <row r="972" spans="1:18" s="493" customFormat="1" ht="13.5" customHeight="1" outlineLevel="1" x14ac:dyDescent="0.3">
      <c r="A972" s="290">
        <f t="shared" ref="A972:A973" si="817">LEN(C972)</f>
        <v>4</v>
      </c>
      <c r="B972" s="45"/>
      <c r="C972" s="45" t="s">
        <v>6952</v>
      </c>
      <c r="D972" s="45" t="s">
        <v>8602</v>
      </c>
      <c r="E972" s="347"/>
      <c r="F972" s="327"/>
      <c r="G972" s="327"/>
      <c r="H972" s="328"/>
      <c r="I972" s="548"/>
      <c r="J972" s="335"/>
      <c r="K972" s="335" t="str">
        <f>IF(A972=0,VLOOKUP(D972,'03. Insumos'!A:F,4,0),"")</f>
        <v/>
      </c>
      <c r="L972" s="335">
        <f>SUMIF(A973:A986,6,L973:L986)</f>
        <v>15533.99468</v>
      </c>
      <c r="M972" s="153">
        <f t="shared" ca="1" si="706"/>
        <v>9.4320449719171489E-4</v>
      </c>
      <c r="O972" s="512">
        <f>IF(I972&lt;&gt;0,I972*H972*K972,)</f>
        <v>0</v>
      </c>
      <c r="R972" s="487">
        <f>IF(J972&lt;&gt;0,J972/1.03-K972,0)</f>
        <v>0</v>
      </c>
    </row>
    <row r="973" spans="1:18" s="59" customFormat="1" ht="13.5" customHeight="1" outlineLevel="1" x14ac:dyDescent="0.3">
      <c r="A973" s="290">
        <f t="shared" si="817"/>
        <v>6</v>
      </c>
      <c r="B973" s="391"/>
      <c r="C973" s="391" t="s">
        <v>6953</v>
      </c>
      <c r="D973" s="606" t="s">
        <v>8477</v>
      </c>
      <c r="E973" s="391"/>
      <c r="F973" s="325"/>
      <c r="G973" s="325" t="s">
        <v>73</v>
      </c>
      <c r="H973" s="326">
        <v>40.54</v>
      </c>
      <c r="I973" s="547"/>
      <c r="J973" s="812">
        <f>L973/H973</f>
        <v>383.17697779970399</v>
      </c>
      <c r="K973" s="334" t="str">
        <f>IF(A973=0,VLOOKUP(D973,'03. Insumos'!A:F,4,0),"")</f>
        <v/>
      </c>
      <c r="L973" s="334">
        <f>SUM(L974:L978)</f>
        <v>15533.99468</v>
      </c>
      <c r="M973" s="153">
        <f t="shared" ca="1" si="706"/>
        <v>9.4320449719171489E-4</v>
      </c>
      <c r="O973" s="148">
        <f>IF(I973&lt;&gt;0,I973*H973*K973,)</f>
        <v>0</v>
      </c>
      <c r="R973" s="12" t="e">
        <f>IF(J973&lt;&gt;0,J973/1.03-K973,0)</f>
        <v>#VALUE!</v>
      </c>
    </row>
    <row r="974" spans="1:18" s="59" customFormat="1" outlineLevel="1" x14ac:dyDescent="0.3">
      <c r="A974" s="13">
        <f>LEN(C974)</f>
        <v>0</v>
      </c>
      <c r="B974" s="55"/>
      <c r="C974" s="494"/>
      <c r="D974" s="370" t="s">
        <v>5870</v>
      </c>
      <c r="E974" s="706" t="s">
        <v>8609</v>
      </c>
      <c r="F974" s="68" t="s">
        <v>5218</v>
      </c>
      <c r="G974" s="68" t="s">
        <v>73</v>
      </c>
      <c r="H974" s="69">
        <v>1.1000000000000001</v>
      </c>
      <c r="I974" s="69">
        <f>H973</f>
        <v>40.54</v>
      </c>
      <c r="J974" s="70">
        <v>145.5</v>
      </c>
      <c r="K974" s="70">
        <f>IF(A974=0,VLOOKUP(D974,'03. Insumos'!A:F,4,0),"")</f>
        <v>228.15</v>
      </c>
      <c r="L974" s="70">
        <f t="shared" ref="L974:L977" si="818">H974*J974*I974</f>
        <v>6488.4270000000006</v>
      </c>
      <c r="M974" s="153">
        <f t="shared" ref="M974:M977" ca="1" si="819">L974/$L$7</f>
        <v>3.9396907570591157E-4</v>
      </c>
      <c r="O974" s="148"/>
      <c r="R974" s="12"/>
    </row>
    <row r="975" spans="1:18" s="59" customFormat="1" outlineLevel="1" x14ac:dyDescent="0.3">
      <c r="A975" s="13">
        <f>LEN(C975)</f>
        <v>0</v>
      </c>
      <c r="B975" s="55"/>
      <c r="C975" s="494"/>
      <c r="D975" s="370" t="s">
        <v>5871</v>
      </c>
      <c r="E975" s="706" t="s">
        <v>8610</v>
      </c>
      <c r="F975" s="68" t="s">
        <v>5218</v>
      </c>
      <c r="G975" s="68" t="s">
        <v>73</v>
      </c>
      <c r="H975" s="69">
        <v>1.1000000000000001</v>
      </c>
      <c r="I975" s="69">
        <f>I974</f>
        <v>40.54</v>
      </c>
      <c r="J975" s="70">
        <v>90.72</v>
      </c>
      <c r="K975" s="70">
        <f>IF(A975=0,VLOOKUP(D975,'03. Insumos'!A:F,4,0),"")</f>
        <v>144.86000000000001</v>
      </c>
      <c r="L975" s="70">
        <f t="shared" si="818"/>
        <v>4045.5676800000001</v>
      </c>
      <c r="M975" s="153">
        <f t="shared" ca="1" si="819"/>
        <v>2.4564174947106735E-4</v>
      </c>
      <c r="O975" s="148"/>
      <c r="R975" s="12"/>
    </row>
    <row r="976" spans="1:18" s="59" customFormat="1" hidden="1" outlineLevel="1" x14ac:dyDescent="0.3">
      <c r="A976" s="13">
        <f>LEN(C976)</f>
        <v>0</v>
      </c>
      <c r="B976" s="55"/>
      <c r="C976" s="494"/>
      <c r="D976" s="370" t="s">
        <v>7992</v>
      </c>
      <c r="E976" s="706" t="str">
        <f>VLOOKUP(D976,'03. Insumos'!A:D,2,0)</f>
        <v>Recomposição de meio fio - MAT E MO</v>
      </c>
      <c r="F976" s="68" t="s">
        <v>5218</v>
      </c>
      <c r="G976" s="68" t="str">
        <f>VLOOKUP(D976,'03. Insumos'!A:F,3,0)</f>
        <v>m</v>
      </c>
      <c r="H976" s="69">
        <v>1.1000000000000001</v>
      </c>
      <c r="I976" s="69"/>
      <c r="J976" s="70">
        <f t="shared" ref="J976" si="820">IFERROR(IF(K976&lt;&gt;0,K976*$K$5,0),0)</f>
        <v>285</v>
      </c>
      <c r="K976" s="70">
        <f>IF(A976=0,VLOOKUP(D976,'03. Insumos'!A:F,4,0),"")</f>
        <v>285</v>
      </c>
      <c r="L976" s="70">
        <f t="shared" si="818"/>
        <v>0</v>
      </c>
      <c r="M976" s="153">
        <f t="shared" ca="1" si="819"/>
        <v>0</v>
      </c>
      <c r="O976" s="148"/>
      <c r="R976" s="12"/>
    </row>
    <row r="977" spans="1:22" s="59" customFormat="1" hidden="1" outlineLevel="1" x14ac:dyDescent="0.3">
      <c r="A977" s="13">
        <f>LEN(C977)</f>
        <v>0</v>
      </c>
      <c r="B977" s="55"/>
      <c r="C977" s="494"/>
      <c r="D977" s="370" t="s">
        <v>7992</v>
      </c>
      <c r="E977" s="706" t="s">
        <v>8052</v>
      </c>
      <c r="F977" s="68" t="s">
        <v>5218</v>
      </c>
      <c r="G977" s="68" t="str">
        <f>VLOOKUP(D977,'03. Insumos'!A:F,3,0)</f>
        <v>m</v>
      </c>
      <c r="H977" s="69">
        <v>1.1000000000000001</v>
      </c>
      <c r="I977" s="69"/>
      <c r="J977" s="70">
        <v>149.52000000000001</v>
      </c>
      <c r="K977" s="70">
        <f>IF(A977=0,VLOOKUP(D977,'03. Insumos'!A:F,4,0),"")</f>
        <v>285</v>
      </c>
      <c r="L977" s="70">
        <f t="shared" si="818"/>
        <v>0</v>
      </c>
      <c r="M977" s="153">
        <f t="shared" ca="1" si="819"/>
        <v>0</v>
      </c>
      <c r="O977" s="148"/>
      <c r="R977" s="12"/>
    </row>
    <row r="978" spans="1:22" s="59" customFormat="1" outlineLevel="1" x14ac:dyDescent="0.3">
      <c r="A978" s="13">
        <f>LEN(C978)</f>
        <v>0</v>
      </c>
      <c r="B978" s="55"/>
      <c r="C978" s="494"/>
      <c r="D978" s="370" t="s">
        <v>7992</v>
      </c>
      <c r="E978" s="706" t="s">
        <v>8053</v>
      </c>
      <c r="F978" s="68" t="s">
        <v>5218</v>
      </c>
      <c r="G978" s="68" t="s">
        <v>29</v>
      </c>
      <c r="H978" s="69">
        <v>1</v>
      </c>
      <c r="I978" s="69">
        <v>5000</v>
      </c>
      <c r="J978" s="70">
        <v>1</v>
      </c>
      <c r="K978" s="70">
        <f>IF(A978=0,VLOOKUP(D978,'03. Insumos'!A:F,4,0),"")</f>
        <v>285</v>
      </c>
      <c r="L978" s="70">
        <f t="shared" ref="L978" si="821">H978*J978*I978</f>
        <v>5000</v>
      </c>
      <c r="M978" s="153">
        <f t="shared" ca="1" si="706"/>
        <v>3.0359367201473607E-4</v>
      </c>
      <c r="O978" s="148"/>
      <c r="R978" s="12"/>
    </row>
    <row r="979" spans="1:22" s="59" customFormat="1" ht="13.5" hidden="1" customHeight="1" outlineLevel="1" x14ac:dyDescent="0.3">
      <c r="A979" s="290">
        <f t="shared" ref="A979" si="822">LEN(C979)</f>
        <v>6</v>
      </c>
      <c r="B979" s="391"/>
      <c r="C979" s="391" t="s">
        <v>6953</v>
      </c>
      <c r="D979" s="606" t="s">
        <v>8603</v>
      </c>
      <c r="E979" s="391"/>
      <c r="F979" s="325"/>
      <c r="G979" s="325" t="s">
        <v>73</v>
      </c>
      <c r="H979" s="326"/>
      <c r="I979" s="547"/>
      <c r="J979" s="334"/>
      <c r="K979" s="334" t="str">
        <f>IF(A979=0,VLOOKUP(D979,'03. Insumos'!A:F,4,0),"")</f>
        <v/>
      </c>
      <c r="L979" s="334">
        <f>SUM(L980:L981)</f>
        <v>0</v>
      </c>
      <c r="M979" s="153">
        <f t="shared" ref="M979:M981" ca="1" si="823">L979/$L$7</f>
        <v>0</v>
      </c>
      <c r="O979" s="148">
        <f>IF(I979&lt;&gt;0,I979*H979*K979,)</f>
        <v>0</v>
      </c>
      <c r="R979" s="12">
        <f>IF(J979&lt;&gt;0,J979/1.03-K979,0)</f>
        <v>0</v>
      </c>
    </row>
    <row r="980" spans="1:22" s="59" customFormat="1" hidden="1" outlineLevel="1" x14ac:dyDescent="0.3">
      <c r="A980" s="13">
        <f>LEN(C980)</f>
        <v>0</v>
      </c>
      <c r="B980" s="55"/>
      <c r="C980" s="494"/>
      <c r="D980" s="370" t="s">
        <v>5870</v>
      </c>
      <c r="E980" s="706" t="s">
        <v>8604</v>
      </c>
      <c r="F980" s="68" t="s">
        <v>5218</v>
      </c>
      <c r="G980" s="68" t="s">
        <v>73</v>
      </c>
      <c r="H980" s="69">
        <v>1.05</v>
      </c>
      <c r="I980" s="69"/>
      <c r="J980" s="70">
        <v>0</v>
      </c>
      <c r="K980" s="70">
        <f>IF(A980=0,VLOOKUP(D980,'03. Insumos'!A:F,4,0),"")</f>
        <v>228.15</v>
      </c>
      <c r="L980" s="70">
        <f t="shared" ref="L980:L981" si="824">H980*J980*I980</f>
        <v>0</v>
      </c>
      <c r="M980" s="153">
        <f t="shared" ca="1" si="823"/>
        <v>0</v>
      </c>
      <c r="O980" s="148"/>
      <c r="R980" s="12"/>
      <c r="S980" s="59" t="s">
        <v>8607</v>
      </c>
      <c r="T980" s="1074">
        <f>I980</f>
        <v>0</v>
      </c>
      <c r="U980" s="59">
        <v>60.4</v>
      </c>
      <c r="V980" s="1074">
        <f>T980*U980</f>
        <v>0</v>
      </c>
    </row>
    <row r="981" spans="1:22" s="59" customFormat="1" hidden="1" outlineLevel="1" x14ac:dyDescent="0.3">
      <c r="A981" s="13">
        <f>LEN(C981)</f>
        <v>0</v>
      </c>
      <c r="B981" s="55"/>
      <c r="C981" s="494"/>
      <c r="D981" s="370" t="s">
        <v>5871</v>
      </c>
      <c r="E981" s="706" t="s">
        <v>8606</v>
      </c>
      <c r="F981" s="68" t="s">
        <v>5218</v>
      </c>
      <c r="G981" s="68" t="s">
        <v>73</v>
      </c>
      <c r="H981" s="69">
        <v>1.1000000000000001</v>
      </c>
      <c r="I981" s="69"/>
      <c r="J981" s="70">
        <v>126.05</v>
      </c>
      <c r="K981" s="70">
        <f>IF(A981=0,VLOOKUP(D981,'03. Insumos'!A:F,4,0),"")</f>
        <v>144.86000000000001</v>
      </c>
      <c r="L981" s="70">
        <f t="shared" si="824"/>
        <v>0</v>
      </c>
      <c r="M981" s="153">
        <f t="shared" ca="1" si="823"/>
        <v>0</v>
      </c>
      <c r="O981" s="148"/>
      <c r="R981" s="12"/>
      <c r="S981" s="59" t="s">
        <v>8608</v>
      </c>
      <c r="T981" s="1074">
        <f>I981*0.15*80</f>
        <v>0</v>
      </c>
      <c r="U981" s="59">
        <v>9.1</v>
      </c>
      <c r="V981" s="1074">
        <f>T981*U981</f>
        <v>0</v>
      </c>
    </row>
    <row r="982" spans="1:22" s="59" customFormat="1" ht="13.5" hidden="1" customHeight="1" outlineLevel="1" x14ac:dyDescent="0.3">
      <c r="A982" s="290">
        <f t="shared" ref="A982" si="825">LEN(C982)</f>
        <v>6</v>
      </c>
      <c r="B982" s="391"/>
      <c r="C982" s="391" t="s">
        <v>6954</v>
      </c>
      <c r="D982" s="606" t="s">
        <v>6958</v>
      </c>
      <c r="E982" s="391"/>
      <c r="F982" s="325"/>
      <c r="G982" s="325" t="s">
        <v>74</v>
      </c>
      <c r="H982" s="326"/>
      <c r="I982" s="547"/>
      <c r="J982" s="334"/>
      <c r="K982" s="334" t="str">
        <f>IF(A982=0,VLOOKUP(D982,'03. Insumos'!A:F,4,0),"")</f>
        <v/>
      </c>
      <c r="L982" s="334">
        <f>SUM(L983:L983)</f>
        <v>0</v>
      </c>
      <c r="M982" s="153">
        <f t="shared" ca="1" si="706"/>
        <v>0</v>
      </c>
      <c r="O982" s="148">
        <f>IF(I982&lt;&gt;0,I982*H982*K982,)</f>
        <v>0</v>
      </c>
      <c r="R982" s="12">
        <f>IF(J982&lt;&gt;0,J982/1.03-K982,0)</f>
        <v>0</v>
      </c>
      <c r="S982" s="59" t="s">
        <v>8605</v>
      </c>
      <c r="T982" s="1074">
        <f>I980*0.15</f>
        <v>0</v>
      </c>
      <c r="U982" s="59">
        <v>550</v>
      </c>
      <c r="V982" s="1074">
        <f>T982*U982</f>
        <v>0</v>
      </c>
    </row>
    <row r="983" spans="1:22" s="59" customFormat="1" hidden="1" outlineLevel="1" x14ac:dyDescent="0.3">
      <c r="A983" s="13">
        <f>LEN(C983)</f>
        <v>0</v>
      </c>
      <c r="B983" s="55"/>
      <c r="C983" s="494"/>
      <c r="D983" s="370" t="s">
        <v>6512</v>
      </c>
      <c r="E983" s="706" t="str">
        <f>VLOOKUP(D983,'03. Insumos'!A:D,2,0)</f>
        <v>Meio fio em concreto armado - Material e Mão de Obra</v>
      </c>
      <c r="F983" s="68" t="s">
        <v>5218</v>
      </c>
      <c r="G983" s="68" t="str">
        <f>VLOOKUP(D983,'03. Insumos'!A:F,3,0)</f>
        <v>m</v>
      </c>
      <c r="H983" s="69">
        <v>1.1000000000000001</v>
      </c>
      <c r="I983" s="69">
        <f>H982</f>
        <v>0</v>
      </c>
      <c r="J983" s="70">
        <f t="shared" ref="J983" si="826">IFERROR(IF(K983&lt;&gt;0,K983*$K$5,0),0)</f>
        <v>48.401999999999994</v>
      </c>
      <c r="K983" s="70">
        <f>IF(A983=0,VLOOKUP(D983,'03. Insumos'!A:F,4,0),"")</f>
        <v>48.401999999999994</v>
      </c>
      <c r="L983" s="70">
        <f t="shared" ref="L983" si="827">H983*J983*I983</f>
        <v>0</v>
      </c>
      <c r="M983" s="153">
        <f t="shared" ca="1" si="706"/>
        <v>0</v>
      </c>
      <c r="O983" s="148"/>
      <c r="R983" s="12"/>
      <c r="V983" s="1074">
        <f>SUM(V980:V982)</f>
        <v>0</v>
      </c>
    </row>
    <row r="984" spans="1:22" s="59" customFormat="1" ht="13.5" hidden="1" customHeight="1" outlineLevel="1" x14ac:dyDescent="0.3">
      <c r="A984" s="290">
        <f t="shared" si="745"/>
        <v>6</v>
      </c>
      <c r="B984" s="391"/>
      <c r="C984" s="489" t="s">
        <v>6957</v>
      </c>
      <c r="D984" s="606" t="s">
        <v>6955</v>
      </c>
      <c r="E984" s="391"/>
      <c r="F984" s="325"/>
      <c r="G984" s="325" t="s">
        <v>6950</v>
      </c>
      <c r="H984" s="326"/>
      <c r="I984" s="547"/>
      <c r="J984" s="334"/>
      <c r="K984" s="334" t="str">
        <f>IF(A984=0,VLOOKUP(D984,'03. Insumos'!A:F,4,0),"")</f>
        <v/>
      </c>
      <c r="L984" s="334">
        <f>SUM(L985:L986)</f>
        <v>0</v>
      </c>
      <c r="M984" s="153">
        <f t="shared" ca="1" si="706"/>
        <v>0</v>
      </c>
      <c r="O984" s="148">
        <f>IF(I984&lt;&gt;0,I984*H984*K984,)</f>
        <v>0</v>
      </c>
      <c r="R984" s="12">
        <f>IF(J984&lt;&gt;0,J984/1.03-K984,0)</f>
        <v>0</v>
      </c>
    </row>
    <row r="985" spans="1:22" s="59" customFormat="1" hidden="1" outlineLevel="1" x14ac:dyDescent="0.3">
      <c r="A985" s="13">
        <f>LEN(C985)</f>
        <v>0</v>
      </c>
      <c r="B985" s="55"/>
      <c r="C985" s="494"/>
      <c r="D985" s="370" t="s">
        <v>6509</v>
      </c>
      <c r="E985" s="706" t="str">
        <f>VLOOKUP(D985,'03. Insumos'!A:D,2,0)</f>
        <v>Revestimento em Ardósia - Mão de Obra</v>
      </c>
      <c r="F985" s="68" t="s">
        <v>5218</v>
      </c>
      <c r="G985" s="68" t="str">
        <f>VLOOKUP(D985,'03. Insumos'!A:F,3,0)</f>
        <v>pav</v>
      </c>
      <c r="H985" s="69"/>
      <c r="I985" s="69">
        <v>8</v>
      </c>
      <c r="J985" s="70">
        <f t="shared" ref="J985:J986" si="828">IFERROR(IF(K985&lt;&gt;0,K985*$K$5,0),0)</f>
        <v>870.38</v>
      </c>
      <c r="K985" s="70">
        <f>IF(A985=0,VLOOKUP(D985,'03. Insumos'!A:F,4,0),"")</f>
        <v>870.38</v>
      </c>
      <c r="L985" s="70">
        <f t="shared" ref="L985:L986" si="829">H985*J985*I985</f>
        <v>0</v>
      </c>
      <c r="M985" s="153">
        <f t="shared" ca="1" si="706"/>
        <v>0</v>
      </c>
      <c r="O985" s="148"/>
      <c r="R985" s="12"/>
    </row>
    <row r="986" spans="1:22" s="59" customFormat="1" hidden="1" outlineLevel="1" x14ac:dyDescent="0.3">
      <c r="A986" s="13">
        <f>LEN(C986)</f>
        <v>0</v>
      </c>
      <c r="B986" s="55"/>
      <c r="C986" s="494"/>
      <c r="D986" s="370" t="s">
        <v>6510</v>
      </c>
      <c r="E986" s="706" t="str">
        <f>VLOOKUP(D986,'03. Insumos'!A:D,2,0)</f>
        <v>Revestimento em Ardósia - Material</v>
      </c>
      <c r="F986" s="68" t="s">
        <v>5218</v>
      </c>
      <c r="G986" s="68" t="str">
        <f>VLOOKUP(D986,'03. Insumos'!A:F,3,0)</f>
        <v>m</v>
      </c>
      <c r="H986" s="69"/>
      <c r="I986" s="69">
        <f>H984*20</f>
        <v>0</v>
      </c>
      <c r="J986" s="70">
        <f t="shared" si="828"/>
        <v>27.35</v>
      </c>
      <c r="K986" s="70">
        <f>IF(A986=0,VLOOKUP(D986,'03. Insumos'!A:F,4,0),"")</f>
        <v>27.35</v>
      </c>
      <c r="L986" s="70">
        <f t="shared" si="829"/>
        <v>0</v>
      </c>
      <c r="M986" s="153">
        <f t="shared" ref="M986:M1042" ca="1" si="830">L986/$L$7</f>
        <v>0</v>
      </c>
      <c r="O986" s="148"/>
      <c r="R986" s="12"/>
    </row>
    <row r="987" spans="1:22" s="18" customFormat="1" x14ac:dyDescent="0.3">
      <c r="A987" s="290">
        <f t="shared" ref="A987:A1152" si="831">LEN(C987)</f>
        <v>3</v>
      </c>
      <c r="B987" s="35"/>
      <c r="C987" s="390" t="s">
        <v>84</v>
      </c>
      <c r="D987" s="390" t="s">
        <v>7539</v>
      </c>
      <c r="E987" s="390"/>
      <c r="F987" s="323"/>
      <c r="G987" s="678"/>
      <c r="H987" s="324"/>
      <c r="I987" s="324"/>
      <c r="J987" s="333"/>
      <c r="K987" s="333"/>
      <c r="L987" s="333">
        <f>SUMIF(A988:A1078,4,L988:L1078)</f>
        <v>875132.38922454999</v>
      </c>
      <c r="M987" s="153">
        <f t="shared" ca="1" si="830"/>
        <v>5.3136931108742069E-2</v>
      </c>
      <c r="O987" s="148">
        <f>IF(I987&lt;&gt;0,I987*H987*K987,)</f>
        <v>0</v>
      </c>
      <c r="R987" s="12">
        <f>IF(J987&lt;&gt;0,J987/1.03-K987,0)</f>
        <v>0</v>
      </c>
    </row>
    <row r="988" spans="1:22" s="18" customFormat="1" ht="13.5" customHeight="1" outlineLevel="1" x14ac:dyDescent="0.3">
      <c r="A988" s="290">
        <f t="shared" si="831"/>
        <v>4</v>
      </c>
      <c r="B988" s="45"/>
      <c r="C988" s="45" t="s">
        <v>327</v>
      </c>
      <c r="D988" s="45" t="s">
        <v>3089</v>
      </c>
      <c r="E988" s="347"/>
      <c r="F988" s="327"/>
      <c r="G988" s="327"/>
      <c r="H988" s="328"/>
      <c r="I988" s="548"/>
      <c r="J988" s="335"/>
      <c r="K988" s="335" t="str">
        <f>IF(A988=0,VLOOKUP(D988,'03. Insumos'!A:F,4,0),"")</f>
        <v/>
      </c>
      <c r="L988" s="335">
        <f>SUMIF(A989:A1078,"&gt;="&amp;6,L989:L1078)</f>
        <v>875132.38922454999</v>
      </c>
      <c r="M988" s="153">
        <f t="shared" ca="1" si="830"/>
        <v>5.3136931108742069E-2</v>
      </c>
      <c r="O988" s="148">
        <f>IF(I988&lt;&gt;0,I988*H988*K988,)</f>
        <v>0</v>
      </c>
      <c r="R988" s="12">
        <f>IF(J988&lt;&gt;0,J988/1.03-K988,0)</f>
        <v>0</v>
      </c>
    </row>
    <row r="989" spans="1:22" s="59" customFormat="1" ht="13.5" customHeight="1" outlineLevel="1" x14ac:dyDescent="0.3">
      <c r="A989" s="290">
        <f t="shared" si="831"/>
        <v>6</v>
      </c>
      <c r="B989" s="391"/>
      <c r="C989" s="391" t="s">
        <v>280</v>
      </c>
      <c r="D989" s="606" t="s">
        <v>4966</v>
      </c>
      <c r="E989" s="391"/>
      <c r="F989" s="325"/>
      <c r="G989" s="325"/>
      <c r="H989" s="326"/>
      <c r="I989" s="547"/>
      <c r="J989" s="334"/>
      <c r="K989" s="334" t="str">
        <f>IF(A989=0,VLOOKUP(D989,'03. Insumos'!A:F,4,0),"")</f>
        <v/>
      </c>
      <c r="L989" s="334">
        <f>SUMIF(A990:A1008,0,L990:L1008)</f>
        <v>198503</v>
      </c>
      <c r="M989" s="153">
        <f t="shared" ca="1" si="830"/>
        <v>1.2052850935188229E-2</v>
      </c>
      <c r="O989" s="148">
        <f>IF(I989&lt;&gt;0,I989*H989*K989,)</f>
        <v>0</v>
      </c>
      <c r="R989" s="12">
        <f>IF(J989&lt;&gt;0,J989/1.03-K989,0)</f>
        <v>0</v>
      </c>
    </row>
    <row r="990" spans="1:22" s="539" customFormat="1" hidden="1" outlineLevel="1" x14ac:dyDescent="0.3">
      <c r="A990" s="351">
        <f t="shared" si="831"/>
        <v>0</v>
      </c>
      <c r="B990" s="537"/>
      <c r="C990" s="537"/>
      <c r="D990" s="748" t="s">
        <v>6762</v>
      </c>
      <c r="E990" s="67" t="str">
        <f>VLOOKUP(D990,'03. Insumos'!A:D,2,0)</f>
        <v>PM1A - PORTA LISA BRANCA ULTRA VIOLETA 60 X 2,07 X 3,5 - Material</v>
      </c>
      <c r="F990" s="669" t="s">
        <v>5218</v>
      </c>
      <c r="G990" s="68" t="str">
        <f>VLOOKUP(D990,'03. Insumos'!A:F,3,0)</f>
        <v>unid</v>
      </c>
      <c r="H990" s="69">
        <v>1</v>
      </c>
      <c r="I990" s="751"/>
      <c r="J990" s="70">
        <f t="shared" ref="J990:J998" si="832">IFERROR(IF(K990&lt;&gt;0,K990*$K$5,0),0)</f>
        <v>638</v>
      </c>
      <c r="K990" s="70">
        <f>IF(A990=0,VLOOKUP(D990,'03. Insumos'!A:F,4,0),"")</f>
        <v>638</v>
      </c>
      <c r="L990" s="538">
        <f>H990*J990*I990</f>
        <v>0</v>
      </c>
      <c r="M990" s="153">
        <f t="shared" ca="1" si="830"/>
        <v>0</v>
      </c>
      <c r="O990" s="540">
        <f>IF(I990&lt;&gt;0,I990*H990*K990,)</f>
        <v>0</v>
      </c>
      <c r="R990" s="541">
        <f>IF(J990&lt;&gt;0,J990/1.03-K990,0)</f>
        <v>-18.582524271844704</v>
      </c>
    </row>
    <row r="991" spans="1:22" s="486" customFormat="1" outlineLevel="1" x14ac:dyDescent="0.3">
      <c r="A991" s="13">
        <v>0</v>
      </c>
      <c r="B991" s="480"/>
      <c r="C991" s="480"/>
      <c r="D991" s="748" t="s">
        <v>6762</v>
      </c>
      <c r="E991" s="67" t="str">
        <f>VLOOKUP(D991,'03. Insumos'!A:D,2,0)</f>
        <v>PM1A - PORTA LISA BRANCA ULTRA VIOLETA 60 X 2,07 X 3,5 - Material</v>
      </c>
      <c r="F991" s="669" t="s">
        <v>5218</v>
      </c>
      <c r="G991" s="68" t="str">
        <f>VLOOKUP(D991,'03. Insumos'!A:F,3,0)</f>
        <v>unid</v>
      </c>
      <c r="H991" s="69">
        <v>1</v>
      </c>
      <c r="I991" s="631">
        <v>85</v>
      </c>
      <c r="J991" s="70">
        <f t="shared" si="832"/>
        <v>638</v>
      </c>
      <c r="K991" s="70">
        <f>IF(A991=0,VLOOKUP(D991,'03. Insumos'!A:F,4,0),"")</f>
        <v>638</v>
      </c>
      <c r="L991" s="538">
        <f t="shared" ref="L991:L1008" si="833">H991*J991*I991</f>
        <v>54230</v>
      </c>
      <c r="M991" s="153">
        <f t="shared" ca="1" si="830"/>
        <v>3.2927769666718271E-3</v>
      </c>
      <c r="O991" s="512">
        <v>0</v>
      </c>
      <c r="R991" s="487">
        <v>-30.466019417475763</v>
      </c>
    </row>
    <row r="992" spans="1:22" s="486" customFormat="1" outlineLevel="1" x14ac:dyDescent="0.3">
      <c r="A992" s="13">
        <v>0</v>
      </c>
      <c r="B992" s="480"/>
      <c r="C992" s="480"/>
      <c r="D992" s="748" t="s">
        <v>6763</v>
      </c>
      <c r="E992" s="67" t="str">
        <f>VLOOKUP(D992,'03. Insumos'!A:D,2,0)</f>
        <v>PM02 - PORTA LISA BRANCA ULTRA VIOLETA 70 X 2,10 X 3,5 - Material</v>
      </c>
      <c r="F992" s="669" t="s">
        <v>5218</v>
      </c>
      <c r="G992" s="68" t="str">
        <f>VLOOKUP(D992,'03. Insumos'!A:F,3,0)</f>
        <v>unid</v>
      </c>
      <c r="H992" s="69">
        <v>1</v>
      </c>
      <c r="I992" s="631">
        <v>88</v>
      </c>
      <c r="J992" s="70">
        <f t="shared" si="832"/>
        <v>638</v>
      </c>
      <c r="K992" s="70">
        <f>IF(A992=0,VLOOKUP(D992,'03. Insumos'!A:F,4,0),"")</f>
        <v>638</v>
      </c>
      <c r="L992" s="538">
        <f t="shared" si="833"/>
        <v>56144</v>
      </c>
      <c r="M992" s="153">
        <f t="shared" ca="1" si="830"/>
        <v>3.4089926243190682E-3</v>
      </c>
      <c r="O992" s="512">
        <v>0</v>
      </c>
      <c r="R992" s="487">
        <v>-30.466019417475763</v>
      </c>
    </row>
    <row r="993" spans="1:18" s="486" customFormat="1" outlineLevel="1" x14ac:dyDescent="0.3">
      <c r="A993" s="13">
        <v>0</v>
      </c>
      <c r="B993" s="480"/>
      <c r="C993" s="480"/>
      <c r="D993" s="748" t="s">
        <v>6764</v>
      </c>
      <c r="E993" s="67" t="str">
        <f>VLOOKUP(D993,'03. Insumos'!A:D,2,0)</f>
        <v>PM03 - PORTA LISA BRANCA ULTRA VIOLETA 80 X 2,09 X 3,5 - Material</v>
      </c>
      <c r="F993" s="669" t="s">
        <v>5218</v>
      </c>
      <c r="G993" s="68" t="str">
        <f>VLOOKUP(D993,'03. Insumos'!A:F,3,0)</f>
        <v>unid</v>
      </c>
      <c r="H993" s="69">
        <v>1</v>
      </c>
      <c r="I993" s="631">
        <v>46</v>
      </c>
      <c r="J993" s="70">
        <f t="shared" si="832"/>
        <v>638</v>
      </c>
      <c r="K993" s="70">
        <f>IF(A993=0,VLOOKUP(D993,'03. Insumos'!A:F,4,0),"")</f>
        <v>638</v>
      </c>
      <c r="L993" s="538">
        <f t="shared" si="833"/>
        <v>29348</v>
      </c>
      <c r="M993" s="153">
        <f t="shared" ca="1" si="830"/>
        <v>1.7819734172576946E-3</v>
      </c>
      <c r="O993" s="512">
        <v>0</v>
      </c>
      <c r="R993" s="487">
        <v>-30.466019417475763</v>
      </c>
    </row>
    <row r="994" spans="1:18" s="486" customFormat="1" outlineLevel="1" x14ac:dyDescent="0.3">
      <c r="A994" s="13">
        <v>0</v>
      </c>
      <c r="B994" s="480"/>
      <c r="C994" s="480"/>
      <c r="D994" s="748" t="s">
        <v>6765</v>
      </c>
      <c r="E994" s="67" t="str">
        <f>VLOOKUP(D994,'03. Insumos'!A:D,2,0)</f>
        <v>PM03A - PORTA LISA BRANCA ULTRA VIOLETA 80 X 2,07 X 3,5 - Material</v>
      </c>
      <c r="F994" s="669" t="s">
        <v>5218</v>
      </c>
      <c r="G994" s="68" t="str">
        <f>VLOOKUP(D994,'03. Insumos'!A:F,3,0)</f>
        <v>unid</v>
      </c>
      <c r="H994" s="69">
        <v>1</v>
      </c>
      <c r="I994" s="631">
        <v>2</v>
      </c>
      <c r="J994" s="70">
        <f t="shared" si="832"/>
        <v>638</v>
      </c>
      <c r="K994" s="70">
        <f>IF(A994=0,VLOOKUP(D994,'03. Insumos'!A:F,4,0),"")</f>
        <v>638</v>
      </c>
      <c r="L994" s="538">
        <f t="shared" ref="L994" si="834">H994*J994*I994</f>
        <v>1276</v>
      </c>
      <c r="M994" s="153">
        <f t="shared" ref="M994" ca="1" si="835">L994/$L$7</f>
        <v>7.7477105098160633E-5</v>
      </c>
      <c r="O994" s="512">
        <v>0</v>
      </c>
      <c r="R994" s="487">
        <v>-30.466019417475763</v>
      </c>
    </row>
    <row r="995" spans="1:18" s="486" customFormat="1" outlineLevel="1" x14ac:dyDescent="0.3">
      <c r="A995" s="13">
        <v>0</v>
      </c>
      <c r="B995" s="480"/>
      <c r="C995" s="480"/>
      <c r="D995" s="748" t="s">
        <v>6766</v>
      </c>
      <c r="E995" s="67" t="str">
        <f>VLOOKUP(D995,'03. Insumos'!A:D,2,0)</f>
        <v>PM04  - PORTA LISA SOLIDA BRANCA ULTRA VIOLETA 90 X 2,10 X 3,5 - Material</v>
      </c>
      <c r="F995" s="669" t="s">
        <v>5218</v>
      </c>
      <c r="G995" s="68" t="str">
        <f>VLOOKUP(D995,'03. Insumos'!A:F,3,0)</f>
        <v>unid</v>
      </c>
      <c r="H995" s="69">
        <v>1</v>
      </c>
      <c r="I995" s="631">
        <v>1</v>
      </c>
      <c r="J995" s="70">
        <f t="shared" si="832"/>
        <v>698</v>
      </c>
      <c r="K995" s="70">
        <f>IF(A995=0,VLOOKUP(D995,'03. Insumos'!A:F,4,0),"")</f>
        <v>698</v>
      </c>
      <c r="L995" s="538">
        <f t="shared" si="833"/>
        <v>698</v>
      </c>
      <c r="M995" s="153">
        <f t="shared" ca="1" si="830"/>
        <v>4.2381676613257155E-5</v>
      </c>
      <c r="O995" s="512">
        <v>0</v>
      </c>
      <c r="R995" s="487">
        <v>-30.466019417475763</v>
      </c>
    </row>
    <row r="996" spans="1:18" s="486" customFormat="1" outlineLevel="1" x14ac:dyDescent="0.3">
      <c r="A996" s="13">
        <v>0</v>
      </c>
      <c r="B996" s="480"/>
      <c r="C996" s="480"/>
      <c r="D996" s="748" t="s">
        <v>6767</v>
      </c>
      <c r="E996" s="67" t="str">
        <f>VLOOKUP(D996,'03. Insumos'!A:D,2,0)</f>
        <v>PM05 - PORTA LISA BRANCA ULTRA VIOLETA 1,03 X 2,09 X 3,5 - Material</v>
      </c>
      <c r="F996" s="669" t="s">
        <v>5218</v>
      </c>
      <c r="G996" s="68" t="str">
        <f>VLOOKUP(D996,'03. Insumos'!A:F,3,0)</f>
        <v>unid</v>
      </c>
      <c r="H996" s="69">
        <v>1</v>
      </c>
      <c r="I996" s="631">
        <v>8</v>
      </c>
      <c r="J996" s="70">
        <f t="shared" si="832"/>
        <v>950</v>
      </c>
      <c r="K996" s="70">
        <f>IF(A996=0,VLOOKUP(D996,'03. Insumos'!A:F,4,0),"")</f>
        <v>950</v>
      </c>
      <c r="L996" s="538">
        <f t="shared" ref="L996" si="836">H996*J996*I996</f>
        <v>7600</v>
      </c>
      <c r="M996" s="153">
        <f t="shared" ref="M996" ca="1" si="837">L996/$L$7</f>
        <v>4.6146238146239877E-4</v>
      </c>
      <c r="O996" s="512">
        <v>0</v>
      </c>
      <c r="R996" s="487">
        <v>-30.466019417475763</v>
      </c>
    </row>
    <row r="997" spans="1:18" s="486" customFormat="1" outlineLevel="1" x14ac:dyDescent="0.3">
      <c r="A997" s="13">
        <v>0</v>
      </c>
      <c r="B997" s="480"/>
      <c r="C997" s="480"/>
      <c r="D997" s="748" t="s">
        <v>6768</v>
      </c>
      <c r="E997" s="67" t="str">
        <f>VLOOKUP(D997,'03. Insumos'!A:D,2,0)</f>
        <v>PM06 - PORTA LISA BRANCA ULTRA VIOLETA 1,07 X 2,09 X 3,5 - Material</v>
      </c>
      <c r="F997" s="669" t="s">
        <v>5218</v>
      </c>
      <c r="G997" s="68" t="str">
        <f>VLOOKUP(D997,'03. Insumos'!A:F,3,0)</f>
        <v>unid</v>
      </c>
      <c r="H997" s="69">
        <v>1</v>
      </c>
      <c r="I997" s="631">
        <v>1</v>
      </c>
      <c r="J997" s="70">
        <f t="shared" si="832"/>
        <v>950</v>
      </c>
      <c r="K997" s="70">
        <f>IF(A997=0,VLOOKUP(D997,'03. Insumos'!A:F,4,0),"")</f>
        <v>950</v>
      </c>
      <c r="L997" s="538">
        <f t="shared" ref="L997:L999" si="838">H997*J997*I997</f>
        <v>950</v>
      </c>
      <c r="M997" s="153">
        <f t="shared" ref="M997:M999" ca="1" si="839">L997/$L$7</f>
        <v>5.7682797682799847E-5</v>
      </c>
      <c r="O997" s="512">
        <v>0</v>
      </c>
      <c r="R997" s="487">
        <v>-30.466019417475763</v>
      </c>
    </row>
    <row r="998" spans="1:18" s="486" customFormat="1" outlineLevel="1" x14ac:dyDescent="0.3">
      <c r="A998" s="13">
        <v>0</v>
      </c>
      <c r="B998" s="480"/>
      <c r="C998" s="480"/>
      <c r="D998" s="748" t="s">
        <v>6769</v>
      </c>
      <c r="E998" s="67" t="str">
        <f>VLOOKUP(D998,'03. Insumos'!A:D,2,0)</f>
        <v>PM07 - PORTA LISA BRANCA ULTRA VIOLETA 1,13 X 2,09 X 3,5 - Material</v>
      </c>
      <c r="F998" s="669" t="s">
        <v>5218</v>
      </c>
      <c r="G998" s="68" t="str">
        <f>VLOOKUP(D998,'03. Insumos'!A:F,3,0)</f>
        <v>unid</v>
      </c>
      <c r="H998" s="69">
        <v>1</v>
      </c>
      <c r="I998" s="631">
        <v>4</v>
      </c>
      <c r="J998" s="70">
        <f t="shared" si="832"/>
        <v>950</v>
      </c>
      <c r="K998" s="70">
        <f>IF(A998=0,VLOOKUP(D998,'03. Insumos'!A:F,4,0),"")</f>
        <v>950</v>
      </c>
      <c r="L998" s="538">
        <f t="shared" ref="L998" si="840">H998*J998*I998</f>
        <v>3800</v>
      </c>
      <c r="M998" s="153">
        <f t="shared" ref="M998" ca="1" si="841">L998/$L$7</f>
        <v>2.3073119073119939E-4</v>
      </c>
      <c r="O998" s="512">
        <v>0</v>
      </c>
      <c r="R998" s="487">
        <v>-30.466019417475763</v>
      </c>
    </row>
    <row r="999" spans="1:18" s="486" customFormat="1" outlineLevel="1" x14ac:dyDescent="0.3">
      <c r="A999" s="13">
        <v>0</v>
      </c>
      <c r="B999" s="480"/>
      <c r="C999" s="480"/>
      <c r="D999" s="748" t="s">
        <v>6770</v>
      </c>
      <c r="E999" s="67" t="str">
        <f>VLOOKUP(D999,'03. Insumos'!A:D,2,0)</f>
        <v>Frete Portas</v>
      </c>
      <c r="F999" s="669" t="s">
        <v>5218</v>
      </c>
      <c r="G999" s="68" t="str">
        <f>VLOOKUP(D999,'03. Insumos'!A:F,3,0)</f>
        <v>vb</v>
      </c>
      <c r="H999" s="69">
        <v>1</v>
      </c>
      <c r="I999" s="631">
        <v>1</v>
      </c>
      <c r="J999" s="70">
        <f t="shared" ref="J999:J1001" si="842">IFERROR(IF(K999&lt;&gt;0,K999*$K$5,0),0)</f>
        <v>2500</v>
      </c>
      <c r="K999" s="70">
        <f>IF(A999=0,VLOOKUP(D999,'03. Insumos'!A:F,4,0),"")</f>
        <v>2500</v>
      </c>
      <c r="L999" s="538">
        <f t="shared" si="838"/>
        <v>2500</v>
      </c>
      <c r="M999" s="153">
        <f t="shared" ca="1" si="839"/>
        <v>1.5179683600736804E-4</v>
      </c>
      <c r="O999" s="512">
        <v>0</v>
      </c>
      <c r="R999" s="487">
        <v>-30.466019417475763</v>
      </c>
    </row>
    <row r="1000" spans="1:18" s="486" customFormat="1" outlineLevel="1" x14ac:dyDescent="0.3">
      <c r="A1000" s="13">
        <f t="shared" ref="A1000" si="843">LEN(C1000)</f>
        <v>0</v>
      </c>
      <c r="B1000" s="480"/>
      <c r="C1000" s="480"/>
      <c r="D1000" s="748" t="s">
        <v>6771</v>
      </c>
      <c r="E1000" s="67" t="str">
        <f>VLOOKUP(D1000,'03. Insumos'!A:D,2,0)</f>
        <v>Kit Porta Pronta 1 Folha - Mão de Obra</v>
      </c>
      <c r="F1000" s="669" t="s">
        <v>5218</v>
      </c>
      <c r="G1000" s="68" t="str">
        <f>VLOOKUP(D1000,'03. Insumos'!A:F,3,0)</f>
        <v>unid</v>
      </c>
      <c r="H1000" s="69">
        <v>1</v>
      </c>
      <c r="I1000" s="631">
        <f>SUM(I991:I995)</f>
        <v>222</v>
      </c>
      <c r="J1000" s="70">
        <f t="shared" si="842"/>
        <v>120</v>
      </c>
      <c r="K1000" s="70">
        <f>IF(A1000=0,VLOOKUP(D1000,'03. Insumos'!A:F,4,0),"")</f>
        <v>120</v>
      </c>
      <c r="L1000" s="538">
        <f t="shared" si="833"/>
        <v>26640</v>
      </c>
      <c r="M1000" s="153">
        <f t="shared" ref="M1000" ca="1" si="844">L1000/$L$7</f>
        <v>1.6175470844945136E-3</v>
      </c>
      <c r="O1000" s="512"/>
      <c r="R1000" s="487"/>
    </row>
    <row r="1001" spans="1:18" s="486" customFormat="1" outlineLevel="1" x14ac:dyDescent="0.3">
      <c r="A1001" s="13">
        <f t="shared" ref="A1001:A1002" si="845">LEN(C1001)</f>
        <v>0</v>
      </c>
      <c r="B1001" s="480"/>
      <c r="C1001" s="480"/>
      <c r="D1001" s="748" t="s">
        <v>7438</v>
      </c>
      <c r="E1001" s="67" t="str">
        <f>VLOOKUP(D1001,'03. Insumos'!A:D,2,0)</f>
        <v>Kit Porta Pronta 2 Folha - Mão de Obra</v>
      </c>
      <c r="F1001" s="669" t="s">
        <v>5218</v>
      </c>
      <c r="G1001" s="68" t="str">
        <f>VLOOKUP(D1001,'03. Insumos'!A:F,3,0)</f>
        <v>unid</v>
      </c>
      <c r="H1001" s="69">
        <v>1</v>
      </c>
      <c r="I1001" s="631">
        <f>SUM(I996:I998)</f>
        <v>13</v>
      </c>
      <c r="J1001" s="70">
        <f t="shared" si="842"/>
        <v>189</v>
      </c>
      <c r="K1001" s="70">
        <f>IF(A1001=0,VLOOKUP(D1001,'03. Insumos'!A:F,4,0),"")</f>
        <v>189</v>
      </c>
      <c r="L1001" s="538">
        <f t="shared" ref="L1001:L1002" si="846">H1001*J1001*I1001</f>
        <v>2457</v>
      </c>
      <c r="M1001" s="153">
        <f t="shared" ca="1" si="830"/>
        <v>1.4918593042804128E-4</v>
      </c>
      <c r="O1001" s="512"/>
      <c r="R1001" s="487"/>
    </row>
    <row r="1002" spans="1:18" s="486" customFormat="1" hidden="1" outlineLevel="1" x14ac:dyDescent="0.3">
      <c r="A1002" s="13">
        <f t="shared" si="845"/>
        <v>0</v>
      </c>
      <c r="B1002" s="480"/>
      <c r="C1002" s="480"/>
      <c r="D1002" s="748" t="s">
        <v>7439</v>
      </c>
      <c r="E1002" s="67" t="str">
        <f>VLOOKUP(D1002,'03. Insumos'!A:D,2,0)</f>
        <v>Kit Porta Pronta 3 Folha - Mão de Obra</v>
      </c>
      <c r="F1002" s="669" t="s">
        <v>5218</v>
      </c>
      <c r="G1002" s="68" t="str">
        <f>VLOOKUP(D1002,'03. Insumos'!A:F,3,0)</f>
        <v>unid</v>
      </c>
      <c r="H1002" s="69">
        <v>1</v>
      </c>
      <c r="I1002" s="631"/>
      <c r="J1002" s="70">
        <f t="shared" ref="J1002" si="847">IFERROR(IF(K1002&lt;&gt;0,K1002*$K$5,0),0)</f>
        <v>246</v>
      </c>
      <c r="K1002" s="70">
        <f>IF(A1002=0,VLOOKUP(D1002,'03. Insumos'!A:F,4,0),"")</f>
        <v>246</v>
      </c>
      <c r="L1002" s="538">
        <f t="shared" si="846"/>
        <v>0</v>
      </c>
      <c r="M1002" s="153">
        <f t="shared" ref="M1002" ca="1" si="848">L1002/$L$7</f>
        <v>0</v>
      </c>
      <c r="O1002" s="512"/>
      <c r="R1002" s="487"/>
    </row>
    <row r="1003" spans="1:18" s="486" customFormat="1" outlineLevel="1" x14ac:dyDescent="0.3">
      <c r="A1003" s="13">
        <f t="shared" ref="A1003" si="849">LEN(C1003)</f>
        <v>0</v>
      </c>
      <c r="B1003" s="480"/>
      <c r="C1003" s="480"/>
      <c r="D1003" s="748" t="s">
        <v>6754</v>
      </c>
      <c r="E1003" s="67" t="str">
        <f>VLOOKUP(D1003,'03. Insumos'!A:D,2,0)</f>
        <v>Conjunto Interno IMAB ODIN INT/40 ZC ROS CANTO REDONDO</v>
      </c>
      <c r="F1003" s="669" t="s">
        <v>5218</v>
      </c>
      <c r="G1003" s="68" t="str">
        <f>VLOOKUP(D1003,'03. Insumos'!A:F,3,0)</f>
        <v>unid</v>
      </c>
      <c r="H1003" s="69">
        <v>1</v>
      </c>
      <c r="I1003" s="631">
        <f>I992+I994</f>
        <v>90</v>
      </c>
      <c r="J1003" s="70">
        <v>35</v>
      </c>
      <c r="K1003" s="70">
        <f>IF(A1003=0,VLOOKUP(D1003,'03. Insumos'!A:F,4,0),"")</f>
        <v>89.5</v>
      </c>
      <c r="L1003" s="538">
        <f t="shared" ref="L1003" si="850">H1003*J1003*I1003</f>
        <v>3150</v>
      </c>
      <c r="M1003" s="153">
        <f t="shared" ca="1" si="830"/>
        <v>1.912640133692837E-4</v>
      </c>
      <c r="O1003" s="512"/>
      <c r="R1003" s="487"/>
    </row>
    <row r="1004" spans="1:18" s="486" customFormat="1" outlineLevel="1" x14ac:dyDescent="0.3">
      <c r="A1004" s="13">
        <f t="shared" ref="A1004:A1006" si="851">LEN(C1004)</f>
        <v>0</v>
      </c>
      <c r="B1004" s="480"/>
      <c r="C1004" s="480"/>
      <c r="D1004" s="748" t="s">
        <v>6755</v>
      </c>
      <c r="E1004" s="67" t="str">
        <f>VLOOKUP(D1004,'03. Insumos'!A:D,2,0)</f>
        <v>Conjunto Interno IMAB ODIN WC/40 ZC ROS CANTO REDONDO</v>
      </c>
      <c r="F1004" s="669" t="s">
        <v>5218</v>
      </c>
      <c r="G1004" s="68" t="str">
        <f>VLOOKUP(D1004,'03. Insumos'!A:F,3,0)</f>
        <v>unid</v>
      </c>
      <c r="H1004" s="69">
        <v>1</v>
      </c>
      <c r="I1004" s="631">
        <f>I991+I995</f>
        <v>86</v>
      </c>
      <c r="J1004" s="70">
        <v>35</v>
      </c>
      <c r="K1004" s="70">
        <f>IF(A1004=0,VLOOKUP(D1004,'03. Insumos'!A:F,4,0),"")</f>
        <v>89.5</v>
      </c>
      <c r="L1004" s="538">
        <f t="shared" ref="L1004:L1006" si="852">H1004*J1004*I1004</f>
        <v>3010</v>
      </c>
      <c r="M1004" s="153">
        <f t="shared" ref="M1004:M1006" ca="1" si="853">L1004/$L$7</f>
        <v>1.8276339055287109E-4</v>
      </c>
      <c r="O1004" s="512"/>
      <c r="R1004" s="487"/>
    </row>
    <row r="1005" spans="1:18" s="486" customFormat="1" outlineLevel="1" x14ac:dyDescent="0.3">
      <c r="A1005" s="13">
        <f t="shared" si="851"/>
        <v>0</v>
      </c>
      <c r="B1005" s="480"/>
      <c r="C1005" s="480"/>
      <c r="D1005" s="748" t="s">
        <v>6756</v>
      </c>
      <c r="E1005" s="67" t="str">
        <f>VLOOKUP(D1005,'03. Insumos'!A:D,2,0)</f>
        <v>Conjunto  Externo IMAB ODIN EXT/40 ZC ROS CANTO REDONDO</v>
      </c>
      <c r="F1005" s="669" t="s">
        <v>5218</v>
      </c>
      <c r="G1005" s="68" t="str">
        <f>VLOOKUP(D1005,'03. Insumos'!A:F,3,0)</f>
        <v>unid</v>
      </c>
      <c r="H1005" s="69">
        <v>1</v>
      </c>
      <c r="I1005" s="631">
        <f>I993</f>
        <v>46</v>
      </c>
      <c r="J1005" s="70">
        <v>35</v>
      </c>
      <c r="K1005" s="70">
        <f>IF(A1005=0,VLOOKUP(D1005,'03. Insumos'!A:F,4,0),"")</f>
        <v>94.5</v>
      </c>
      <c r="L1005" s="538">
        <f t="shared" si="852"/>
        <v>1610</v>
      </c>
      <c r="M1005" s="153">
        <f t="shared" ca="1" si="853"/>
        <v>9.7757162388745008E-5</v>
      </c>
      <c r="O1005" s="512"/>
      <c r="R1005" s="487"/>
    </row>
    <row r="1006" spans="1:18" s="486" customFormat="1" outlineLevel="1" x14ac:dyDescent="0.3">
      <c r="A1006" s="13">
        <f t="shared" si="851"/>
        <v>0</v>
      </c>
      <c r="B1006" s="480"/>
      <c r="C1006" s="480"/>
      <c r="D1006" s="748" t="s">
        <v>6845</v>
      </c>
      <c r="E1006" s="67" t="str">
        <f>VLOOKUP(D1006,'03. Insumos'!A:D,2,0)</f>
        <v>Fechadura Auxiliar 2422 COM ROSETA</v>
      </c>
      <c r="F1006" s="669" t="s">
        <v>5218</v>
      </c>
      <c r="G1006" s="68" t="str">
        <f>VLOOKUP(D1006,'03. Insumos'!A:F,3,0)</f>
        <v>unid</v>
      </c>
      <c r="H1006" s="69">
        <v>1</v>
      </c>
      <c r="I1006" s="631">
        <v>13</v>
      </c>
      <c r="J1006" s="70">
        <v>35</v>
      </c>
      <c r="K1006" s="70">
        <f>IF(A1006=0,VLOOKUP(D1006,'03. Insumos'!A:F,4,0),"")</f>
        <v>72.5</v>
      </c>
      <c r="L1006" s="538">
        <f t="shared" si="852"/>
        <v>455</v>
      </c>
      <c r="M1006" s="153">
        <f t="shared" ca="1" si="853"/>
        <v>2.7627024153340981E-5</v>
      </c>
      <c r="O1006" s="512"/>
      <c r="R1006" s="487"/>
    </row>
    <row r="1007" spans="1:18" s="486" customFormat="1" outlineLevel="1" x14ac:dyDescent="0.3">
      <c r="A1007" s="13">
        <f t="shared" ref="A1007" si="854">LEN(C1007)</f>
        <v>0</v>
      </c>
      <c r="B1007" s="480"/>
      <c r="C1007" s="480"/>
      <c r="D1007" s="748" t="s">
        <v>6846</v>
      </c>
      <c r="E1007" s="67" t="str">
        <f>VLOOKUP(D1007,'03. Insumos'!A:D,2,0)</f>
        <v>Fecho de Embutir 1011/20 CM FCR</v>
      </c>
      <c r="F1007" s="669"/>
      <c r="G1007" s="68" t="str">
        <f>VLOOKUP(D1007,'03. Insumos'!A:F,3,0)</f>
        <v>unid</v>
      </c>
      <c r="H1007" s="69">
        <v>1</v>
      </c>
      <c r="I1007" s="631">
        <v>26</v>
      </c>
      <c r="J1007" s="70">
        <f t="shared" ref="J1007" si="855">IFERROR(IF(K1007&lt;&gt;0,K1007*$K$5,0),0)</f>
        <v>49.5</v>
      </c>
      <c r="K1007" s="70">
        <f>IF(A1007=0,VLOOKUP(D1007,'03. Insumos'!A:F,4,0),"")</f>
        <v>49.5</v>
      </c>
      <c r="L1007" s="538">
        <f t="shared" ref="L1007" si="856">H1007*J1007*I1007</f>
        <v>1287</v>
      </c>
      <c r="M1007" s="153">
        <f t="shared" ref="M1007" ca="1" si="857">L1007/$L$7</f>
        <v>7.8145011176593062E-5</v>
      </c>
      <c r="O1007" s="512"/>
      <c r="R1007" s="487"/>
    </row>
    <row r="1008" spans="1:18" s="486" customFormat="1" outlineLevel="1" x14ac:dyDescent="0.3">
      <c r="A1008" s="13">
        <f t="shared" ref="A1008" si="858">LEN(C1008)</f>
        <v>0</v>
      </c>
      <c r="B1008" s="480"/>
      <c r="C1008" s="480"/>
      <c r="D1008" s="748" t="s">
        <v>6757</v>
      </c>
      <c r="E1008" s="67" t="str">
        <f>VLOOKUP(D1008,'03. Insumos'!A:D,2,0)</f>
        <v>Dobradiça Tamanho 2 ½ X 3. Canto Redondo</v>
      </c>
      <c r="F1008" s="669" t="s">
        <v>5218</v>
      </c>
      <c r="G1008" s="68" t="str">
        <f>VLOOKUP(D1008,'03. Insumos'!A:F,3,0)</f>
        <v>unid</v>
      </c>
      <c r="H1008" s="69">
        <v>1</v>
      </c>
      <c r="I1008" s="751">
        <f>I1000*3+I1001*6</f>
        <v>744</v>
      </c>
      <c r="J1008" s="70">
        <v>4.5</v>
      </c>
      <c r="K1008" s="70">
        <f>IF(A1008=0,VLOOKUP(D1008,'03. Insumos'!A:F,4,0),"")</f>
        <v>9</v>
      </c>
      <c r="L1008" s="538">
        <f t="shared" si="833"/>
        <v>3348</v>
      </c>
      <c r="M1008" s="153">
        <f t="shared" ca="1" si="830"/>
        <v>2.0328632278106726E-4</v>
      </c>
      <c r="O1008" s="512"/>
      <c r="R1008" s="487"/>
    </row>
    <row r="1009" spans="1:18" s="486" customFormat="1" outlineLevel="1" x14ac:dyDescent="0.3">
      <c r="A1009" s="290">
        <f t="shared" si="831"/>
        <v>6</v>
      </c>
      <c r="B1009" s="391"/>
      <c r="C1009" s="391" t="s">
        <v>366</v>
      </c>
      <c r="D1009" s="391" t="s">
        <v>3489</v>
      </c>
      <c r="E1009" s="391"/>
      <c r="F1009" s="325"/>
      <c r="G1009" s="671"/>
      <c r="H1009" s="334"/>
      <c r="I1009" s="334"/>
      <c r="J1009" s="789"/>
      <c r="K1009" s="334"/>
      <c r="L1009" s="334">
        <f>SUMIF(A1010:A1042,0,L1010:L1042)</f>
        <v>560947.53</v>
      </c>
      <c r="M1009" s="153">
        <f t="shared" ca="1" si="830"/>
        <v>3.4060024088059263E-2</v>
      </c>
      <c r="O1009" s="512"/>
      <c r="R1009" s="487">
        <v>177.76</v>
      </c>
    </row>
    <row r="1010" spans="1:18" s="539" customFormat="1" hidden="1" outlineLevel="1" x14ac:dyDescent="0.3">
      <c r="A1010" s="351">
        <f t="shared" si="831"/>
        <v>0</v>
      </c>
      <c r="B1010" s="537"/>
      <c r="C1010" s="750"/>
      <c r="D1010" s="748" t="s">
        <v>7434</v>
      </c>
      <c r="E1010" s="668" t="str">
        <f>VLOOKUP(D1010,'03. Insumos'!A:D,2,0)</f>
        <v>Esquadria  de Alumínio</v>
      </c>
      <c r="F1010" s="669" t="s">
        <v>5218</v>
      </c>
      <c r="G1010" s="669" t="str">
        <f>VLOOKUP(D1010,'03. Insumos'!A:F,3,0)</f>
        <v>vb</v>
      </c>
      <c r="H1010" s="631">
        <v>1</v>
      </c>
      <c r="I1010" s="751"/>
      <c r="J1010" s="632">
        <v>610829</v>
      </c>
      <c r="K1010" s="538">
        <f>IF(A1010=0,VLOOKUP(D1010,'03. Insumos'!A:F,4,0),"")</f>
        <v>1441823.949</v>
      </c>
      <c r="L1010" s="538">
        <f t="shared" ref="L1010:L1011" si="859">H1010*J1010*I1010</f>
        <v>0</v>
      </c>
      <c r="M1010" s="153">
        <f t="shared" ca="1" si="830"/>
        <v>0</v>
      </c>
      <c r="O1010" s="540"/>
      <c r="R1010" s="541"/>
    </row>
    <row r="1011" spans="1:18" s="539" customFormat="1" outlineLevel="1" x14ac:dyDescent="0.3">
      <c r="A1011" s="351">
        <f t="shared" si="831"/>
        <v>0</v>
      </c>
      <c r="B1011" s="537"/>
      <c r="C1011" s="750"/>
      <c r="D1011" s="748" t="s">
        <v>6772</v>
      </c>
      <c r="E1011" s="668" t="str">
        <f>VLOOKUP(D1011,'03. Insumos'!A:D,2,0)</f>
        <v>JA1 - 2 Folhas de Correr Anodizado Preto + Vidro 1,4x1,12</v>
      </c>
      <c r="F1011" s="669" t="s">
        <v>5218</v>
      </c>
      <c r="G1011" s="669" t="str">
        <f>VLOOKUP(D1011,'03. Insumos'!A:F,3,0)</f>
        <v>unid</v>
      </c>
      <c r="H1011" s="631">
        <v>1</v>
      </c>
      <c r="I1011" s="751">
        <v>73</v>
      </c>
      <c r="J1011" s="632">
        <f t="shared" ref="J1011" si="860">IFERROR(IF(K1011&lt;&gt;0,K1011*$K$5,0),0)</f>
        <v>1132.8900000000001</v>
      </c>
      <c r="K1011" s="538">
        <f>IF(A1011=0,VLOOKUP(D1011,'03. Insumos'!A:F,4,0),"")</f>
        <v>1132.8900000000001</v>
      </c>
      <c r="L1011" s="538">
        <f t="shared" si="859"/>
        <v>82700.97</v>
      </c>
      <c r="M1011" s="153">
        <f t="shared" ref="M1011" ca="1" si="861">L1011/$L$7</f>
        <v>5.0214982322961052E-3</v>
      </c>
      <c r="O1011" s="540"/>
      <c r="R1011" s="541"/>
    </row>
    <row r="1012" spans="1:18" s="539" customFormat="1" outlineLevel="1" x14ac:dyDescent="0.3">
      <c r="A1012" s="351">
        <f t="shared" ref="A1012:A1016" si="862">LEN(C1012)</f>
        <v>0</v>
      </c>
      <c r="B1012" s="537"/>
      <c r="C1012" s="750"/>
      <c r="D1012" s="748" t="s">
        <v>6773</v>
      </c>
      <c r="E1012" s="668" t="str">
        <f>VLOOKUP(D1012,'03. Insumos'!A:D,2,0)</f>
        <v>JA2 - 2 Folhas de Correr + Bandeira Inferior Fixo Anodizado Preto + Vidro 1,3x1,45</v>
      </c>
      <c r="F1012" s="669" t="s">
        <v>5218</v>
      </c>
      <c r="G1012" s="669" t="str">
        <f>VLOOKUP(D1012,'03. Insumos'!A:F,3,0)</f>
        <v>unid</v>
      </c>
      <c r="H1012" s="631">
        <v>1</v>
      </c>
      <c r="I1012" s="751">
        <v>15</v>
      </c>
      <c r="J1012" s="632">
        <f t="shared" ref="J1012:J1030" si="863">IFERROR(IF(K1012&lt;&gt;0,K1012*$K$5,0),0)</f>
        <v>3692</v>
      </c>
      <c r="K1012" s="538">
        <f>IF(A1012=0,VLOOKUP(D1012,'03. Insumos'!A:F,4,0),"")</f>
        <v>3692</v>
      </c>
      <c r="L1012" s="538">
        <f t="shared" ref="L1012:L1016" si="864">H1012*J1012*I1012</f>
        <v>55380</v>
      </c>
      <c r="M1012" s="153">
        <f t="shared" ca="1" si="830"/>
        <v>3.3626035112352165E-3</v>
      </c>
      <c r="O1012" s="540"/>
      <c r="R1012" s="541"/>
    </row>
    <row r="1013" spans="1:18" s="539" customFormat="1" outlineLevel="1" x14ac:dyDescent="0.3">
      <c r="A1013" s="351">
        <f t="shared" si="862"/>
        <v>0</v>
      </c>
      <c r="B1013" s="537"/>
      <c r="C1013" s="750"/>
      <c r="D1013" s="748" t="s">
        <v>6774</v>
      </c>
      <c r="E1013" s="668" t="str">
        <f>VLOOKUP(D1013,'03. Insumos'!A:D,2,0)</f>
        <v>JA3 - 4 Folhas Fixas Anodizado Preto + Vidro 4,25x1,12</v>
      </c>
      <c r="F1013" s="669" t="s">
        <v>5218</v>
      </c>
      <c r="G1013" s="669" t="str">
        <f>VLOOKUP(D1013,'03. Insumos'!A:F,3,0)</f>
        <v>unid</v>
      </c>
      <c r="H1013" s="631">
        <v>1</v>
      </c>
      <c r="I1013" s="751">
        <v>1</v>
      </c>
      <c r="J1013" s="632">
        <f t="shared" si="863"/>
        <v>3282</v>
      </c>
      <c r="K1013" s="538">
        <f>IF(A1013=0,VLOOKUP(D1013,'03. Insumos'!A:F,4,0),"")</f>
        <v>3282</v>
      </c>
      <c r="L1013" s="538">
        <f t="shared" si="864"/>
        <v>3282</v>
      </c>
      <c r="M1013" s="153">
        <f t="shared" ca="1" si="830"/>
        <v>1.9927888631047274E-4</v>
      </c>
      <c r="O1013" s="540"/>
      <c r="R1013" s="541"/>
    </row>
    <row r="1014" spans="1:18" s="539" customFormat="1" outlineLevel="1" x14ac:dyDescent="0.3">
      <c r="A1014" s="351">
        <f t="shared" si="862"/>
        <v>0</v>
      </c>
      <c r="B1014" s="537"/>
      <c r="C1014" s="750"/>
      <c r="D1014" s="748" t="s">
        <v>6775</v>
      </c>
      <c r="E1014" s="668" t="str">
        <f>VLOOKUP(D1014,'03. Insumos'!A:D,2,0)</f>
        <v>JA4 - 4 Folhas Fixas Anodizado Preto + Vidro 3,77x1,12</v>
      </c>
      <c r="F1014" s="669" t="s">
        <v>5218</v>
      </c>
      <c r="G1014" s="669" t="str">
        <f>VLOOKUP(D1014,'03. Insumos'!A:F,3,0)</f>
        <v>unid</v>
      </c>
      <c r="H1014" s="631">
        <v>1</v>
      </c>
      <c r="I1014" s="751">
        <v>1</v>
      </c>
      <c r="J1014" s="632">
        <f t="shared" si="863"/>
        <v>3345.52</v>
      </c>
      <c r="K1014" s="538">
        <f>IF(A1014=0,VLOOKUP(D1014,'03. Insumos'!A:F,4,0),"")</f>
        <v>3345.52</v>
      </c>
      <c r="L1014" s="538">
        <f t="shared" si="864"/>
        <v>3345.52</v>
      </c>
      <c r="M1014" s="153">
        <f t="shared" ca="1" si="830"/>
        <v>2.0313574031974795E-4</v>
      </c>
      <c r="O1014" s="540"/>
      <c r="R1014" s="541"/>
    </row>
    <row r="1015" spans="1:18" s="539" customFormat="1" outlineLevel="1" x14ac:dyDescent="0.3">
      <c r="A1015" s="351">
        <f t="shared" si="862"/>
        <v>0</v>
      </c>
      <c r="B1015" s="537"/>
      <c r="C1015" s="750"/>
      <c r="D1015" s="748" t="s">
        <v>6776</v>
      </c>
      <c r="E1015" s="668" t="str">
        <f>VLOOKUP(D1015,'03. Insumos'!A:D,2,0)</f>
        <v>JA5 - Báscula Anodizado Preto + Veneziana 1,2x0,45</v>
      </c>
      <c r="F1015" s="669" t="s">
        <v>5218</v>
      </c>
      <c r="G1015" s="669" t="str">
        <f>VLOOKUP(D1015,'03. Insumos'!A:F,3,0)</f>
        <v>unid</v>
      </c>
      <c r="H1015" s="631">
        <v>1</v>
      </c>
      <c r="I1015" s="751">
        <v>2</v>
      </c>
      <c r="J1015" s="632">
        <f t="shared" si="863"/>
        <v>895.57</v>
      </c>
      <c r="K1015" s="538">
        <f>IF(A1015=0,VLOOKUP(D1015,'03. Insumos'!A:F,4,0),"")</f>
        <v>895.57</v>
      </c>
      <c r="L1015" s="538">
        <f t="shared" si="864"/>
        <v>1791.14</v>
      </c>
      <c r="M1015" s="153">
        <f t="shared" ca="1" si="830"/>
        <v>1.0875575393849487E-4</v>
      </c>
      <c r="O1015" s="540"/>
      <c r="R1015" s="541"/>
    </row>
    <row r="1016" spans="1:18" s="539" customFormat="1" outlineLevel="1" x14ac:dyDescent="0.3">
      <c r="A1016" s="351">
        <f t="shared" si="862"/>
        <v>0</v>
      </c>
      <c r="B1016" s="537"/>
      <c r="C1016" s="750"/>
      <c r="D1016" s="748" t="s">
        <v>6777</v>
      </c>
      <c r="E1016" s="668" t="str">
        <f>VLOOKUP(D1016,'03. Insumos'!A:D,2,0)</f>
        <v>PA1 - 2 Folhas de Correr Anodizado Preto + Vidro 1,9x2,22</v>
      </c>
      <c r="F1016" s="669" t="s">
        <v>5218</v>
      </c>
      <c r="G1016" s="669" t="str">
        <f>VLOOKUP(D1016,'03. Insumos'!A:F,3,0)</f>
        <v>unid</v>
      </c>
      <c r="H1016" s="631">
        <v>1</v>
      </c>
      <c r="I1016" s="751">
        <v>37</v>
      </c>
      <c r="J1016" s="632">
        <f t="shared" si="863"/>
        <v>2503</v>
      </c>
      <c r="K1016" s="538">
        <f>IF(A1016=0,VLOOKUP(D1016,'03. Insumos'!A:F,4,0),"")</f>
        <v>2503</v>
      </c>
      <c r="L1016" s="538">
        <f t="shared" si="864"/>
        <v>92611</v>
      </c>
      <c r="M1016" s="153">
        <f t="shared" ca="1" si="830"/>
        <v>5.6232227117913444E-3</v>
      </c>
      <c r="O1016" s="540"/>
      <c r="R1016" s="541"/>
    </row>
    <row r="1017" spans="1:18" s="539" customFormat="1" outlineLevel="1" x14ac:dyDescent="0.3">
      <c r="A1017" s="351">
        <f t="shared" ref="A1017:A1042" si="865">LEN(C1017)</f>
        <v>0</v>
      </c>
      <c r="B1017" s="537"/>
      <c r="C1017" s="750"/>
      <c r="D1017" s="748" t="s">
        <v>6778</v>
      </c>
      <c r="E1017" s="668" t="str">
        <f>VLOOKUP(D1017,'03. Insumos'!A:D,2,0)</f>
        <v>PA2 - 1 Folha Abrir Anodizado Preto + Veneziana 0,8x2,1</v>
      </c>
      <c r="F1017" s="669" t="s">
        <v>5218</v>
      </c>
      <c r="G1017" s="669" t="str">
        <f>VLOOKUP(D1017,'03. Insumos'!A:F,3,0)</f>
        <v>unid</v>
      </c>
      <c r="H1017" s="631">
        <v>1</v>
      </c>
      <c r="I1017" s="751">
        <v>1</v>
      </c>
      <c r="J1017" s="632">
        <f t="shared" si="863"/>
        <v>3065.86</v>
      </c>
      <c r="K1017" s="538">
        <f>IF(A1017=0,VLOOKUP(D1017,'03. Insumos'!A:F,4,0),"")</f>
        <v>3065.86</v>
      </c>
      <c r="L1017" s="538">
        <f t="shared" ref="L1017:L1042" si="866">H1017*J1017*I1017</f>
        <v>3065.86</v>
      </c>
      <c r="M1017" s="153">
        <f t="shared" ca="1" si="830"/>
        <v>1.8615513905661973E-4</v>
      </c>
      <c r="O1017" s="540"/>
      <c r="R1017" s="541"/>
    </row>
    <row r="1018" spans="1:18" s="539" customFormat="1" outlineLevel="1" x14ac:dyDescent="0.3">
      <c r="A1018" s="351">
        <f t="shared" si="865"/>
        <v>0</v>
      </c>
      <c r="B1018" s="537"/>
      <c r="C1018" s="750"/>
      <c r="D1018" s="748" t="s">
        <v>6779</v>
      </c>
      <c r="E1018" s="668" t="str">
        <f>VLOOKUP(D1018,'03. Insumos'!A:D,2,0)</f>
        <v>PA3 - 1 Folha Abrir Anodizado Preto + Vidro 0,8x2,1</v>
      </c>
      <c r="F1018" s="669" t="s">
        <v>5218</v>
      </c>
      <c r="G1018" s="669" t="str">
        <f>VLOOKUP(D1018,'03. Insumos'!A:F,3,0)</f>
        <v>unid</v>
      </c>
      <c r="H1018" s="631">
        <v>1</v>
      </c>
      <c r="I1018" s="751">
        <v>1</v>
      </c>
      <c r="J1018" s="632">
        <f t="shared" si="863"/>
        <v>1596</v>
      </c>
      <c r="K1018" s="538">
        <f>IF(A1018=0,VLOOKUP(D1018,'03. Insumos'!A:F,4,0),"")</f>
        <v>1596</v>
      </c>
      <c r="L1018" s="538">
        <f t="shared" si="866"/>
        <v>1596</v>
      </c>
      <c r="M1018" s="153">
        <f t="shared" ca="1" si="830"/>
        <v>9.6907100107103744E-5</v>
      </c>
      <c r="O1018" s="540"/>
      <c r="R1018" s="541"/>
    </row>
    <row r="1019" spans="1:18" s="539" customFormat="1" outlineLevel="1" x14ac:dyDescent="0.3">
      <c r="A1019" s="351">
        <f t="shared" si="865"/>
        <v>0</v>
      </c>
      <c r="B1019" s="537"/>
      <c r="C1019" s="750"/>
      <c r="D1019" s="748" t="s">
        <v>6780</v>
      </c>
      <c r="E1019" s="668" t="str">
        <f>VLOOKUP(D1019,'03. Insumos'!A:D,2,0)</f>
        <v>PA4 - 2 Folhas Abrir Anodizado Preto + Vidro 2,7x2,22</v>
      </c>
      <c r="F1019" s="669" t="s">
        <v>5218</v>
      </c>
      <c r="G1019" s="669" t="str">
        <f>VLOOKUP(D1019,'03. Insumos'!A:F,3,0)</f>
        <v>unid</v>
      </c>
      <c r="H1019" s="631">
        <v>1</v>
      </c>
      <c r="I1019" s="751">
        <v>1</v>
      </c>
      <c r="J1019" s="632">
        <f t="shared" si="863"/>
        <v>1649</v>
      </c>
      <c r="K1019" s="538">
        <f>IF(A1019=0,VLOOKUP(D1019,'03. Insumos'!A:F,4,0),"")</f>
        <v>1649</v>
      </c>
      <c r="L1019" s="538">
        <f t="shared" si="866"/>
        <v>1649</v>
      </c>
      <c r="M1019" s="153">
        <f t="shared" ca="1" si="830"/>
        <v>1.0012519303045995E-4</v>
      </c>
      <c r="O1019" s="540"/>
      <c r="R1019" s="541"/>
    </row>
    <row r="1020" spans="1:18" s="539" customFormat="1" outlineLevel="1" x14ac:dyDescent="0.3">
      <c r="A1020" s="351">
        <f t="shared" si="865"/>
        <v>0</v>
      </c>
      <c r="B1020" s="537"/>
      <c r="C1020" s="750"/>
      <c r="D1020" s="748" t="s">
        <v>6781</v>
      </c>
      <c r="E1020" s="668" t="str">
        <f>VLOOKUP(D1020,'03. Insumos'!A:D,2,0)</f>
        <v>PA5 - 1 Folha Abrir + 3 Folhas Fixas Bandeira Fixa Anodizado Preto + Vidro 3,62x2,22</v>
      </c>
      <c r="F1020" s="669" t="s">
        <v>5218</v>
      </c>
      <c r="G1020" s="669" t="str">
        <f>VLOOKUP(D1020,'03. Insumos'!A:F,3,0)</f>
        <v>unid</v>
      </c>
      <c r="H1020" s="631">
        <v>1</v>
      </c>
      <c r="I1020" s="751">
        <v>1</v>
      </c>
      <c r="J1020" s="632">
        <f t="shared" si="863"/>
        <v>5713</v>
      </c>
      <c r="K1020" s="538">
        <f>IF(A1020=0,VLOOKUP(D1020,'03. Insumos'!A:F,4,0),"")</f>
        <v>5713</v>
      </c>
      <c r="L1020" s="538">
        <f t="shared" si="866"/>
        <v>5713</v>
      </c>
      <c r="M1020" s="153">
        <f t="shared" ca="1" si="830"/>
        <v>3.4688612964403739E-4</v>
      </c>
      <c r="O1020" s="540"/>
      <c r="R1020" s="541"/>
    </row>
    <row r="1021" spans="1:18" s="539" customFormat="1" outlineLevel="1" x14ac:dyDescent="0.3">
      <c r="A1021" s="351">
        <f t="shared" ref="A1021" si="867">LEN(C1021)</f>
        <v>0</v>
      </c>
      <c r="B1021" s="537"/>
      <c r="C1021" s="750"/>
      <c r="D1021" s="748" t="s">
        <v>7796</v>
      </c>
      <c r="E1021" s="668" t="str">
        <f>VLOOKUP(D1021,'03. Insumos'!A:D,2,0)</f>
        <v>PA6 - 4 Folhas Abrir Anodizado Preto + Veneziana 3,67x2,3</v>
      </c>
      <c r="F1021" s="669" t="s">
        <v>5218</v>
      </c>
      <c r="G1021" s="669" t="str">
        <f>VLOOKUP(D1021,'03. Insumos'!A:F,3,0)</f>
        <v>unid</v>
      </c>
      <c r="H1021" s="631">
        <v>1</v>
      </c>
      <c r="I1021" s="751">
        <v>1</v>
      </c>
      <c r="J1021" s="632">
        <f t="shared" si="863"/>
        <v>7783</v>
      </c>
      <c r="K1021" s="538">
        <f>IF(A1021=0,VLOOKUP(D1021,'03. Insumos'!A:F,4,0),"")</f>
        <v>7783</v>
      </c>
      <c r="L1021" s="538">
        <f t="shared" ref="L1021" si="868">H1021*J1021*I1021</f>
        <v>7783</v>
      </c>
      <c r="M1021" s="153">
        <f t="shared" ref="M1021" ca="1" si="869">L1021/$L$7</f>
        <v>4.7257390985813811E-4</v>
      </c>
      <c r="O1021" s="540"/>
      <c r="R1021" s="541"/>
    </row>
    <row r="1022" spans="1:18" s="539" customFormat="1" outlineLevel="1" x14ac:dyDescent="0.3">
      <c r="A1022" s="351">
        <f t="shared" si="865"/>
        <v>0</v>
      </c>
      <c r="B1022" s="537"/>
      <c r="C1022" s="750"/>
      <c r="D1022" s="748" t="s">
        <v>6782</v>
      </c>
      <c r="E1022" s="668" t="str">
        <f>VLOOKUP(D1022,'03. Insumos'!A:D,2,0)</f>
        <v>PA6a - 2 Folhas Abrir Anodizado Preto + Veneziana 1x1,47</v>
      </c>
      <c r="F1022" s="669" t="s">
        <v>5218</v>
      </c>
      <c r="G1022" s="669" t="str">
        <f>VLOOKUP(D1022,'03. Insumos'!A:F,3,0)</f>
        <v>unid</v>
      </c>
      <c r="H1022" s="631">
        <v>1</v>
      </c>
      <c r="I1022" s="751">
        <v>1</v>
      </c>
      <c r="J1022" s="632">
        <f t="shared" si="863"/>
        <v>1510</v>
      </c>
      <c r="K1022" s="538">
        <f>IF(A1022=0,VLOOKUP(D1022,'03. Insumos'!A:F,4,0),"")</f>
        <v>1510</v>
      </c>
      <c r="L1022" s="538">
        <f t="shared" si="866"/>
        <v>1510</v>
      </c>
      <c r="M1022" s="153">
        <f t="shared" ca="1" si="830"/>
        <v>9.1685288948450291E-5</v>
      </c>
      <c r="O1022" s="540"/>
      <c r="R1022" s="541"/>
    </row>
    <row r="1023" spans="1:18" s="539" customFormat="1" outlineLevel="1" x14ac:dyDescent="0.3">
      <c r="A1023" s="351">
        <f t="shared" si="865"/>
        <v>0</v>
      </c>
      <c r="B1023" s="537"/>
      <c r="C1023" s="750"/>
      <c r="D1023" s="748" t="s">
        <v>6783</v>
      </c>
      <c r="E1023" s="668" t="str">
        <f>VLOOKUP(D1023,'03. Insumos'!A:D,2,0)</f>
        <v>PA6b - 2 Folhas Abrir Anodizado Preto + Veneziana 1,4x2,1</v>
      </c>
      <c r="F1023" s="669" t="s">
        <v>5218</v>
      </c>
      <c r="G1023" s="669" t="str">
        <f>VLOOKUP(D1023,'03. Insumos'!A:F,3,0)</f>
        <v>unid</v>
      </c>
      <c r="H1023" s="631">
        <v>1</v>
      </c>
      <c r="I1023" s="751">
        <v>1</v>
      </c>
      <c r="J1023" s="632">
        <f t="shared" si="863"/>
        <v>2954</v>
      </c>
      <c r="K1023" s="538">
        <f>IF(A1023=0,VLOOKUP(D1023,'03. Insumos'!A:F,4,0),"")</f>
        <v>2954</v>
      </c>
      <c r="L1023" s="538">
        <f t="shared" si="866"/>
        <v>2954</v>
      </c>
      <c r="M1023" s="153">
        <f t="shared" ca="1" si="830"/>
        <v>1.7936314142630606E-4</v>
      </c>
      <c r="O1023" s="540"/>
      <c r="R1023" s="541"/>
    </row>
    <row r="1024" spans="1:18" s="539" customFormat="1" outlineLevel="1" x14ac:dyDescent="0.3">
      <c r="A1024" s="351">
        <f t="shared" ref="A1024:A1030" si="870">LEN(C1024)</f>
        <v>0</v>
      </c>
      <c r="B1024" s="537"/>
      <c r="C1024" s="750"/>
      <c r="D1024" s="748" t="s">
        <v>6784</v>
      </c>
      <c r="E1024" s="668" t="str">
        <f>VLOOKUP(D1024,'03. Insumos'!A:D,2,0)</f>
        <v>PA7 - 2 Folhas Abrir Anodizado Preto + Veneziana 1,4x2</v>
      </c>
      <c r="F1024" s="669" t="s">
        <v>5218</v>
      </c>
      <c r="G1024" s="669" t="str">
        <f>VLOOKUP(D1024,'03. Insumos'!A:F,3,0)</f>
        <v>unid</v>
      </c>
      <c r="H1024" s="631">
        <v>1</v>
      </c>
      <c r="I1024" s="751">
        <v>1</v>
      </c>
      <c r="J1024" s="632">
        <f t="shared" si="863"/>
        <v>2774</v>
      </c>
      <c r="K1024" s="538">
        <f>IF(A1024=0,VLOOKUP(D1024,'03. Insumos'!A:F,4,0),"")</f>
        <v>2774</v>
      </c>
      <c r="L1024" s="538">
        <f t="shared" ref="L1024:L1030" si="871">H1024*J1024*I1024</f>
        <v>2774</v>
      </c>
      <c r="M1024" s="153">
        <f t="shared" ca="1" si="830"/>
        <v>1.6843376923377556E-4</v>
      </c>
      <c r="O1024" s="540"/>
      <c r="R1024" s="541"/>
    </row>
    <row r="1025" spans="1:18" s="539" customFormat="1" outlineLevel="1" x14ac:dyDescent="0.3">
      <c r="A1025" s="351">
        <f t="shared" si="870"/>
        <v>0</v>
      </c>
      <c r="B1025" s="537"/>
      <c r="C1025" s="750"/>
      <c r="D1025" s="748" t="s">
        <v>6785</v>
      </c>
      <c r="E1025" s="668" t="str">
        <f>VLOOKUP(D1025,'03. Insumos'!A:D,2,0)</f>
        <v>PA8 - 2 Folhas Abrir + 3 Folhas Fixas Anodizado Preto + Vidro Temperado 6,26x2,1</v>
      </c>
      <c r="F1025" s="669" t="s">
        <v>5218</v>
      </c>
      <c r="G1025" s="669" t="str">
        <f>VLOOKUP(D1025,'03. Insumos'!A:F,3,0)</f>
        <v>unid</v>
      </c>
      <c r="H1025" s="631">
        <v>1</v>
      </c>
      <c r="I1025" s="751">
        <v>1</v>
      </c>
      <c r="J1025" s="632">
        <f t="shared" si="863"/>
        <v>13936</v>
      </c>
      <c r="K1025" s="538">
        <f>IF(A1025=0,VLOOKUP(D1025,'03. Insumos'!A:F,4,0),"")</f>
        <v>13936</v>
      </c>
      <c r="L1025" s="538">
        <f t="shared" si="871"/>
        <v>13936</v>
      </c>
      <c r="M1025" s="153">
        <f t="shared" ca="1" si="830"/>
        <v>8.4617628263947229E-4</v>
      </c>
      <c r="O1025" s="540"/>
      <c r="R1025" s="541"/>
    </row>
    <row r="1026" spans="1:18" s="539" customFormat="1" outlineLevel="1" x14ac:dyDescent="0.3">
      <c r="A1026" s="351">
        <f t="shared" ref="A1026" si="872">LEN(C1026)</f>
        <v>0</v>
      </c>
      <c r="B1026" s="537"/>
      <c r="C1026" s="750"/>
      <c r="D1026" s="748" t="s">
        <v>6786</v>
      </c>
      <c r="E1026" s="668" t="str">
        <f>VLOOKUP(D1026,'03. Insumos'!A:D,2,0)</f>
        <v>PA9 - 1Folha Abrir + 4 Folhas Fixas Anodizado Preto + Vidro 5,8x2,22</v>
      </c>
      <c r="F1026" s="669" t="s">
        <v>5218</v>
      </c>
      <c r="G1026" s="669" t="str">
        <f>VLOOKUP(D1026,'03. Insumos'!A:F,3,0)</f>
        <v>unid</v>
      </c>
      <c r="H1026" s="631">
        <v>1</v>
      </c>
      <c r="I1026" s="751">
        <v>1</v>
      </c>
      <c r="J1026" s="632">
        <f t="shared" si="863"/>
        <v>12130</v>
      </c>
      <c r="K1026" s="538">
        <f>IF(A1026=0,VLOOKUP(D1026,'03. Insumos'!A:F,4,0),"")</f>
        <v>12130</v>
      </c>
      <c r="L1026" s="538">
        <f t="shared" ref="L1026" si="873">H1026*J1026*I1026</f>
        <v>12130</v>
      </c>
      <c r="M1026" s="153">
        <f t="shared" ref="M1026" ca="1" si="874">L1026/$L$7</f>
        <v>7.365182483077496E-4</v>
      </c>
      <c r="O1026" s="540"/>
      <c r="R1026" s="541"/>
    </row>
    <row r="1027" spans="1:18" s="539" customFormat="1" outlineLevel="1" x14ac:dyDescent="0.3">
      <c r="A1027" s="351">
        <f t="shared" si="870"/>
        <v>0</v>
      </c>
      <c r="B1027" s="537"/>
      <c r="C1027" s="750"/>
      <c r="D1027" s="748" t="s">
        <v>6787</v>
      </c>
      <c r="E1027" s="668" t="str">
        <f>VLOOKUP(D1027,'03. Insumos'!A:D,2,0)</f>
        <v>PA10 - 2 Folhas Abrir Anodizado Preto + Veneziana 2,95x2,5</v>
      </c>
      <c r="F1027" s="669" t="s">
        <v>5218</v>
      </c>
      <c r="G1027" s="669" t="str">
        <f>VLOOKUP(D1027,'03. Insumos'!A:F,3,0)</f>
        <v>unid</v>
      </c>
      <c r="H1027" s="631">
        <v>1</v>
      </c>
      <c r="I1027" s="751">
        <v>1</v>
      </c>
      <c r="J1027" s="632">
        <f t="shared" si="863"/>
        <v>7320</v>
      </c>
      <c r="K1027" s="538">
        <f>IF(A1027=0,VLOOKUP(D1027,'03. Insumos'!A:F,4,0),"")</f>
        <v>7320</v>
      </c>
      <c r="L1027" s="538">
        <f t="shared" si="871"/>
        <v>7320</v>
      </c>
      <c r="M1027" s="153">
        <f t="shared" ca="1" si="830"/>
        <v>4.4446113582957355E-4</v>
      </c>
      <c r="O1027" s="540"/>
      <c r="R1027" s="541"/>
    </row>
    <row r="1028" spans="1:18" s="539" customFormat="1" outlineLevel="1" x14ac:dyDescent="0.3">
      <c r="A1028" s="351">
        <f t="shared" si="870"/>
        <v>0</v>
      </c>
      <c r="B1028" s="537"/>
      <c r="C1028" s="750"/>
      <c r="D1028" s="748" t="s">
        <v>6788</v>
      </c>
      <c r="E1028" s="668" t="str">
        <f>VLOOKUP(D1028,'03. Insumos'!A:D,2,0)</f>
        <v>PA11 - 2 Folhas Abrir Anodizado Preto + Veneziana 1,01x2</v>
      </c>
      <c r="F1028" s="669" t="s">
        <v>5218</v>
      </c>
      <c r="G1028" s="669" t="str">
        <f>VLOOKUP(D1028,'03. Insumos'!A:F,3,0)</f>
        <v>unid</v>
      </c>
      <c r="H1028" s="631">
        <v>1</v>
      </c>
      <c r="I1028" s="751">
        <v>8</v>
      </c>
      <c r="J1028" s="632">
        <f t="shared" si="863"/>
        <v>2063.5</v>
      </c>
      <c r="K1028" s="538">
        <f>IF(A1028=0,VLOOKUP(D1028,'03. Insumos'!A:F,4,0),"")</f>
        <v>2063.5</v>
      </c>
      <c r="L1028" s="538">
        <f t="shared" si="871"/>
        <v>16508</v>
      </c>
      <c r="M1028" s="153">
        <f t="shared" ca="1" si="830"/>
        <v>1.0023448675238525E-3</v>
      </c>
      <c r="O1028" s="540"/>
      <c r="R1028" s="541"/>
    </row>
    <row r="1029" spans="1:18" s="539" customFormat="1" outlineLevel="1" x14ac:dyDescent="0.3">
      <c r="A1029" s="351">
        <f t="shared" si="870"/>
        <v>0</v>
      </c>
      <c r="B1029" s="537"/>
      <c r="C1029" s="750"/>
      <c r="D1029" s="748" t="s">
        <v>6789</v>
      </c>
      <c r="E1029" s="668" t="str">
        <f>VLOOKUP(D1029,'03. Insumos'!A:D,2,0)</f>
        <v>PA12 - 2 Folhas Abrir Anodizado Preto + Veneziana 1,11x2</v>
      </c>
      <c r="F1029" s="669" t="s">
        <v>5218</v>
      </c>
      <c r="G1029" s="669" t="str">
        <f>VLOOKUP(D1029,'03. Insumos'!A:F,3,0)</f>
        <v>unid</v>
      </c>
      <c r="H1029" s="631">
        <v>1</v>
      </c>
      <c r="I1029" s="751">
        <v>4</v>
      </c>
      <c r="J1029" s="632">
        <f t="shared" si="863"/>
        <v>2256.5</v>
      </c>
      <c r="K1029" s="538">
        <f>IF(A1029=0,VLOOKUP(D1029,'03. Insumos'!A:F,4,0),"")</f>
        <v>2256.5</v>
      </c>
      <c r="L1029" s="538">
        <f t="shared" si="871"/>
        <v>9026</v>
      </c>
      <c r="M1029" s="153">
        <f t="shared" ca="1" si="830"/>
        <v>5.4804729672100147E-4</v>
      </c>
      <c r="O1029" s="540"/>
      <c r="R1029" s="541"/>
    </row>
    <row r="1030" spans="1:18" s="539" customFormat="1" outlineLevel="1" x14ac:dyDescent="0.3">
      <c r="A1030" s="351">
        <f t="shared" si="870"/>
        <v>0</v>
      </c>
      <c r="B1030" s="537"/>
      <c r="C1030" s="750"/>
      <c r="D1030" s="748" t="s">
        <v>6790</v>
      </c>
      <c r="E1030" s="668" t="str">
        <f>VLOOKUP(D1030,'03. Insumos'!A:D,2,0)</f>
        <v>PA13 - 2 Folhas Abrir Anodizado Preto + Veneziana 1,2x2,1</v>
      </c>
      <c r="F1030" s="669" t="s">
        <v>5218</v>
      </c>
      <c r="G1030" s="669" t="str">
        <f>VLOOKUP(D1030,'03. Insumos'!A:F,3,0)</f>
        <v>unid</v>
      </c>
      <c r="H1030" s="631">
        <v>1</v>
      </c>
      <c r="I1030" s="751">
        <v>1</v>
      </c>
      <c r="J1030" s="632">
        <f t="shared" si="863"/>
        <v>2590</v>
      </c>
      <c r="K1030" s="538">
        <f>IF(A1030=0,VLOOKUP(D1030,'03. Insumos'!A:F,4,0),"")</f>
        <v>2590</v>
      </c>
      <c r="L1030" s="538">
        <f t="shared" si="871"/>
        <v>2590</v>
      </c>
      <c r="M1030" s="153">
        <f t="shared" ca="1" si="830"/>
        <v>1.5726152210363326E-4</v>
      </c>
      <c r="O1030" s="540"/>
      <c r="R1030" s="541"/>
    </row>
    <row r="1031" spans="1:18" s="539" customFormat="1" outlineLevel="1" x14ac:dyDescent="0.3">
      <c r="A1031" s="351">
        <f t="shared" si="865"/>
        <v>0</v>
      </c>
      <c r="B1031" s="537"/>
      <c r="C1031" s="750"/>
      <c r="D1031" s="748" t="s">
        <v>7396</v>
      </c>
      <c r="E1031" s="668" t="str">
        <f>VLOOKUP(D1031,'03. Insumos'!A:D,2,0)</f>
        <v>EA1 - Alçapão Anodizado Preto 1x1</v>
      </c>
      <c r="F1031" s="669" t="s">
        <v>5218</v>
      </c>
      <c r="G1031" s="669" t="str">
        <f>VLOOKUP(D1031,'03. Insumos'!A:F,3,0)</f>
        <v>unid</v>
      </c>
      <c r="H1031" s="631">
        <v>1</v>
      </c>
      <c r="I1031" s="751">
        <v>3</v>
      </c>
      <c r="J1031" s="632">
        <f t="shared" ref="J1031:J1035" si="875">IFERROR(IF(K1031&lt;&gt;0,K1031*$K$5,0),0)</f>
        <v>1100</v>
      </c>
      <c r="K1031" s="538">
        <f>IF(A1031=0,VLOOKUP(D1031,'03. Insumos'!A:F,4,0),"")</f>
        <v>1100</v>
      </c>
      <c r="L1031" s="538">
        <f t="shared" si="866"/>
        <v>3300</v>
      </c>
      <c r="M1031" s="153">
        <f t="shared" ref="M1031:M1035" ca="1" si="876">L1031/$L$7</f>
        <v>2.003718235297258E-4</v>
      </c>
      <c r="O1031" s="540"/>
      <c r="R1031" s="541"/>
    </row>
    <row r="1032" spans="1:18" s="539" customFormat="1" outlineLevel="1" x14ac:dyDescent="0.3">
      <c r="A1032" s="351">
        <f t="shared" si="865"/>
        <v>0</v>
      </c>
      <c r="B1032" s="537"/>
      <c r="C1032" s="750"/>
      <c r="D1032" s="748" t="s">
        <v>7397</v>
      </c>
      <c r="E1032" s="668" t="str">
        <f>VLOOKUP(D1032,'03. Insumos'!A:D,2,0)</f>
        <v>GC1 - Guarda Corpo Barrinha/vidro Anodizado Preto 7,54x1,1</v>
      </c>
      <c r="F1032" s="669" t="s">
        <v>5218</v>
      </c>
      <c r="G1032" s="669" t="str">
        <f>VLOOKUP(D1032,'03. Insumos'!A:F,3,0)</f>
        <v>unid</v>
      </c>
      <c r="H1032" s="631">
        <v>1</v>
      </c>
      <c r="I1032" s="751">
        <v>7</v>
      </c>
      <c r="J1032" s="632">
        <f t="shared" si="875"/>
        <v>7879.29</v>
      </c>
      <c r="K1032" s="538">
        <f>IF(A1032=0,VLOOKUP(D1032,'03. Insumos'!A:F,4,0),"")</f>
        <v>7879.29</v>
      </c>
      <c r="L1032" s="538">
        <f t="shared" si="866"/>
        <v>55155.03</v>
      </c>
      <c r="M1032" s="153">
        <f t="shared" ca="1" si="876"/>
        <v>3.3489436175565854E-3</v>
      </c>
      <c r="O1032" s="540"/>
      <c r="R1032" s="541"/>
    </row>
    <row r="1033" spans="1:18" s="539" customFormat="1" outlineLevel="1" x14ac:dyDescent="0.3">
      <c r="A1033" s="351">
        <f t="shared" si="865"/>
        <v>0</v>
      </c>
      <c r="B1033" s="537"/>
      <c r="C1033" s="750"/>
      <c r="D1033" s="748" t="s">
        <v>7426</v>
      </c>
      <c r="E1033" s="668" t="str">
        <f>VLOOKUP(D1033,'03. Insumos'!A:D,2,0)</f>
        <v>GC2 - Guarda Corpo Barrinha/vidro Anodizado Preto 7,54x1,1</v>
      </c>
      <c r="F1033" s="669" t="s">
        <v>5218</v>
      </c>
      <c r="G1033" s="669" t="str">
        <f>VLOOKUP(D1033,'03. Insumos'!A:F,3,0)</f>
        <v>unid</v>
      </c>
      <c r="H1033" s="631">
        <v>1</v>
      </c>
      <c r="I1033" s="751">
        <v>7</v>
      </c>
      <c r="J1033" s="632">
        <f t="shared" si="875"/>
        <v>7879.29</v>
      </c>
      <c r="K1033" s="538">
        <f>IF(A1033=0,VLOOKUP(D1033,'03. Insumos'!A:F,4,0),"")</f>
        <v>7879.29</v>
      </c>
      <c r="L1033" s="538">
        <f t="shared" si="866"/>
        <v>55155.03</v>
      </c>
      <c r="M1033" s="153">
        <f t="shared" ca="1" si="876"/>
        <v>3.3489436175565854E-3</v>
      </c>
      <c r="O1033" s="540"/>
      <c r="R1033" s="541"/>
    </row>
    <row r="1034" spans="1:18" s="539" customFormat="1" outlineLevel="1" x14ac:dyDescent="0.3">
      <c r="A1034" s="351">
        <f t="shared" si="865"/>
        <v>0</v>
      </c>
      <c r="B1034" s="537"/>
      <c r="C1034" s="750"/>
      <c r="D1034" s="748" t="s">
        <v>7427</v>
      </c>
      <c r="E1034" s="668" t="str">
        <f>VLOOKUP(D1034,'03. Insumos'!A:D,2,0)</f>
        <v>GC3 - Guarda Corpo Barrinha Anodizado Preto 1,35x1,1</v>
      </c>
      <c r="F1034" s="669" t="s">
        <v>5218</v>
      </c>
      <c r="G1034" s="669" t="str">
        <f>VLOOKUP(D1034,'03. Insumos'!A:F,3,0)</f>
        <v>unid</v>
      </c>
      <c r="H1034" s="631">
        <v>1</v>
      </c>
      <c r="I1034" s="751">
        <v>12</v>
      </c>
      <c r="J1034" s="632">
        <f t="shared" si="875"/>
        <v>1410.75</v>
      </c>
      <c r="K1034" s="538">
        <f>IF(A1034=0,VLOOKUP(D1034,'03. Insumos'!A:F,4,0),"")</f>
        <v>1410.75</v>
      </c>
      <c r="L1034" s="538">
        <f t="shared" si="866"/>
        <v>16929</v>
      </c>
      <c r="M1034" s="153">
        <f t="shared" ca="1" si="876"/>
        <v>1.0279074547074932E-3</v>
      </c>
      <c r="O1034" s="540"/>
      <c r="R1034" s="541"/>
    </row>
    <row r="1035" spans="1:18" s="539" customFormat="1" outlineLevel="1" x14ac:dyDescent="0.3">
      <c r="A1035" s="351">
        <f t="shared" ref="A1035" si="877">LEN(C1035)</f>
        <v>0</v>
      </c>
      <c r="B1035" s="537"/>
      <c r="C1035" s="750"/>
      <c r="D1035" s="748" t="s">
        <v>7428</v>
      </c>
      <c r="E1035" s="668" t="str">
        <f>VLOOKUP(D1035,'03. Insumos'!A:D,2,0)</f>
        <v>GC4 - Guarda Corpo Vidro Anodizado Preto 3,9x1,1</v>
      </c>
      <c r="F1035" s="669" t="s">
        <v>5218</v>
      </c>
      <c r="G1035" s="669" t="str">
        <f>VLOOKUP(D1035,'03. Insumos'!A:F,3,0)</f>
        <v>unid</v>
      </c>
      <c r="H1035" s="631">
        <v>1</v>
      </c>
      <c r="I1035" s="751">
        <v>12</v>
      </c>
      <c r="J1035" s="632">
        <f t="shared" si="875"/>
        <v>4075.5</v>
      </c>
      <c r="K1035" s="538">
        <f>IF(A1035=0,VLOOKUP(D1035,'03. Insumos'!A:F,4,0),"")</f>
        <v>4075.5</v>
      </c>
      <c r="L1035" s="538">
        <f t="shared" ref="L1035" si="878">H1035*J1035*I1035</f>
        <v>48906</v>
      </c>
      <c r="M1035" s="153">
        <f t="shared" ca="1" si="876"/>
        <v>2.9695104247105361E-3</v>
      </c>
      <c r="O1035" s="540"/>
      <c r="R1035" s="541"/>
    </row>
    <row r="1036" spans="1:18" s="539" customFormat="1" outlineLevel="1" x14ac:dyDescent="0.3">
      <c r="A1036" s="351">
        <f t="shared" si="865"/>
        <v>0</v>
      </c>
      <c r="B1036" s="537"/>
      <c r="C1036" s="750"/>
      <c r="D1036" s="748" t="s">
        <v>7429</v>
      </c>
      <c r="E1036" s="668" t="str">
        <f>VLOOKUP(D1036,'03. Insumos'!A:D,2,0)</f>
        <v>GC5 - Guarda Corpo Barrinha Anodizado Preto 3,1x1,1</v>
      </c>
      <c r="F1036" s="669" t="s">
        <v>5218</v>
      </c>
      <c r="G1036" s="669" t="str">
        <f>VLOOKUP(D1036,'03. Insumos'!A:F,3,0)</f>
        <v>unid</v>
      </c>
      <c r="H1036" s="631">
        <v>1</v>
      </c>
      <c r="I1036" s="751">
        <v>3</v>
      </c>
      <c r="J1036" s="632">
        <f t="shared" ref="J1036:J1042" si="879">IFERROR(IF(K1036&lt;&gt;0,K1036*$K$5,0),0)</f>
        <v>3239.5</v>
      </c>
      <c r="K1036" s="538">
        <f>IF(A1036=0,VLOOKUP(D1036,'03. Insumos'!A:F,4,0),"")</f>
        <v>3239.5</v>
      </c>
      <c r="L1036" s="538">
        <f t="shared" si="866"/>
        <v>9718.5</v>
      </c>
      <c r="M1036" s="153">
        <f t="shared" ca="1" si="830"/>
        <v>5.9009502029504246E-4</v>
      </c>
      <c r="O1036" s="540"/>
      <c r="R1036" s="541"/>
    </row>
    <row r="1037" spans="1:18" s="539" customFormat="1" outlineLevel="1" x14ac:dyDescent="0.3">
      <c r="A1037" s="351">
        <f t="shared" si="865"/>
        <v>0</v>
      </c>
      <c r="B1037" s="537"/>
      <c r="C1037" s="750"/>
      <c r="D1037" s="748" t="s">
        <v>7430</v>
      </c>
      <c r="E1037" s="668" t="str">
        <f>VLOOKUP(D1037,'03. Insumos'!A:D,2,0)</f>
        <v>GC6 - Guarda Corpo Barrinha Anodizado Preto 3,1x1,1</v>
      </c>
      <c r="F1037" s="669" t="s">
        <v>5218</v>
      </c>
      <c r="G1037" s="669" t="str">
        <f>VLOOKUP(D1037,'03. Insumos'!A:F,3,0)</f>
        <v>unid</v>
      </c>
      <c r="H1037" s="631">
        <v>1</v>
      </c>
      <c r="I1037" s="751">
        <v>3</v>
      </c>
      <c r="J1037" s="632">
        <f t="shared" si="879"/>
        <v>3239.5</v>
      </c>
      <c r="K1037" s="538">
        <f>IF(A1037=0,VLOOKUP(D1037,'03. Insumos'!A:F,4,0),"")</f>
        <v>3239.5</v>
      </c>
      <c r="L1037" s="538">
        <f t="shared" si="866"/>
        <v>9718.5</v>
      </c>
      <c r="M1037" s="153">
        <f t="shared" ca="1" si="830"/>
        <v>5.9009502029504246E-4</v>
      </c>
      <c r="O1037" s="540"/>
      <c r="R1037" s="541"/>
    </row>
    <row r="1038" spans="1:18" s="539" customFormat="1" outlineLevel="1" x14ac:dyDescent="0.3">
      <c r="A1038" s="351">
        <f t="shared" si="865"/>
        <v>0</v>
      </c>
      <c r="B1038" s="537"/>
      <c r="C1038" s="750"/>
      <c r="D1038" s="748" t="s">
        <v>7431</v>
      </c>
      <c r="E1038" s="668" t="str">
        <f>VLOOKUP(D1038,'03. Insumos'!A:D,2,0)</f>
        <v>GC7 - Guarda Corpo Vidro Anodizado Preto 5,15x1,1</v>
      </c>
      <c r="F1038" s="669" t="s">
        <v>5218</v>
      </c>
      <c r="G1038" s="669" t="str">
        <f>VLOOKUP(D1038,'03. Insumos'!A:F,3,0)</f>
        <v>unid</v>
      </c>
      <c r="H1038" s="631">
        <v>1</v>
      </c>
      <c r="I1038" s="751">
        <v>3</v>
      </c>
      <c r="J1038" s="632">
        <f t="shared" si="879"/>
        <v>5381.83</v>
      </c>
      <c r="K1038" s="538">
        <f>IF(A1038=0,VLOOKUP(D1038,'03. Insumos'!A:F,4,0),"")</f>
        <v>5381.83</v>
      </c>
      <c r="L1038" s="538">
        <f t="shared" si="866"/>
        <v>16145.49</v>
      </c>
      <c r="M1038" s="153">
        <f t="shared" ca="1" si="830"/>
        <v>9.8033371911544005E-4</v>
      </c>
      <c r="O1038" s="540"/>
      <c r="R1038" s="541"/>
    </row>
    <row r="1039" spans="1:18" s="539" customFormat="1" outlineLevel="1" x14ac:dyDescent="0.3">
      <c r="A1039" s="351">
        <f t="shared" si="865"/>
        <v>0</v>
      </c>
      <c r="B1039" s="537"/>
      <c r="C1039" s="750"/>
      <c r="D1039" s="748" t="s">
        <v>7432</v>
      </c>
      <c r="E1039" s="668" t="str">
        <f>VLOOKUP(D1039,'03. Insumos'!A:D,2,0)</f>
        <v>GC8 - Guarda Corpo Vidro Anodizado Preto 5,15x1,1</v>
      </c>
      <c r="F1039" s="669" t="s">
        <v>5218</v>
      </c>
      <c r="G1039" s="669" t="str">
        <f>VLOOKUP(D1039,'03. Insumos'!A:F,3,0)</f>
        <v>unid</v>
      </c>
      <c r="H1039" s="631">
        <v>1</v>
      </c>
      <c r="I1039" s="751">
        <v>3</v>
      </c>
      <c r="J1039" s="632">
        <f t="shared" si="879"/>
        <v>5381.83</v>
      </c>
      <c r="K1039" s="538">
        <f>IF(A1039=0,VLOOKUP(D1039,'03. Insumos'!A:F,4,0),"")</f>
        <v>5381.83</v>
      </c>
      <c r="L1039" s="538">
        <f t="shared" si="866"/>
        <v>16145.49</v>
      </c>
      <c r="M1039" s="153">
        <f t="shared" ca="1" si="830"/>
        <v>9.8033371911544005E-4</v>
      </c>
      <c r="O1039" s="540"/>
      <c r="R1039" s="541"/>
    </row>
    <row r="1040" spans="1:18" s="539" customFormat="1" outlineLevel="1" x14ac:dyDescent="0.3">
      <c r="A1040" s="351">
        <f t="shared" ref="A1040:A1041" si="880">LEN(C1040)</f>
        <v>0</v>
      </c>
      <c r="B1040" s="537"/>
      <c r="C1040" s="750"/>
      <c r="D1040" s="748" t="s">
        <v>7433</v>
      </c>
      <c r="E1040" s="668" t="str">
        <f>VLOOKUP(D1040,'03. Insumos'!A:D,2,0)</f>
        <v>GR1 - Guarda Corpo  1 Folha Abrir + Barrinha Anodizado Preto 1,85x1,2</v>
      </c>
      <c r="F1040" s="669" t="s">
        <v>5218</v>
      </c>
      <c r="G1040" s="669" t="str">
        <f>VLOOKUP(D1040,'03. Insumos'!A:F,3,0)</f>
        <v>unid</v>
      </c>
      <c r="H1040" s="631">
        <v>1</v>
      </c>
      <c r="I1040" s="751">
        <v>1</v>
      </c>
      <c r="J1040" s="632">
        <f t="shared" ref="J1040:J1041" si="881">IFERROR(IF(K1040&lt;&gt;0,K1040*$K$5,0),0)</f>
        <v>2109</v>
      </c>
      <c r="K1040" s="538">
        <f>IF(A1040=0,VLOOKUP(D1040,'03. Insumos'!A:F,4,0),"")</f>
        <v>2109</v>
      </c>
      <c r="L1040" s="538">
        <f t="shared" ref="L1040:L1041" si="882">H1040*J1040*I1040</f>
        <v>2109</v>
      </c>
      <c r="M1040" s="153">
        <f t="shared" ref="M1040:M1041" ca="1" si="883">L1040/$L$7</f>
        <v>1.2805581085581567E-4</v>
      </c>
      <c r="O1040" s="540"/>
      <c r="R1040" s="541"/>
    </row>
    <row r="1041" spans="1:18" s="539" customFormat="1" hidden="1" outlineLevel="1" x14ac:dyDescent="0.3">
      <c r="A1041" s="351">
        <f t="shared" si="880"/>
        <v>0</v>
      </c>
      <c r="B1041" s="537"/>
      <c r="C1041" s="750"/>
      <c r="D1041" s="748" t="s">
        <v>7993</v>
      </c>
      <c r="E1041" s="668" t="str">
        <f>VLOOKUP(D1041,'03. Insumos'!A:D,2,0)</f>
        <v>EDCR - Esquadrias Decoração - EXCLUSO</v>
      </c>
      <c r="F1041" s="669" t="s">
        <v>5218</v>
      </c>
      <c r="G1041" s="669" t="str">
        <f>VLOOKUP(D1041,'03. Insumos'!A:F,3,0)</f>
        <v>unid</v>
      </c>
      <c r="H1041" s="631">
        <v>1</v>
      </c>
      <c r="I1041" s="751"/>
      <c r="J1041" s="632">
        <f t="shared" si="881"/>
        <v>0</v>
      </c>
      <c r="K1041" s="538">
        <f>IF(A1041=0,VLOOKUP(D1041,'03. Insumos'!A:F,4,0),"")</f>
        <v>0</v>
      </c>
      <c r="L1041" s="538">
        <f t="shared" si="882"/>
        <v>0</v>
      </c>
      <c r="M1041" s="153">
        <f t="shared" ca="1" si="883"/>
        <v>0</v>
      </c>
      <c r="O1041" s="540"/>
      <c r="R1041" s="541"/>
    </row>
    <row r="1042" spans="1:18" s="539" customFormat="1" hidden="1" outlineLevel="1" x14ac:dyDescent="0.3">
      <c r="A1042" s="351">
        <f t="shared" si="865"/>
        <v>0</v>
      </c>
      <c r="B1042" s="537"/>
      <c r="C1042" s="750"/>
      <c r="D1042" s="748" t="s">
        <v>7994</v>
      </c>
      <c r="E1042" s="668" t="str">
        <f>VLOOKUP(D1042,'03. Insumos'!A:D,2,0)</f>
        <v>GDCR - Gradil Decoração - EXCLUSO</v>
      </c>
      <c r="F1042" s="669" t="s">
        <v>5218</v>
      </c>
      <c r="G1042" s="669" t="str">
        <f>VLOOKUP(D1042,'03. Insumos'!A:F,3,0)</f>
        <v>unid</v>
      </c>
      <c r="H1042" s="631">
        <v>1</v>
      </c>
      <c r="I1042" s="751"/>
      <c r="J1042" s="632">
        <f t="shared" si="879"/>
        <v>0</v>
      </c>
      <c r="K1042" s="538">
        <f>IF(A1042=0,VLOOKUP(D1042,'03. Insumos'!A:F,4,0),"")</f>
        <v>0</v>
      </c>
      <c r="L1042" s="538">
        <f t="shared" si="866"/>
        <v>0</v>
      </c>
      <c r="M1042" s="153">
        <f t="shared" ca="1" si="830"/>
        <v>0</v>
      </c>
      <c r="O1042" s="540"/>
      <c r="R1042" s="541"/>
    </row>
    <row r="1043" spans="1:18" s="51" customFormat="1" outlineLevel="1" x14ac:dyDescent="0.3">
      <c r="A1043" s="290">
        <f t="shared" si="831"/>
        <v>6</v>
      </c>
      <c r="B1043" s="630"/>
      <c r="C1043" s="391" t="s">
        <v>366</v>
      </c>
      <c r="D1043" s="391" t="s">
        <v>6875</v>
      </c>
      <c r="E1043" s="593"/>
      <c r="F1043" s="594"/>
      <c r="G1043" s="490" t="s">
        <v>74</v>
      </c>
      <c r="H1043" s="326">
        <v>1188.1400000000003</v>
      </c>
      <c r="I1043" s="596"/>
      <c r="J1043" s="812">
        <f>L1043/H1043</f>
        <v>70.591886799999997</v>
      </c>
      <c r="K1043" s="597"/>
      <c r="L1043" s="334">
        <f>SUMIF(A1044:A1048,0,L1044:L1048)</f>
        <v>83873.04438255202</v>
      </c>
      <c r="M1043" s="153">
        <f t="shared" ref="M1043:M1145" ca="1" si="884">L1043/$L$7</f>
        <v>5.0926651054307793E-3</v>
      </c>
      <c r="O1043" s="148"/>
      <c r="R1043" s="12"/>
    </row>
    <row r="1044" spans="1:18" s="51" customFormat="1" outlineLevel="1" x14ac:dyDescent="0.3">
      <c r="A1044" s="13">
        <f t="shared" si="831"/>
        <v>0</v>
      </c>
      <c r="B1044" s="49"/>
      <c r="C1044" s="49"/>
      <c r="D1044" s="748" t="s">
        <v>6455</v>
      </c>
      <c r="E1044" s="67" t="str">
        <f>VLOOKUP(D1044,'03. Insumos'!A:D,2,0)</f>
        <v>Chumbação de Contramarco de Alumínio - Mão de Obra</v>
      </c>
      <c r="F1044" s="669" t="s">
        <v>5218</v>
      </c>
      <c r="G1044" s="68" t="str">
        <f>VLOOKUP(D1044,'03. Insumos'!A:F,3,0)</f>
        <v>m</v>
      </c>
      <c r="H1044" s="631">
        <v>1</v>
      </c>
      <c r="I1044" s="751">
        <f>$H$1043</f>
        <v>1188.1400000000003</v>
      </c>
      <c r="J1044" s="70">
        <v>55.5</v>
      </c>
      <c r="K1044" s="70">
        <f>IF(A1044=0,VLOOKUP(D1044,'03. Insumos'!A:F,4,0),"")</f>
        <v>38</v>
      </c>
      <c r="L1044" s="538">
        <f>H1044*J1044*I1044</f>
        <v>65941.770000000019</v>
      </c>
      <c r="M1044" s="153">
        <f t="shared" ca="1" si="884"/>
        <v>4.0039008186902331E-3</v>
      </c>
      <c r="O1044" s="148"/>
      <c r="R1044" s="12"/>
    </row>
    <row r="1045" spans="1:18" s="51" customFormat="1" outlineLevel="1" x14ac:dyDescent="0.3">
      <c r="A1045" s="13">
        <f t="shared" si="831"/>
        <v>0</v>
      </c>
      <c r="B1045" s="49"/>
      <c r="C1045" s="49"/>
      <c r="D1045" s="748" t="s">
        <v>6456</v>
      </c>
      <c r="E1045" s="67" t="str">
        <f>VLOOKUP(D1045,'03. Insumos'!A:D,2,0)</f>
        <v>Cimento Portland CPIII 40 RS 50 KGs</v>
      </c>
      <c r="F1045" s="669" t="s">
        <v>5218</v>
      </c>
      <c r="G1045" s="68" t="str">
        <f>VLOOKUP(D1045,'03. Insumos'!A:F,3,0)</f>
        <v>sc</v>
      </c>
      <c r="H1045" s="631">
        <v>1</v>
      </c>
      <c r="I1045" s="751">
        <f>$H$1043*0.03</f>
        <v>35.644200000000005</v>
      </c>
      <c r="J1045" s="70">
        <f>IFERROR(IF(K1045&lt;&gt;0,K1045*$K$5,0),0)</f>
        <v>29.8</v>
      </c>
      <c r="K1045" s="70">
        <f>IF(A1045=0,VLOOKUP(D1045,'03. Insumos'!A:F,4,0),"")</f>
        <v>29.8</v>
      </c>
      <c r="L1045" s="70">
        <f>H1045*J1045*I1045</f>
        <v>1062.1971600000002</v>
      </c>
      <c r="M1045" s="153">
        <f t="shared" ca="1" si="884"/>
        <v>6.4495267241604834E-5</v>
      </c>
      <c r="O1045" s="148"/>
      <c r="R1045" s="12"/>
    </row>
    <row r="1046" spans="1:18" s="51" customFormat="1" outlineLevel="1" x14ac:dyDescent="0.3">
      <c r="A1046" s="13">
        <f t="shared" si="831"/>
        <v>0</v>
      </c>
      <c r="B1046" s="49"/>
      <c r="C1046" s="49"/>
      <c r="D1046" s="748" t="s">
        <v>4076</v>
      </c>
      <c r="E1046" s="67" t="str">
        <f>VLOOKUP(D1046,'03. Insumos'!A:D,2,0)</f>
        <v xml:space="preserve">Areia Lavada </v>
      </c>
      <c r="F1046" s="669" t="s">
        <v>5218</v>
      </c>
      <c r="G1046" s="68" t="str">
        <f>VLOOKUP(D1046,'03. Insumos'!A:F,3,0)</f>
        <v>m³</v>
      </c>
      <c r="H1046" s="631">
        <v>1</v>
      </c>
      <c r="I1046" s="751">
        <f>$H$1043*0.02</f>
        <v>23.762800000000006</v>
      </c>
      <c r="J1046" s="70">
        <f>IFERROR(IF(K1046&lt;&gt;0,K1046*$K$5,0),0)</f>
        <v>180</v>
      </c>
      <c r="K1046" s="70">
        <f>IF(A1046=0,VLOOKUP(D1046,'03. Insumos'!A:F,4,0),"")</f>
        <v>180</v>
      </c>
      <c r="L1046" s="70">
        <f>H1046*J1046*I1046</f>
        <v>4277.304000000001</v>
      </c>
      <c r="M1046" s="153">
        <f t="shared" ca="1" si="884"/>
        <v>2.5971248553666377E-4</v>
      </c>
      <c r="O1046" s="148"/>
      <c r="R1046" s="12"/>
    </row>
    <row r="1047" spans="1:18" s="51" customFormat="1" outlineLevel="1" x14ac:dyDescent="0.3">
      <c r="A1047" s="13">
        <f t="shared" si="831"/>
        <v>0</v>
      </c>
      <c r="B1047" s="49"/>
      <c r="C1047" s="49"/>
      <c r="D1047" s="748" t="s">
        <v>6458</v>
      </c>
      <c r="E1047" s="67" t="str">
        <f>VLOOKUP(D1047,'03. Insumos'!A:D,2,0)</f>
        <v>Super Grout SC 25 KGs</v>
      </c>
      <c r="F1047" s="669" t="s">
        <v>5218</v>
      </c>
      <c r="G1047" s="68" t="str">
        <f>VLOOKUP(D1047,'03. Insumos'!A:F,3,0)</f>
        <v>kg</v>
      </c>
      <c r="H1047" s="631">
        <v>1</v>
      </c>
      <c r="I1047" s="751">
        <f>$H$1043*0.9</f>
        <v>1069.3260000000002</v>
      </c>
      <c r="J1047" s="70">
        <f>IFERROR(IF(K1047&lt;&gt;0,K1047*$K$5,0),0)</f>
        <v>0.69913999999999998</v>
      </c>
      <c r="K1047" s="70">
        <f>IF(A1047=0,VLOOKUP(D1047,'03. Insumos'!A:F,4,0),"")</f>
        <v>0.69913999999999998</v>
      </c>
      <c r="L1047" s="538">
        <f>H1047*J1047*I1047</f>
        <v>747.60857964000013</v>
      </c>
      <c r="M1047" s="153">
        <f t="shared" ca="1" si="884"/>
        <v>4.5393846784525776E-5</v>
      </c>
      <c r="O1047" s="148"/>
      <c r="R1047" s="12"/>
    </row>
    <row r="1048" spans="1:18" s="51" customFormat="1" outlineLevel="1" x14ac:dyDescent="0.3">
      <c r="A1048" s="13">
        <f t="shared" si="831"/>
        <v>0</v>
      </c>
      <c r="B1048" s="49"/>
      <c r="C1048" s="49"/>
      <c r="D1048" s="748" t="s">
        <v>6459</v>
      </c>
      <c r="E1048" s="67" t="str">
        <f>VLOOKUP(D1048,'03. Insumos'!A:D,2,0)</f>
        <v>Selante Dow Corning 791, Bisnaga 300g</v>
      </c>
      <c r="F1048" s="669" t="s">
        <v>5218</v>
      </c>
      <c r="G1048" s="68" t="str">
        <f>VLOOKUP(D1048,'03. Insumos'!A:F,3,0)</f>
        <v>bng</v>
      </c>
      <c r="H1048" s="631">
        <v>1</v>
      </c>
      <c r="I1048" s="751">
        <f>$H$1043*0.4</f>
        <v>475.25600000000014</v>
      </c>
      <c r="J1048" s="70">
        <f>IFERROR(IF(K1048&lt;&gt;0,K1048*$K$5,0),0)</f>
        <v>24.921651999999998</v>
      </c>
      <c r="K1048" s="70">
        <f>IF(A1048=0,VLOOKUP(D1048,'03. Insumos'!A:F,4,0),"")</f>
        <v>24.921651999999998</v>
      </c>
      <c r="L1048" s="70">
        <f>H1048*J1048*I1048</f>
        <v>11844.164642912003</v>
      </c>
      <c r="M1048" s="153">
        <f t="shared" ca="1" si="884"/>
        <v>7.1916268717775195E-4</v>
      </c>
      <c r="O1048" s="148"/>
      <c r="R1048" s="12"/>
    </row>
    <row r="1049" spans="1:18" s="51" customFormat="1" outlineLevel="1" x14ac:dyDescent="0.3">
      <c r="A1049" s="13">
        <f t="shared" si="831"/>
        <v>6</v>
      </c>
      <c r="B1049" s="391"/>
      <c r="C1049" s="391" t="s">
        <v>365</v>
      </c>
      <c r="D1049" s="391" t="s">
        <v>6882</v>
      </c>
      <c r="E1049" s="391"/>
      <c r="F1049" s="325"/>
      <c r="G1049" s="671"/>
      <c r="H1049" s="631"/>
      <c r="I1049" s="547"/>
      <c r="J1049" s="334"/>
      <c r="K1049" s="334"/>
      <c r="L1049" s="334">
        <f>SUMIF(A1050:A1067,0,L1050:L1067)</f>
        <v>31808.814841997955</v>
      </c>
      <c r="M1049" s="355">
        <f t="shared" ca="1" si="884"/>
        <v>1.9313909800637991E-3</v>
      </c>
      <c r="O1049" s="148"/>
      <c r="R1049" s="356"/>
    </row>
    <row r="1050" spans="1:18" s="836" customFormat="1" outlineLevel="1" x14ac:dyDescent="0.3">
      <c r="A1050" s="351">
        <f t="shared" si="831"/>
        <v>0</v>
      </c>
      <c r="B1050" s="835"/>
      <c r="C1050" s="822"/>
      <c r="D1050" s="748" t="s">
        <v>6462</v>
      </c>
      <c r="E1050" s="668" t="str">
        <f>VLOOKUP(D1050,'03. Insumos'!A:D,2,0)</f>
        <v>Corrimão em Ferro Escada Enclausurada - Material e Mão de Obra</v>
      </c>
      <c r="F1050" s="670" t="s">
        <v>5218</v>
      </c>
      <c r="G1050" s="669" t="str">
        <f>VLOOKUP(D1050,'03. Insumos'!A:F,3,0)</f>
        <v>m</v>
      </c>
      <c r="H1050" s="631">
        <v>1</v>
      </c>
      <c r="I1050" s="631">
        <f>(2.7+3.26+2.7)*5</f>
        <v>43.3</v>
      </c>
      <c r="J1050" s="632">
        <f t="shared" ref="J1050:J1067" si="885">IFERROR(IF(K1050&lt;&gt;0,K1050*$K$5,0),0)</f>
        <v>369.5208970438328</v>
      </c>
      <c r="K1050" s="632">
        <f>IF(A1050=0,VLOOKUP(D1050,'03. Insumos'!A:F,4,0),"")</f>
        <v>369.5208970438328</v>
      </c>
      <c r="L1050" s="632">
        <f t="shared" ref="L1050:L1067" si="886">H1050*J1050*I1050</f>
        <v>16000.254841997959</v>
      </c>
      <c r="M1050" s="355">
        <f t="shared" ca="1" si="884"/>
        <v>9.7151522413074418E-4</v>
      </c>
      <c r="O1050" s="824"/>
      <c r="R1050" s="825"/>
    </row>
    <row r="1051" spans="1:18" s="836" customFormat="1" outlineLevel="1" x14ac:dyDescent="0.3">
      <c r="A1051" s="351">
        <f t="shared" ref="A1051:A1057" si="887">LEN(C1051)</f>
        <v>0</v>
      </c>
      <c r="B1051" s="835"/>
      <c r="C1051" s="822"/>
      <c r="D1051" s="748" t="s">
        <v>580</v>
      </c>
      <c r="E1051" s="668" t="str">
        <f>VLOOKUP(D1051,'03. Insumos'!A:D,2,0)</f>
        <v>Escada Marinheiro</v>
      </c>
      <c r="F1051" s="670" t="s">
        <v>5218</v>
      </c>
      <c r="G1051" s="669" t="str">
        <f>VLOOKUP(D1051,'03. Insumos'!A:F,3,0)</f>
        <v>uni</v>
      </c>
      <c r="H1051" s="631">
        <v>1</v>
      </c>
      <c r="I1051" s="631">
        <v>3</v>
      </c>
      <c r="J1051" s="632">
        <f t="shared" ref="J1051:J1058" si="888">IFERROR(IF(K1051&lt;&gt;0,K1051*$K$5,0),0)</f>
        <v>1300</v>
      </c>
      <c r="K1051" s="632">
        <f>IF(A1051=0,VLOOKUP(D1051,'03. Insumos'!A:F,4,0),"")</f>
        <v>1300</v>
      </c>
      <c r="L1051" s="632">
        <f t="shared" ref="L1051:L1057" si="889">H1051*J1051*I1051</f>
        <v>3900</v>
      </c>
      <c r="M1051" s="355">
        <f t="shared" ca="1" si="884"/>
        <v>2.3680306417149413E-4</v>
      </c>
      <c r="O1051" s="824"/>
      <c r="R1051" s="825"/>
    </row>
    <row r="1052" spans="1:18" s="836" customFormat="1" hidden="1" outlineLevel="1" x14ac:dyDescent="0.3">
      <c r="A1052" s="351">
        <f t="shared" si="887"/>
        <v>0</v>
      </c>
      <c r="B1052" s="835"/>
      <c r="C1052" s="822"/>
      <c r="D1052" s="748" t="s">
        <v>579</v>
      </c>
      <c r="E1052" s="670" t="s">
        <v>8692</v>
      </c>
      <c r="F1052" s="670" t="s">
        <v>5218</v>
      </c>
      <c r="G1052" s="669" t="str">
        <f>VLOOKUP(D1052,'03. Insumos'!A:F,3,0)</f>
        <v>uni</v>
      </c>
      <c r="H1052" s="631">
        <v>1</v>
      </c>
      <c r="I1052" s="631"/>
      <c r="J1052" s="632">
        <v>65000</v>
      </c>
      <c r="K1052" s="632">
        <f>IF(A1052=0,VLOOKUP(D1052,'03. Insumos'!A:F,4,0),"")</f>
        <v>5200</v>
      </c>
      <c r="L1052" s="632">
        <f t="shared" si="889"/>
        <v>0</v>
      </c>
      <c r="M1052" s="355">
        <f t="shared" ref="M1052" ca="1" si="890">L1052/$L$7</f>
        <v>0</v>
      </c>
      <c r="O1052" s="824"/>
      <c r="R1052" s="825"/>
    </row>
    <row r="1053" spans="1:18" s="836" customFormat="1" outlineLevel="1" x14ac:dyDescent="0.3">
      <c r="A1053" s="351">
        <f t="shared" ref="A1053:A1055" si="891">LEN(C1053)</f>
        <v>0</v>
      </c>
      <c r="B1053" s="835"/>
      <c r="C1053" s="822"/>
      <c r="D1053" s="748" t="s">
        <v>7631</v>
      </c>
      <c r="E1053" s="670" t="str">
        <f>VLOOKUP(D1053,'03. Insumos'!A:D,2,0)</f>
        <v>Visitas de abrir 1 folha (Reservatórios)</v>
      </c>
      <c r="F1053" s="670" t="s">
        <v>5218</v>
      </c>
      <c r="G1053" s="669" t="str">
        <f>VLOOKUP(D1053,'03. Insumos'!A:F,3,0)</f>
        <v>unid</v>
      </c>
      <c r="H1053" s="631">
        <v>1</v>
      </c>
      <c r="I1053" s="631">
        <v>4</v>
      </c>
      <c r="J1053" s="632">
        <f t="shared" ref="J1053:J1055" si="892">IFERROR(IF(K1053&lt;&gt;0,K1053*$K$5,0),0)</f>
        <v>800</v>
      </c>
      <c r="K1053" s="632">
        <f>IF(A1053=0,VLOOKUP(D1053,'03. Insumos'!A:F,4,0),"")</f>
        <v>800</v>
      </c>
      <c r="L1053" s="632">
        <f t="shared" ref="L1053:L1055" si="893">H1053*J1053*I1053</f>
        <v>3200</v>
      </c>
      <c r="M1053" s="355">
        <f t="shared" ca="1" si="884"/>
        <v>1.9429995008943108E-4</v>
      </c>
      <c r="O1053" s="824"/>
      <c r="R1053" s="825"/>
    </row>
    <row r="1054" spans="1:18" s="836" customFormat="1" hidden="1" outlineLevel="1" x14ac:dyDescent="0.3">
      <c r="A1054" s="351">
        <f t="shared" si="891"/>
        <v>0</v>
      </c>
      <c r="B1054" s="835"/>
      <c r="C1054" s="822"/>
      <c r="D1054" s="748" t="s">
        <v>7647</v>
      </c>
      <c r="E1054" s="670" t="str">
        <f>VLOOKUP(D1054,'03. Insumos'!A:D,2,0)</f>
        <v>Grelha fixa</v>
      </c>
      <c r="F1054" s="670" t="s">
        <v>5218</v>
      </c>
      <c r="G1054" s="669" t="str">
        <f>VLOOKUP(D1054,'03. Insumos'!A:F,3,0)</f>
        <v>unid</v>
      </c>
      <c r="H1054" s="631">
        <v>1</v>
      </c>
      <c r="I1054" s="631"/>
      <c r="J1054" s="632">
        <f t="shared" si="892"/>
        <v>1500</v>
      </c>
      <c r="K1054" s="632">
        <f>IF(A1054=0,VLOOKUP(D1054,'03. Insumos'!A:F,4,0),"")</f>
        <v>1500</v>
      </c>
      <c r="L1054" s="632">
        <f t="shared" si="893"/>
        <v>0</v>
      </c>
      <c r="M1054" s="355">
        <f t="shared" ca="1" si="884"/>
        <v>0</v>
      </c>
      <c r="O1054" s="824"/>
      <c r="R1054" s="825"/>
    </row>
    <row r="1055" spans="1:18" s="836" customFormat="1" hidden="1" outlineLevel="1" x14ac:dyDescent="0.3">
      <c r="A1055" s="351">
        <f t="shared" si="891"/>
        <v>0</v>
      </c>
      <c r="B1055" s="835"/>
      <c r="C1055" s="822"/>
      <c r="D1055" s="748" t="s">
        <v>637</v>
      </c>
      <c r="E1055" s="670" t="str">
        <f>VLOOKUP(D1055,'03. Insumos'!A:D,2,0)</f>
        <v>Escada Metálica com Chapa</v>
      </c>
      <c r="F1055" s="670" t="s">
        <v>5218</v>
      </c>
      <c r="G1055" s="669" t="str">
        <f>VLOOKUP(D1055,'03. Insumos'!A:F,3,0)</f>
        <v>uni</v>
      </c>
      <c r="H1055" s="631">
        <v>1</v>
      </c>
      <c r="I1055" s="631"/>
      <c r="J1055" s="632">
        <f t="shared" si="892"/>
        <v>12000</v>
      </c>
      <c r="K1055" s="632">
        <f>IF(A1055=0,VLOOKUP(D1055,'03. Insumos'!A:F,4,0),"")</f>
        <v>12000</v>
      </c>
      <c r="L1055" s="632">
        <f t="shared" si="893"/>
        <v>0</v>
      </c>
      <c r="M1055" s="355">
        <f t="shared" ref="M1055" ca="1" si="894">L1055/$L$7</f>
        <v>0</v>
      </c>
      <c r="O1055" s="824"/>
      <c r="R1055" s="825"/>
    </row>
    <row r="1056" spans="1:18" s="836" customFormat="1" hidden="1" outlineLevel="1" x14ac:dyDescent="0.3">
      <c r="A1056" s="351">
        <f t="shared" si="887"/>
        <v>0</v>
      </c>
      <c r="B1056" s="835"/>
      <c r="C1056" s="822"/>
      <c r="D1056" s="748" t="s">
        <v>638</v>
      </c>
      <c r="E1056" s="670" t="str">
        <f>VLOOKUP(D1056,'03. Insumos'!A:D,2,0)</f>
        <v>Escada Metálica Caracol com Chapa</v>
      </c>
      <c r="F1056" s="670" t="s">
        <v>5218</v>
      </c>
      <c r="G1056" s="669" t="str">
        <f>VLOOKUP(D1056,'03. Insumos'!A:F,3,0)</f>
        <v>m²</v>
      </c>
      <c r="H1056" s="631">
        <v>1</v>
      </c>
      <c r="I1056" s="631"/>
      <c r="J1056" s="632">
        <f t="shared" si="888"/>
        <v>15000</v>
      </c>
      <c r="K1056" s="632">
        <f>IF(A1056=0,VLOOKUP(D1056,'03. Insumos'!A:F,4,0),"")</f>
        <v>15000</v>
      </c>
      <c r="L1056" s="632">
        <f t="shared" si="889"/>
        <v>0</v>
      </c>
      <c r="M1056" s="355">
        <f t="shared" ref="M1056:M1057" ca="1" si="895">L1056/$L$7</f>
        <v>0</v>
      </c>
      <c r="O1056" s="824"/>
      <c r="R1056" s="825"/>
    </row>
    <row r="1057" spans="1:18" s="836" customFormat="1" hidden="1" outlineLevel="1" x14ac:dyDescent="0.3">
      <c r="A1057" s="351">
        <f t="shared" si="887"/>
        <v>0</v>
      </c>
      <c r="B1057" s="835"/>
      <c r="C1057" s="822"/>
      <c r="D1057" s="748" t="s">
        <v>7650</v>
      </c>
      <c r="E1057" s="668" t="s">
        <v>8077</v>
      </c>
      <c r="F1057" s="670" t="s">
        <v>5218</v>
      </c>
      <c r="G1057" s="669" t="str">
        <f>VLOOKUP(D1057,'03. Insumos'!A:F,3,0)</f>
        <v>m²</v>
      </c>
      <c r="H1057" s="631">
        <v>1</v>
      </c>
      <c r="I1057" s="631"/>
      <c r="J1057" s="632">
        <v>2500</v>
      </c>
      <c r="K1057" s="632">
        <f>IF(A1057=0,VLOOKUP(D1057,'03. Insumos'!A:F,4,0),"")</f>
        <v>927</v>
      </c>
      <c r="L1057" s="632">
        <f t="shared" si="889"/>
        <v>0</v>
      </c>
      <c r="M1057" s="355">
        <f t="shared" ca="1" si="895"/>
        <v>0</v>
      </c>
      <c r="O1057" s="824"/>
      <c r="R1057" s="825"/>
    </row>
    <row r="1058" spans="1:18" s="836" customFormat="1" hidden="1" outlineLevel="1" x14ac:dyDescent="0.3">
      <c r="A1058" s="351">
        <f t="shared" si="831"/>
        <v>0</v>
      </c>
      <c r="B1058" s="835"/>
      <c r="C1058" s="822"/>
      <c r="D1058" s="748" t="s">
        <v>7651</v>
      </c>
      <c r="E1058" s="670" t="str">
        <f>VLOOKUP(D1058,'03. Insumos'!A:D,2,0)</f>
        <v>Pergolado em estrutura metálica - Cobertura</v>
      </c>
      <c r="F1058" s="670" t="s">
        <v>5218</v>
      </c>
      <c r="G1058" s="669" t="str">
        <f>VLOOKUP(D1058,'03. Insumos'!A:F,3,0)</f>
        <v>kg</v>
      </c>
      <c r="H1058" s="631">
        <v>1</v>
      </c>
      <c r="I1058" s="631"/>
      <c r="J1058" s="632">
        <f t="shared" si="888"/>
        <v>38.24</v>
      </c>
      <c r="K1058" s="632">
        <f>IF(A1058=0,VLOOKUP(D1058,'03. Insumos'!A:F,4,0),"")</f>
        <v>38.24</v>
      </c>
      <c r="L1058" s="632">
        <f t="shared" si="886"/>
        <v>0</v>
      </c>
      <c r="M1058" s="355">
        <f t="shared" ca="1" si="884"/>
        <v>0</v>
      </c>
      <c r="O1058" s="824"/>
      <c r="R1058" s="825"/>
    </row>
    <row r="1059" spans="1:18" s="836" customFormat="1" hidden="1" outlineLevel="1" x14ac:dyDescent="0.3">
      <c r="A1059" s="351">
        <f t="shared" si="831"/>
        <v>0</v>
      </c>
      <c r="B1059" s="835"/>
      <c r="C1059" s="822"/>
      <c r="D1059" s="748" t="s">
        <v>6461</v>
      </c>
      <c r="E1059" s="668" t="str">
        <f>VLOOKUP(D1059,'03. Insumos'!A:D,2,0)</f>
        <v>Caixa de Embutir Incêncio - Material e Mão de Obra</v>
      </c>
      <c r="F1059" s="670" t="s">
        <v>5218</v>
      </c>
      <c r="G1059" s="669" t="str">
        <f>VLOOKUP(D1059,'03. Insumos'!A:F,3,0)</f>
        <v>unid</v>
      </c>
      <c r="H1059" s="631">
        <v>1</v>
      </c>
      <c r="I1059" s="631"/>
      <c r="J1059" s="632">
        <f t="shared" si="885"/>
        <v>155.91849999999999</v>
      </c>
      <c r="K1059" s="632">
        <f>IF(A1059=0,VLOOKUP(D1059,'03. Insumos'!A:F,4,0),"")</f>
        <v>155.91849999999999</v>
      </c>
      <c r="L1059" s="632">
        <f t="shared" si="886"/>
        <v>0</v>
      </c>
      <c r="M1059" s="355">
        <f t="shared" ca="1" si="884"/>
        <v>0</v>
      </c>
      <c r="O1059" s="824"/>
      <c r="R1059" s="825"/>
    </row>
    <row r="1060" spans="1:18" s="836" customFormat="1" hidden="1" outlineLevel="1" x14ac:dyDescent="0.3">
      <c r="A1060" s="351">
        <f t="shared" ref="A1060" si="896">LEN(C1060)</f>
        <v>0</v>
      </c>
      <c r="B1060" s="835"/>
      <c r="C1060" s="822"/>
      <c r="D1060" s="748" t="s">
        <v>6463</v>
      </c>
      <c r="E1060" s="668" t="str">
        <f>VLOOKUP(D1060,'03. Insumos'!A:D,2,0)</f>
        <v>Bicicletário 5 Lugares - Material e Mão de Obra</v>
      </c>
      <c r="F1060" s="670" t="s">
        <v>5218</v>
      </c>
      <c r="G1060" s="669" t="str">
        <f>VLOOKUP(D1060,'03. Insumos'!A:F,3,0)</f>
        <v>unid</v>
      </c>
      <c r="H1060" s="631">
        <v>1</v>
      </c>
      <c r="I1060" s="631"/>
      <c r="J1060" s="632">
        <v>84</v>
      </c>
      <c r="K1060" s="632">
        <f>IF(A1060=0,VLOOKUP(D1060,'03. Insumos'!A:F,4,0),"")</f>
        <v>1700</v>
      </c>
      <c r="L1060" s="632">
        <f t="shared" ref="L1060" si="897">H1060*J1060*I1060</f>
        <v>0</v>
      </c>
      <c r="M1060" s="355">
        <f t="shared" ref="M1060" ca="1" si="898">L1060/$L$7</f>
        <v>0</v>
      </c>
      <c r="O1060" s="824"/>
      <c r="R1060" s="825"/>
    </row>
    <row r="1061" spans="1:18" s="836" customFormat="1" outlineLevel="1" x14ac:dyDescent="0.3">
      <c r="A1061" s="351">
        <f t="shared" si="831"/>
        <v>0</v>
      </c>
      <c r="B1061" s="835"/>
      <c r="C1061" s="822"/>
      <c r="D1061" s="748" t="s">
        <v>6464</v>
      </c>
      <c r="E1061" s="668" t="str">
        <f>VLOOKUP(D1061,'03. Insumos'!A:D,2,0)</f>
        <v>Chumbação de Porta Corta Fogo - Mão de Obra</v>
      </c>
      <c r="F1061" s="670" t="s">
        <v>5218</v>
      </c>
      <c r="G1061" s="669" t="str">
        <f>VLOOKUP(D1061,'03. Insumos'!A:F,3,0)</f>
        <v>unid</v>
      </c>
      <c r="H1061" s="631">
        <v>1</v>
      </c>
      <c r="I1061" s="631">
        <f>I1067</f>
        <v>3</v>
      </c>
      <c r="J1061" s="632">
        <f t="shared" si="885"/>
        <v>350</v>
      </c>
      <c r="K1061" s="632">
        <f>IF(A1061=0,VLOOKUP(D1061,'03. Insumos'!A:F,4,0),"")</f>
        <v>350</v>
      </c>
      <c r="L1061" s="632">
        <f t="shared" si="886"/>
        <v>1050</v>
      </c>
      <c r="M1061" s="355">
        <f t="shared" ca="1" si="884"/>
        <v>6.375467112309457E-5</v>
      </c>
      <c r="O1061" s="824"/>
      <c r="R1061" s="825"/>
    </row>
    <row r="1062" spans="1:18" s="836" customFormat="1" outlineLevel="1" x14ac:dyDescent="0.3">
      <c r="A1062" s="351">
        <f t="shared" ref="A1062" si="899">LEN(C1062)</f>
        <v>0</v>
      </c>
      <c r="B1062" s="835"/>
      <c r="C1062" s="822"/>
      <c r="D1062" s="748" t="s">
        <v>6460</v>
      </c>
      <c r="E1062" s="668" t="str">
        <f>VLOOKUP(D1062,'03. Insumos'!A:D,2,0)</f>
        <v>Chumbação Porta do Elevador - Material e Mão de Obra</v>
      </c>
      <c r="F1062" s="670" t="s">
        <v>5218</v>
      </c>
      <c r="G1062" s="669" t="str">
        <f>VLOOKUP(D1062,'03. Insumos'!A:F,3,0)</f>
        <v>unid</v>
      </c>
      <c r="H1062" s="631">
        <v>1</v>
      </c>
      <c r="I1062" s="631">
        <f>H1127</f>
        <v>5</v>
      </c>
      <c r="J1062" s="632">
        <f t="shared" ref="J1062" si="900">IFERROR(IF(K1062&lt;&gt;0,K1062*$K$5,0),0)</f>
        <v>350</v>
      </c>
      <c r="K1062" s="632">
        <f>IF(A1062=0,VLOOKUP(D1062,'03. Insumos'!A:F,4,0),"")</f>
        <v>350</v>
      </c>
      <c r="L1062" s="632">
        <f t="shared" ref="L1062" si="901">H1062*J1062*I1062</f>
        <v>1750</v>
      </c>
      <c r="M1062" s="355">
        <f t="shared" ref="M1062" ca="1" si="902">L1062/$L$7</f>
        <v>1.0625778520515762E-4</v>
      </c>
      <c r="O1062" s="824"/>
      <c r="R1062" s="825"/>
    </row>
    <row r="1063" spans="1:18" s="836" customFormat="1" outlineLevel="1" x14ac:dyDescent="0.3">
      <c r="A1063" s="351">
        <f t="shared" si="831"/>
        <v>0</v>
      </c>
      <c r="B1063" s="835"/>
      <c r="C1063" s="822"/>
      <c r="D1063" s="748" t="s">
        <v>6456</v>
      </c>
      <c r="E1063" s="668" t="str">
        <f>VLOOKUP(D1063,'03. Insumos'!A:D,2,0)</f>
        <v>Cimento Portland CPIII 40 RS 50 KGs</v>
      </c>
      <c r="F1063" s="670" t="s">
        <v>5218</v>
      </c>
      <c r="G1063" s="669" t="str">
        <f>VLOOKUP(D1063,'03. Insumos'!A:F,3,0)</f>
        <v>sc</v>
      </c>
      <c r="H1063" s="631">
        <v>1</v>
      </c>
      <c r="I1063" s="631">
        <f>($I$1061+$I$1062)*0.15</f>
        <v>1.2</v>
      </c>
      <c r="J1063" s="632">
        <f t="shared" si="885"/>
        <v>29.8</v>
      </c>
      <c r="K1063" s="632">
        <f>IF(A1063=0,VLOOKUP(D1063,'03. Insumos'!A:F,4,0),"")</f>
        <v>29.8</v>
      </c>
      <c r="L1063" s="632">
        <f t="shared" si="886"/>
        <v>35.76</v>
      </c>
      <c r="M1063" s="355">
        <f t="shared" ca="1" si="884"/>
        <v>2.1713019422493923E-6</v>
      </c>
      <c r="O1063" s="824"/>
      <c r="R1063" s="825"/>
    </row>
    <row r="1064" spans="1:18" s="836" customFormat="1" outlineLevel="1" x14ac:dyDescent="0.3">
      <c r="A1064" s="351">
        <f t="shared" si="831"/>
        <v>0</v>
      </c>
      <c r="B1064" s="835"/>
      <c r="C1064" s="822"/>
      <c r="D1064" s="748" t="s">
        <v>4076</v>
      </c>
      <c r="E1064" s="670" t="str">
        <f>VLOOKUP(D1064,'03. Insumos'!A:D,2,0)</f>
        <v xml:space="preserve">Areia Lavada </v>
      </c>
      <c r="F1064" s="670" t="s">
        <v>5218</v>
      </c>
      <c r="G1064" s="669" t="str">
        <f>VLOOKUP(D1064,'03. Insumos'!A:F,3,0)</f>
        <v>m³</v>
      </c>
      <c r="H1064" s="631">
        <v>1</v>
      </c>
      <c r="I1064" s="631">
        <f>($I$1061+$I$1062)*0.12</f>
        <v>0.96</v>
      </c>
      <c r="J1064" s="632">
        <f t="shared" si="885"/>
        <v>180</v>
      </c>
      <c r="K1064" s="632">
        <f>IF(A1064=0,VLOOKUP(D1064,'03. Insumos'!A:F,4,0),"")</f>
        <v>180</v>
      </c>
      <c r="L1064" s="632">
        <f t="shared" si="886"/>
        <v>172.79999999999998</v>
      </c>
      <c r="M1064" s="355">
        <f t="shared" ca="1" si="884"/>
        <v>1.0492197304829276E-5</v>
      </c>
      <c r="O1064" s="824"/>
      <c r="R1064" s="825"/>
    </row>
    <row r="1065" spans="1:18" s="836" customFormat="1" hidden="1" outlineLevel="1" x14ac:dyDescent="0.3">
      <c r="A1065" s="351">
        <f t="shared" ref="A1065" si="903">LEN(C1065)</f>
        <v>0</v>
      </c>
      <c r="B1065" s="835"/>
      <c r="C1065" s="822"/>
      <c r="D1065" s="748" t="s">
        <v>2342</v>
      </c>
      <c r="E1065" s="668" t="str">
        <f>VLOOKUP(D1065,'03. Insumos'!A:D,2,0)</f>
        <v>Fornecimento e Instalação Barra Antipânico</v>
      </c>
      <c r="F1065" s="670" t="s">
        <v>5218</v>
      </c>
      <c r="G1065" s="669" t="str">
        <f>VLOOKUP(D1065,'03. Insumos'!A:F,3,0)</f>
        <v>unid</v>
      </c>
      <c r="H1065" s="631">
        <v>1</v>
      </c>
      <c r="I1065" s="631"/>
      <c r="J1065" s="632">
        <f t="shared" ref="J1065" si="904">IFERROR(IF(K1065&lt;&gt;0,K1065*$K$5,0),0)</f>
        <v>1050</v>
      </c>
      <c r="K1065" s="632">
        <f>IF(A1065=0,VLOOKUP(D1065,'03. Insumos'!A:F,4,0),"")</f>
        <v>1050</v>
      </c>
      <c r="L1065" s="632">
        <f t="shared" ref="L1065" si="905">H1065*J1065*I1065</f>
        <v>0</v>
      </c>
      <c r="M1065" s="355">
        <f t="shared" ref="M1065" ca="1" si="906">L1065/$L$7</f>
        <v>0</v>
      </c>
      <c r="O1065" s="824"/>
      <c r="R1065" s="825"/>
    </row>
    <row r="1066" spans="1:18" s="836" customFormat="1" hidden="1" outlineLevel="1" x14ac:dyDescent="0.3">
      <c r="A1066" s="351">
        <f t="shared" ref="A1066" si="907">LEN(C1066)</f>
        <v>0</v>
      </c>
      <c r="B1066" s="835"/>
      <c r="C1066" s="822"/>
      <c r="D1066" s="748" t="s">
        <v>2342</v>
      </c>
      <c r="E1066" s="668" t="s">
        <v>8071</v>
      </c>
      <c r="F1066" s="670" t="s">
        <v>5218</v>
      </c>
      <c r="G1066" s="669" t="s">
        <v>89</v>
      </c>
      <c r="H1066" s="631">
        <v>1</v>
      </c>
      <c r="I1066" s="631"/>
      <c r="J1066" s="632">
        <v>25.5</v>
      </c>
      <c r="K1066" s="632">
        <f>IF(A1066=0,VLOOKUP(D1066,'03. Insumos'!A:F,4,0),"")</f>
        <v>1050</v>
      </c>
      <c r="L1066" s="632">
        <f t="shared" ref="L1066" si="908">H1066*J1066*I1066</f>
        <v>0</v>
      </c>
      <c r="M1066" s="355">
        <f t="shared" ref="M1066" ca="1" si="909">L1066/$L$7</f>
        <v>0</v>
      </c>
      <c r="O1066" s="824"/>
      <c r="R1066" s="825"/>
    </row>
    <row r="1067" spans="1:18" s="836" customFormat="1" outlineLevel="1" x14ac:dyDescent="0.3">
      <c r="A1067" s="351">
        <f t="shared" si="831"/>
        <v>0</v>
      </c>
      <c r="B1067" s="835"/>
      <c r="C1067" s="822"/>
      <c r="D1067" s="748" t="s">
        <v>6465</v>
      </c>
      <c r="E1067" s="668" t="str">
        <f>VLOOKUP(D1067,'03. Insumos'!A:D,2,0)</f>
        <v>Porta Corta Fogo 0,90 x 2,10</v>
      </c>
      <c r="F1067" s="670" t="s">
        <v>5218</v>
      </c>
      <c r="G1067" s="669" t="str">
        <f>VLOOKUP(D1067,'03. Insumos'!A:F,3,0)</f>
        <v>unid</v>
      </c>
      <c r="H1067" s="631">
        <v>1</v>
      </c>
      <c r="I1067" s="631">
        <v>3</v>
      </c>
      <c r="J1067" s="632">
        <f t="shared" si="885"/>
        <v>1900</v>
      </c>
      <c r="K1067" s="632">
        <f>IF(A1067=0,VLOOKUP(D1067,'03. Insumos'!A:F,4,0),"")</f>
        <v>1900</v>
      </c>
      <c r="L1067" s="632">
        <f t="shared" si="886"/>
        <v>5700</v>
      </c>
      <c r="M1067" s="355">
        <f t="shared" ca="1" si="884"/>
        <v>3.4609678609679909E-4</v>
      </c>
      <c r="O1067" s="824"/>
      <c r="R1067" s="825"/>
    </row>
    <row r="1068" spans="1:18" s="51" customFormat="1" hidden="1" outlineLevel="1" x14ac:dyDescent="0.3">
      <c r="A1068" s="13">
        <f t="shared" si="831"/>
        <v>6</v>
      </c>
      <c r="B1068" s="391"/>
      <c r="C1068" s="391" t="s">
        <v>365</v>
      </c>
      <c r="D1068" s="391" t="s">
        <v>6889</v>
      </c>
      <c r="E1068" s="391"/>
      <c r="F1068" s="325"/>
      <c r="G1068" s="671" t="s">
        <v>73</v>
      </c>
      <c r="H1068" s="326">
        <v>62.680799999999998</v>
      </c>
      <c r="I1068" s="547"/>
      <c r="J1068" s="334"/>
      <c r="K1068" s="334"/>
      <c r="L1068" s="334">
        <f>SUMIF(A1069:A1069,0,L1069:L1069)</f>
        <v>0</v>
      </c>
      <c r="M1068" s="355">
        <f t="shared" ca="1" si="884"/>
        <v>0</v>
      </c>
      <c r="O1068" s="148"/>
      <c r="R1068" s="356"/>
    </row>
    <row r="1069" spans="1:18" s="836" customFormat="1" hidden="1" outlineLevel="1" x14ac:dyDescent="0.3">
      <c r="A1069" s="351">
        <f t="shared" si="831"/>
        <v>0</v>
      </c>
      <c r="B1069" s="835"/>
      <c r="C1069" s="822"/>
      <c r="D1069" s="748" t="s">
        <v>6466</v>
      </c>
      <c r="E1069" s="668" t="str">
        <f>VLOOKUP(D1069,'03. Insumos'!A:D,2,0)</f>
        <v>Vidro Incolor 4mm</v>
      </c>
      <c r="F1069" s="669" t="s">
        <v>3809</v>
      </c>
      <c r="G1069" s="669" t="str">
        <f>VLOOKUP(D1069,'03. Insumos'!A:F,3,0)</f>
        <v>m²</v>
      </c>
      <c r="H1069" s="631">
        <v>1.1000000000000001</v>
      </c>
      <c r="I1069" s="631"/>
      <c r="J1069" s="632">
        <f t="shared" ref="J1069" si="910">IFERROR(IF(K1069&lt;&gt;0,K1069*$K$5,0),0)</f>
        <v>142.47</v>
      </c>
      <c r="K1069" s="632">
        <f>IF(A1069=0,VLOOKUP(D1069,'03. Insumos'!A:F,4,0),"")</f>
        <v>142.47</v>
      </c>
      <c r="L1069" s="632">
        <f t="shared" ref="L1069" si="911">H1069*J1069*I1069</f>
        <v>0</v>
      </c>
      <c r="M1069" s="355">
        <f t="shared" ca="1" si="884"/>
        <v>0</v>
      </c>
      <c r="O1069" s="824"/>
      <c r="R1069" s="825"/>
    </row>
    <row r="1070" spans="1:18" s="51" customFormat="1" hidden="1" outlineLevel="1" x14ac:dyDescent="0.3">
      <c r="A1070" s="13">
        <f t="shared" si="831"/>
        <v>6</v>
      </c>
      <c r="B1070" s="391"/>
      <c r="C1070" s="391" t="s">
        <v>365</v>
      </c>
      <c r="D1070" s="391" t="s">
        <v>6891</v>
      </c>
      <c r="E1070" s="391"/>
      <c r="F1070" s="325"/>
      <c r="G1070" s="671" t="s">
        <v>73</v>
      </c>
      <c r="H1070" s="326">
        <v>47.040000000000006</v>
      </c>
      <c r="I1070" s="547"/>
      <c r="J1070" s="334"/>
      <c r="K1070" s="334"/>
      <c r="L1070" s="334">
        <f>SUMIF(A1071:A1071,0,L1071:L1071)</f>
        <v>0</v>
      </c>
      <c r="M1070" s="355">
        <f t="shared" ca="1" si="884"/>
        <v>0</v>
      </c>
      <c r="O1070" s="148"/>
      <c r="R1070" s="356"/>
    </row>
    <row r="1071" spans="1:18" s="539" customFormat="1" hidden="1" outlineLevel="1" x14ac:dyDescent="0.3">
      <c r="A1071" s="351">
        <f t="shared" si="831"/>
        <v>0</v>
      </c>
      <c r="B1071" s="537"/>
      <c r="C1071" s="750"/>
      <c r="D1071" s="748" t="s">
        <v>6467</v>
      </c>
      <c r="E1071" s="668" t="str">
        <f>VLOOKUP(D1071,'03. Insumos'!A:D,2,0)</f>
        <v>Vidro Laminado Incolor 8mm</v>
      </c>
      <c r="F1071" s="669" t="s">
        <v>3809</v>
      </c>
      <c r="G1071" s="669" t="str">
        <f>VLOOKUP(D1071,'03. Insumos'!A:F,3,0)</f>
        <v>m²</v>
      </c>
      <c r="H1071" s="631">
        <v>1.1000000000000001</v>
      </c>
      <c r="I1071" s="631"/>
      <c r="J1071" s="632">
        <f t="shared" ref="J1071" si="912">IFERROR(IF(K1071&lt;&gt;0,K1071*$K$5,0),0)</f>
        <v>263.74</v>
      </c>
      <c r="K1071" s="538">
        <f>IF(A1071=0,VLOOKUP(D1071,'03. Insumos'!A:F,4,0),"")</f>
        <v>263.74</v>
      </c>
      <c r="L1071" s="538">
        <f t="shared" ref="L1071" si="913">H1071*J1071*I1071</f>
        <v>0</v>
      </c>
      <c r="M1071" s="153">
        <f t="shared" ca="1" si="884"/>
        <v>0</v>
      </c>
      <c r="O1071" s="540"/>
      <c r="R1071" s="541"/>
    </row>
    <row r="1072" spans="1:18" s="486" customFormat="1" hidden="1" outlineLevel="1" x14ac:dyDescent="0.3">
      <c r="A1072" s="290">
        <f t="shared" si="831"/>
        <v>6</v>
      </c>
      <c r="B1072" s="391"/>
      <c r="C1072" s="391" t="s">
        <v>365</v>
      </c>
      <c r="D1072" s="391" t="s">
        <v>5864</v>
      </c>
      <c r="E1072" s="391"/>
      <c r="F1072" s="325"/>
      <c r="G1072" s="671"/>
      <c r="H1072" s="326"/>
      <c r="I1072" s="547"/>
      <c r="J1072" s="334"/>
      <c r="K1072" s="334"/>
      <c r="L1072" s="334">
        <f>SUMIF(A1073:A1078,0,L1073:L1078)</f>
        <v>0</v>
      </c>
      <c r="M1072" s="153">
        <f t="shared" ca="1" si="884"/>
        <v>0</v>
      </c>
      <c r="O1072" s="512"/>
      <c r="R1072" s="487"/>
    </row>
    <row r="1073" spans="1:18" s="539" customFormat="1" hidden="1" outlineLevel="1" x14ac:dyDescent="0.3">
      <c r="A1073" s="535">
        <f t="shared" si="831"/>
        <v>0</v>
      </c>
      <c r="B1073" s="537"/>
      <c r="C1073" s="750"/>
      <c r="D1073" s="748"/>
      <c r="E1073" s="668" t="e">
        <f>VLOOKUP(D1073,'03. Insumos'!A:D,2,0)</f>
        <v>#N/A</v>
      </c>
      <c r="F1073" s="669" t="s">
        <v>3809</v>
      </c>
      <c r="G1073" s="669" t="e">
        <f>VLOOKUP(D1073,'03. Insumos'!A:F,3,0)</f>
        <v>#N/A</v>
      </c>
      <c r="H1073" s="631"/>
      <c r="I1073" s="751">
        <v>16</v>
      </c>
      <c r="J1073" s="632">
        <f t="shared" ref="J1073:J1075" si="914">IFERROR(IF(K1073&lt;&gt;0,K1073*$K$5,0),0)</f>
        <v>0</v>
      </c>
      <c r="K1073" s="538" t="e">
        <f>IF(A1073=0,VLOOKUP(D1073,'03. Insumos'!A:F,4,0),"")</f>
        <v>#N/A</v>
      </c>
      <c r="L1073" s="538">
        <f t="shared" ref="L1073:L1075" si="915">H1073*J1073*I1073</f>
        <v>0</v>
      </c>
      <c r="M1073" s="153">
        <f t="shared" ca="1" si="884"/>
        <v>0</v>
      </c>
      <c r="O1073" s="540"/>
      <c r="R1073" s="541"/>
    </row>
    <row r="1074" spans="1:18" s="539" customFormat="1" hidden="1" outlineLevel="1" x14ac:dyDescent="0.3">
      <c r="A1074" s="535">
        <f t="shared" si="831"/>
        <v>0</v>
      </c>
      <c r="B1074" s="537"/>
      <c r="C1074" s="750"/>
      <c r="D1074" s="748"/>
      <c r="E1074" s="668" t="e">
        <f>VLOOKUP(D1074,'03. Insumos'!A:D,2,0)</f>
        <v>#N/A</v>
      </c>
      <c r="F1074" s="670" t="s">
        <v>5218</v>
      </c>
      <c r="G1074" s="669" t="e">
        <f>VLOOKUP(D1074,'03. Insumos'!A:F,3,0)</f>
        <v>#N/A</v>
      </c>
      <c r="H1074" s="631"/>
      <c r="I1074" s="751">
        <v>1.6800000000000002</v>
      </c>
      <c r="J1074" s="632">
        <f t="shared" si="914"/>
        <v>0</v>
      </c>
      <c r="K1074" s="538" t="e">
        <f>IF(A1074=0,VLOOKUP(D1074,'03. Insumos'!A:F,4,0),"")</f>
        <v>#N/A</v>
      </c>
      <c r="L1074" s="538">
        <f t="shared" si="915"/>
        <v>0</v>
      </c>
      <c r="M1074" s="153">
        <f t="shared" ca="1" si="884"/>
        <v>0</v>
      </c>
      <c r="O1074" s="540"/>
      <c r="R1074" s="541"/>
    </row>
    <row r="1075" spans="1:18" s="539" customFormat="1" hidden="1" outlineLevel="1" x14ac:dyDescent="0.3">
      <c r="A1075" s="535">
        <f t="shared" si="831"/>
        <v>0</v>
      </c>
      <c r="B1075" s="537"/>
      <c r="C1075" s="750"/>
      <c r="D1075" s="748"/>
      <c r="E1075" s="668" t="e">
        <f>VLOOKUP(D1075,'03. Insumos'!A:D,2,0)</f>
        <v>#N/A</v>
      </c>
      <c r="F1075" s="670" t="s">
        <v>5218</v>
      </c>
      <c r="G1075" s="669" t="e">
        <f>VLOOKUP(D1075,'03. Insumos'!A:F,3,0)</f>
        <v>#N/A</v>
      </c>
      <c r="H1075" s="631"/>
      <c r="I1075" s="751">
        <v>7.5</v>
      </c>
      <c r="J1075" s="632">
        <f t="shared" si="914"/>
        <v>0</v>
      </c>
      <c r="K1075" s="538" t="e">
        <f>IF(A1075=0,VLOOKUP(D1075,'03. Insumos'!A:F,4,0),"")</f>
        <v>#N/A</v>
      </c>
      <c r="L1075" s="538">
        <f t="shared" si="915"/>
        <v>0</v>
      </c>
      <c r="M1075" s="153">
        <f t="shared" ca="1" si="884"/>
        <v>0</v>
      </c>
      <c r="O1075" s="540"/>
      <c r="R1075" s="541"/>
    </row>
    <row r="1076" spans="1:18" s="539" customFormat="1" hidden="1" outlineLevel="1" x14ac:dyDescent="0.3">
      <c r="A1076" s="535">
        <f t="shared" si="831"/>
        <v>0</v>
      </c>
      <c r="B1076" s="537"/>
      <c r="C1076" s="750"/>
      <c r="D1076" s="707"/>
      <c r="E1076" s="670" t="e">
        <f>VLOOKUP(D1076,'03. Insumos'!A:D,2,0)</f>
        <v>#N/A</v>
      </c>
      <c r="F1076" s="670" t="s">
        <v>5218</v>
      </c>
      <c r="G1076" s="669" t="e">
        <f>VLOOKUP(D1076,'03. Insumos'!A:F,3,0)</f>
        <v>#N/A</v>
      </c>
      <c r="H1076" s="631"/>
      <c r="I1076" s="751">
        <v>1</v>
      </c>
      <c r="J1076" s="632">
        <f t="shared" ref="J1076:J1077" si="916">IFERROR(IF(K1076&lt;&gt;0,K1076*$K$5,0),0)</f>
        <v>0</v>
      </c>
      <c r="K1076" s="538" t="e">
        <f>IF(A1076=0,VLOOKUP(D1076,'03. Insumos'!A:F,4,0),"")</f>
        <v>#N/A</v>
      </c>
      <c r="L1076" s="538">
        <f t="shared" ref="L1076:L1078" si="917">H1076*J1076*I1076</f>
        <v>0</v>
      </c>
      <c r="M1076" s="153">
        <f t="shared" ca="1" si="884"/>
        <v>0</v>
      </c>
      <c r="O1076" s="540"/>
      <c r="R1076" s="541"/>
    </row>
    <row r="1077" spans="1:18" s="486" customFormat="1" hidden="1" outlineLevel="1" x14ac:dyDescent="0.3">
      <c r="A1077" s="290">
        <f t="shared" si="831"/>
        <v>0</v>
      </c>
      <c r="B1077" s="480"/>
      <c r="C1077" s="494"/>
      <c r="D1077" s="140"/>
      <c r="E1077" s="67" t="e">
        <f>VLOOKUP(D1077,'03. Insumos'!A:D,2,0)</f>
        <v>#N/A</v>
      </c>
      <c r="F1077" s="670" t="s">
        <v>5218</v>
      </c>
      <c r="G1077" s="68" t="e">
        <f>VLOOKUP(D1077,'03. Insumos'!A:F,3,0)</f>
        <v>#N/A</v>
      </c>
      <c r="H1077" s="69"/>
      <c r="I1077" s="483"/>
      <c r="J1077" s="70">
        <f t="shared" si="916"/>
        <v>0</v>
      </c>
      <c r="K1077" s="485" t="e">
        <f>IF(A1077=0,VLOOKUP(D1077,'03. Insumos'!A:F,4,0),"")</f>
        <v>#N/A</v>
      </c>
      <c r="L1077" s="485">
        <f t="shared" si="917"/>
        <v>0</v>
      </c>
      <c r="M1077" s="153">
        <f t="shared" ca="1" si="884"/>
        <v>0</v>
      </c>
      <c r="O1077" s="512"/>
      <c r="R1077" s="487"/>
    </row>
    <row r="1078" spans="1:18" s="486" customFormat="1" hidden="1" outlineLevel="1" x14ac:dyDescent="0.3">
      <c r="A1078" s="290">
        <f t="shared" si="831"/>
        <v>0</v>
      </c>
      <c r="B1078" s="480"/>
      <c r="C1078" s="494"/>
      <c r="D1078" s="140"/>
      <c r="E1078" s="67" t="e">
        <f>VLOOKUP(D1078,'03. Insumos'!A:D,2,0)</f>
        <v>#N/A</v>
      </c>
      <c r="F1078" s="670" t="s">
        <v>5218</v>
      </c>
      <c r="G1078" s="68" t="e">
        <f>VLOOKUP(D1078,'03. Insumos'!A:F,3,0)</f>
        <v>#N/A</v>
      </c>
      <c r="H1078" s="69"/>
      <c r="I1078" s="483"/>
      <c r="J1078" s="70"/>
      <c r="K1078" s="485" t="e">
        <f>IF(A1078=0,VLOOKUP(D1078,'03. Insumos'!A:F,4,0),"")</f>
        <v>#N/A</v>
      </c>
      <c r="L1078" s="485">
        <f t="shared" si="917"/>
        <v>0</v>
      </c>
      <c r="M1078" s="153">
        <f t="shared" ca="1" si="884"/>
        <v>0</v>
      </c>
      <c r="O1078" s="512"/>
      <c r="R1078" s="487"/>
    </row>
    <row r="1079" spans="1:18" s="18" customFormat="1" x14ac:dyDescent="0.3">
      <c r="A1079" s="290">
        <f t="shared" si="831"/>
        <v>3</v>
      </c>
      <c r="B1079" s="35"/>
      <c r="C1079" s="390" t="s">
        <v>328</v>
      </c>
      <c r="D1079" s="390" t="s">
        <v>6918</v>
      </c>
      <c r="E1079" s="390"/>
      <c r="F1079" s="323"/>
      <c r="G1079" s="323"/>
      <c r="H1079" s="324"/>
      <c r="I1079" s="324"/>
      <c r="J1079" s="333"/>
      <c r="K1079" s="333"/>
      <c r="L1079" s="333">
        <f ca="1">SUMIF(A1080:A1123,4,L1080:L1123)</f>
        <v>580194.61662325379</v>
      </c>
      <c r="M1079" s="153">
        <f t="shared" ca="1" si="884"/>
        <v>3.5228682828767129E-2</v>
      </c>
      <c r="O1079" s="148">
        <f t="shared" ref="O1079:O1131" si="918">IF(I1079&lt;&gt;0,I1079*H1079*K1079,)</f>
        <v>0</v>
      </c>
      <c r="R1079" s="12">
        <f t="shared" ref="R1079:R1141" si="919">IF(J1079&lt;&gt;0,J1079/1.03-K1079,0)</f>
        <v>0</v>
      </c>
    </row>
    <row r="1080" spans="1:18" s="18" customFormat="1" outlineLevel="1" x14ac:dyDescent="0.3">
      <c r="A1080" s="290">
        <f t="shared" si="831"/>
        <v>4</v>
      </c>
      <c r="B1080" s="45"/>
      <c r="C1080" s="347" t="s">
        <v>329</v>
      </c>
      <c r="D1080" s="347" t="s">
        <v>6917</v>
      </c>
      <c r="E1080" s="327"/>
      <c r="F1080" s="327"/>
      <c r="G1080" s="327"/>
      <c r="H1080" s="328"/>
      <c r="I1080" s="548"/>
      <c r="J1080" s="335"/>
      <c r="K1080" s="335" t="str">
        <f>IF(A1080=0,VLOOKUP(D1080,'03. Insumos'!A:F,4,0),"")</f>
        <v/>
      </c>
      <c r="L1080" s="335">
        <f ca="1">SUMIF(A1081:A1123,6,L1081:L1123)</f>
        <v>580194.61662325379</v>
      </c>
      <c r="M1080" s="153">
        <f t="shared" ca="1" si="884"/>
        <v>3.5228682828767129E-2</v>
      </c>
      <c r="O1080" s="148">
        <f t="shared" si="918"/>
        <v>0</v>
      </c>
      <c r="R1080" s="12">
        <f t="shared" si="919"/>
        <v>0</v>
      </c>
    </row>
    <row r="1081" spans="1:18" s="478" customFormat="1" outlineLevel="1" x14ac:dyDescent="0.3">
      <c r="A1081" s="290">
        <f t="shared" si="831"/>
        <v>6</v>
      </c>
      <c r="B1081" s="489"/>
      <c r="C1081" s="391" t="s">
        <v>330</v>
      </c>
      <c r="D1081" s="606" t="s">
        <v>6919</v>
      </c>
      <c r="E1081" s="391"/>
      <c r="F1081" s="490"/>
      <c r="G1081" s="490" t="s">
        <v>73</v>
      </c>
      <c r="H1081" s="326">
        <f>H1091+H1105+H1096</f>
        <v>2520.2811000000002</v>
      </c>
      <c r="I1081" s="549"/>
      <c r="J1081" s="812">
        <f>L1081/H1081</f>
        <v>19.352495809752423</v>
      </c>
      <c r="K1081" s="492" t="str">
        <f>IF(A1081=0,VLOOKUP(D1081,'03. Insumos'!A:F,4,0),"")</f>
        <v/>
      </c>
      <c r="L1081" s="492">
        <f>SUMIF(A1082:A1085,0,L1082:L1085)</f>
        <v>48773.729427148231</v>
      </c>
      <c r="M1081" s="153">
        <f t="shared" ca="1" si="884"/>
        <v>2.961479122928224E-3</v>
      </c>
      <c r="O1081" s="512">
        <f t="shared" si="918"/>
        <v>0</v>
      </c>
      <c r="R1081" s="487" t="e">
        <f t="shared" si="919"/>
        <v>#VALUE!</v>
      </c>
    </row>
    <row r="1082" spans="1:18" s="532" customFormat="1" outlineLevel="1" x14ac:dyDescent="0.3">
      <c r="A1082" s="13">
        <f t="shared" si="831"/>
        <v>0</v>
      </c>
      <c r="B1082" s="530"/>
      <c r="C1082" s="30"/>
      <c r="D1082" s="748" t="s">
        <v>6487</v>
      </c>
      <c r="E1082" s="30" t="str">
        <f>VLOOKUP(D1082,'03. Insumos'!A:D,2,0)</f>
        <v>Chapisco Externo - Mão de obra</v>
      </c>
      <c r="F1082" s="670" t="s">
        <v>5218</v>
      </c>
      <c r="G1082" s="482" t="str">
        <f>VLOOKUP(D1082,'03. Insumos'!A:F,3,0)</f>
        <v>m²</v>
      </c>
      <c r="H1082" s="69">
        <v>1</v>
      </c>
      <c r="I1082" s="751">
        <f>$H$1081</f>
        <v>2520.2811000000002</v>
      </c>
      <c r="J1082" s="485">
        <v>10.5</v>
      </c>
      <c r="K1082" s="519">
        <f>IF(A1082=0,VLOOKUP(D1082,'03. Insumos'!A:F,4,0),"")</f>
        <v>16</v>
      </c>
      <c r="L1082" s="519">
        <f>H1082*J1082*I1082</f>
        <v>26462.951550000002</v>
      </c>
      <c r="M1082" s="153">
        <f t="shared" ca="1" si="884"/>
        <v>1.6067969266825102E-3</v>
      </c>
      <c r="O1082" s="512">
        <f t="shared" si="918"/>
        <v>40324.497600000002</v>
      </c>
      <c r="R1082" s="487">
        <f t="shared" si="919"/>
        <v>-5.8058252427184467</v>
      </c>
    </row>
    <row r="1083" spans="1:18" s="532" customFormat="1" outlineLevel="1" x14ac:dyDescent="0.3">
      <c r="A1083" s="13">
        <f t="shared" ref="A1083" si="920">LEN(C1083)</f>
        <v>0</v>
      </c>
      <c r="B1083" s="530"/>
      <c r="C1083" s="30"/>
      <c r="D1083" s="748" t="s">
        <v>677</v>
      </c>
      <c r="E1083" s="30" t="str">
        <f>VLOOKUP(D1083,'03. Insumos'!A:D,2,0)</f>
        <v>Chapisco Externo - Mão de obra Faixa</v>
      </c>
      <c r="F1083" s="670" t="s">
        <v>5218</v>
      </c>
      <c r="G1083" s="482" t="str">
        <f>VLOOKUP(D1083,'03. Insumos'!A:F,3,0)</f>
        <v>ml</v>
      </c>
      <c r="H1083" s="69">
        <v>1</v>
      </c>
      <c r="I1083" s="751">
        <f>I1088</f>
        <v>397.6</v>
      </c>
      <c r="J1083" s="485">
        <v>6</v>
      </c>
      <c r="K1083" s="519">
        <f>IF(A1083=0,VLOOKUP(D1083,'03. Insumos'!A:F,4,0),"")</f>
        <v>10</v>
      </c>
      <c r="L1083" s="519">
        <f>H1083*J1083*I1083</f>
        <v>2385.6000000000004</v>
      </c>
      <c r="M1083" s="153">
        <f t="shared" ref="M1083" ca="1" si="921">L1083/$L$7</f>
        <v>1.4485061279167089E-4</v>
      </c>
      <c r="O1083" s="512">
        <f t="shared" ref="O1083" si="922">IF(I1083&lt;&gt;0,I1083*H1083*K1083,)</f>
        <v>3976</v>
      </c>
      <c r="R1083" s="487">
        <f t="shared" ref="R1083" si="923">IF(J1083&lt;&gt;0,J1083/1.03-K1083,0)</f>
        <v>-4.174757281553398</v>
      </c>
    </row>
    <row r="1084" spans="1:18" s="532" customFormat="1" outlineLevel="1" x14ac:dyDescent="0.3">
      <c r="A1084" s="13">
        <f t="shared" ref="A1084" si="924">LEN(C1084)</f>
        <v>0</v>
      </c>
      <c r="B1084" s="530"/>
      <c r="C1084" s="30"/>
      <c r="D1084" s="370" t="s">
        <v>193</v>
      </c>
      <c r="E1084" s="30" t="str">
        <f>VLOOKUP(D1084,'03. Insumos'!A:D,2,0)</f>
        <v>Argamassa chapisco 20Kg</v>
      </c>
      <c r="F1084" s="670" t="s">
        <v>5218</v>
      </c>
      <c r="G1084" s="482" t="str">
        <f>VLOOKUP(D1084,'03. Insumos'!A:F,3,0)</f>
        <v>sc</v>
      </c>
      <c r="H1084" s="483">
        <v>1.1000000000000001</v>
      </c>
      <c r="I1084" s="751">
        <f>ROUNDUP((H1081/2.7)*1,0)</f>
        <v>934</v>
      </c>
      <c r="J1084" s="519">
        <f>IFERROR(IF(K1084&lt;&gt;0,K1084*$K$5,0),0)</f>
        <v>17</v>
      </c>
      <c r="K1084" s="519">
        <f>IF(A1084=0,VLOOKUP(D1084,'03. Insumos'!A:F,4,0),"")</f>
        <v>17</v>
      </c>
      <c r="L1084" s="519">
        <f>H1084*J1084*I1084</f>
        <v>17465.800000000003</v>
      </c>
      <c r="M1084" s="153">
        <f t="shared" ca="1" si="884"/>
        <v>1.0605012713349956E-3</v>
      </c>
      <c r="O1084" s="512">
        <f t="shared" ref="O1084" si="925">IF(I1084&lt;&gt;0,I1084*H1084*K1084,)</f>
        <v>17465.800000000003</v>
      </c>
      <c r="R1084" s="487">
        <f t="shared" ref="R1084" si="926">IF(J1084&lt;&gt;0,J1084/1.03-K1084,0)</f>
        <v>-0.49514563106796317</v>
      </c>
    </row>
    <row r="1085" spans="1:18" s="532" customFormat="1" outlineLevel="1" x14ac:dyDescent="0.3">
      <c r="A1085" s="13">
        <f t="shared" si="831"/>
        <v>0</v>
      </c>
      <c r="B1085" s="530"/>
      <c r="C1085" s="30"/>
      <c r="D1085" s="748" t="s">
        <v>6472</v>
      </c>
      <c r="E1085" s="30" t="str">
        <f>VLOOKUP(D1085,'03. Insumos'!A:D,2,0)</f>
        <v>Aditivo Base PVA Wonderbond AM712 ( Barrica 55 KG's )</v>
      </c>
      <c r="F1085" s="670" t="s">
        <v>5218</v>
      </c>
      <c r="G1085" s="482" t="str">
        <f>VLOOKUP(D1085,'03. Insumos'!A:F,3,0)</f>
        <v>br</v>
      </c>
      <c r="H1085" s="483">
        <v>1.1000000000000001</v>
      </c>
      <c r="I1085" s="751">
        <f>$H$1081*0.5*0.0055</f>
        <v>6.9307730249999997</v>
      </c>
      <c r="J1085" s="485">
        <f>IFERROR(IF(K1085&lt;&gt;0,K1085*$K$5,0),0)</f>
        <v>322.58999999999997</v>
      </c>
      <c r="K1085" s="519">
        <f>IF(A1085=0,VLOOKUP(D1085,'03. Insumos'!A:F,4,0),"")</f>
        <v>322.58999999999997</v>
      </c>
      <c r="L1085" s="519">
        <f>H1085*J1085*I1085</f>
        <v>2459.3778771482248</v>
      </c>
      <c r="M1085" s="153">
        <f t="shared" ca="1" si="884"/>
        <v>1.493303121190472E-4</v>
      </c>
      <c r="O1085" s="512">
        <f t="shared" si="918"/>
        <v>2459.3778771482248</v>
      </c>
      <c r="R1085" s="487">
        <f t="shared" si="919"/>
        <v>-9.3958252427184448</v>
      </c>
    </row>
    <row r="1086" spans="1:18" s="478" customFormat="1" outlineLevel="1" x14ac:dyDescent="0.3">
      <c r="A1086" s="290">
        <f t="shared" si="831"/>
        <v>6</v>
      </c>
      <c r="B1086" s="489"/>
      <c r="C1086" s="391" t="s">
        <v>2931</v>
      </c>
      <c r="D1086" s="606" t="s">
        <v>7472</v>
      </c>
      <c r="E1086" s="391"/>
      <c r="F1086" s="490"/>
      <c r="G1086" s="490" t="s">
        <v>73</v>
      </c>
      <c r="H1086" s="326">
        <f>H1081</f>
        <v>2520.2811000000002</v>
      </c>
      <c r="I1086" s="549"/>
      <c r="J1086" s="812">
        <f>L1086/H1086</f>
        <v>138.857783759163</v>
      </c>
      <c r="K1086" s="492" t="str">
        <f>IF(A1086=0,VLOOKUP(D1086,'03. Insumos'!A:F,4,0),"")</f>
        <v/>
      </c>
      <c r="L1086" s="492">
        <f>SUMIF(A1087:A1090,0,L1087:L1090)</f>
        <v>349960.64799610549</v>
      </c>
      <c r="M1086" s="153">
        <f t="shared" ca="1" si="884"/>
        <v>2.1249167637158829E-2</v>
      </c>
      <c r="O1086" s="512">
        <f t="shared" si="918"/>
        <v>0</v>
      </c>
      <c r="R1086" s="487" t="e">
        <f t="shared" si="919"/>
        <v>#VALUE!</v>
      </c>
    </row>
    <row r="1087" spans="1:18" s="532" customFormat="1" outlineLevel="1" x14ac:dyDescent="0.3">
      <c r="A1087" s="13">
        <f t="shared" si="831"/>
        <v>0</v>
      </c>
      <c r="B1087" s="530"/>
      <c r="C1087" s="30"/>
      <c r="D1087" s="748" t="s">
        <v>6489</v>
      </c>
      <c r="E1087" s="30" t="str">
        <f>VLOOKUP(D1087,'03. Insumos'!A:D,2,0)</f>
        <v>Emboço Paulista Externo - Mão de Obra</v>
      </c>
      <c r="F1087" s="670" t="s">
        <v>5218</v>
      </c>
      <c r="G1087" s="482" t="str">
        <f>VLOOKUP(D1087,'03. Insumos'!A:F,3,0)</f>
        <v>m²</v>
      </c>
      <c r="H1087" s="69">
        <v>1</v>
      </c>
      <c r="I1087" s="751">
        <f>$H$1081</f>
        <v>2520.2811000000002</v>
      </c>
      <c r="J1087" s="485">
        <v>60</v>
      </c>
      <c r="K1087" s="519">
        <f>IF(A1087=0,VLOOKUP(D1087,'03. Insumos'!A:F,4,0),"")</f>
        <v>75</v>
      </c>
      <c r="L1087" s="519">
        <f>H1087*J1087*I1087</f>
        <v>151216.86600000001</v>
      </c>
      <c r="M1087" s="153">
        <f t="shared" ca="1" si="884"/>
        <v>9.1816967239000593E-3</v>
      </c>
      <c r="O1087" s="512">
        <f t="shared" si="918"/>
        <v>189021.08250000002</v>
      </c>
      <c r="R1087" s="487">
        <f t="shared" si="919"/>
        <v>-16.747572815533985</v>
      </c>
    </row>
    <row r="1088" spans="1:18" s="532" customFormat="1" outlineLevel="1" x14ac:dyDescent="0.3">
      <c r="A1088" s="13">
        <f t="shared" ref="A1088" si="927">LEN(C1088)</f>
        <v>0</v>
      </c>
      <c r="B1088" s="530"/>
      <c r="C1088" s="30"/>
      <c r="D1088" s="748" t="s">
        <v>432</v>
      </c>
      <c r="E1088" s="30" t="str">
        <f>VLOOKUP(D1088,'03. Insumos'!A:D,2,0)</f>
        <v>Emboço Paulista Externo - Mão de Obra Faixa</v>
      </c>
      <c r="F1088" s="670" t="s">
        <v>5218</v>
      </c>
      <c r="G1088" s="482" t="str">
        <f>VLOOKUP(D1088,'03. Insumos'!A:F,3,0)</f>
        <v>ml</v>
      </c>
      <c r="H1088" s="69">
        <v>1</v>
      </c>
      <c r="I1088" s="751">
        <v>397.6</v>
      </c>
      <c r="J1088" s="485">
        <v>30</v>
      </c>
      <c r="K1088" s="519">
        <f>IF(A1088=0,VLOOKUP(D1088,'03. Insumos'!A:F,4,0),"")</f>
        <v>39</v>
      </c>
      <c r="L1088" s="519">
        <f>H1088*J1088*I1088</f>
        <v>11928</v>
      </c>
      <c r="M1088" s="153">
        <f t="shared" ref="M1088" ca="1" si="928">L1088/$L$7</f>
        <v>7.2425306395835435E-4</v>
      </c>
      <c r="O1088" s="512">
        <f t="shared" ref="O1088" si="929">IF(I1088&lt;&gt;0,I1088*H1088*K1088,)</f>
        <v>15506.400000000001</v>
      </c>
      <c r="R1088" s="487">
        <f t="shared" ref="R1088" si="930">IF(J1088&lt;&gt;0,J1088/1.03-K1088,0)</f>
        <v>-9.8737864077669926</v>
      </c>
    </row>
    <row r="1089" spans="1:20" s="532" customFormat="1" outlineLevel="1" x14ac:dyDescent="0.3">
      <c r="A1089" s="13">
        <f t="shared" si="831"/>
        <v>0</v>
      </c>
      <c r="B1089" s="530"/>
      <c r="C1089" s="30"/>
      <c r="D1089" s="748" t="s">
        <v>6490</v>
      </c>
      <c r="E1089" s="30" t="str">
        <f>VLOOKUP(D1089,'03. Insumos'!A:D,2,0)</f>
        <v>Tela Estruturante 20 cm x 50 M</v>
      </c>
      <c r="F1089" s="670" t="s">
        <v>5218</v>
      </c>
      <c r="G1089" s="482" t="str">
        <f>VLOOKUP(D1089,'03. Insumos'!A:F,3,0)</f>
        <v>rl</v>
      </c>
      <c r="H1089" s="483">
        <v>1.1000000000000001</v>
      </c>
      <c r="I1089" s="751">
        <f>$H$1081*0.5*0.02</f>
        <v>25.202811000000001</v>
      </c>
      <c r="J1089" s="485">
        <f>IFERROR(IF(K1089&lt;&gt;0,K1089*$K$5,0),0)</f>
        <v>70.806747999999985</v>
      </c>
      <c r="K1089" s="519">
        <f>IF(A1089=0,VLOOKUP(D1089,'03. Insumos'!A:F,4,0),"")</f>
        <v>70.806747999999985</v>
      </c>
      <c r="L1089" s="519">
        <f>H1089*J1089*I1089</f>
        <v>1962.9819961054907</v>
      </c>
      <c r="M1089" s="153">
        <f t="shared" ca="1" si="884"/>
        <v>1.1918978245929644E-4</v>
      </c>
      <c r="O1089" s="512">
        <f t="shared" si="918"/>
        <v>1962.9819961054905</v>
      </c>
      <c r="R1089" s="487">
        <f t="shared" si="919"/>
        <v>-2.0623324660194129</v>
      </c>
    </row>
    <row r="1090" spans="1:20" s="532" customFormat="1" outlineLevel="1" x14ac:dyDescent="0.3">
      <c r="A1090" s="13">
        <f t="shared" ref="A1090:A1092" si="931">LEN(C1090)</f>
        <v>0</v>
      </c>
      <c r="B1090" s="530"/>
      <c r="C1090" s="30"/>
      <c r="D1090" s="370" t="s">
        <v>190</v>
      </c>
      <c r="E1090" s="30" t="str">
        <f>VLOOKUP(D1090,'03. Insumos'!A:D,2,0)</f>
        <v>Argamassa revestimento externo 50kg</v>
      </c>
      <c r="F1090" s="670" t="s">
        <v>5218</v>
      </c>
      <c r="G1090" s="482" t="str">
        <f>VLOOKUP(D1090,'03. Insumos'!A:F,3,0)</f>
        <v>sc</v>
      </c>
      <c r="H1090" s="483">
        <v>1.1000000000000001</v>
      </c>
      <c r="I1090" s="751">
        <f>ROUNDUP((H1086/2.7)*5,0)</f>
        <v>4668</v>
      </c>
      <c r="J1090" s="519">
        <f>IFERROR(IF(K1090&lt;&gt;0,K1090*$K$5,0),0)</f>
        <v>36</v>
      </c>
      <c r="K1090" s="519">
        <f>IF(A1090=0,VLOOKUP(D1090,'03. Insumos'!A:F,4,0),"")</f>
        <v>36</v>
      </c>
      <c r="L1090" s="519">
        <f>H1090*J1090*I1090</f>
        <v>184852.80000000002</v>
      </c>
      <c r="M1090" s="153">
        <f t="shared" ca="1" si="884"/>
        <v>1.1224028066841122E-2</v>
      </c>
      <c r="O1090" s="512">
        <f t="shared" ref="O1090" si="932">IF(I1090&lt;&gt;0,I1090*H1090*K1090,)</f>
        <v>184852.80000000002</v>
      </c>
      <c r="R1090" s="487">
        <f t="shared" ref="R1090" si="933">IF(J1090&lt;&gt;0,J1090/1.03-K1090,0)</f>
        <v>-1.0485436893203897</v>
      </c>
    </row>
    <row r="1091" spans="1:20" s="478" customFormat="1" ht="13.5" customHeight="1" outlineLevel="1" x14ac:dyDescent="0.3">
      <c r="A1091" s="290">
        <f t="shared" si="931"/>
        <v>6</v>
      </c>
      <c r="B1091" s="489"/>
      <c r="C1091" s="391" t="s">
        <v>2932</v>
      </c>
      <c r="D1091" s="606" t="s">
        <v>6925</v>
      </c>
      <c r="E1091" s="391"/>
      <c r="F1091" s="490"/>
      <c r="G1091" s="490" t="s">
        <v>73</v>
      </c>
      <c r="H1091" s="326">
        <f>SUM(I1092:I1093)</f>
        <v>2520.2811000000002</v>
      </c>
      <c r="I1091" s="549"/>
      <c r="J1091" s="812">
        <f>L1091/H1091</f>
        <v>72</v>
      </c>
      <c r="K1091" s="492" t="str">
        <f>IF(A1091=0,VLOOKUP(D1091,'03. Insumos'!A:F,4,0),"")</f>
        <v/>
      </c>
      <c r="L1091" s="492">
        <f>SUMIF(A1092:A1093,0,L1092:L1093)</f>
        <v>181460.23920000001</v>
      </c>
      <c r="M1091" s="153">
        <f t="shared" ref="M1091:M1092" ca="1" si="934">L1091/$L$7</f>
        <v>1.101803606868007E-2</v>
      </c>
      <c r="O1091" s="512">
        <f>IF(I1091&lt;&gt;0,I1091*H1091*K1091,)</f>
        <v>0</v>
      </c>
      <c r="R1091" s="487" t="e">
        <f>IF(J1091&lt;&gt;0,J1091/1.03-K1091,0)</f>
        <v>#VALUE!</v>
      </c>
      <c r="T1091" s="478">
        <f>L1091/H1091</f>
        <v>72</v>
      </c>
    </row>
    <row r="1092" spans="1:20" s="486" customFormat="1" outlineLevel="1" x14ac:dyDescent="0.3">
      <c r="A1092" s="13">
        <f t="shared" si="931"/>
        <v>0</v>
      </c>
      <c r="B1092" s="480"/>
      <c r="C1092" s="480"/>
      <c r="D1092" s="370" t="s">
        <v>7926</v>
      </c>
      <c r="E1092" s="67" t="s">
        <v>8701</v>
      </c>
      <c r="F1092" s="482" t="s">
        <v>5218</v>
      </c>
      <c r="G1092" s="482" t="str">
        <f>VLOOKUP(D1092,'03. Insumos'!A:F,3,0)</f>
        <v>m²</v>
      </c>
      <c r="H1092" s="69">
        <v>1</v>
      </c>
      <c r="I1092" s="483">
        <v>2520.2811000000002</v>
      </c>
      <c r="J1092" s="70">
        <v>72</v>
      </c>
      <c r="K1092" s="485">
        <f>IF(A1092=0,VLOOKUP(D1092,'03. Insumos'!A:F,4,0),"")</f>
        <v>110</v>
      </c>
      <c r="L1092" s="485">
        <f>H1092*J1092*I1092</f>
        <v>181460.23920000001</v>
      </c>
      <c r="M1092" s="153">
        <f t="shared" ca="1" si="934"/>
        <v>1.101803606868007E-2</v>
      </c>
      <c r="O1092" s="512"/>
      <c r="R1092" s="487"/>
    </row>
    <row r="1093" spans="1:20" s="486" customFormat="1" hidden="1" outlineLevel="1" x14ac:dyDescent="0.3">
      <c r="A1093" s="13">
        <f t="shared" ref="A1093:A1104" si="935">LEN(C1093)</f>
        <v>0</v>
      </c>
      <c r="B1093" s="480"/>
      <c r="C1093" s="480"/>
      <c r="D1093" s="370" t="s">
        <v>7629</v>
      </c>
      <c r="E1093" s="67" t="s">
        <v>8449</v>
      </c>
      <c r="F1093" s="482" t="s">
        <v>5218</v>
      </c>
      <c r="G1093" s="482" t="str">
        <f>VLOOKUP(D1093,'03. Insumos'!A:F,3,0)</f>
        <v>m²</v>
      </c>
      <c r="H1093" s="69">
        <v>1</v>
      </c>
      <c r="I1093" s="483"/>
      <c r="J1093" s="70">
        <v>110</v>
      </c>
      <c r="K1093" s="485">
        <f>IF(A1093=0,VLOOKUP(D1093,'03. Insumos'!A:F,4,0),"")</f>
        <v>255</v>
      </c>
      <c r="L1093" s="485">
        <f>H1093*J1093*I1093</f>
        <v>0</v>
      </c>
      <c r="M1093" s="153">
        <f t="shared" ref="M1093:M1104" ca="1" si="936">L1093/$L$7</f>
        <v>0</v>
      </c>
      <c r="O1093" s="512"/>
      <c r="R1093" s="487"/>
    </row>
    <row r="1094" spans="1:20" s="478" customFormat="1" ht="13.5" hidden="1" customHeight="1" outlineLevel="1" x14ac:dyDescent="0.3">
      <c r="A1094" s="290">
        <f t="shared" si="935"/>
        <v>6</v>
      </c>
      <c r="B1094" s="489"/>
      <c r="C1094" s="391" t="s">
        <v>2933</v>
      </c>
      <c r="D1094" s="606" t="s">
        <v>7989</v>
      </c>
      <c r="E1094" s="391"/>
      <c r="F1094" s="490"/>
      <c r="G1094" s="490" t="s">
        <v>1376</v>
      </c>
      <c r="H1094" s="326">
        <f>SUM(I1095:I1095)</f>
        <v>0</v>
      </c>
      <c r="I1094" s="549"/>
      <c r="J1094" s="812" t="e">
        <f>L1094/H1094</f>
        <v>#DIV/0!</v>
      </c>
      <c r="K1094" s="492" t="str">
        <f>IF(A1094=0,VLOOKUP(D1094,'03. Insumos'!A:F,4,0),"")</f>
        <v/>
      </c>
      <c r="L1094" s="492">
        <f>SUMIF(A1095:A1095,0,L1095:L1095)</f>
        <v>0</v>
      </c>
      <c r="M1094" s="153">
        <f t="shared" ca="1" si="936"/>
        <v>0</v>
      </c>
      <c r="O1094" s="512">
        <f>IF(I1094&lt;&gt;0,I1094*H1094*K1094,)</f>
        <v>0</v>
      </c>
      <c r="R1094" s="487" t="e">
        <f>IF(J1094&lt;&gt;0,J1094/1.03-K1094,0)</f>
        <v>#DIV/0!</v>
      </c>
      <c r="T1094" s="478" t="e">
        <f>L1094/H1094</f>
        <v>#DIV/0!</v>
      </c>
    </row>
    <row r="1095" spans="1:20" s="486" customFormat="1" hidden="1" outlineLevel="1" x14ac:dyDescent="0.3">
      <c r="A1095" s="13">
        <f t="shared" si="935"/>
        <v>0</v>
      </c>
      <c r="B1095" s="480"/>
      <c r="C1095" s="480"/>
      <c r="D1095" s="370" t="s">
        <v>7935</v>
      </c>
      <c r="E1095" s="67" t="s">
        <v>8385</v>
      </c>
      <c r="F1095" s="482" t="s">
        <v>5218</v>
      </c>
      <c r="G1095" s="482" t="s">
        <v>1376</v>
      </c>
      <c r="H1095" s="69">
        <v>1</v>
      </c>
      <c r="I1095" s="483"/>
      <c r="J1095" s="70">
        <v>6849.4</v>
      </c>
      <c r="K1095" s="485">
        <f>IF(A1095=0,VLOOKUP(D1095,'03. Insumos'!A:F,4,0),"")</f>
        <v>350</v>
      </c>
      <c r="L1095" s="485">
        <f>H1095*J1095*I1095</f>
        <v>0</v>
      </c>
      <c r="M1095" s="153">
        <f t="shared" ca="1" si="936"/>
        <v>0</v>
      </c>
      <c r="O1095" s="512"/>
      <c r="R1095" s="487"/>
    </row>
    <row r="1096" spans="1:20" s="478" customFormat="1" hidden="1" outlineLevel="1" x14ac:dyDescent="0.3">
      <c r="A1096" s="290">
        <f t="shared" si="935"/>
        <v>6</v>
      </c>
      <c r="B1096" s="489"/>
      <c r="C1096" s="391" t="s">
        <v>8018</v>
      </c>
      <c r="D1096" s="606" t="s">
        <v>8020</v>
      </c>
      <c r="E1096" s="391"/>
      <c r="F1096" s="490"/>
      <c r="G1096" s="490" t="s">
        <v>73</v>
      </c>
      <c r="H1096" s="326">
        <f>SUM(I1097:I1097)</f>
        <v>0</v>
      </c>
      <c r="I1096" s="549"/>
      <c r="J1096" s="812" t="e">
        <f>L1096/H1096</f>
        <v>#DIV/0!</v>
      </c>
      <c r="K1096" s="492" t="str">
        <f>IF(A1096=0,VLOOKUP(D1096,'03. Insumos'!A:F,4,0),"")</f>
        <v/>
      </c>
      <c r="L1096" s="492">
        <f>SUMIF(A1097:A1104,0,L1097:L1104)</f>
        <v>0</v>
      </c>
      <c r="M1096" s="153">
        <f t="shared" ca="1" si="936"/>
        <v>0</v>
      </c>
      <c r="O1096" s="512">
        <f t="shared" ref="O1096:O1104" si="937">IF(I1096&lt;&gt;0,I1096*H1096*K1096,)</f>
        <v>0</v>
      </c>
      <c r="R1096" s="487" t="e">
        <f t="shared" ref="R1096:R1104" si="938">IF(J1096&lt;&gt;0,J1096/1.03-K1096,0)</f>
        <v>#DIV/0!</v>
      </c>
    </row>
    <row r="1097" spans="1:20" s="532" customFormat="1" hidden="1" outlineLevel="1" x14ac:dyDescent="0.3">
      <c r="A1097" s="13">
        <f t="shared" si="935"/>
        <v>0</v>
      </c>
      <c r="B1097" s="530"/>
      <c r="C1097" s="30"/>
      <c r="D1097" s="748" t="s">
        <v>7601</v>
      </c>
      <c r="E1097" s="30" t="str">
        <f>VLOOKUP(D1097,'03. Insumos'!A:D,2,0)</f>
        <v>Revestimento de Porcelanto Externo  - Mão de Obra</v>
      </c>
      <c r="F1097" s="531" t="s">
        <v>2599</v>
      </c>
      <c r="G1097" s="482" t="str">
        <f>VLOOKUP(D1097,'03. Insumos'!A:F,3,0)</f>
        <v>m²</v>
      </c>
      <c r="H1097" s="483">
        <v>1</v>
      </c>
      <c r="I1097" s="751">
        <f>SUM(I1098:I1100)</f>
        <v>0</v>
      </c>
      <c r="J1097" s="70">
        <f t="shared" ref="J1097:J1104" si="939">IFERROR(IF(K1097&lt;&gt;0,K1097*$K$5,0),0)</f>
        <v>110</v>
      </c>
      <c r="K1097" s="519">
        <f>IF(A1097=0,VLOOKUP(D1097,'03. Insumos'!A:F,4,0),"")</f>
        <v>110</v>
      </c>
      <c r="L1097" s="519">
        <f t="shared" ref="L1097:L1104" si="940">H1097*J1097*I1097</f>
        <v>0</v>
      </c>
      <c r="M1097" s="153">
        <f t="shared" ca="1" si="936"/>
        <v>0</v>
      </c>
      <c r="O1097" s="512">
        <f t="shared" si="937"/>
        <v>0</v>
      </c>
      <c r="R1097" s="487">
        <f t="shared" si="938"/>
        <v>-3.2038834951456323</v>
      </c>
    </row>
    <row r="1098" spans="1:20" s="532" customFormat="1" hidden="1" outlineLevel="1" x14ac:dyDescent="0.3">
      <c r="A1098" s="13">
        <f t="shared" si="935"/>
        <v>0</v>
      </c>
      <c r="B1098" s="530"/>
      <c r="C1098" s="30"/>
      <c r="D1098" s="748" t="s">
        <v>5855</v>
      </c>
      <c r="E1098" s="30" t="s">
        <v>8450</v>
      </c>
      <c r="F1098" s="531" t="s">
        <v>2599</v>
      </c>
      <c r="G1098" s="482" t="str">
        <f>VLOOKUP(D1098,'03. Insumos'!A:F,3,0)</f>
        <v>m²</v>
      </c>
      <c r="H1098" s="483">
        <v>1.2</v>
      </c>
      <c r="I1098" s="751"/>
      <c r="J1098" s="70">
        <f>88.46+11.73</f>
        <v>100.19</v>
      </c>
      <c r="K1098" s="519">
        <f>IF(A1098=0,VLOOKUP(D1098,'03. Insumos'!A:F,4,0),"")</f>
        <v>168.59</v>
      </c>
      <c r="L1098" s="519">
        <f t="shared" si="940"/>
        <v>0</v>
      </c>
      <c r="M1098" s="153">
        <f t="shared" ca="1" si="936"/>
        <v>0</v>
      </c>
      <c r="O1098" s="512">
        <f t="shared" si="937"/>
        <v>0</v>
      </c>
      <c r="R1098" s="487">
        <f t="shared" si="938"/>
        <v>-71.318155339805827</v>
      </c>
    </row>
    <row r="1099" spans="1:20" s="532" customFormat="1" hidden="1" outlineLevel="1" x14ac:dyDescent="0.3">
      <c r="A1099" s="13">
        <f t="shared" ref="A1099" si="941">LEN(C1099)</f>
        <v>0</v>
      </c>
      <c r="B1099" s="530"/>
      <c r="C1099" s="30"/>
      <c r="D1099" s="748" t="s">
        <v>5856</v>
      </c>
      <c r="E1099" s="30" t="s">
        <v>8451</v>
      </c>
      <c r="F1099" s="531" t="s">
        <v>2599</v>
      </c>
      <c r="G1099" s="482" t="str">
        <f>VLOOKUP(D1099,'03. Insumos'!A:F,3,0)</f>
        <v>m²</v>
      </c>
      <c r="H1099" s="483">
        <v>1.2</v>
      </c>
      <c r="I1099" s="751"/>
      <c r="J1099" s="70">
        <f>98.99+11.73</f>
        <v>110.72</v>
      </c>
      <c r="K1099" s="519">
        <f>IF(A1099=0,VLOOKUP(D1099,'03. Insumos'!A:F,4,0),"")</f>
        <v>90.84532999999999</v>
      </c>
      <c r="L1099" s="519">
        <f t="shared" ref="L1099" si="942">H1099*J1099*I1099</f>
        <v>0</v>
      </c>
      <c r="M1099" s="153">
        <f t="shared" ref="M1099" ca="1" si="943">L1099/$L$7</f>
        <v>0</v>
      </c>
      <c r="O1099" s="512">
        <f t="shared" ref="O1099" si="944">IF(I1099&lt;&gt;0,I1099*H1099*K1099,)</f>
        <v>0</v>
      </c>
      <c r="R1099" s="487">
        <f t="shared" ref="R1099" si="945">IF(J1099&lt;&gt;0,J1099/1.03-K1099,0)</f>
        <v>16.649815631067966</v>
      </c>
    </row>
    <row r="1100" spans="1:20" s="532" customFormat="1" hidden="1" outlineLevel="1" x14ac:dyDescent="0.3">
      <c r="A1100" s="13">
        <f t="shared" si="935"/>
        <v>0</v>
      </c>
      <c r="B1100" s="530"/>
      <c r="C1100" s="30"/>
      <c r="D1100" s="748" t="s">
        <v>5857</v>
      </c>
      <c r="E1100" s="30" t="s">
        <v>8386</v>
      </c>
      <c r="F1100" s="531" t="s">
        <v>2599</v>
      </c>
      <c r="G1100" s="482" t="str">
        <f>VLOOKUP(D1100,'03. Insumos'!A:F,3,0)</f>
        <v>m²</v>
      </c>
      <c r="H1100" s="483">
        <v>1.3</v>
      </c>
      <c r="I1100" s="751"/>
      <c r="J1100" s="70">
        <f>84.15+10.4</f>
        <v>94.550000000000011</v>
      </c>
      <c r="K1100" s="519">
        <f>IF(A1100=0,VLOOKUP(D1100,'03. Insumos'!A:F,4,0),"")</f>
        <v>120.39</v>
      </c>
      <c r="L1100" s="519">
        <f t="shared" si="940"/>
        <v>0</v>
      </c>
      <c r="M1100" s="153">
        <f t="shared" ca="1" si="936"/>
        <v>0</v>
      </c>
      <c r="O1100" s="512">
        <f t="shared" si="937"/>
        <v>0</v>
      </c>
      <c r="R1100" s="487">
        <f t="shared" si="938"/>
        <v>-28.593883495145619</v>
      </c>
    </row>
    <row r="1101" spans="1:20" s="532" customFormat="1" hidden="1" outlineLevel="1" x14ac:dyDescent="0.3">
      <c r="A1101" s="13">
        <f t="shared" si="935"/>
        <v>0</v>
      </c>
      <c r="B1101" s="530"/>
      <c r="C1101" s="30"/>
      <c r="D1101" s="748" t="s">
        <v>7927</v>
      </c>
      <c r="E1101" s="30" t="str">
        <f>VLOOKUP(D1101,'03. Insumos'!A:D,2,0)</f>
        <v>Argamassa Super Formatos e Pedras Especiais - Cinza 20kg</v>
      </c>
      <c r="F1101" s="531" t="s">
        <v>2599</v>
      </c>
      <c r="G1101" s="482" t="str">
        <f>VLOOKUP(D1101,'03. Insumos'!A:F,3,0)</f>
        <v>sc</v>
      </c>
      <c r="H1101" s="483">
        <v>1.1000000000000001</v>
      </c>
      <c r="I1101" s="751">
        <f>ROUNDUP(((H1096*9)/20),0)</f>
        <v>0</v>
      </c>
      <c r="J1101" s="70">
        <f t="shared" si="939"/>
        <v>47.84</v>
      </c>
      <c r="K1101" s="519">
        <f>IF(A1101=0,VLOOKUP(D1101,'03. Insumos'!A:F,4,0),"")</f>
        <v>47.84</v>
      </c>
      <c r="L1101" s="519">
        <f t="shared" si="940"/>
        <v>0</v>
      </c>
      <c r="M1101" s="153">
        <f t="shared" ca="1" si="936"/>
        <v>0</v>
      </c>
      <c r="O1101" s="512">
        <f t="shared" si="937"/>
        <v>0</v>
      </c>
      <c r="R1101" s="487">
        <f t="shared" si="938"/>
        <v>-1.3933980582524299</v>
      </c>
    </row>
    <row r="1102" spans="1:20" s="532" customFormat="1" hidden="1" outlineLevel="1" x14ac:dyDescent="0.3">
      <c r="A1102" s="13">
        <f t="shared" si="935"/>
        <v>0</v>
      </c>
      <c r="B1102" s="530"/>
      <c r="C1102" s="30"/>
      <c r="D1102" s="748" t="s">
        <v>7928</v>
      </c>
      <c r="E1102" s="30" t="str">
        <f>VLOOKUP(D1102,'03. Insumos'!A:D,2,0)</f>
        <v>Rejunte Porcelanato e Pedras - Cinza 1kg</v>
      </c>
      <c r="F1102" s="531" t="s">
        <v>2599</v>
      </c>
      <c r="G1102" s="482" t="str">
        <f>VLOOKUP(D1102,'03. Insumos'!A:F,3,0)</f>
        <v>sc</v>
      </c>
      <c r="H1102" s="483">
        <v>1.1000000000000001</v>
      </c>
      <c r="I1102" s="751">
        <f>ROUNDUP(((H1096/8)),0)</f>
        <v>0</v>
      </c>
      <c r="J1102" s="485">
        <f t="shared" si="939"/>
        <v>23.9</v>
      </c>
      <c r="K1102" s="519">
        <f>IF(A1102=0,VLOOKUP(D1102,'03. Insumos'!A:F,4,0),"")</f>
        <v>23.9</v>
      </c>
      <c r="L1102" s="519">
        <f t="shared" si="940"/>
        <v>0</v>
      </c>
      <c r="M1102" s="153">
        <f t="shared" ca="1" si="936"/>
        <v>0</v>
      </c>
      <c r="O1102" s="512">
        <f t="shared" si="937"/>
        <v>0</v>
      </c>
      <c r="R1102" s="487">
        <f t="shared" si="938"/>
        <v>-0.69611650485436982</v>
      </c>
    </row>
    <row r="1103" spans="1:20" s="532" customFormat="1" hidden="1" outlineLevel="1" x14ac:dyDescent="0.3">
      <c r="A1103" s="13">
        <f t="shared" si="935"/>
        <v>0</v>
      </c>
      <c r="B1103" s="530"/>
      <c r="C1103" s="30"/>
      <c r="D1103" s="748" t="s">
        <v>7447</v>
      </c>
      <c r="E1103" s="30" t="str">
        <f>VLOOKUP(D1103,'03. Insumos'!A:D,2,0)</f>
        <v>Nivelador de piso - Clips</v>
      </c>
      <c r="F1103" s="531" t="s">
        <v>2599</v>
      </c>
      <c r="G1103" s="482" t="str">
        <f>VLOOKUP(D1103,'03. Insumos'!A:F,3,0)</f>
        <v>unid</v>
      </c>
      <c r="H1103" s="483">
        <v>1.1000000000000001</v>
      </c>
      <c r="I1103" s="751">
        <f>ROUNDUP(H1096*12,0)</f>
        <v>0</v>
      </c>
      <c r="J1103" s="485">
        <f t="shared" si="939"/>
        <v>0.25</v>
      </c>
      <c r="K1103" s="519">
        <f>IF(A1103=0,VLOOKUP(D1103,'03. Insumos'!A:F,4,0),"")</f>
        <v>0.25</v>
      </c>
      <c r="L1103" s="519">
        <f t="shared" si="940"/>
        <v>0</v>
      </c>
      <c r="M1103" s="153">
        <f t="shared" ca="1" si="936"/>
        <v>0</v>
      </c>
      <c r="O1103" s="512">
        <f t="shared" si="937"/>
        <v>0</v>
      </c>
      <c r="R1103" s="487">
        <f t="shared" si="938"/>
        <v>-7.2815533980582492E-3</v>
      </c>
    </row>
    <row r="1104" spans="1:20" s="532" customFormat="1" hidden="1" outlineLevel="1" x14ac:dyDescent="0.3">
      <c r="A1104" s="13">
        <f t="shared" si="935"/>
        <v>0</v>
      </c>
      <c r="B1104" s="530"/>
      <c r="C1104" s="30"/>
      <c r="D1104" s="748" t="s">
        <v>7448</v>
      </c>
      <c r="E1104" s="30" t="str">
        <f>VLOOKUP(D1104,'03. Insumos'!A:D,2,0)</f>
        <v>Nivelador de piso - Cunha</v>
      </c>
      <c r="F1104" s="531" t="s">
        <v>2599</v>
      </c>
      <c r="G1104" s="482" t="str">
        <f>VLOOKUP(D1104,'03. Insumos'!A:F,3,0)</f>
        <v>unid</v>
      </c>
      <c r="H1104" s="483">
        <v>1.1000000000000001</v>
      </c>
      <c r="I1104" s="751">
        <f>ROUNDUP(H1096*12/4,0)</f>
        <v>0</v>
      </c>
      <c r="J1104" s="485">
        <f t="shared" si="939"/>
        <v>0.49000000000000005</v>
      </c>
      <c r="K1104" s="519">
        <f>IF(A1104=0,VLOOKUP(D1104,'03. Insumos'!A:F,4,0),"")</f>
        <v>0.49000000000000005</v>
      </c>
      <c r="L1104" s="519">
        <f t="shared" si="940"/>
        <v>0</v>
      </c>
      <c r="M1104" s="153">
        <f t="shared" ca="1" si="936"/>
        <v>0</v>
      </c>
      <c r="O1104" s="512">
        <f t="shared" si="937"/>
        <v>0</v>
      </c>
      <c r="R1104" s="487">
        <f t="shared" si="938"/>
        <v>-1.4271844660194211E-2</v>
      </c>
    </row>
    <row r="1105" spans="1:18" s="478" customFormat="1" hidden="1" outlineLevel="1" x14ac:dyDescent="0.3">
      <c r="A1105" s="290">
        <f t="shared" si="831"/>
        <v>6</v>
      </c>
      <c r="B1105" s="489"/>
      <c r="C1105" s="391" t="s">
        <v>8019</v>
      </c>
      <c r="D1105" s="606" t="s">
        <v>7972</v>
      </c>
      <c r="E1105" s="391"/>
      <c r="F1105" s="490"/>
      <c r="G1105" s="490" t="s">
        <v>73</v>
      </c>
      <c r="H1105" s="326">
        <f>SUM(I1106:I1106)</f>
        <v>0</v>
      </c>
      <c r="I1105" s="549"/>
      <c r="J1105" s="812" t="e">
        <f>L1105/H1105</f>
        <v>#DIV/0!</v>
      </c>
      <c r="K1105" s="492" t="str">
        <f>IF(A1105=0,VLOOKUP(D1105,'03. Insumos'!A:F,4,0),"")</f>
        <v/>
      </c>
      <c r="L1105" s="492">
        <f>SUMIF(A1106:A1114,0,L1106:L1114)</f>
        <v>0</v>
      </c>
      <c r="M1105" s="153">
        <f t="shared" ca="1" si="884"/>
        <v>0</v>
      </c>
      <c r="O1105" s="512">
        <f t="shared" si="918"/>
        <v>0</v>
      </c>
      <c r="R1105" s="487" t="e">
        <f t="shared" si="919"/>
        <v>#DIV/0!</v>
      </c>
    </row>
    <row r="1106" spans="1:18" s="532" customFormat="1" hidden="1" outlineLevel="1" x14ac:dyDescent="0.3">
      <c r="A1106" s="13">
        <f t="shared" si="831"/>
        <v>0</v>
      </c>
      <c r="B1106" s="530"/>
      <c r="C1106" s="30"/>
      <c r="D1106" s="748" t="s">
        <v>7995</v>
      </c>
      <c r="E1106" s="30" t="str">
        <f>VLOOKUP(D1106,'03. Insumos'!A:D,2,0)</f>
        <v>Revestimento de Porcelanto Externo com Fixação Mecânica - Mão de Obra</v>
      </c>
      <c r="F1106" s="531" t="s">
        <v>2599</v>
      </c>
      <c r="G1106" s="482" t="str">
        <f>VLOOKUP(D1106,'03. Insumos'!A:F,3,0)</f>
        <v>m²</v>
      </c>
      <c r="H1106" s="483">
        <v>1</v>
      </c>
      <c r="I1106" s="751"/>
      <c r="J1106" s="70">
        <f t="shared" ref="J1106:J1114" si="946">IFERROR(IF(K1106&lt;&gt;0,K1106*$K$5,0),0)</f>
        <v>180</v>
      </c>
      <c r="K1106" s="519">
        <f>IF(A1106=0,VLOOKUP(D1106,'03. Insumos'!A:F,4,0),"")</f>
        <v>180</v>
      </c>
      <c r="L1106" s="519">
        <f t="shared" ref="L1106:L1114" si="947">H1106*J1106*I1106</f>
        <v>0</v>
      </c>
      <c r="M1106" s="153">
        <f t="shared" ca="1" si="884"/>
        <v>0</v>
      </c>
      <c r="O1106" s="512">
        <f t="shared" si="918"/>
        <v>0</v>
      </c>
      <c r="R1106" s="487">
        <f t="shared" si="919"/>
        <v>-5.2427184466019412</v>
      </c>
    </row>
    <row r="1107" spans="1:18" s="532" customFormat="1" hidden="1" outlineLevel="1" x14ac:dyDescent="0.3">
      <c r="A1107" s="13">
        <f t="shared" ref="A1107" si="948">LEN(C1107)</f>
        <v>0</v>
      </c>
      <c r="B1107" s="530"/>
      <c r="C1107" s="30"/>
      <c r="D1107" s="748" t="s">
        <v>5855</v>
      </c>
      <c r="E1107" s="30" t="str">
        <f>VLOOKUP(D1107,'03. Insumos'!A:D,2,0)</f>
        <v>Porcelanato Eliane FGMF Risca Taipa EXT 60 X 120 cm</v>
      </c>
      <c r="F1107" s="531" t="s">
        <v>2599</v>
      </c>
      <c r="G1107" s="482" t="str">
        <f>VLOOKUP(D1107,'03. Insumos'!A:F,3,0)</f>
        <v>m²</v>
      </c>
      <c r="H1107" s="483">
        <v>1.3</v>
      </c>
      <c r="I1107" s="751"/>
      <c r="J1107" s="70">
        <f t="shared" ref="J1107" si="949">IFERROR(IF(K1107&lt;&gt;0,K1107*$K$5,0),0)</f>
        <v>168.59</v>
      </c>
      <c r="K1107" s="519">
        <f>IF(A1107=0,VLOOKUP(D1107,'03. Insumos'!A:F,4,0),"")</f>
        <v>168.59</v>
      </c>
      <c r="L1107" s="519">
        <f t="shared" ref="L1107" si="950">H1107*J1107*I1107</f>
        <v>0</v>
      </c>
      <c r="M1107" s="153">
        <f t="shared" ref="M1107" ca="1" si="951">L1107/$L$7</f>
        <v>0</v>
      </c>
      <c r="O1107" s="512">
        <f t="shared" ref="O1107" si="952">IF(I1107&lt;&gt;0,I1107*H1107*K1107,)</f>
        <v>0</v>
      </c>
      <c r="R1107" s="487">
        <f t="shared" ref="R1107" si="953">IF(J1107&lt;&gt;0,J1107/1.03-K1107,0)</f>
        <v>-4.9103883495145624</v>
      </c>
    </row>
    <row r="1108" spans="1:18" s="532" customFormat="1" hidden="1" outlineLevel="1" x14ac:dyDescent="0.3">
      <c r="A1108" s="13">
        <f t="shared" si="831"/>
        <v>0</v>
      </c>
      <c r="B1108" s="530"/>
      <c r="C1108" s="30"/>
      <c r="D1108" s="748" t="s">
        <v>7927</v>
      </c>
      <c r="E1108" s="30" t="str">
        <f>VLOOKUP(D1108,'03. Insumos'!A:D,2,0)</f>
        <v>Argamassa Super Formatos e Pedras Especiais - Cinza 20kg</v>
      </c>
      <c r="F1108" s="531" t="s">
        <v>2599</v>
      </c>
      <c r="G1108" s="482" t="str">
        <f>VLOOKUP(D1108,'03. Insumos'!A:F,3,0)</f>
        <v>sc</v>
      </c>
      <c r="H1108" s="483">
        <v>1.1000000000000001</v>
      </c>
      <c r="I1108" s="751">
        <f>ROUNDUP(((H1105*9)/20),0)</f>
        <v>0</v>
      </c>
      <c r="J1108" s="70">
        <f t="shared" si="946"/>
        <v>47.84</v>
      </c>
      <c r="K1108" s="519">
        <f>IF(A1108=0,VLOOKUP(D1108,'03. Insumos'!A:F,4,0),"")</f>
        <v>47.84</v>
      </c>
      <c r="L1108" s="519">
        <f t="shared" si="947"/>
        <v>0</v>
      </c>
      <c r="M1108" s="153">
        <f t="shared" ca="1" si="884"/>
        <v>0</v>
      </c>
      <c r="O1108" s="512">
        <f t="shared" si="918"/>
        <v>0</v>
      </c>
      <c r="R1108" s="487">
        <f t="shared" si="919"/>
        <v>-1.3933980582524299</v>
      </c>
    </row>
    <row r="1109" spans="1:18" s="532" customFormat="1" hidden="1" outlineLevel="1" x14ac:dyDescent="0.3">
      <c r="A1109" s="13">
        <f t="shared" ref="A1109" si="954">LEN(C1109)</f>
        <v>0</v>
      </c>
      <c r="B1109" s="530"/>
      <c r="C1109" s="30"/>
      <c r="D1109" s="748" t="s">
        <v>7928</v>
      </c>
      <c r="E1109" s="30" t="str">
        <f>VLOOKUP(D1109,'03. Insumos'!A:D,2,0)</f>
        <v>Rejunte Porcelanato e Pedras - Cinza 1kg</v>
      </c>
      <c r="F1109" s="531" t="s">
        <v>2599</v>
      </c>
      <c r="G1109" s="482" t="str">
        <f>VLOOKUP(D1109,'03. Insumos'!A:F,3,0)</f>
        <v>sc</v>
      </c>
      <c r="H1109" s="483">
        <v>1.1000000000000001</v>
      </c>
      <c r="I1109" s="751">
        <f>ROUNDUP(((H1105/8)),0)</f>
        <v>0</v>
      </c>
      <c r="J1109" s="485">
        <f t="shared" si="946"/>
        <v>23.9</v>
      </c>
      <c r="K1109" s="519">
        <f>IF(A1109=0,VLOOKUP(D1109,'03. Insumos'!A:F,4,0),"")</f>
        <v>23.9</v>
      </c>
      <c r="L1109" s="519">
        <f t="shared" si="947"/>
        <v>0</v>
      </c>
      <c r="M1109" s="153">
        <f t="shared" ref="M1109" ca="1" si="955">L1109/$L$7</f>
        <v>0</v>
      </c>
      <c r="O1109" s="512">
        <f t="shared" ref="O1109" si="956">IF(I1109&lt;&gt;0,I1109*H1109*K1109,)</f>
        <v>0</v>
      </c>
      <c r="R1109" s="487">
        <f t="shared" ref="R1109" si="957">IF(J1109&lt;&gt;0,J1109/1.03-K1109,0)</f>
        <v>-0.69611650485436982</v>
      </c>
    </row>
    <row r="1110" spans="1:18" s="532" customFormat="1" hidden="1" outlineLevel="1" x14ac:dyDescent="0.3">
      <c r="A1110" s="13">
        <f t="shared" si="831"/>
        <v>0</v>
      </c>
      <c r="B1110" s="530"/>
      <c r="C1110" s="30"/>
      <c r="D1110" s="748" t="s">
        <v>7929</v>
      </c>
      <c r="E1110" s="30" t="str">
        <f>VLOOKUP(D1110,'03. Insumos'!A:D,2,0)</f>
        <v>Raimondi Rai Cut</v>
      </c>
      <c r="F1110" s="531" t="s">
        <v>2599</v>
      </c>
      <c r="G1110" s="482" t="str">
        <f>VLOOKUP(D1110,'03. Insumos'!A:F,3,0)</f>
        <v>unid</v>
      </c>
      <c r="H1110" s="483"/>
      <c r="I1110" s="751">
        <v>1</v>
      </c>
      <c r="J1110" s="485">
        <f t="shared" ref="J1110:J1111" si="958">IFERROR(IF(K1110&lt;&gt;0,K1110*$K$5,0),0)</f>
        <v>2458.8000000000002</v>
      </c>
      <c r="K1110" s="519">
        <f>IF(A1110=0,VLOOKUP(D1110,'03. Insumos'!A:F,4,0),"")</f>
        <v>2458.8000000000002</v>
      </c>
      <c r="L1110" s="519">
        <f t="shared" ref="L1110:L1111" si="959">H1110*J1110*I1110</f>
        <v>0</v>
      </c>
      <c r="M1110" s="153">
        <f t="shared" ca="1" si="884"/>
        <v>0</v>
      </c>
      <c r="O1110" s="512">
        <f t="shared" si="918"/>
        <v>0</v>
      </c>
      <c r="R1110" s="487">
        <f t="shared" si="919"/>
        <v>-71.615533980582768</v>
      </c>
    </row>
    <row r="1111" spans="1:18" s="532" customFormat="1" hidden="1" outlineLevel="1" x14ac:dyDescent="0.3">
      <c r="A1111" s="13">
        <f t="shared" si="831"/>
        <v>0</v>
      </c>
      <c r="B1111" s="530"/>
      <c r="C1111" s="30"/>
      <c r="D1111" s="748" t="s">
        <v>7930</v>
      </c>
      <c r="E1111" s="30" t="str">
        <f>VLOOKUP(D1111,'03. Insumos'!A:D,2,0)</f>
        <v>Disco Diamantado Cortes Precisos CFX Rai-Cut</v>
      </c>
      <c r="F1111" s="531" t="s">
        <v>2599</v>
      </c>
      <c r="G1111" s="482" t="str">
        <f>VLOOKUP(D1111,'03. Insumos'!A:F,3,0)</f>
        <v>unid</v>
      </c>
      <c r="H1111" s="483">
        <v>1</v>
      </c>
      <c r="I1111" s="751">
        <f>ROUNDUP(((H1105/20)),0)</f>
        <v>0</v>
      </c>
      <c r="J1111" s="485">
        <f t="shared" si="958"/>
        <v>43.6</v>
      </c>
      <c r="K1111" s="519">
        <f>IF(A1111=0,VLOOKUP(D1111,'03. Insumos'!A:F,4,0),"")</f>
        <v>43.6</v>
      </c>
      <c r="L1111" s="519">
        <f t="shared" si="959"/>
        <v>0</v>
      </c>
      <c r="M1111" s="153">
        <f t="shared" ca="1" si="884"/>
        <v>0</v>
      </c>
      <c r="O1111" s="512">
        <f t="shared" si="918"/>
        <v>0</v>
      </c>
      <c r="R1111" s="487">
        <f t="shared" si="919"/>
        <v>-1.2699029126213617</v>
      </c>
    </row>
    <row r="1112" spans="1:18" s="532" customFormat="1" hidden="1" outlineLevel="1" x14ac:dyDescent="0.3">
      <c r="A1112" s="13">
        <f t="shared" ref="A1112" si="960">LEN(C1112)</f>
        <v>0</v>
      </c>
      <c r="B1112" s="530"/>
      <c r="C1112" s="30"/>
      <c r="D1112" s="748" t="s">
        <v>7931</v>
      </c>
      <c r="E1112" s="30" t="str">
        <f>VLOOKUP(D1112,'03. Insumos'!A:D,2,0)</f>
        <v>Grancho de Segurança para Fixação CFX Rai-Cut 8mm</v>
      </c>
      <c r="F1112" s="531" t="s">
        <v>2599</v>
      </c>
      <c r="G1112" s="482" t="str">
        <f>VLOOKUP(D1112,'03. Insumos'!A:F,3,0)</f>
        <v>cx</v>
      </c>
      <c r="H1112" s="483"/>
      <c r="I1112" s="751">
        <f>2100/50</f>
        <v>42</v>
      </c>
      <c r="J1112" s="485">
        <f t="shared" si="946"/>
        <v>1561.194</v>
      </c>
      <c r="K1112" s="519">
        <f>IF(A1112=0,VLOOKUP(D1112,'03. Insumos'!A:F,4,0),"")</f>
        <v>1561.194</v>
      </c>
      <c r="L1112" s="519">
        <f t="shared" si="947"/>
        <v>0</v>
      </c>
      <c r="M1112" s="153">
        <f t="shared" ref="M1112" ca="1" si="961">L1112/$L$7</f>
        <v>0</v>
      </c>
      <c r="O1112" s="512">
        <f t="shared" ref="O1112" si="962">IF(I1112&lt;&gt;0,I1112*H1112*K1112,)</f>
        <v>0</v>
      </c>
      <c r="R1112" s="487">
        <f t="shared" ref="R1112" si="963">IF(J1112&lt;&gt;0,J1112/1.03-K1112,0)</f>
        <v>-45.471669902912708</v>
      </c>
    </row>
    <row r="1113" spans="1:18" s="532" customFormat="1" hidden="1" outlineLevel="1" x14ac:dyDescent="0.3">
      <c r="A1113" s="13">
        <f t="shared" ref="A1113" si="964">LEN(C1113)</f>
        <v>0</v>
      </c>
      <c r="B1113" s="530"/>
      <c r="C1113" s="30"/>
      <c r="D1113" s="748" t="s">
        <v>7447</v>
      </c>
      <c r="E1113" s="30" t="str">
        <f>VLOOKUP(D1113,'03. Insumos'!A:D,2,0)</f>
        <v>Nivelador de piso - Clips</v>
      </c>
      <c r="F1113" s="531" t="s">
        <v>2599</v>
      </c>
      <c r="G1113" s="482" t="str">
        <f>VLOOKUP(D1113,'03. Insumos'!A:F,3,0)</f>
        <v>unid</v>
      </c>
      <c r="H1113" s="483">
        <v>1.1000000000000001</v>
      </c>
      <c r="I1113" s="751">
        <f>ROUNDUP(H1105*12,0)</f>
        <v>0</v>
      </c>
      <c r="J1113" s="485">
        <f t="shared" si="946"/>
        <v>0.25</v>
      </c>
      <c r="K1113" s="519">
        <f>IF(A1113=0,VLOOKUP(D1113,'03. Insumos'!A:F,4,0),"")</f>
        <v>0.25</v>
      </c>
      <c r="L1113" s="519">
        <f t="shared" si="947"/>
        <v>0</v>
      </c>
      <c r="M1113" s="153">
        <f t="shared" ref="M1113" ca="1" si="965">L1113/$L$7</f>
        <v>0</v>
      </c>
      <c r="O1113" s="512">
        <f t="shared" ref="O1113" si="966">IF(I1113&lt;&gt;0,I1113*H1113*K1113,)</f>
        <v>0</v>
      </c>
      <c r="R1113" s="487">
        <f t="shared" ref="R1113" si="967">IF(J1113&lt;&gt;0,J1113/1.03-K1113,0)</f>
        <v>-7.2815533980582492E-3</v>
      </c>
    </row>
    <row r="1114" spans="1:18" s="532" customFormat="1" hidden="1" outlineLevel="1" x14ac:dyDescent="0.3">
      <c r="A1114" s="13">
        <f t="shared" si="831"/>
        <v>0</v>
      </c>
      <c r="B1114" s="530"/>
      <c r="C1114" s="30"/>
      <c r="D1114" s="748" t="s">
        <v>7448</v>
      </c>
      <c r="E1114" s="30" t="str">
        <f>VLOOKUP(D1114,'03. Insumos'!A:D,2,0)</f>
        <v>Nivelador de piso - Cunha</v>
      </c>
      <c r="F1114" s="531" t="s">
        <v>2599</v>
      </c>
      <c r="G1114" s="482" t="str">
        <f>VLOOKUP(D1114,'03. Insumos'!A:F,3,0)</f>
        <v>unid</v>
      </c>
      <c r="H1114" s="483">
        <v>1.1000000000000001</v>
      </c>
      <c r="I1114" s="751">
        <f>ROUNDUP(H1105*12/4,0)</f>
        <v>0</v>
      </c>
      <c r="J1114" s="485">
        <f t="shared" si="946"/>
        <v>0.49000000000000005</v>
      </c>
      <c r="K1114" s="519">
        <f>IF(A1114=0,VLOOKUP(D1114,'03. Insumos'!A:F,4,0),"")</f>
        <v>0.49000000000000005</v>
      </c>
      <c r="L1114" s="519">
        <f t="shared" si="947"/>
        <v>0</v>
      </c>
      <c r="M1114" s="153">
        <f t="shared" ca="1" si="884"/>
        <v>0</v>
      </c>
      <c r="O1114" s="512">
        <f t="shared" si="918"/>
        <v>0</v>
      </c>
      <c r="R1114" s="487">
        <f t="shared" si="919"/>
        <v>-1.4271844660194211E-2</v>
      </c>
    </row>
    <row r="1115" spans="1:18" s="18" customFormat="1" ht="13.5" hidden="1" customHeight="1" outlineLevel="1" x14ac:dyDescent="0.3">
      <c r="A1115" s="18">
        <f t="shared" si="831"/>
        <v>6</v>
      </c>
      <c r="B1115" s="606"/>
      <c r="C1115" s="391" t="s">
        <v>8021</v>
      </c>
      <c r="D1115" s="391" t="s">
        <v>6366</v>
      </c>
      <c r="E1115" s="391"/>
      <c r="F1115" s="325"/>
      <c r="G1115" s="325" t="s">
        <v>6372</v>
      </c>
      <c r="H1115" s="326"/>
      <c r="I1115" s="326"/>
      <c r="J1115" s="673"/>
      <c r="K1115" s="519" t="str">
        <f>IF(A1115=0,VLOOKUP(D1115,'03. Insumos'!A:F,4,0),"")</f>
        <v/>
      </c>
      <c r="L1115" s="492">
        <f ca="1">SUMIF(A1116:A1123,0,L1116:L1119)</f>
        <v>0</v>
      </c>
      <c r="M1115" s="153">
        <f t="shared" ca="1" si="884"/>
        <v>0</v>
      </c>
      <c r="O1115" s="600">
        <f>IF(I1115&lt;&gt;0,I1115*H1115*K1115,)</f>
        <v>0</v>
      </c>
      <c r="R1115" s="601">
        <f>IF(J1115&lt;&gt;0,J1115/1.03-K1115,0)</f>
        <v>0</v>
      </c>
    </row>
    <row r="1116" spans="1:18" ht="13.5" hidden="1" customHeight="1" outlineLevel="1" x14ac:dyDescent="0.3">
      <c r="A1116" s="13">
        <f t="shared" si="831"/>
        <v>0</v>
      </c>
      <c r="B1116" s="4"/>
      <c r="C1116" s="4"/>
      <c r="D1116" s="370" t="s">
        <v>6148</v>
      </c>
      <c r="E1116" s="30" t="str">
        <f>VLOOKUP(D1116,'03. Insumos'!A:D,2,0)</f>
        <v>Andaime Suspenso Leve - Aluguel</v>
      </c>
      <c r="F1116" s="68" t="s">
        <v>5218</v>
      </c>
      <c r="G1116" s="482" t="str">
        <f>VLOOKUP(D1116,'03. Insumos'!A:F,3,0)</f>
        <v>mês</v>
      </c>
      <c r="H1116" s="69">
        <v>3</v>
      </c>
      <c r="I1116" s="69"/>
      <c r="J1116" s="70">
        <v>700</v>
      </c>
      <c r="K1116" s="519">
        <f>IF(A1116=0,VLOOKUP(D1116,'03. Insumos'!A:F,4,0),"")</f>
        <v>700</v>
      </c>
      <c r="L1116" s="485">
        <f>H1116*J1116*I1116</f>
        <v>0</v>
      </c>
      <c r="M1116" s="153">
        <f t="shared" ca="1" si="884"/>
        <v>0</v>
      </c>
      <c r="O1116" s="148"/>
      <c r="R1116" s="356"/>
    </row>
    <row r="1117" spans="1:18" ht="13.5" hidden="1" customHeight="1" outlineLevel="1" x14ac:dyDescent="0.3">
      <c r="A1117" s="13">
        <f t="shared" si="831"/>
        <v>0</v>
      </c>
      <c r="B1117" s="4"/>
      <c r="C1117" s="4"/>
      <c r="D1117" s="370" t="s">
        <v>6149</v>
      </c>
      <c r="E1117" s="30" t="str">
        <f>VLOOKUP(D1117,'03. Insumos'!A:D,2,0)</f>
        <v>Andaime Suspenso Leve - Montagem</v>
      </c>
      <c r="F1117" s="68" t="s">
        <v>5218</v>
      </c>
      <c r="G1117" s="482" t="str">
        <f>VLOOKUP(D1117,'03. Insumos'!A:F,3,0)</f>
        <v>cj</v>
      </c>
      <c r="H1117" s="69">
        <v>1</v>
      </c>
      <c r="I1117" s="69"/>
      <c r="J1117" s="70">
        <v>850</v>
      </c>
      <c r="K1117" s="519">
        <f>IF(A1117=0,VLOOKUP(D1117,'03. Insumos'!A:F,4,0),"")</f>
        <v>850</v>
      </c>
      <c r="L1117" s="485">
        <f>H1117*J1117*I1117</f>
        <v>0</v>
      </c>
      <c r="M1117" s="153">
        <f t="shared" ca="1" si="884"/>
        <v>0</v>
      </c>
      <c r="O1117" s="148"/>
      <c r="R1117" s="356"/>
    </row>
    <row r="1118" spans="1:18" ht="13.5" hidden="1" customHeight="1" outlineLevel="1" x14ac:dyDescent="0.3">
      <c r="A1118" s="13">
        <f t="shared" si="831"/>
        <v>0</v>
      </c>
      <c r="B1118" s="4"/>
      <c r="C1118" s="4"/>
      <c r="D1118" s="370" t="s">
        <v>6150</v>
      </c>
      <c r="E1118" s="30" t="str">
        <f>VLOOKUP(D1118,'03. Insumos'!A:D,2,0)</f>
        <v>Andaime Suspenso Leve - Desmontagem</v>
      </c>
      <c r="F1118" s="68" t="s">
        <v>5218</v>
      </c>
      <c r="G1118" s="482" t="str">
        <f>VLOOKUP(D1118,'03. Insumos'!A:F,3,0)</f>
        <v>cj</v>
      </c>
      <c r="H1118" s="69">
        <v>1</v>
      </c>
      <c r="I1118" s="69"/>
      <c r="J1118" s="70">
        <v>550</v>
      </c>
      <c r="K1118" s="519">
        <f>IF(A1118=0,VLOOKUP(D1118,'03. Insumos'!A:F,4,0),"")</f>
        <v>550</v>
      </c>
      <c r="L1118" s="485">
        <f>H1118*J1118*I1118</f>
        <v>0</v>
      </c>
      <c r="M1118" s="153">
        <f t="shared" ca="1" si="884"/>
        <v>0</v>
      </c>
      <c r="O1118" s="148"/>
      <c r="R1118" s="356"/>
    </row>
    <row r="1119" spans="1:18" ht="13.5" hidden="1" customHeight="1" outlineLevel="1" x14ac:dyDescent="0.3">
      <c r="A1119" s="13">
        <f t="shared" si="831"/>
        <v>0</v>
      </c>
      <c r="B1119" s="4"/>
      <c r="C1119" s="4"/>
      <c r="D1119" s="370" t="s">
        <v>6151</v>
      </c>
      <c r="E1119" s="30" t="str">
        <f>VLOOKUP(D1119,'03. Insumos'!A:D,2,0)</f>
        <v>Andaime Suspenso Leve - Frete</v>
      </c>
      <c r="F1119" s="68" t="s">
        <v>5218</v>
      </c>
      <c r="G1119" s="482" t="str">
        <f>VLOOKUP(D1119,'03. Insumos'!A:F,3,0)</f>
        <v>vb</v>
      </c>
      <c r="H1119" s="69">
        <v>2550</v>
      </c>
      <c r="I1119" s="69"/>
      <c r="J1119" s="70">
        <v>1</v>
      </c>
      <c r="K1119" s="519">
        <f>IF(A1119=0,VLOOKUP(D1119,'03. Insumos'!A:F,4,0),"")</f>
        <v>1</v>
      </c>
      <c r="L1119" s="485">
        <f>H1119*J1119*I1119</f>
        <v>0</v>
      </c>
      <c r="M1119" s="153">
        <f t="shared" ca="1" si="884"/>
        <v>0</v>
      </c>
      <c r="O1119" s="148"/>
      <c r="R1119" s="356"/>
    </row>
    <row r="1120" spans="1:18" s="605" customFormat="1" ht="13.5" hidden="1" customHeight="1" outlineLevel="1" x14ac:dyDescent="0.3">
      <c r="A1120" s="18">
        <f t="shared" si="831"/>
        <v>6</v>
      </c>
      <c r="B1120" s="602"/>
      <c r="C1120" s="391" t="s">
        <v>8471</v>
      </c>
      <c r="D1120" s="606" t="s">
        <v>8015</v>
      </c>
      <c r="E1120" s="593"/>
      <c r="F1120" s="603"/>
      <c r="G1120" s="594"/>
      <c r="H1120" s="595"/>
      <c r="I1120" s="595"/>
      <c r="J1120" s="597"/>
      <c r="K1120" s="604" t="str">
        <f>IF(A1120=0,VLOOKUP(D1120,'03. Insumos'!A:F,4,0),"")</f>
        <v/>
      </c>
      <c r="L1120" s="492">
        <f>SUM(L1121:L1123)</f>
        <v>0</v>
      </c>
      <c r="M1120" s="153">
        <f t="shared" ca="1" si="884"/>
        <v>0</v>
      </c>
      <c r="O1120" s="600">
        <f t="shared" si="918"/>
        <v>0</v>
      </c>
      <c r="R1120" s="601">
        <f t="shared" si="919"/>
        <v>0</v>
      </c>
    </row>
    <row r="1121" spans="1:20" s="51" customFormat="1" ht="13.5" hidden="1" customHeight="1" outlineLevel="1" x14ac:dyDescent="0.3">
      <c r="A1121" s="13">
        <f t="shared" si="831"/>
        <v>0</v>
      </c>
      <c r="B1121" s="49"/>
      <c r="C1121" s="49"/>
      <c r="D1121" s="370" t="s">
        <v>221</v>
      </c>
      <c r="E1121" s="67" t="str">
        <f>VLOOKUP(D1121,'03. Insumos'!A:D,2,0)</f>
        <v>Ensaio de Aderência - Mobilização</v>
      </c>
      <c r="F1121" s="68" t="s">
        <v>5218</v>
      </c>
      <c r="G1121" s="68" t="str">
        <f>VLOOKUP(D1121,'03. Insumos'!A:F,3,0)</f>
        <v>vb</v>
      </c>
      <c r="H1121" s="69">
        <v>1</v>
      </c>
      <c r="I1121" s="69"/>
      <c r="J1121" s="70">
        <f t="shared" ref="J1121:J1123" si="968">IFERROR(IF(K1121&lt;&gt;0,K1121*$K$5,0),0)</f>
        <v>1500</v>
      </c>
      <c r="K1121" s="54">
        <f>IF(A1121=0,VLOOKUP(D1121,'03. Insumos'!A:F,4,0),"")</f>
        <v>1500</v>
      </c>
      <c r="L1121" s="70">
        <f t="shared" ref="L1121:L1123" si="969">H1121*J1121*I1121</f>
        <v>0</v>
      </c>
      <c r="M1121" s="153">
        <f t="shared" ca="1" si="884"/>
        <v>0</v>
      </c>
      <c r="O1121" s="148">
        <f t="shared" si="918"/>
        <v>0</v>
      </c>
      <c r="R1121" s="356">
        <f t="shared" si="919"/>
        <v>-43.689320388349643</v>
      </c>
    </row>
    <row r="1122" spans="1:20" s="51" customFormat="1" ht="13.5" hidden="1" customHeight="1" outlineLevel="1" x14ac:dyDescent="0.3">
      <c r="A1122" s="13">
        <f t="shared" si="831"/>
        <v>0</v>
      </c>
      <c r="B1122" s="49"/>
      <c r="C1122" s="49"/>
      <c r="D1122" s="370" t="s">
        <v>222</v>
      </c>
      <c r="E1122" s="67" t="str">
        <f>VLOOKUP(D1122,'03. Insumos'!A:D,2,0)</f>
        <v>Ensaio de Aderência - Emboço</v>
      </c>
      <c r="F1122" s="68" t="s">
        <v>5218</v>
      </c>
      <c r="G1122" s="68" t="str">
        <f>VLOOKUP(D1122,'03. Insumos'!A:F,3,0)</f>
        <v>uni</v>
      </c>
      <c r="H1122" s="69">
        <v>1</v>
      </c>
      <c r="I1122" s="69"/>
      <c r="J1122" s="70">
        <f t="shared" si="968"/>
        <v>950</v>
      </c>
      <c r="K1122" s="54">
        <f>IF(A1122=0,VLOOKUP(D1122,'03. Insumos'!A:F,4,0),"")</f>
        <v>950</v>
      </c>
      <c r="L1122" s="70">
        <f t="shared" si="969"/>
        <v>0</v>
      </c>
      <c r="M1122" s="153">
        <f t="shared" ca="1" si="884"/>
        <v>0</v>
      </c>
      <c r="O1122" s="148">
        <f t="shared" si="918"/>
        <v>0</v>
      </c>
      <c r="R1122" s="356">
        <f t="shared" si="919"/>
        <v>-27.66990291262141</v>
      </c>
    </row>
    <row r="1123" spans="1:20" s="51" customFormat="1" ht="13.5" hidden="1" customHeight="1" outlineLevel="1" x14ac:dyDescent="0.3">
      <c r="A1123" s="13">
        <f t="shared" si="831"/>
        <v>0</v>
      </c>
      <c r="B1123" s="49"/>
      <c r="C1123" s="49"/>
      <c r="D1123" s="370" t="s">
        <v>223</v>
      </c>
      <c r="E1123" s="67" t="str">
        <f>VLOOKUP(D1123,'03. Insumos'!A:D,2,0)</f>
        <v>Ensaio de Aderência - Cerâmica</v>
      </c>
      <c r="F1123" s="68" t="s">
        <v>5218</v>
      </c>
      <c r="G1123" s="68" t="str">
        <f>VLOOKUP(D1123,'03. Insumos'!A:F,3,0)</f>
        <v>uni</v>
      </c>
      <c r="H1123" s="69">
        <v>1</v>
      </c>
      <c r="I1123" s="69"/>
      <c r="J1123" s="70">
        <f t="shared" si="968"/>
        <v>950</v>
      </c>
      <c r="K1123" s="54">
        <f>IF(A1123=0,VLOOKUP(D1123,'03. Insumos'!A:F,4,0),"")</f>
        <v>950</v>
      </c>
      <c r="L1123" s="70">
        <f t="shared" si="969"/>
        <v>0</v>
      </c>
      <c r="M1123" s="153">
        <f t="shared" ca="1" si="884"/>
        <v>0</v>
      </c>
      <c r="O1123" s="148">
        <f t="shared" si="918"/>
        <v>0</v>
      </c>
      <c r="R1123" s="356">
        <f t="shared" si="919"/>
        <v>-27.66990291262141</v>
      </c>
    </row>
    <row r="1124" spans="1:20" s="18" customFormat="1" x14ac:dyDescent="0.3">
      <c r="A1124" s="290">
        <f t="shared" si="831"/>
        <v>3</v>
      </c>
      <c r="B1124" s="35"/>
      <c r="C1124" s="390" t="s">
        <v>346</v>
      </c>
      <c r="D1124" s="390" t="s">
        <v>337</v>
      </c>
      <c r="E1124" s="390"/>
      <c r="F1124" s="323"/>
      <c r="G1124" s="323"/>
      <c r="H1124" s="324"/>
      <c r="I1124" s="324"/>
      <c r="J1124" s="333"/>
      <c r="K1124" s="333"/>
      <c r="L1124" s="333">
        <f>SUMIF(A1125:A1129,4,L1125:L1129)</f>
        <v>178000</v>
      </c>
      <c r="M1124" s="153">
        <f t="shared" ca="1" si="884"/>
        <v>1.0807934723724603E-2</v>
      </c>
      <c r="O1124" s="148">
        <f t="shared" si="918"/>
        <v>0</v>
      </c>
      <c r="R1124" s="12">
        <f t="shared" si="919"/>
        <v>0</v>
      </c>
    </row>
    <row r="1125" spans="1:20" s="18" customFormat="1" outlineLevel="1" x14ac:dyDescent="0.3">
      <c r="A1125" s="290">
        <f t="shared" si="831"/>
        <v>4</v>
      </c>
      <c r="B1125" s="45"/>
      <c r="C1125" s="45" t="s">
        <v>367</v>
      </c>
      <c r="D1125" s="45" t="s">
        <v>349</v>
      </c>
      <c r="E1125" s="347"/>
      <c r="F1125" s="327"/>
      <c r="G1125" s="327"/>
      <c r="H1125" s="328"/>
      <c r="I1125" s="548"/>
      <c r="J1125" s="335"/>
      <c r="K1125" s="335" t="str">
        <f>IF(A1125=0,VLOOKUP(D1125,'03. Insumos'!A:F,4,0),"")</f>
        <v/>
      </c>
      <c r="L1125" s="335">
        <f>SUMIF(A1126:A1129,6,L1126:L1129)</f>
        <v>178000</v>
      </c>
      <c r="M1125" s="153">
        <f t="shared" ca="1" si="884"/>
        <v>1.0807934723724603E-2</v>
      </c>
      <c r="O1125" s="148">
        <f t="shared" si="918"/>
        <v>0</v>
      </c>
      <c r="R1125" s="12">
        <f t="shared" si="919"/>
        <v>0</v>
      </c>
    </row>
    <row r="1126" spans="1:20" s="59" customFormat="1" ht="13.5" customHeight="1" outlineLevel="1" x14ac:dyDescent="0.3">
      <c r="A1126" s="290">
        <f t="shared" si="831"/>
        <v>6</v>
      </c>
      <c r="B1126" s="391"/>
      <c r="C1126" s="391" t="s">
        <v>368</v>
      </c>
      <c r="D1126" s="391" t="s">
        <v>1351</v>
      </c>
      <c r="E1126" s="391"/>
      <c r="F1126" s="325"/>
      <c r="G1126" s="325" t="s">
        <v>241</v>
      </c>
      <c r="H1126" s="326">
        <v>1</v>
      </c>
      <c r="I1126" s="547"/>
      <c r="J1126" s="812">
        <f>L1126/H1126</f>
        <v>178000</v>
      </c>
      <c r="K1126" s="334"/>
      <c r="L1126" s="334">
        <f>SUM(L1127:L1129)</f>
        <v>178000</v>
      </c>
      <c r="M1126" s="153">
        <f t="shared" ca="1" si="884"/>
        <v>1.0807934723724603E-2</v>
      </c>
      <c r="O1126" s="148">
        <f t="shared" si="918"/>
        <v>0</v>
      </c>
      <c r="R1126" s="12">
        <f t="shared" si="919"/>
        <v>172815.53398058252</v>
      </c>
    </row>
    <row r="1127" spans="1:20" s="51" customFormat="1" ht="13.5" customHeight="1" outlineLevel="1" x14ac:dyDescent="0.3">
      <c r="A1127" s="13">
        <f t="shared" ref="A1127" si="970">LEN(C1127)</f>
        <v>0</v>
      </c>
      <c r="B1127" s="49"/>
      <c r="C1127" s="49"/>
      <c r="D1127" s="370" t="s">
        <v>6535</v>
      </c>
      <c r="E1127" s="67" t="s">
        <v>6980</v>
      </c>
      <c r="F1127" s="68" t="s">
        <v>5218</v>
      </c>
      <c r="G1127" s="68" t="str">
        <f>VLOOKUP(D1127,'03. Insumos'!A:F,3,0)</f>
        <v>parada</v>
      </c>
      <c r="H1127" s="69">
        <v>5</v>
      </c>
      <c r="I1127" s="69">
        <v>1</v>
      </c>
      <c r="J1127" s="632">
        <f t="shared" ref="J1127" si="971">IFERROR(IF(K1127&lt;&gt;0,K1127*$K$5,0),0)</f>
        <v>34000</v>
      </c>
      <c r="K1127" s="70">
        <f>IF(A1127=0,VLOOKUP(D1127,'03. Insumos'!A:F,4,0),"")</f>
        <v>34000</v>
      </c>
      <c r="L1127" s="485">
        <f>H1127*J1127*I1127</f>
        <v>170000</v>
      </c>
      <c r="M1127" s="153">
        <f t="shared" ref="M1127" ca="1" si="972">L1127/$L$7</f>
        <v>1.0322184848501026E-2</v>
      </c>
      <c r="O1127" s="148">
        <f t="shared" ref="O1127" si="973">IF(I1127&lt;&gt;0,I1127*H1127*K1127,)</f>
        <v>170000</v>
      </c>
      <c r="R1127" s="12">
        <f t="shared" ref="R1127" si="974">IF(J1127&lt;&gt;0,J1127/1.03-K1127,0)</f>
        <v>-990.29126213592099</v>
      </c>
    </row>
    <row r="1128" spans="1:20" s="51" customFormat="1" ht="13.5" hidden="1" customHeight="1" outlineLevel="1" x14ac:dyDescent="0.3">
      <c r="A1128" s="13"/>
      <c r="B1128" s="49"/>
      <c r="C1128" s="49"/>
      <c r="D1128" s="370" t="s">
        <v>7390</v>
      </c>
      <c r="E1128" s="67" t="str">
        <f>VLOOKUP(D1128,'03. Insumos'!A:D,2,0)</f>
        <v>Tratamento do poço do elevador</v>
      </c>
      <c r="F1128" s="68" t="s">
        <v>5218</v>
      </c>
      <c r="G1128" s="68" t="str">
        <f>VLOOKUP(D1128,'03. Insumos'!A:F,3,0)</f>
        <v>vb</v>
      </c>
      <c r="H1128" s="69">
        <v>2</v>
      </c>
      <c r="I1128" s="69"/>
      <c r="J1128" s="70">
        <v>15000</v>
      </c>
      <c r="K1128" s="70">
        <f>IF(A1128=0,VLOOKUP(D1128,'03. Insumos'!A:F,4,0),"")</f>
        <v>1</v>
      </c>
      <c r="L1128" s="70">
        <f>H1128*J1128*I1128</f>
        <v>0</v>
      </c>
      <c r="M1128" s="153"/>
      <c r="O1128" s="148"/>
      <c r="R1128" s="12"/>
    </row>
    <row r="1129" spans="1:20" s="51" customFormat="1" ht="13.95" customHeight="1" outlineLevel="1" x14ac:dyDescent="0.3">
      <c r="A1129" s="13">
        <f t="shared" si="831"/>
        <v>0</v>
      </c>
      <c r="B1129" s="49"/>
      <c r="C1129" s="49"/>
      <c r="D1129" s="370" t="s">
        <v>7388</v>
      </c>
      <c r="E1129" s="67" t="str">
        <f>VLOOKUP(D1129,'03. Insumos'!A:D,2,0)</f>
        <v>Viga Metálica para Elevador</v>
      </c>
      <c r="F1129" s="68" t="s">
        <v>5218</v>
      </c>
      <c r="G1129" s="68" t="str">
        <f>VLOOKUP(D1129,'03. Insumos'!A:F,3,0)</f>
        <v>vb</v>
      </c>
      <c r="H1129" s="69">
        <v>1</v>
      </c>
      <c r="I1129" s="69">
        <v>1</v>
      </c>
      <c r="J1129" s="632">
        <f t="shared" ref="J1129" si="975">IFERROR(IF(K1129&lt;&gt;0,K1129*$K$5,0),0)</f>
        <v>8000</v>
      </c>
      <c r="K1129" s="70">
        <f>IF(A1129=0,VLOOKUP(D1129,'03. Insumos'!A:F,4,0),"")</f>
        <v>8000</v>
      </c>
      <c r="L1129" s="485">
        <f>H1129*J1129*I1129</f>
        <v>8000</v>
      </c>
      <c r="M1129" s="153">
        <f t="shared" ca="1" si="884"/>
        <v>4.8574987522357769E-4</v>
      </c>
      <c r="O1129" s="148">
        <f t="shared" si="918"/>
        <v>8000</v>
      </c>
      <c r="R1129" s="12">
        <f t="shared" si="919"/>
        <v>-233.00970873786446</v>
      </c>
    </row>
    <row r="1130" spans="1:20" s="18" customFormat="1" x14ac:dyDescent="0.3">
      <c r="A1130" s="290">
        <f t="shared" si="831"/>
        <v>3</v>
      </c>
      <c r="B1130" s="35"/>
      <c r="C1130" s="390" t="s">
        <v>347</v>
      </c>
      <c r="D1130" s="390" t="s">
        <v>85</v>
      </c>
      <c r="E1130" s="390"/>
      <c r="F1130" s="323"/>
      <c r="G1130" s="678"/>
      <c r="H1130" s="324"/>
      <c r="I1130" s="324"/>
      <c r="J1130" s="333"/>
      <c r="K1130" s="333"/>
      <c r="L1130" s="333">
        <f>SUMIF(A1131:A1163,4,L1131:L1163)</f>
        <v>417699.28121499997</v>
      </c>
      <c r="M1130" s="153">
        <f t="shared" ca="1" si="884"/>
        <v>2.5362171716395539E-2</v>
      </c>
      <c r="O1130" s="148">
        <f t="shared" si="918"/>
        <v>0</v>
      </c>
      <c r="R1130" s="12">
        <f t="shared" si="919"/>
        <v>0</v>
      </c>
    </row>
    <row r="1131" spans="1:20" s="493" customFormat="1" outlineLevel="1" x14ac:dyDescent="0.3">
      <c r="A1131" s="290">
        <f t="shared" si="831"/>
        <v>4</v>
      </c>
      <c r="B1131" s="488"/>
      <c r="C1131" s="488" t="s">
        <v>369</v>
      </c>
      <c r="D1131" s="606" t="s">
        <v>276</v>
      </c>
      <c r="E1131" s="391"/>
      <c r="F1131" s="490"/>
      <c r="G1131" s="490"/>
      <c r="H1131" s="491"/>
      <c r="I1131" s="549"/>
      <c r="J1131" s="492"/>
      <c r="K1131" s="492" t="str">
        <f>IF(A1131=0,VLOOKUP(D1131,'03. Insumos'!A:F,4,0),"")</f>
        <v/>
      </c>
      <c r="L1131" s="492">
        <f>SUMIF(A1132:A1163,6,L1132:L1163)</f>
        <v>417699.28121499997</v>
      </c>
      <c r="M1131" s="153">
        <f t="shared" ca="1" si="884"/>
        <v>2.5362171716395539E-2</v>
      </c>
      <c r="O1131" s="512">
        <f t="shared" si="918"/>
        <v>0</v>
      </c>
      <c r="R1131" s="487">
        <f t="shared" si="919"/>
        <v>0</v>
      </c>
    </row>
    <row r="1132" spans="1:20" s="478" customFormat="1" ht="13.5" customHeight="1" outlineLevel="1" x14ac:dyDescent="0.3">
      <c r="A1132" s="290">
        <f t="shared" si="831"/>
        <v>6</v>
      </c>
      <c r="B1132" s="489"/>
      <c r="C1132" s="391" t="s">
        <v>371</v>
      </c>
      <c r="D1132" s="606" t="s">
        <v>5909</v>
      </c>
      <c r="E1132" s="391"/>
      <c r="F1132" s="490"/>
      <c r="G1132" s="490" t="s">
        <v>73</v>
      </c>
      <c r="H1132" s="326">
        <f>SUM(I1133:I1140)</f>
        <v>8852.3260999999984</v>
      </c>
      <c r="I1132" s="549"/>
      <c r="J1132" s="812">
        <f>L1132/H1132</f>
        <v>27.462158190828507</v>
      </c>
      <c r="K1132" s="492" t="str">
        <f>IF(A1132=0,VLOOKUP(D1132,'03. Insumos'!A:F,4,0),"")</f>
        <v/>
      </c>
      <c r="L1132" s="492">
        <f>SUMIF(A1133:A1140,0,L1133:L1140)</f>
        <v>243103.97971499994</v>
      </c>
      <c r="M1132" s="153">
        <f t="shared" ca="1" si="884"/>
        <v>1.4760965976614547E-2</v>
      </c>
      <c r="O1132" s="512">
        <f>IF(I1132&lt;&gt;0,I1132*H1132*K1132,)</f>
        <v>0</v>
      </c>
      <c r="R1132" s="487" t="e">
        <f>IF(J1132&lt;&gt;0,J1132/1.03-K1132,0)</f>
        <v>#VALUE!</v>
      </c>
      <c r="T1132" s="478">
        <f>L1132/H1132</f>
        <v>27.462158190828507</v>
      </c>
    </row>
    <row r="1133" spans="1:20" s="486" customFormat="1" outlineLevel="1" x14ac:dyDescent="0.3">
      <c r="A1133" s="13">
        <f t="shared" ref="A1133:A1140" si="976">LEN(C1133)</f>
        <v>0</v>
      </c>
      <c r="B1133" s="480"/>
      <c r="C1133" s="480"/>
      <c r="D1133" s="370" t="s">
        <v>7933</v>
      </c>
      <c r="E1133" s="706" t="s">
        <v>7985</v>
      </c>
      <c r="F1133" s="482" t="s">
        <v>5218</v>
      </c>
      <c r="G1133" s="482" t="str">
        <f>VLOOKUP(D1133,'03. Insumos'!A:F,3,0)</f>
        <v>m²</v>
      </c>
      <c r="H1133" s="69">
        <v>1</v>
      </c>
      <c r="I1133" s="69">
        <v>7878.0860999999986</v>
      </c>
      <c r="J1133" s="70">
        <v>28.15</v>
      </c>
      <c r="K1133" s="485">
        <f>IF(A1133=0,VLOOKUP(D1133,'03. Insumos'!A:F,4,0),"")</f>
        <v>28.15</v>
      </c>
      <c r="L1133" s="485">
        <f t="shared" ref="L1133:L1140" si="977">H1133*J1133*I1133</f>
        <v>221768.12371499994</v>
      </c>
      <c r="M1133" s="153">
        <f t="shared" ca="1" si="884"/>
        <v>1.346547980289102E-2</v>
      </c>
      <c r="O1133" s="512"/>
      <c r="R1133" s="487"/>
    </row>
    <row r="1134" spans="1:20" s="486" customFormat="1" hidden="1" outlineLevel="1" x14ac:dyDescent="0.3">
      <c r="A1134" s="13">
        <f t="shared" si="976"/>
        <v>0</v>
      </c>
      <c r="B1134" s="480"/>
      <c r="C1134" s="480"/>
      <c r="D1134" s="754" t="s">
        <v>7934</v>
      </c>
      <c r="E1134" s="706" t="s">
        <v>8598</v>
      </c>
      <c r="F1134" s="482" t="s">
        <v>5218</v>
      </c>
      <c r="G1134" s="482" t="str">
        <f>VLOOKUP(D1134,'03. Insumos'!A:F,3,0)</f>
        <v>m²</v>
      </c>
      <c r="H1134" s="69">
        <v>1</v>
      </c>
      <c r="I1134" s="483"/>
      <c r="J1134" s="70">
        <v>26.8</v>
      </c>
      <c r="K1134" s="485">
        <f>IF(A1134=0,VLOOKUP(D1134,'03. Insumos'!A:F,4,0),"")</f>
        <v>30.72</v>
      </c>
      <c r="L1134" s="485">
        <f t="shared" si="977"/>
        <v>0</v>
      </c>
      <c r="M1134" s="153">
        <f t="shared" ca="1" si="884"/>
        <v>0</v>
      </c>
      <c r="O1134" s="512"/>
      <c r="R1134" s="487"/>
    </row>
    <row r="1135" spans="1:20" s="486" customFormat="1" outlineLevel="1" x14ac:dyDescent="0.3">
      <c r="A1135" s="13">
        <f t="shared" si="976"/>
        <v>0</v>
      </c>
      <c r="B1135" s="480"/>
      <c r="C1135" s="480"/>
      <c r="D1135" s="370" t="s">
        <v>7622</v>
      </c>
      <c r="E1135" s="706" t="s">
        <v>7638</v>
      </c>
      <c r="F1135" s="482" t="s">
        <v>5218</v>
      </c>
      <c r="G1135" s="482" t="str">
        <f>VLOOKUP(D1135,'03. Insumos'!A:F,3,0)</f>
        <v>m²</v>
      </c>
      <c r="H1135" s="69">
        <v>1</v>
      </c>
      <c r="I1135" s="483">
        <v>974.24</v>
      </c>
      <c r="J1135" s="70">
        <f>IFERROR(IF(K1135&lt;&gt;0,K1135*$K$5,0),0)</f>
        <v>21.9</v>
      </c>
      <c r="K1135" s="485">
        <f>IF(A1135=0,VLOOKUP(D1135,'03. Insumos'!A:F,4,0),"")</f>
        <v>21.9</v>
      </c>
      <c r="L1135" s="485">
        <f t="shared" si="977"/>
        <v>21335.856</v>
      </c>
      <c r="M1135" s="153">
        <f t="shared" ca="1" si="884"/>
        <v>1.2954861737235275E-3</v>
      </c>
      <c r="O1135" s="512"/>
      <c r="R1135" s="487"/>
    </row>
    <row r="1136" spans="1:20" s="486" customFormat="1" ht="24.6" hidden="1" outlineLevel="1" x14ac:dyDescent="0.3">
      <c r="A1136" s="13">
        <f t="shared" ref="A1136" si="978">LEN(C1136)</f>
        <v>0</v>
      </c>
      <c r="B1136" s="480"/>
      <c r="C1136" s="480"/>
      <c r="D1136" s="370" t="s">
        <v>7808</v>
      </c>
      <c r="E1136" s="706" t="s">
        <v>8368</v>
      </c>
      <c r="F1136" s="482" t="s">
        <v>5218</v>
      </c>
      <c r="G1136" s="482" t="s">
        <v>73</v>
      </c>
      <c r="H1136" s="69">
        <v>1</v>
      </c>
      <c r="I1136" s="483"/>
      <c r="J1136" s="70">
        <v>92.5</v>
      </c>
      <c r="K1136" s="485">
        <f>IF(A1136=0,VLOOKUP(D1136,'03. Insumos'!A:F,4,0),"")</f>
        <v>0</v>
      </c>
      <c r="L1136" s="485">
        <f t="shared" si="977"/>
        <v>0</v>
      </c>
      <c r="M1136" s="153">
        <f t="shared" ref="M1136" ca="1" si="979">L1136/$L$7</f>
        <v>0</v>
      </c>
      <c r="O1136" s="512"/>
      <c r="R1136" s="487"/>
    </row>
    <row r="1137" spans="1:20" s="486" customFormat="1" hidden="1" outlineLevel="1" x14ac:dyDescent="0.3">
      <c r="A1137" s="13">
        <f t="shared" si="976"/>
        <v>0</v>
      </c>
      <c r="B1137" s="480"/>
      <c r="C1137" s="480"/>
      <c r="D1137" s="370" t="s">
        <v>7809</v>
      </c>
      <c r="E1137" s="706" t="s">
        <v>8369</v>
      </c>
      <c r="F1137" s="482" t="s">
        <v>5218</v>
      </c>
      <c r="G1137" s="482" t="s">
        <v>73</v>
      </c>
      <c r="H1137" s="69">
        <v>1</v>
      </c>
      <c r="I1137" s="483"/>
      <c r="J1137" s="70">
        <v>32</v>
      </c>
      <c r="K1137" s="485">
        <f>IF(A1137=0,VLOOKUP(D1137,'03. Insumos'!A:F,4,0),"")</f>
        <v>0</v>
      </c>
      <c r="L1137" s="485">
        <f t="shared" si="977"/>
        <v>0</v>
      </c>
      <c r="M1137" s="153">
        <f t="shared" ca="1" si="884"/>
        <v>0</v>
      </c>
      <c r="O1137" s="512"/>
      <c r="R1137" s="487"/>
    </row>
    <row r="1138" spans="1:20" s="486" customFormat="1" hidden="1" outlineLevel="1" x14ac:dyDescent="0.3">
      <c r="A1138" s="13">
        <f t="shared" ref="A1138" si="980">LEN(C1138)</f>
        <v>0</v>
      </c>
      <c r="B1138" s="480"/>
      <c r="C1138" s="480"/>
      <c r="D1138" s="370" t="s">
        <v>7810</v>
      </c>
      <c r="E1138" s="706" t="s">
        <v>8370</v>
      </c>
      <c r="F1138" s="482" t="s">
        <v>5218</v>
      </c>
      <c r="G1138" s="482" t="s">
        <v>73</v>
      </c>
      <c r="H1138" s="69">
        <v>1</v>
      </c>
      <c r="I1138" s="483"/>
      <c r="J1138" s="70">
        <v>28.5</v>
      </c>
      <c r="K1138" s="485">
        <f>IF(A1138=0,VLOOKUP(D1138,'03. Insumos'!A:F,4,0),"")</f>
        <v>0</v>
      </c>
      <c r="L1138" s="485">
        <f t="shared" si="977"/>
        <v>0</v>
      </c>
      <c r="M1138" s="153">
        <f t="shared" ref="M1138" ca="1" si="981">L1138/$L$7</f>
        <v>0</v>
      </c>
      <c r="O1138" s="512"/>
      <c r="R1138" s="487"/>
    </row>
    <row r="1139" spans="1:20" s="486" customFormat="1" hidden="1" outlineLevel="1" x14ac:dyDescent="0.3">
      <c r="A1139" s="13">
        <f t="shared" ref="A1139" si="982">LEN(C1139)</f>
        <v>0</v>
      </c>
      <c r="B1139" s="480"/>
      <c r="C1139" s="480"/>
      <c r="D1139" s="370" t="s">
        <v>7811</v>
      </c>
      <c r="E1139" s="706" t="s">
        <v>7645</v>
      </c>
      <c r="F1139" s="482" t="s">
        <v>5218</v>
      </c>
      <c r="G1139" s="482" t="s">
        <v>73</v>
      </c>
      <c r="H1139" s="69">
        <v>1</v>
      </c>
      <c r="I1139" s="483"/>
      <c r="J1139" s="70">
        <v>92.5</v>
      </c>
      <c r="K1139" s="485">
        <f>IF(A1139=0,VLOOKUP(D1139,'03. Insumos'!A:F,4,0),"")</f>
        <v>0</v>
      </c>
      <c r="L1139" s="485">
        <f t="shared" si="977"/>
        <v>0</v>
      </c>
      <c r="M1139" s="153">
        <f t="shared" ref="M1139" ca="1" si="983">L1139/$L$7</f>
        <v>0</v>
      </c>
      <c r="O1139" s="512"/>
      <c r="R1139" s="487"/>
    </row>
    <row r="1140" spans="1:20" s="486" customFormat="1" hidden="1" outlineLevel="1" x14ac:dyDescent="0.3">
      <c r="A1140" s="13">
        <f t="shared" si="976"/>
        <v>0</v>
      </c>
      <c r="B1140" s="480"/>
      <c r="C1140" s="480"/>
      <c r="D1140" s="370" t="s">
        <v>7812</v>
      </c>
      <c r="E1140" s="706" t="s">
        <v>8371</v>
      </c>
      <c r="F1140" s="482" t="s">
        <v>5218</v>
      </c>
      <c r="G1140" s="482" t="s">
        <v>73</v>
      </c>
      <c r="H1140" s="69">
        <v>1</v>
      </c>
      <c r="I1140" s="69"/>
      <c r="J1140" s="70">
        <v>57.5</v>
      </c>
      <c r="K1140" s="485">
        <f>IF(A1140=0,VLOOKUP(D1140,'03. Insumos'!A:F,4,0),"")</f>
        <v>0</v>
      </c>
      <c r="L1140" s="485">
        <f t="shared" si="977"/>
        <v>0</v>
      </c>
      <c r="M1140" s="153">
        <f t="shared" ca="1" si="884"/>
        <v>0</v>
      </c>
      <c r="O1140" s="512"/>
      <c r="R1140" s="487"/>
    </row>
    <row r="1141" spans="1:20" s="478" customFormat="1" ht="13.5" customHeight="1" outlineLevel="1" x14ac:dyDescent="0.3">
      <c r="A1141" s="290">
        <f t="shared" si="831"/>
        <v>6</v>
      </c>
      <c r="B1141" s="489"/>
      <c r="C1141" s="391" t="s">
        <v>1525</v>
      </c>
      <c r="D1141" s="606" t="s">
        <v>5910</v>
      </c>
      <c r="E1141" s="391"/>
      <c r="F1141" s="490"/>
      <c r="G1141" s="490" t="s">
        <v>73</v>
      </c>
      <c r="H1141" s="326">
        <f>SUM(I1142:I1145)</f>
        <v>5801.23</v>
      </c>
      <c r="I1141" s="547" t="s">
        <v>2787</v>
      </c>
      <c r="J1141" s="812">
        <f>L1141/H1141</f>
        <v>24.440678873273431</v>
      </c>
      <c r="K1141" s="492" t="str">
        <f>IF(A1141=0,VLOOKUP(D1141,'03. Insumos'!A:F,4,0),"")</f>
        <v/>
      </c>
      <c r="L1141" s="492">
        <f>SUMIF(A1142:A1145,0,L1142:L1145)</f>
        <v>141785.99950000001</v>
      </c>
      <c r="M1141" s="153">
        <f t="shared" ca="1" si="884"/>
        <v>8.6090664456969068E-3</v>
      </c>
      <c r="O1141" s="512" t="e">
        <f>IF(I1141&lt;&gt;0,I1141*H1141*K1141,)</f>
        <v>#VALUE!</v>
      </c>
      <c r="R1141" s="487" t="e">
        <f t="shared" si="919"/>
        <v>#VALUE!</v>
      </c>
      <c r="T1141" s="478">
        <f>L1141/H1141</f>
        <v>24.440678873273431</v>
      </c>
    </row>
    <row r="1142" spans="1:20" s="478" customFormat="1" ht="12.75" hidden="1" customHeight="1" outlineLevel="1" x14ac:dyDescent="0.3">
      <c r="A1142" s="13">
        <f t="shared" ref="A1142:A1144" si="984">LEN(C1142)</f>
        <v>0</v>
      </c>
      <c r="B1142" s="494"/>
      <c r="C1142" s="480"/>
      <c r="D1142" s="754" t="s">
        <v>7933</v>
      </c>
      <c r="E1142" s="481" t="s">
        <v>8372</v>
      </c>
      <c r="F1142" s="482" t="s">
        <v>5218</v>
      </c>
      <c r="G1142" s="482" t="str">
        <f>VLOOKUP(D1142,'03. Insumos'!A:F,3,0)</f>
        <v>m²</v>
      </c>
      <c r="H1142" s="69">
        <v>1</v>
      </c>
      <c r="I1142" s="834"/>
      <c r="J1142" s="70">
        <v>28.5</v>
      </c>
      <c r="K1142" s="485">
        <f>IF(A1142=0,VLOOKUP(D1142,'03. Insumos'!A:F,4,0),"")</f>
        <v>28.15</v>
      </c>
      <c r="L1142" s="485">
        <f>H1142*J1142*I1142</f>
        <v>0</v>
      </c>
      <c r="M1142" s="153">
        <f t="shared" ref="M1142:M1144" ca="1" si="985">L1142/$L$7</f>
        <v>0</v>
      </c>
      <c r="O1142" s="512"/>
      <c r="R1142" s="487"/>
    </row>
    <row r="1143" spans="1:20" s="478" customFormat="1" ht="12.75" customHeight="1" outlineLevel="1" x14ac:dyDescent="0.3">
      <c r="A1143" s="13">
        <f t="shared" ref="A1143" si="986">LEN(C1143)</f>
        <v>0</v>
      </c>
      <c r="B1143" s="494"/>
      <c r="C1143" s="480"/>
      <c r="D1143" s="754" t="s">
        <v>7934</v>
      </c>
      <c r="E1143" s="481" t="s">
        <v>7985</v>
      </c>
      <c r="F1143" s="482" t="s">
        <v>5218</v>
      </c>
      <c r="G1143" s="482" t="str">
        <f>VLOOKUP(D1143,'03. Insumos'!A:F,3,0)</f>
        <v>m²</v>
      </c>
      <c r="H1143" s="69">
        <v>1</v>
      </c>
      <c r="I1143" s="834">
        <v>2358.25</v>
      </c>
      <c r="J1143" s="70">
        <v>28.15</v>
      </c>
      <c r="K1143" s="485">
        <f>IF(A1143=0,VLOOKUP(D1143,'03. Insumos'!A:F,4,0),"")</f>
        <v>30.72</v>
      </c>
      <c r="L1143" s="485">
        <f>H1143*J1143*I1143</f>
        <v>66384.737500000003</v>
      </c>
      <c r="M1143" s="153">
        <f t="shared" ref="M1143" ca="1" si="987">L1143/$L$7</f>
        <v>4.0307972446718696E-3</v>
      </c>
      <c r="O1143" s="512"/>
      <c r="R1143" s="487"/>
    </row>
    <row r="1144" spans="1:20" s="478" customFormat="1" ht="12.75" customHeight="1" outlineLevel="1" x14ac:dyDescent="0.3">
      <c r="A1144" s="13">
        <f t="shared" si="984"/>
        <v>0</v>
      </c>
      <c r="B1144" s="494"/>
      <c r="C1144" s="480"/>
      <c r="D1144" s="754" t="s">
        <v>7622</v>
      </c>
      <c r="E1144" s="481" t="s">
        <v>8370</v>
      </c>
      <c r="F1144" s="482" t="s">
        <v>5218</v>
      </c>
      <c r="G1144" s="482" t="str">
        <f>VLOOKUP(D1144,'03. Insumos'!A:F,3,0)</f>
        <v>m²</v>
      </c>
      <c r="H1144" s="69">
        <v>1</v>
      </c>
      <c r="I1144" s="834">
        <v>3442.98</v>
      </c>
      <c r="J1144" s="70">
        <v>21.9</v>
      </c>
      <c r="K1144" s="485">
        <f>IF(A1144=0,VLOOKUP(D1144,'03. Insumos'!A:F,4,0),"")</f>
        <v>21.9</v>
      </c>
      <c r="L1144" s="485">
        <f>H1144*J1144*I1144</f>
        <v>75401.262000000002</v>
      </c>
      <c r="M1144" s="153">
        <f t="shared" ca="1" si="985"/>
        <v>4.5782692010250363E-3</v>
      </c>
      <c r="O1144" s="512"/>
      <c r="R1144" s="487"/>
    </row>
    <row r="1145" spans="1:20" s="478" customFormat="1" ht="12.75" hidden="1" customHeight="1" outlineLevel="1" x14ac:dyDescent="0.3">
      <c r="A1145" s="13">
        <f t="shared" si="831"/>
        <v>0</v>
      </c>
      <c r="B1145" s="494"/>
      <c r="C1145" s="480"/>
      <c r="D1145" s="754" t="s">
        <v>6494</v>
      </c>
      <c r="E1145" s="67" t="s">
        <v>8373</v>
      </c>
      <c r="F1145" s="482" t="s">
        <v>5218</v>
      </c>
      <c r="G1145" s="482" t="str">
        <f>VLOOKUP(D1145,'03. Insumos'!A:F,3,0)</f>
        <v>m</v>
      </c>
      <c r="H1145" s="69">
        <v>1</v>
      </c>
      <c r="I1145" s="756"/>
      <c r="J1145" s="70">
        <f>IFERROR(IF(K1145&lt;&gt;0,K1145*$K$5,0),0)</f>
        <v>18</v>
      </c>
      <c r="K1145" s="485">
        <f>IF(A1145=0,VLOOKUP(D1145,'03. Insumos'!A:F,4,0),"")</f>
        <v>18</v>
      </c>
      <c r="L1145" s="485">
        <f>H1145*J1145*I1145</f>
        <v>0</v>
      </c>
      <c r="M1145" s="153">
        <f t="shared" ca="1" si="884"/>
        <v>0</v>
      </c>
      <c r="O1145" s="512"/>
      <c r="R1145" s="487"/>
    </row>
    <row r="1146" spans="1:20" s="478" customFormat="1" ht="13.5" customHeight="1" outlineLevel="1" x14ac:dyDescent="0.3">
      <c r="A1146" s="290">
        <f t="shared" ref="A1146:A1149" si="988">LEN(C1146)</f>
        <v>6</v>
      </c>
      <c r="B1146" s="489"/>
      <c r="C1146" s="391" t="s">
        <v>372</v>
      </c>
      <c r="D1146" s="606" t="s">
        <v>7188</v>
      </c>
      <c r="E1146" s="391"/>
      <c r="F1146" s="490"/>
      <c r="G1146" s="490" t="s">
        <v>73</v>
      </c>
      <c r="H1146" s="491">
        <f>SUM(I1147:I1149)</f>
        <v>1219.8400000000001</v>
      </c>
      <c r="I1146" s="549"/>
      <c r="J1146" s="812">
        <f>L1146/H1146</f>
        <v>23.467751508394542</v>
      </c>
      <c r="K1146" s="492" t="str">
        <f>IF(A1146=0,VLOOKUP(D1146,'03. Insumos'!A:F,4,0),"")</f>
        <v/>
      </c>
      <c r="L1146" s="492">
        <f>SUMIF(A1147:A1150,0,L1147:L1150)</f>
        <v>28626.902000000002</v>
      </c>
      <c r="M1146" s="153">
        <f t="shared" ref="M1146:M1198" ca="1" si="989">L1146/$L$7</f>
        <v>1.7381892593171984E-3</v>
      </c>
      <c r="O1146" s="512">
        <f>IF(I1146&lt;&gt;0,I1146*H1146*K1146,)</f>
        <v>0</v>
      </c>
      <c r="R1146" s="487" t="e">
        <f>IF(J1146&lt;&gt;0,J1146/1.03-K1146,0)</f>
        <v>#VALUE!</v>
      </c>
      <c r="T1146" s="478">
        <f>L1146/H1146</f>
        <v>23.467751508394542</v>
      </c>
    </row>
    <row r="1147" spans="1:20" s="486" customFormat="1" ht="13.2" hidden="1" customHeight="1" outlineLevel="1" x14ac:dyDescent="0.3">
      <c r="A1147" s="13">
        <f t="shared" si="988"/>
        <v>0</v>
      </c>
      <c r="B1147" s="480"/>
      <c r="C1147" s="480"/>
      <c r="D1147" s="370" t="s">
        <v>6711</v>
      </c>
      <c r="E1147" s="67" t="str">
        <f>VLOOKUP(D1147,'03. Insumos'!A:D,2,0)</f>
        <v>Pintura Epoxi - Material e Mão de Obra</v>
      </c>
      <c r="F1147" s="482" t="s">
        <v>5218</v>
      </c>
      <c r="G1147" s="482" t="str">
        <f>VLOOKUP(D1147,'03. Insumos'!A:F,3,0)</f>
        <v>m²</v>
      </c>
      <c r="H1147" s="483">
        <v>1.1000000000000001</v>
      </c>
      <c r="I1147" s="483"/>
      <c r="J1147" s="70">
        <f>IFERROR(IF(K1147&lt;&gt;0,K1147*$K$5,0),0)</f>
        <v>92.5</v>
      </c>
      <c r="K1147" s="485">
        <f>IF(A1147=0,VLOOKUP(D1147,'03. Insumos'!A:F,4,0),"")</f>
        <v>92.5</v>
      </c>
      <c r="L1147" s="485">
        <f>H1147*J1147*I1147</f>
        <v>0</v>
      </c>
      <c r="M1147" s="153">
        <f t="shared" ca="1" si="989"/>
        <v>0</v>
      </c>
      <c r="O1147" s="512"/>
      <c r="R1147" s="487"/>
    </row>
    <row r="1148" spans="1:20" s="486" customFormat="1" ht="13.5" customHeight="1" outlineLevel="1" x14ac:dyDescent="0.3">
      <c r="A1148" s="13">
        <f t="shared" si="988"/>
        <v>0</v>
      </c>
      <c r="B1148" s="838" t="s">
        <v>2787</v>
      </c>
      <c r="C1148" s="480"/>
      <c r="D1148" s="370" t="s">
        <v>6712</v>
      </c>
      <c r="E1148" s="67" t="s">
        <v>8817</v>
      </c>
      <c r="F1148" s="482" t="s">
        <v>5218</v>
      </c>
      <c r="G1148" s="482" t="str">
        <f>VLOOKUP(D1148,'03. Insumos'!A:F,3,0)</f>
        <v>m²</v>
      </c>
      <c r="H1148" s="69">
        <v>1</v>
      </c>
      <c r="I1148" s="483">
        <f>H899</f>
        <v>1089.42</v>
      </c>
      <c r="J1148" s="70">
        <f>IFERROR(IF(K1148&lt;&gt;0,K1148*$K$5,0),0)</f>
        <v>18.100000000000001</v>
      </c>
      <c r="K1148" s="485">
        <f>IF(A1148=0,VLOOKUP(D1148,'03. Insumos'!A:F,4,0),"")</f>
        <v>18.100000000000001</v>
      </c>
      <c r="L1148" s="485">
        <f>H1148*J1148*I1148</f>
        <v>19718.502000000004</v>
      </c>
      <c r="M1148" s="153">
        <f t="shared" ref="M1148:M1149" ca="1" si="990">L1148/$L$7</f>
        <v>1.1972824857619836E-3</v>
      </c>
      <c r="O1148" s="512"/>
      <c r="R1148" s="487"/>
    </row>
    <row r="1149" spans="1:20" s="486" customFormat="1" ht="13.5" customHeight="1" outlineLevel="1" x14ac:dyDescent="0.3">
      <c r="A1149" s="13">
        <f t="shared" si="988"/>
        <v>0</v>
      </c>
      <c r="B1149" s="480"/>
      <c r="C1149" s="480"/>
      <c r="D1149" s="370" t="s">
        <v>4077</v>
      </c>
      <c r="E1149" s="481" t="str">
        <f>VLOOKUP(D1149,'03. Insumos'!A:D,2,0)</f>
        <v>Pintura Rodapé Escada Material e Mão de Obra</v>
      </c>
      <c r="F1149" s="482" t="s">
        <v>5218</v>
      </c>
      <c r="G1149" s="482" t="str">
        <f>VLOOKUP(D1149,'03. Insumos'!A:F,3,0)</f>
        <v>m</v>
      </c>
      <c r="H1149" s="69">
        <v>1</v>
      </c>
      <c r="I1149" s="483">
        <f>H905</f>
        <v>130.41999999999999</v>
      </c>
      <c r="J1149" s="70">
        <f>IFERROR(IF(K1149&lt;&gt;0,K1149*$K$5,0),0)</f>
        <v>20</v>
      </c>
      <c r="K1149" s="485">
        <f>IF(A1149=0,VLOOKUP(D1149,'03. Insumos'!A:F,4,0),"")</f>
        <v>20</v>
      </c>
      <c r="L1149" s="485">
        <f>H1149*J1149*I1149</f>
        <v>2608.3999999999996</v>
      </c>
      <c r="M1149" s="153">
        <f t="shared" ca="1" si="990"/>
        <v>1.5837874681664748E-4</v>
      </c>
      <c r="O1149" s="512"/>
      <c r="R1149" s="487"/>
    </row>
    <row r="1150" spans="1:20" s="486" customFormat="1" ht="13.5" customHeight="1" outlineLevel="1" x14ac:dyDescent="0.3">
      <c r="A1150" s="13">
        <f t="shared" ref="A1150" si="991">LEN(C1150)</f>
        <v>0</v>
      </c>
      <c r="B1150" s="480"/>
      <c r="C1150" s="480"/>
      <c r="D1150" s="370" t="s">
        <v>486</v>
      </c>
      <c r="E1150" s="67" t="str">
        <f>VLOOKUP(D1150,'03. Insumos'!A:D,2,0)</f>
        <v>Pintura de vagas (MAT+MO)</v>
      </c>
      <c r="F1150" s="482" t="s">
        <v>5218</v>
      </c>
      <c r="G1150" s="482" t="str">
        <f>VLOOKUP(D1150,'03. Insumos'!A:F,3,0)</f>
        <v>uni</v>
      </c>
      <c r="H1150" s="69">
        <v>1</v>
      </c>
      <c r="I1150" s="483">
        <v>42</v>
      </c>
      <c r="J1150" s="70">
        <f>IFERROR(IF(K1150&lt;&gt;0,K1150*$K$5,0),0)</f>
        <v>150</v>
      </c>
      <c r="K1150" s="485">
        <f>IF(A1150=0,VLOOKUP(D1150,'03. Insumos'!A:F,4,0),"")</f>
        <v>150</v>
      </c>
      <c r="L1150" s="485">
        <f>H1150*J1150*I1150</f>
        <v>6300</v>
      </c>
      <c r="M1150" s="153">
        <f t="shared" ca="1" si="989"/>
        <v>3.825280267385674E-4</v>
      </c>
      <c r="O1150" s="512"/>
      <c r="R1150" s="487"/>
    </row>
    <row r="1151" spans="1:20" s="51" customFormat="1" ht="12.75" customHeight="1" outlineLevel="1" x14ac:dyDescent="0.3">
      <c r="A1151" s="290">
        <f t="shared" si="831"/>
        <v>6</v>
      </c>
      <c r="B1151" s="630"/>
      <c r="C1151" s="391" t="s">
        <v>1527</v>
      </c>
      <c r="D1151" s="606" t="s">
        <v>7384</v>
      </c>
      <c r="E1151" s="391"/>
      <c r="F1151" s="490"/>
      <c r="G1151" s="325" t="s">
        <v>1376</v>
      </c>
      <c r="H1151" s="326">
        <f>I1051+I1052</f>
        <v>3</v>
      </c>
      <c r="I1151" s="547" t="s">
        <v>2787</v>
      </c>
      <c r="J1151" s="812">
        <f>L1151/H1151</f>
        <v>800</v>
      </c>
      <c r="K1151" s="334" t="str">
        <f>IF(A1151=0,VLOOKUP(D1151,'03. Insumos'!A:F,4,0),"")</f>
        <v/>
      </c>
      <c r="L1151" s="492">
        <f>SUMIF(A1152,0,L1152)</f>
        <v>2400</v>
      </c>
      <c r="M1151" s="153">
        <f t="shared" ca="1" si="989"/>
        <v>1.4572496256707329E-4</v>
      </c>
      <c r="O1151" s="148" t="e">
        <f t="shared" ref="O1151:O1242" si="992">IF(I1151&lt;&gt;0,I1151*H1151*K1151,)</f>
        <v>#VALUE!</v>
      </c>
      <c r="R1151" s="12" t="e">
        <f t="shared" ref="R1151:R1160" si="993">IF(J1151&lt;&gt;0,J1151/1.03-K1151,0)</f>
        <v>#VALUE!</v>
      </c>
    </row>
    <row r="1152" spans="1:20" s="59" customFormat="1" ht="12.75" customHeight="1" outlineLevel="1" x14ac:dyDescent="0.3">
      <c r="A1152" s="13">
        <f t="shared" si="831"/>
        <v>0</v>
      </c>
      <c r="B1152" s="55"/>
      <c r="C1152" s="480"/>
      <c r="D1152" s="370" t="s">
        <v>7372</v>
      </c>
      <c r="E1152" s="67" t="str">
        <f>VLOOKUP(D1152,'03. Insumos'!A:D,2,0)</f>
        <v>Pintura Oleo sobre Escada Marinheiro - Material e Mão de Obra</v>
      </c>
      <c r="F1152" s="482" t="s">
        <v>5218</v>
      </c>
      <c r="G1152" s="68" t="str">
        <f>VLOOKUP(D1152,'03. Insumos'!A:F,3,0)</f>
        <v>unid</v>
      </c>
      <c r="H1152" s="483">
        <v>1</v>
      </c>
      <c r="I1152" s="69">
        <f>H1151</f>
        <v>3</v>
      </c>
      <c r="J1152" s="70">
        <f>IFERROR(IF(K1152&lt;&gt;0,K1152*$K$5,0),0)</f>
        <v>800</v>
      </c>
      <c r="K1152" s="70">
        <f>IF(A1152=0,VLOOKUP(D1152,'03. Insumos'!A:F,4,0),"")</f>
        <v>800</v>
      </c>
      <c r="L1152" s="70">
        <f>H1152*J1152*I1152</f>
        <v>2400</v>
      </c>
      <c r="M1152" s="153">
        <f t="shared" ca="1" si="989"/>
        <v>1.4572496256707329E-4</v>
      </c>
      <c r="O1152" s="148">
        <f>IF(I1152&lt;&gt;0,I1152*H1152*K1152,)</f>
        <v>2400</v>
      </c>
      <c r="R1152" s="12">
        <f t="shared" si="993"/>
        <v>-23.300970873786468</v>
      </c>
    </row>
    <row r="1153" spans="1:18" s="51" customFormat="1" ht="12.75" customHeight="1" outlineLevel="1" x14ac:dyDescent="0.3">
      <c r="A1153" s="290">
        <f t="shared" ref="A1153:A1244" si="994">LEN(C1153)</f>
        <v>6</v>
      </c>
      <c r="B1153" s="630"/>
      <c r="C1153" s="391" t="s">
        <v>1529</v>
      </c>
      <c r="D1153" s="606" t="s">
        <v>6928</v>
      </c>
      <c r="E1153" s="391"/>
      <c r="F1153" s="490"/>
      <c r="G1153" s="325" t="s">
        <v>74</v>
      </c>
      <c r="H1153" s="326">
        <f>I1050</f>
        <v>43.3</v>
      </c>
      <c r="I1153" s="547" t="s">
        <v>2787</v>
      </c>
      <c r="J1153" s="812">
        <f>L1153/H1153</f>
        <v>28</v>
      </c>
      <c r="K1153" s="334" t="str">
        <f>IF(A1153=0,VLOOKUP(D1153,'03. Insumos'!A:F,4,0),"")</f>
        <v/>
      </c>
      <c r="L1153" s="492">
        <f>SUMIF(A1154,0,L1154)</f>
        <v>1212.3999999999999</v>
      </c>
      <c r="M1153" s="153">
        <f t="shared" ca="1" si="989"/>
        <v>7.3615393590133188E-5</v>
      </c>
      <c r="O1153" s="148" t="e">
        <f>IF(I1153&lt;&gt;0,I1153*H1153*K1153,)</f>
        <v>#VALUE!</v>
      </c>
      <c r="R1153" s="12" t="e">
        <f t="shared" si="993"/>
        <v>#VALUE!</v>
      </c>
    </row>
    <row r="1154" spans="1:18" s="59" customFormat="1" ht="12.75" customHeight="1" outlineLevel="1" x14ac:dyDescent="0.3">
      <c r="A1154" s="13">
        <f t="shared" si="994"/>
        <v>0</v>
      </c>
      <c r="B1154" s="55"/>
      <c r="C1154" s="480"/>
      <c r="D1154" s="370" t="s">
        <v>6495</v>
      </c>
      <c r="E1154" s="67" t="str">
        <f>VLOOKUP(D1154,'03. Insumos'!A:D,2,0)</f>
        <v>Pintura Oleo Sobre Corrimão - Material e Mão de Obra</v>
      </c>
      <c r="F1154" s="482" t="s">
        <v>5218</v>
      </c>
      <c r="G1154" s="68" t="str">
        <f>VLOOKUP(D1154,'03. Insumos'!A:F,3,0)</f>
        <v>m</v>
      </c>
      <c r="H1154" s="69">
        <v>1</v>
      </c>
      <c r="I1154" s="69">
        <f>H1153</f>
        <v>43.3</v>
      </c>
      <c r="J1154" s="70">
        <f>IFERROR(IF(K1154&lt;&gt;0,K1154*$K$5,0),0)</f>
        <v>28</v>
      </c>
      <c r="K1154" s="70">
        <f>IF(A1154=0,VLOOKUP(D1154,'03. Insumos'!A:F,4,0),"")</f>
        <v>28</v>
      </c>
      <c r="L1154" s="70">
        <f>H1154*J1154*I1154</f>
        <v>1212.3999999999999</v>
      </c>
      <c r="M1154" s="153">
        <f t="shared" ca="1" si="989"/>
        <v>7.3615393590133188E-5</v>
      </c>
      <c r="O1154" s="148">
        <f t="shared" si="992"/>
        <v>1212.3999999999999</v>
      </c>
      <c r="R1154" s="12">
        <f t="shared" si="993"/>
        <v>-0.81553398058252569</v>
      </c>
    </row>
    <row r="1155" spans="1:18" s="51" customFormat="1" ht="12.75" hidden="1" customHeight="1" outlineLevel="1" x14ac:dyDescent="0.3">
      <c r="A1155" s="290">
        <f t="shared" si="994"/>
        <v>6</v>
      </c>
      <c r="B1155" s="630"/>
      <c r="C1155" s="391" t="s">
        <v>6933</v>
      </c>
      <c r="D1155" s="606" t="s">
        <v>7383</v>
      </c>
      <c r="E1155" s="391"/>
      <c r="F1155" s="490"/>
      <c r="G1155" s="325" t="s">
        <v>73</v>
      </c>
      <c r="H1155" s="326"/>
      <c r="I1155" s="547" t="s">
        <v>2787</v>
      </c>
      <c r="J1155" s="334"/>
      <c r="K1155" s="334" t="str">
        <f>IF(A1155=0,VLOOKUP(D1155,'03. Insumos'!A:F,4,0),"")</f>
        <v/>
      </c>
      <c r="L1155" s="492">
        <f>SUMIF(A1156,0,L1156)</f>
        <v>0</v>
      </c>
      <c r="M1155" s="153">
        <f t="shared" ca="1" si="989"/>
        <v>0</v>
      </c>
      <c r="O1155" s="148" t="e">
        <f t="shared" si="992"/>
        <v>#VALUE!</v>
      </c>
      <c r="R1155" s="12">
        <f t="shared" si="993"/>
        <v>0</v>
      </c>
    </row>
    <row r="1156" spans="1:18" s="59" customFormat="1" ht="12.75" hidden="1" customHeight="1" outlineLevel="1" x14ac:dyDescent="0.3">
      <c r="A1156" s="13">
        <f t="shared" si="994"/>
        <v>0</v>
      </c>
      <c r="B1156" s="55"/>
      <c r="C1156" s="480"/>
      <c r="D1156" s="370" t="s">
        <v>6709</v>
      </c>
      <c r="E1156" s="67" t="str">
        <f>VLOOKUP(D1156,'03. Insumos'!A:D,2,0)</f>
        <v>Textura - Material e Mão de Obra</v>
      </c>
      <c r="F1156" s="482" t="s">
        <v>5218</v>
      </c>
      <c r="G1156" s="68" t="str">
        <f>VLOOKUP(D1156,'03. Insumos'!A:F,3,0)</f>
        <v>m²</v>
      </c>
      <c r="H1156" s="483">
        <v>1</v>
      </c>
      <c r="I1156" s="69">
        <f>H1155</f>
        <v>0</v>
      </c>
      <c r="J1156" s="70">
        <f>IFERROR(IF(K1156&lt;&gt;0,K1156*$K$5,0),0)</f>
        <v>40</v>
      </c>
      <c r="K1156" s="70">
        <f>IF(A1156=0,VLOOKUP(D1156,'03. Insumos'!A:F,4,0),"")</f>
        <v>40</v>
      </c>
      <c r="L1156" s="70">
        <f>H1156*J1156*I1156</f>
        <v>0</v>
      </c>
      <c r="M1156" s="153">
        <f t="shared" ca="1" si="989"/>
        <v>0</v>
      </c>
      <c r="O1156" s="148">
        <f t="shared" si="992"/>
        <v>0</v>
      </c>
      <c r="R1156" s="12">
        <f t="shared" si="993"/>
        <v>-1.1650485436893234</v>
      </c>
    </row>
    <row r="1157" spans="1:18" s="51" customFormat="1" ht="12.75" customHeight="1" outlineLevel="1" x14ac:dyDescent="0.3">
      <c r="A1157" s="290">
        <f t="shared" si="994"/>
        <v>6</v>
      </c>
      <c r="B1157" s="630"/>
      <c r="C1157" s="391" t="s">
        <v>6934</v>
      </c>
      <c r="D1157" s="606" t="s">
        <v>6931</v>
      </c>
      <c r="E1157" s="391"/>
      <c r="F1157" s="490"/>
      <c r="G1157" s="325" t="s">
        <v>1376</v>
      </c>
      <c r="H1157" s="326">
        <f>I1067</f>
        <v>3</v>
      </c>
      <c r="I1157" s="547" t="s">
        <v>2787</v>
      </c>
      <c r="J1157" s="812">
        <f>L1157/H1157</f>
        <v>190</v>
      </c>
      <c r="K1157" s="334" t="str">
        <f>IF(A1157=0,VLOOKUP(D1157,'03. Insumos'!A:F,4,0),"")</f>
        <v/>
      </c>
      <c r="L1157" s="492">
        <f>SUMIF(A1158,0,L1158)</f>
        <v>570</v>
      </c>
      <c r="M1157" s="153">
        <f t="shared" ca="1" si="989"/>
        <v>3.4609678609679911E-5</v>
      </c>
      <c r="O1157" s="148" t="e">
        <f t="shared" si="992"/>
        <v>#VALUE!</v>
      </c>
      <c r="R1157" s="12" t="e">
        <f t="shared" si="993"/>
        <v>#VALUE!</v>
      </c>
    </row>
    <row r="1158" spans="1:18" s="59" customFormat="1" ht="12.75" customHeight="1" outlineLevel="1" x14ac:dyDescent="0.3">
      <c r="A1158" s="13">
        <f t="shared" si="994"/>
        <v>0</v>
      </c>
      <c r="B1158" s="55"/>
      <c r="C1158" s="480"/>
      <c r="D1158" s="370" t="s">
        <v>6497</v>
      </c>
      <c r="E1158" s="481" t="str">
        <f>VLOOKUP(D1158,'03. Insumos'!A:D,2,0)</f>
        <v>Pintura PCF - Material e Mão de Obra</v>
      </c>
      <c r="F1158" s="482" t="s">
        <v>5218</v>
      </c>
      <c r="G1158" s="68" t="str">
        <f>VLOOKUP(D1158,'03. Insumos'!A:F,3,0)</f>
        <v>unid</v>
      </c>
      <c r="H1158" s="69">
        <v>1</v>
      </c>
      <c r="I1158" s="69">
        <f>H1157</f>
        <v>3</v>
      </c>
      <c r="J1158" s="70">
        <f>IFERROR(IF(K1158&lt;&gt;0,K1158*$K$5,0),0)</f>
        <v>190</v>
      </c>
      <c r="K1158" s="70">
        <f>IF(A1158=0,VLOOKUP(D1158,'03. Insumos'!A:F,4,0),"")</f>
        <v>190</v>
      </c>
      <c r="L1158" s="70">
        <f>H1158*J1158*I1158</f>
        <v>570</v>
      </c>
      <c r="M1158" s="153">
        <f t="shared" ca="1" si="989"/>
        <v>3.4609678609679911E-5</v>
      </c>
      <c r="O1158" s="148">
        <f t="shared" si="992"/>
        <v>570</v>
      </c>
      <c r="R1158" s="12">
        <f t="shared" si="993"/>
        <v>-5.5339805825242649</v>
      </c>
    </row>
    <row r="1159" spans="1:18" s="51" customFormat="1" ht="12.75" hidden="1" customHeight="1" outlineLevel="1" x14ac:dyDescent="0.3">
      <c r="A1159" s="13">
        <f t="shared" si="994"/>
        <v>6</v>
      </c>
      <c r="B1159" s="630"/>
      <c r="C1159" s="489" t="s">
        <v>6935</v>
      </c>
      <c r="D1159" s="606" t="s">
        <v>7981</v>
      </c>
      <c r="E1159" s="391"/>
      <c r="F1159" s="490"/>
      <c r="G1159" s="325" t="s">
        <v>1376</v>
      </c>
      <c r="H1159" s="326">
        <f>I1000</f>
        <v>222</v>
      </c>
      <c r="I1159" s="547" t="s">
        <v>2787</v>
      </c>
      <c r="J1159" s="812">
        <f>L1159/H1159</f>
        <v>0</v>
      </c>
      <c r="K1159" s="334" t="str">
        <f>IF(A1159=0,VLOOKUP(D1159,'03. Insumos'!A:F,4,0),"")</f>
        <v/>
      </c>
      <c r="L1159" s="492">
        <f>SUMIF(A1160:A1161,0,L1160:L1161)</f>
        <v>0</v>
      </c>
      <c r="M1159" s="153">
        <f t="shared" ca="1" si="989"/>
        <v>0</v>
      </c>
      <c r="O1159" s="148" t="e">
        <f t="shared" si="992"/>
        <v>#VALUE!</v>
      </c>
      <c r="R1159" s="12">
        <f t="shared" si="993"/>
        <v>0</v>
      </c>
    </row>
    <row r="1160" spans="1:18" s="59" customFormat="1" ht="12.75" hidden="1" customHeight="1" outlineLevel="1" x14ac:dyDescent="0.3">
      <c r="A1160" s="13">
        <f t="shared" si="994"/>
        <v>0</v>
      </c>
      <c r="B1160" s="55"/>
      <c r="C1160" s="480"/>
      <c r="D1160" s="370" t="s">
        <v>489</v>
      </c>
      <c r="E1160" s="67" t="str">
        <f>VLOOKUP(D1160,'03. Insumos'!A:D,2,0)</f>
        <v>Pintura esmalte sobre esquadria de madeira - Portas (MAT+MO)</v>
      </c>
      <c r="F1160" s="482" t="s">
        <v>5218</v>
      </c>
      <c r="G1160" s="68" t="str">
        <f>VLOOKUP(D1160,'03. Insumos'!A:F,3,0)</f>
        <v>uni</v>
      </c>
      <c r="H1160" s="483"/>
      <c r="I1160" s="69">
        <f>H1159</f>
        <v>222</v>
      </c>
      <c r="J1160" s="70">
        <f>IFERROR(IF(K1160&lt;&gt;0,K1160*$K$5,0),0)</f>
        <v>350</v>
      </c>
      <c r="K1160" s="70">
        <f>IF(A1160=0,VLOOKUP(D1160,'03. Insumos'!A:F,4,0),"")</f>
        <v>350</v>
      </c>
      <c r="L1160" s="70">
        <f>H1160*J1160*I1160</f>
        <v>0</v>
      </c>
      <c r="M1160" s="153">
        <f t="shared" ca="1" si="989"/>
        <v>0</v>
      </c>
      <c r="O1160" s="148">
        <f t="shared" si="992"/>
        <v>0</v>
      </c>
      <c r="R1160" s="12">
        <f t="shared" si="993"/>
        <v>-10.194174757281587</v>
      </c>
    </row>
    <row r="1161" spans="1:18" s="59" customFormat="1" ht="12.75" hidden="1" customHeight="1" outlineLevel="1" x14ac:dyDescent="0.3">
      <c r="A1161" s="13">
        <f t="shared" ref="A1161" si="995">LEN(C1161)</f>
        <v>0</v>
      </c>
      <c r="B1161" s="55"/>
      <c r="C1161" s="480"/>
      <c r="D1161" s="370" t="s">
        <v>7932</v>
      </c>
      <c r="E1161" s="67" t="str">
        <f>VLOOKUP(D1161,'03. Insumos'!A:D,2,0)</f>
        <v>Pintura em verniz sobre forro de madeira</v>
      </c>
      <c r="F1161" s="482" t="s">
        <v>5218</v>
      </c>
      <c r="G1161" s="68" t="str">
        <f>VLOOKUP(D1161,'03. Insumos'!A:F,3,0)</f>
        <v>m²</v>
      </c>
      <c r="H1161" s="483">
        <v>1</v>
      </c>
      <c r="I1161" s="69"/>
      <c r="J1161" s="70">
        <f>IFERROR(IF(K1161&lt;&gt;0,K1161*$K$5,0),0)</f>
        <v>148.44999999999999</v>
      </c>
      <c r="K1161" s="70">
        <f>IF(A1161=0,VLOOKUP(D1161,'03. Insumos'!A:F,4,0),"")</f>
        <v>148.44999999999999</v>
      </c>
      <c r="L1161" s="70">
        <f>H1161*J1161*I1161</f>
        <v>0</v>
      </c>
      <c r="M1161" s="153">
        <f t="shared" ref="M1161" ca="1" si="996">L1161/$L$7</f>
        <v>0</v>
      </c>
      <c r="O1161" s="148">
        <f t="shared" ref="O1161" si="997">IF(I1161&lt;&gt;0,I1161*H1161*K1161,)</f>
        <v>0</v>
      </c>
      <c r="R1161" s="12">
        <f t="shared" ref="R1161:R1197" si="998">IF(J1161&lt;&gt;0,J1161/1.03-K1161,0)</f>
        <v>-4.3237864077669883</v>
      </c>
    </row>
    <row r="1162" spans="1:18" s="51" customFormat="1" ht="12.75" hidden="1" customHeight="1" outlineLevel="1" x14ac:dyDescent="0.3">
      <c r="A1162" s="13">
        <f t="shared" si="994"/>
        <v>6</v>
      </c>
      <c r="B1162" s="630"/>
      <c r="C1162" s="391" t="s">
        <v>6935</v>
      </c>
      <c r="D1162" s="606" t="s">
        <v>6936</v>
      </c>
      <c r="E1162" s="391"/>
      <c r="F1162" s="490"/>
      <c r="G1162" s="325" t="s">
        <v>6888</v>
      </c>
      <c r="H1162" s="326"/>
      <c r="I1162" s="547" t="s">
        <v>2787</v>
      </c>
      <c r="J1162" s="812" t="e">
        <f>L1162/H1162</f>
        <v>#DIV/0!</v>
      </c>
      <c r="K1162" s="334" t="str">
        <f>IF(A1162=0,VLOOKUP(D1162,'03. Insumos'!A:F,4,0),"")</f>
        <v/>
      </c>
      <c r="L1162" s="492">
        <f>SUMIF(A1163,0,L1163)</f>
        <v>0</v>
      </c>
      <c r="M1162" s="153">
        <f t="shared" ca="1" si="989"/>
        <v>0</v>
      </c>
      <c r="O1162" s="148" t="e">
        <f t="shared" si="992"/>
        <v>#VALUE!</v>
      </c>
      <c r="R1162" s="12" t="e">
        <f t="shared" si="998"/>
        <v>#DIV/0!</v>
      </c>
    </row>
    <row r="1163" spans="1:18" s="59" customFormat="1" ht="12.75" hidden="1" customHeight="1" outlineLevel="1" x14ac:dyDescent="0.3">
      <c r="A1163" s="13">
        <f t="shared" si="994"/>
        <v>0</v>
      </c>
      <c r="B1163" s="55"/>
      <c r="C1163" s="480"/>
      <c r="D1163" s="370" t="s">
        <v>6499</v>
      </c>
      <c r="E1163" s="67" t="str">
        <f>VLOOKUP(D1163,'03. Insumos'!A:D,2,0)</f>
        <v>Pintura demarcação de vagas - Material e Mão de Obra</v>
      </c>
      <c r="F1163" s="482" t="s">
        <v>5218</v>
      </c>
      <c r="G1163" s="68" t="str">
        <f>VLOOKUP(D1163,'03. Insumos'!A:F,3,0)</f>
        <v>und</v>
      </c>
      <c r="H1163" s="483">
        <v>1.1000000000000001</v>
      </c>
      <c r="I1163" s="69">
        <f>H1162</f>
        <v>0</v>
      </c>
      <c r="J1163" s="70">
        <f>IFERROR(IF(K1163&lt;&gt;0,K1163*$K$5,0),0)</f>
        <v>115.038</v>
      </c>
      <c r="K1163" s="70">
        <f>IF(A1163=0,VLOOKUP(D1163,'03. Insumos'!A:F,4,0),"")</f>
        <v>115.038</v>
      </c>
      <c r="L1163" s="70">
        <f>H1163*J1163*I1163</f>
        <v>0</v>
      </c>
      <c r="M1163" s="153">
        <f t="shared" ca="1" si="989"/>
        <v>0</v>
      </c>
      <c r="O1163" s="148">
        <f t="shared" si="992"/>
        <v>0</v>
      </c>
      <c r="R1163" s="12">
        <f t="shared" si="998"/>
        <v>-3.3506213592232967</v>
      </c>
    </row>
    <row r="1164" spans="1:18" s="18" customFormat="1" ht="13.5" customHeight="1" x14ac:dyDescent="0.3">
      <c r="A1164" s="290">
        <f t="shared" si="994"/>
        <v>3</v>
      </c>
      <c r="B1164" s="35"/>
      <c r="C1164" s="390" t="s">
        <v>350</v>
      </c>
      <c r="D1164" s="390" t="s">
        <v>83</v>
      </c>
      <c r="E1164" s="390"/>
      <c r="F1164" s="323"/>
      <c r="G1164" s="678"/>
      <c r="H1164" s="324"/>
      <c r="I1164" s="324"/>
      <c r="J1164" s="333"/>
      <c r="K1164" s="333"/>
      <c r="L1164" s="333">
        <f>SUMIF(A1165:A1195,4,L1165:L1195)</f>
        <v>161044.30799999999</v>
      </c>
      <c r="M1164" s="153">
        <f t="shared" ca="1" si="989"/>
        <v>9.778406564558426E-3</v>
      </c>
      <c r="O1164" s="148">
        <f t="shared" si="992"/>
        <v>0</v>
      </c>
      <c r="R1164" s="12">
        <f t="shared" si="998"/>
        <v>0</v>
      </c>
    </row>
    <row r="1165" spans="1:18" s="18" customFormat="1" ht="13.5" customHeight="1" outlineLevel="1" x14ac:dyDescent="0.3">
      <c r="A1165" s="290">
        <f t="shared" si="994"/>
        <v>4</v>
      </c>
      <c r="B1165" s="45"/>
      <c r="C1165" s="45" t="s">
        <v>373</v>
      </c>
      <c r="D1165" s="45" t="s">
        <v>83</v>
      </c>
      <c r="E1165" s="347"/>
      <c r="F1165" s="327"/>
      <c r="G1165" s="327"/>
      <c r="H1165" s="328"/>
      <c r="I1165" s="548"/>
      <c r="J1165" s="335"/>
      <c r="K1165" s="335" t="str">
        <f>IF(A1165=0,VLOOKUP(D1165,'03. Insumos'!A:F,4,0),"")</f>
        <v/>
      </c>
      <c r="L1165" s="335">
        <f>SUMIF(A1166:A1195,6,L1166:L1195)</f>
        <v>161044.30799999999</v>
      </c>
      <c r="M1165" s="153">
        <f t="shared" ca="1" si="989"/>
        <v>9.778406564558426E-3</v>
      </c>
      <c r="O1165" s="148">
        <f t="shared" si="992"/>
        <v>0</v>
      </c>
      <c r="R1165" s="12">
        <f t="shared" si="998"/>
        <v>0</v>
      </c>
    </row>
    <row r="1166" spans="1:18" s="59" customFormat="1" ht="13.5" customHeight="1" outlineLevel="1" x14ac:dyDescent="0.3">
      <c r="A1166" s="290">
        <f t="shared" si="994"/>
        <v>6</v>
      </c>
      <c r="B1166" s="391"/>
      <c r="C1166" s="391" t="s">
        <v>374</v>
      </c>
      <c r="D1166" s="391" t="s">
        <v>7350</v>
      </c>
      <c r="E1166" s="391"/>
      <c r="F1166" s="325"/>
      <c r="G1166" s="325" t="s">
        <v>29</v>
      </c>
      <c r="H1166" s="326">
        <v>1</v>
      </c>
      <c r="I1166" s="547"/>
      <c r="J1166" s="812">
        <f>L1166/H1166</f>
        <v>77848.539999999994</v>
      </c>
      <c r="K1166" s="334" t="str">
        <f>IF(A1166=0,VLOOKUP(D1166,'03. Insumos'!A:F,4,0),"")</f>
        <v/>
      </c>
      <c r="L1166" s="334">
        <f>SUMIF(A1167:A1175,0,L1167:L1175)</f>
        <v>77848.539999999994</v>
      </c>
      <c r="M1166" s="153">
        <f t="shared" ca="1" si="989"/>
        <v>4.7268648239172113E-3</v>
      </c>
      <c r="O1166" s="148">
        <f t="shared" si="992"/>
        <v>0</v>
      </c>
      <c r="R1166" s="12" t="e">
        <f t="shared" si="998"/>
        <v>#VALUE!</v>
      </c>
    </row>
    <row r="1167" spans="1:18" s="513" customFormat="1" outlineLevel="1" x14ac:dyDescent="0.3">
      <c r="A1167" s="59">
        <f t="shared" si="994"/>
        <v>0</v>
      </c>
      <c r="B1167" s="481"/>
      <c r="C1167" s="481"/>
      <c r="D1167" s="370" t="s">
        <v>6842</v>
      </c>
      <c r="E1167" s="706" t="s">
        <v>8664</v>
      </c>
      <c r="F1167" s="482" t="s">
        <v>5218</v>
      </c>
      <c r="G1167" s="482" t="s">
        <v>1376</v>
      </c>
      <c r="H1167" s="69">
        <v>1</v>
      </c>
      <c r="I1167" s="483">
        <v>74</v>
      </c>
      <c r="J1167" s="485">
        <v>249.05</v>
      </c>
      <c r="K1167" s="485">
        <f>IF(A1167=0,VLOOKUP(D1167,'03. Insumos'!A:F,4,0),"")</f>
        <v>1</v>
      </c>
      <c r="L1167" s="485">
        <f t="shared" ref="L1167:L1175" si="999">H1167*J1167*I1167</f>
        <v>18429.7</v>
      </c>
      <c r="M1167" s="153">
        <f t="shared" ca="1" si="989"/>
        <v>1.1190280594259962E-3</v>
      </c>
      <c r="O1167" s="514">
        <f t="shared" si="992"/>
        <v>74</v>
      </c>
      <c r="R1167" s="12">
        <f t="shared" si="998"/>
        <v>240.79611650485438</v>
      </c>
    </row>
    <row r="1168" spans="1:18" s="486" customFormat="1" outlineLevel="1" x14ac:dyDescent="0.3">
      <c r="A1168" s="13">
        <f t="shared" ref="A1168" si="1000">LEN(C1168)</f>
        <v>0</v>
      </c>
      <c r="B1168" s="480"/>
      <c r="C1168" s="480"/>
      <c r="D1168" s="370" t="s">
        <v>6845</v>
      </c>
      <c r="E1168" s="706" t="s">
        <v>8665</v>
      </c>
      <c r="F1168" s="482" t="s">
        <v>5218</v>
      </c>
      <c r="G1168" s="482" t="str">
        <f>VLOOKUP(D1168,'03. Insumos'!A:F,3,0)</f>
        <v>unid</v>
      </c>
      <c r="H1168" s="69">
        <v>1</v>
      </c>
      <c r="I1168" s="483">
        <v>37</v>
      </c>
      <c r="J1168" s="485">
        <v>279.02</v>
      </c>
      <c r="K1168" s="485">
        <f>IF(A1168=0,VLOOKUP(D1168,'03. Insumos'!A:F,4,0),"")</f>
        <v>72.5</v>
      </c>
      <c r="L1168" s="485">
        <f t="shared" ref="L1168" si="1001">H1168*J1168*I1168</f>
        <v>10323.74</v>
      </c>
      <c r="M1168" s="153">
        <f t="shared" ref="M1168" ca="1" si="1002">L1168/$L$7</f>
        <v>6.2684442710508219E-4</v>
      </c>
      <c r="O1168" s="512">
        <f t="shared" ref="O1168" si="1003">IF(I1168&lt;&gt;0,I1168*H1168*K1168,)</f>
        <v>2682.5</v>
      </c>
      <c r="R1168" s="12">
        <f t="shared" ref="R1168" si="1004">IF(J1168&lt;&gt;0,J1168/1.03-K1168,0)</f>
        <v>198.39320388349512</v>
      </c>
    </row>
    <row r="1169" spans="1:18" s="486" customFormat="1" outlineLevel="1" x14ac:dyDescent="0.3">
      <c r="A1169" s="13">
        <f t="shared" si="994"/>
        <v>0</v>
      </c>
      <c r="B1169" s="480"/>
      <c r="C1169" s="480"/>
      <c r="D1169" s="370" t="s">
        <v>6846</v>
      </c>
      <c r="E1169" s="706" t="s">
        <v>8666</v>
      </c>
      <c r="F1169" s="482" t="s">
        <v>5218</v>
      </c>
      <c r="G1169" s="482" t="str">
        <f>VLOOKUP(D1169,'03. Insumos'!A:F,3,0)</f>
        <v>unid</v>
      </c>
      <c r="H1169" s="69">
        <v>1</v>
      </c>
      <c r="I1169" s="483">
        <v>1</v>
      </c>
      <c r="J1169" s="485">
        <v>120.87</v>
      </c>
      <c r="K1169" s="485">
        <f>IF(A1169=0,VLOOKUP(D1169,'03. Insumos'!A:F,4,0),"")</f>
        <v>49.5</v>
      </c>
      <c r="L1169" s="485">
        <f t="shared" si="999"/>
        <v>120.87</v>
      </c>
      <c r="M1169" s="153">
        <f t="shared" ca="1" si="989"/>
        <v>7.3390734272842296E-6</v>
      </c>
      <c r="O1169" s="512">
        <f t="shared" si="992"/>
        <v>49.5</v>
      </c>
      <c r="R1169" s="12">
        <f t="shared" si="998"/>
        <v>67.849514563106794</v>
      </c>
    </row>
    <row r="1170" spans="1:18" s="486" customFormat="1" outlineLevel="1" x14ac:dyDescent="0.3">
      <c r="A1170" s="13">
        <f t="shared" si="994"/>
        <v>0</v>
      </c>
      <c r="B1170" s="480"/>
      <c r="C1170" s="480"/>
      <c r="D1170" s="370" t="s">
        <v>6847</v>
      </c>
      <c r="E1170" s="706" t="s">
        <v>8667</v>
      </c>
      <c r="F1170" s="482" t="s">
        <v>5218</v>
      </c>
      <c r="G1170" s="482" t="str">
        <f>VLOOKUP(D1170,'03. Insumos'!A:F,3,0)</f>
        <v>unid</v>
      </c>
      <c r="H1170" s="69">
        <v>1</v>
      </c>
      <c r="I1170" s="483">
        <v>74</v>
      </c>
      <c r="J1170" s="485">
        <v>635.45000000000005</v>
      </c>
      <c r="K1170" s="485">
        <f>IF(A1170=0,VLOOKUP(D1170,'03. Insumos'!A:F,4,0),"")</f>
        <v>294.95</v>
      </c>
      <c r="L1170" s="485">
        <f t="shared" si="999"/>
        <v>47023.3</v>
      </c>
      <c r="M1170" s="153">
        <f t="shared" ca="1" si="989"/>
        <v>2.8551952634501077E-3</v>
      </c>
      <c r="O1170" s="512">
        <f t="shared" si="992"/>
        <v>21826.3</v>
      </c>
      <c r="R1170" s="12">
        <f t="shared" si="998"/>
        <v>321.99174757281554</v>
      </c>
    </row>
    <row r="1171" spans="1:18" s="486" customFormat="1" outlineLevel="1" x14ac:dyDescent="0.3">
      <c r="A1171" s="13">
        <f t="shared" ref="A1171:A1173" si="1005">LEN(C1171)</f>
        <v>0</v>
      </c>
      <c r="B1171" s="480"/>
      <c r="C1171" s="480"/>
      <c r="D1171" s="370" t="s">
        <v>6847</v>
      </c>
      <c r="E1171" s="706" t="s">
        <v>8668</v>
      </c>
      <c r="F1171" s="482" t="s">
        <v>5218</v>
      </c>
      <c r="G1171" s="482" t="str">
        <f>VLOOKUP(D1171,'03. Insumos'!A:F,3,0)</f>
        <v>unid</v>
      </c>
      <c r="H1171" s="69">
        <v>1</v>
      </c>
      <c r="I1171" s="483">
        <v>1</v>
      </c>
      <c r="J1171" s="485">
        <v>250.6</v>
      </c>
      <c r="K1171" s="485">
        <f>IF(A1171=0,VLOOKUP(D1171,'03. Insumos'!A:F,4,0),"")</f>
        <v>294.95</v>
      </c>
      <c r="L1171" s="485">
        <f t="shared" ref="L1171:L1173" si="1006">H1171*J1171*I1171</f>
        <v>250.6</v>
      </c>
      <c r="M1171" s="153">
        <f t="shared" ref="M1171:M1173" ca="1" si="1007">L1171/$L$7</f>
        <v>1.521611484137857E-5</v>
      </c>
      <c r="O1171" s="512">
        <f t="shared" ref="O1171:O1173" si="1008">IF(I1171&lt;&gt;0,I1171*H1171*K1171,)</f>
        <v>294.95</v>
      </c>
      <c r="R1171" s="12">
        <f t="shared" ref="R1171:R1173" si="1009">IF(J1171&lt;&gt;0,J1171/1.03-K1171,0)</f>
        <v>-51.649029126213605</v>
      </c>
    </row>
    <row r="1172" spans="1:18" s="486" customFormat="1" outlineLevel="1" x14ac:dyDescent="0.3">
      <c r="A1172" s="13">
        <f t="shared" si="1005"/>
        <v>0</v>
      </c>
      <c r="B1172" s="480"/>
      <c r="C1172" s="480"/>
      <c r="D1172" s="370" t="s">
        <v>6847</v>
      </c>
      <c r="E1172" s="706" t="s">
        <v>8669</v>
      </c>
      <c r="F1172" s="482" t="s">
        <v>5218</v>
      </c>
      <c r="G1172" s="482" t="str">
        <f>VLOOKUP(D1172,'03. Insumos'!A:F,3,0)</f>
        <v>unid</v>
      </c>
      <c r="H1172" s="69">
        <v>1</v>
      </c>
      <c r="I1172" s="483">
        <f>I1171</f>
        <v>1</v>
      </c>
      <c r="J1172" s="485">
        <v>181.42</v>
      </c>
      <c r="K1172" s="485">
        <f>IF(A1172=0,VLOOKUP(D1172,'03. Insumos'!A:F,4,0),"")</f>
        <v>294.95</v>
      </c>
      <c r="L1172" s="485">
        <f t="shared" si="1006"/>
        <v>181.42</v>
      </c>
      <c r="M1172" s="153">
        <f t="shared" ca="1" si="1007"/>
        <v>1.1015592795382682E-5</v>
      </c>
      <c r="O1172" s="512">
        <f t="shared" si="1008"/>
        <v>294.95</v>
      </c>
      <c r="R1172" s="12">
        <f t="shared" si="1009"/>
        <v>-118.81407766990293</v>
      </c>
    </row>
    <row r="1173" spans="1:18" s="486" customFormat="1" outlineLevel="1" x14ac:dyDescent="0.3">
      <c r="A1173" s="13">
        <f t="shared" si="1005"/>
        <v>0</v>
      </c>
      <c r="B1173" s="480"/>
      <c r="C1173" s="480"/>
      <c r="D1173" s="370" t="s">
        <v>6847</v>
      </c>
      <c r="E1173" s="706" t="s">
        <v>8670</v>
      </c>
      <c r="F1173" s="482" t="s">
        <v>5218</v>
      </c>
      <c r="G1173" s="482" t="str">
        <f>VLOOKUP(D1173,'03. Insumos'!A:F,3,0)</f>
        <v>unid</v>
      </c>
      <c r="H1173" s="69">
        <v>1</v>
      </c>
      <c r="I1173" s="483">
        <v>1</v>
      </c>
      <c r="J1173" s="485">
        <v>842.48</v>
      </c>
      <c r="K1173" s="485">
        <f>IF(A1173=0,VLOOKUP(D1173,'03. Insumos'!A:F,4,0),"")</f>
        <v>294.95</v>
      </c>
      <c r="L1173" s="485">
        <f t="shared" si="1006"/>
        <v>842.48</v>
      </c>
      <c r="M1173" s="153">
        <f t="shared" ca="1" si="1007"/>
        <v>5.1154319359794969E-5</v>
      </c>
      <c r="O1173" s="512">
        <f t="shared" si="1008"/>
        <v>294.95</v>
      </c>
      <c r="R1173" s="12">
        <f t="shared" si="1009"/>
        <v>522.99174757281548</v>
      </c>
    </row>
    <row r="1174" spans="1:18" s="486" customFormat="1" outlineLevel="1" x14ac:dyDescent="0.3">
      <c r="A1174" s="13">
        <f t="shared" ref="A1174" si="1010">LEN(C1174)</f>
        <v>0</v>
      </c>
      <c r="B1174" s="480"/>
      <c r="C1174" s="480"/>
      <c r="D1174" s="370" t="s">
        <v>6847</v>
      </c>
      <c r="E1174" s="706" t="s">
        <v>8671</v>
      </c>
      <c r="F1174" s="482" t="s">
        <v>5218</v>
      </c>
      <c r="G1174" s="482" t="str">
        <f>VLOOKUP(D1174,'03. Insumos'!A:F,3,0)</f>
        <v>unid</v>
      </c>
      <c r="H1174" s="69">
        <v>1</v>
      </c>
      <c r="I1174" s="483">
        <v>1</v>
      </c>
      <c r="J1174" s="485">
        <v>495.01</v>
      </c>
      <c r="K1174" s="485">
        <f>IF(A1174=0,VLOOKUP(D1174,'03. Insumos'!A:F,4,0),"")</f>
        <v>294.95</v>
      </c>
      <c r="L1174" s="485">
        <f t="shared" ref="L1174" si="1011">H1174*J1174*I1174</f>
        <v>495.01</v>
      </c>
      <c r="M1174" s="153">
        <f t="shared" ref="M1174" ca="1" si="1012">L1174/$L$7</f>
        <v>3.0056380716802896E-5</v>
      </c>
      <c r="O1174" s="512">
        <f t="shared" ref="O1174" si="1013">IF(I1174&lt;&gt;0,I1174*H1174*K1174,)</f>
        <v>294.95</v>
      </c>
      <c r="R1174" s="12">
        <f t="shared" ref="R1174" si="1014">IF(J1174&lt;&gt;0,J1174/1.03-K1174,0)</f>
        <v>185.64223300970872</v>
      </c>
    </row>
    <row r="1175" spans="1:18" s="486" customFormat="1" outlineLevel="1" x14ac:dyDescent="0.3">
      <c r="A1175" s="13">
        <f t="shared" si="994"/>
        <v>0</v>
      </c>
      <c r="B1175" s="480"/>
      <c r="C1175" s="480"/>
      <c r="D1175" s="370" t="s">
        <v>6847</v>
      </c>
      <c r="E1175" s="706" t="s">
        <v>8669</v>
      </c>
      <c r="F1175" s="482" t="s">
        <v>5218</v>
      </c>
      <c r="G1175" s="482" t="str">
        <f>VLOOKUP(D1175,'03. Insumos'!A:F,3,0)</f>
        <v>unid</v>
      </c>
      <c r="H1175" s="69">
        <v>1</v>
      </c>
      <c r="I1175" s="483">
        <f>I1174</f>
        <v>1</v>
      </c>
      <c r="J1175" s="485">
        <v>181.42</v>
      </c>
      <c r="K1175" s="485">
        <f>IF(A1175=0,VLOOKUP(D1175,'03. Insumos'!A:F,4,0),"")</f>
        <v>294.95</v>
      </c>
      <c r="L1175" s="485">
        <f t="shared" si="999"/>
        <v>181.42</v>
      </c>
      <c r="M1175" s="153">
        <f t="shared" ca="1" si="989"/>
        <v>1.1015592795382682E-5</v>
      </c>
      <c r="O1175" s="512">
        <f t="shared" si="992"/>
        <v>294.95</v>
      </c>
      <c r="R1175" s="12">
        <f t="shared" si="998"/>
        <v>-118.81407766990293</v>
      </c>
    </row>
    <row r="1176" spans="1:18" s="59" customFormat="1" ht="13.5" customHeight="1" outlineLevel="1" x14ac:dyDescent="0.3">
      <c r="A1176" s="290">
        <f t="shared" si="994"/>
        <v>6</v>
      </c>
      <c r="B1176" s="391"/>
      <c r="C1176" s="391" t="s">
        <v>1545</v>
      </c>
      <c r="D1176" s="391" t="s">
        <v>7351</v>
      </c>
      <c r="E1176" s="391"/>
      <c r="F1176" s="325"/>
      <c r="G1176" s="325" t="s">
        <v>29</v>
      </c>
      <c r="H1176" s="326">
        <v>1</v>
      </c>
      <c r="I1176" s="547"/>
      <c r="J1176" s="812">
        <f>L1176/H1176</f>
        <v>83195.767999999996</v>
      </c>
      <c r="K1176" s="334" t="str">
        <f>IF(A1176=0,VLOOKUP(D1176,'03. Insumos'!A:F,4,0),"")</f>
        <v/>
      </c>
      <c r="L1176" s="334">
        <f>SUMIF(A1177:A1195,0,L1177:L1195)</f>
        <v>83195.767999999996</v>
      </c>
      <c r="M1176" s="153">
        <f t="shared" ca="1" si="989"/>
        <v>5.0515417406412147E-3</v>
      </c>
      <c r="O1176" s="148">
        <f t="shared" si="992"/>
        <v>0</v>
      </c>
      <c r="R1176" s="12" t="e">
        <f t="shared" si="998"/>
        <v>#VALUE!</v>
      </c>
    </row>
    <row r="1177" spans="1:18" s="784" customFormat="1" hidden="1" outlineLevel="1" x14ac:dyDescent="0.3">
      <c r="A1177" s="791">
        <f t="shared" si="994"/>
        <v>0</v>
      </c>
      <c r="B1177" s="747"/>
      <c r="C1177" s="747"/>
      <c r="D1177" s="370" t="s">
        <v>6843</v>
      </c>
      <c r="E1177" s="706" t="str">
        <f>VLOOKUP(D1177,'03. Insumos'!A:D,2,0)</f>
        <v>Metais</v>
      </c>
      <c r="F1177" s="755" t="s">
        <v>5218</v>
      </c>
      <c r="G1177" s="755" t="str">
        <f>VLOOKUP(D1177,'03. Insumos'!A:F,3,0)</f>
        <v>vb</v>
      </c>
      <c r="H1177" s="834"/>
      <c r="I1177" s="756"/>
      <c r="J1177" s="757">
        <v>1</v>
      </c>
      <c r="K1177" s="757">
        <f>IF(A1177=0,VLOOKUP(D1177,'03. Insumos'!A:F,4,0),"")</f>
        <v>1</v>
      </c>
      <c r="L1177" s="757">
        <f t="shared" ref="L1177:L1186" si="1015">H1177*J1177*I1177</f>
        <v>0</v>
      </c>
      <c r="M1177" s="153">
        <f t="shared" ca="1" si="989"/>
        <v>0</v>
      </c>
      <c r="O1177" s="785">
        <f t="shared" si="992"/>
        <v>0</v>
      </c>
      <c r="R1177" s="12">
        <f t="shared" si="998"/>
        <v>-2.9126213592232997E-2</v>
      </c>
    </row>
    <row r="1178" spans="1:18" s="759" customFormat="1" outlineLevel="1" x14ac:dyDescent="0.3">
      <c r="A1178" s="790">
        <f t="shared" si="994"/>
        <v>0</v>
      </c>
      <c r="B1178" s="753"/>
      <c r="C1178" s="753"/>
      <c r="D1178" s="754" t="s">
        <v>6849</v>
      </c>
      <c r="E1178" s="706" t="s">
        <v>8673</v>
      </c>
      <c r="F1178" s="755" t="s">
        <v>5218</v>
      </c>
      <c r="G1178" s="755" t="str">
        <f>VLOOKUP(D1178,'03. Insumos'!A:F,3,0)</f>
        <v>unid</v>
      </c>
      <c r="H1178" s="756">
        <v>1</v>
      </c>
      <c r="I1178" s="756">
        <v>74</v>
      </c>
      <c r="J1178" s="757">
        <v>135.24</v>
      </c>
      <c r="K1178" s="757">
        <f>IF(A1178=0,VLOOKUP(D1178,'03. Insumos'!A:F,4,0),"")</f>
        <v>348.2</v>
      </c>
      <c r="L1178" s="757">
        <f t="shared" si="1015"/>
        <v>10007.76</v>
      </c>
      <c r="M1178" s="153">
        <f t="shared" ca="1" si="989"/>
        <v>6.0765852140843896E-4</v>
      </c>
      <c r="O1178" s="760">
        <f t="shared" si="992"/>
        <v>25766.799999999999</v>
      </c>
      <c r="R1178" s="12">
        <f t="shared" si="998"/>
        <v>-216.89902912621358</v>
      </c>
    </row>
    <row r="1179" spans="1:18" s="759" customFormat="1" outlineLevel="1" x14ac:dyDescent="0.3">
      <c r="A1179" s="790">
        <f t="shared" si="994"/>
        <v>0</v>
      </c>
      <c r="B1179" s="753"/>
      <c r="C1179" s="753"/>
      <c r="D1179" s="754" t="s">
        <v>6850</v>
      </c>
      <c r="E1179" s="706" t="s">
        <v>8675</v>
      </c>
      <c r="F1179" s="755" t="s">
        <v>5218</v>
      </c>
      <c r="G1179" s="755" t="str">
        <f>VLOOKUP(D1179,'03. Insumos'!A:F,3,0)</f>
        <v>unid</v>
      </c>
      <c r="H1179" s="756">
        <v>1</v>
      </c>
      <c r="I1179" s="756">
        <v>74</v>
      </c>
      <c r="J1179" s="757">
        <v>146.62</v>
      </c>
      <c r="K1179" s="757">
        <f>IF(A1179=0,VLOOKUP(D1179,'03. Insumos'!A:F,4,0),"")</f>
        <v>102.41</v>
      </c>
      <c r="L1179" s="757">
        <f t="shared" si="1015"/>
        <v>10849.880000000001</v>
      </c>
      <c r="M1179" s="153">
        <f t="shared" ca="1" si="989"/>
        <v>6.5879098202384898E-4</v>
      </c>
      <c r="O1179" s="760">
        <f t="shared" si="992"/>
        <v>7578.34</v>
      </c>
      <c r="R1179" s="12">
        <f t="shared" si="998"/>
        <v>39.939514563106798</v>
      </c>
    </row>
    <row r="1180" spans="1:18" s="759" customFormat="1" hidden="1" outlineLevel="1" x14ac:dyDescent="0.3">
      <c r="A1180" s="790">
        <f t="shared" si="994"/>
        <v>0</v>
      </c>
      <c r="B1180" s="753"/>
      <c r="C1180" s="753"/>
      <c r="D1180" s="754" t="s">
        <v>6851</v>
      </c>
      <c r="E1180" s="706" t="s">
        <v>8658</v>
      </c>
      <c r="F1180" s="755" t="s">
        <v>5218</v>
      </c>
      <c r="G1180" s="755" t="str">
        <f>VLOOKUP(D1180,'03. Insumos'!A:F,3,0)</f>
        <v>unid</v>
      </c>
      <c r="H1180" s="756">
        <v>1</v>
      </c>
      <c r="I1180" s="756"/>
      <c r="J1180" s="757"/>
      <c r="K1180" s="757">
        <f>IF(A1180=0,VLOOKUP(D1180,'03. Insumos'!A:F,4,0),"")</f>
        <v>106.71</v>
      </c>
      <c r="L1180" s="757">
        <f t="shared" si="1015"/>
        <v>0</v>
      </c>
      <c r="M1180" s="153">
        <f t="shared" ca="1" si="989"/>
        <v>0</v>
      </c>
      <c r="O1180" s="760">
        <f t="shared" si="992"/>
        <v>0</v>
      </c>
      <c r="R1180" s="12">
        <f t="shared" si="998"/>
        <v>0</v>
      </c>
    </row>
    <row r="1181" spans="1:18" s="759" customFormat="1" outlineLevel="1" x14ac:dyDescent="0.3">
      <c r="A1181" s="790">
        <f t="shared" si="994"/>
        <v>0</v>
      </c>
      <c r="B1181" s="753"/>
      <c r="C1181" s="753"/>
      <c r="D1181" s="754" t="s">
        <v>6852</v>
      </c>
      <c r="E1181" s="706" t="s">
        <v>8676</v>
      </c>
      <c r="F1181" s="755" t="s">
        <v>5218</v>
      </c>
      <c r="G1181" s="755" t="str">
        <f>VLOOKUP(D1181,'03. Insumos'!A:F,3,0)</f>
        <v>unid</v>
      </c>
      <c r="H1181" s="756">
        <v>1</v>
      </c>
      <c r="I1181" s="756">
        <f>I1170+I1172+I1173+I1174+I1167+I1189</f>
        <v>191</v>
      </c>
      <c r="J1181" s="757">
        <v>36.96</v>
      </c>
      <c r="K1181" s="757">
        <f>IF(A1181=0,VLOOKUP(D1181,'03. Insumos'!A:F,4,0),"")</f>
        <v>2142.75</v>
      </c>
      <c r="L1181" s="757">
        <f t="shared" si="1015"/>
        <v>7059.3600000000006</v>
      </c>
      <c r="M1181" s="153">
        <f t="shared" ca="1" si="989"/>
        <v>4.2863540489478943E-4</v>
      </c>
      <c r="O1181" s="760">
        <f t="shared" si="992"/>
        <v>409265.25</v>
      </c>
      <c r="R1181" s="12">
        <f t="shared" si="998"/>
        <v>-2106.8665048543689</v>
      </c>
    </row>
    <row r="1182" spans="1:18" s="759" customFormat="1" outlineLevel="1" x14ac:dyDescent="0.3">
      <c r="A1182" s="790">
        <v>0</v>
      </c>
      <c r="B1182" s="753"/>
      <c r="C1182" s="753"/>
      <c r="D1182" s="754" t="s">
        <v>6853</v>
      </c>
      <c r="E1182" s="706" t="s">
        <v>8674</v>
      </c>
      <c r="F1182" s="755" t="s">
        <v>5218</v>
      </c>
      <c r="G1182" s="755" t="str">
        <f>VLOOKUP(D1182,'03. Insumos'!A:F,3,0)</f>
        <v>unid</v>
      </c>
      <c r="H1182" s="756">
        <v>1</v>
      </c>
      <c r="I1182" s="756">
        <f>I1190+I1191</f>
        <v>185</v>
      </c>
      <c r="J1182" s="757">
        <v>26.87</v>
      </c>
      <c r="K1182" s="757">
        <f>IF(A1182=0,VLOOKUP(D1182,'03. Insumos'!A:F,4,0),"")</f>
        <v>115.02</v>
      </c>
      <c r="L1182" s="757">
        <f t="shared" si="1015"/>
        <v>4970.95</v>
      </c>
      <c r="M1182" s="153">
        <f t="shared" ca="1" si="989"/>
        <v>3.0182979278033041E-4</v>
      </c>
      <c r="O1182" s="760">
        <f t="shared" si="992"/>
        <v>21278.7</v>
      </c>
      <c r="R1182" s="12">
        <f t="shared" si="998"/>
        <v>-88.932621359223305</v>
      </c>
    </row>
    <row r="1183" spans="1:18" s="759" customFormat="1" outlineLevel="1" x14ac:dyDescent="0.3">
      <c r="A1183" s="790">
        <f t="shared" ref="A1183:A1186" si="1016">LEN(C1183)</f>
        <v>0</v>
      </c>
      <c r="B1183" s="753"/>
      <c r="C1183" s="753"/>
      <c r="D1183" s="754" t="s">
        <v>6855</v>
      </c>
      <c r="E1183" s="706" t="s">
        <v>8672</v>
      </c>
      <c r="F1183" s="755" t="s">
        <v>5218</v>
      </c>
      <c r="G1183" s="755" t="str">
        <f>VLOOKUP(D1183,'03. Insumos'!A:F,3,0)</f>
        <v>unid</v>
      </c>
      <c r="H1183" s="756">
        <v>1</v>
      </c>
      <c r="I1183" s="756">
        <f>I1169+I1178</f>
        <v>75</v>
      </c>
      <c r="J1183" s="757">
        <v>36.840000000000003</v>
      </c>
      <c r="K1183" s="757">
        <f>IF(A1183=0,VLOOKUP(D1183,'03. Insumos'!A:F,4,0),"")</f>
        <v>154.87</v>
      </c>
      <c r="L1183" s="757">
        <f t="shared" si="1015"/>
        <v>2763.0000000000005</v>
      </c>
      <c r="M1183" s="153">
        <f t="shared" ca="1" si="989"/>
        <v>1.6776586315534316E-4</v>
      </c>
      <c r="O1183" s="760">
        <f t="shared" si="992"/>
        <v>11615.25</v>
      </c>
      <c r="R1183" s="12">
        <f t="shared" si="998"/>
        <v>-119.10300970873786</v>
      </c>
    </row>
    <row r="1184" spans="1:18" s="759" customFormat="1" outlineLevel="1" x14ac:dyDescent="0.3">
      <c r="A1184" s="790">
        <f t="shared" si="1016"/>
        <v>0</v>
      </c>
      <c r="B1184" s="753"/>
      <c r="C1184" s="753"/>
      <c r="D1184" s="754" t="s">
        <v>6856</v>
      </c>
      <c r="E1184" s="706" t="s">
        <v>8677</v>
      </c>
      <c r="F1184" s="755" t="s">
        <v>5218</v>
      </c>
      <c r="G1184" s="755" t="str">
        <f>VLOOKUP(D1184,'03. Insumos'!A:F,3,0)</f>
        <v>unid</v>
      </c>
      <c r="H1184" s="756">
        <v>1</v>
      </c>
      <c r="I1184" s="756">
        <v>74</v>
      </c>
      <c r="J1184" s="757">
        <v>113.38</v>
      </c>
      <c r="K1184" s="757">
        <f>IF(A1184=0,VLOOKUP(D1184,'03. Insumos'!A:F,4,0),"")</f>
        <v>1156.8599999999999</v>
      </c>
      <c r="L1184" s="757">
        <f t="shared" si="1015"/>
        <v>8390.119999999999</v>
      </c>
      <c r="M1184" s="153">
        <f t="shared" ca="1" si="989"/>
        <v>5.0943746788885544E-4</v>
      </c>
      <c r="O1184" s="760">
        <f t="shared" si="992"/>
        <v>85607.64</v>
      </c>
      <c r="R1184" s="12">
        <f t="shared" si="998"/>
        <v>-1046.7823300970872</v>
      </c>
    </row>
    <row r="1185" spans="1:18" s="759" customFormat="1" outlineLevel="1" x14ac:dyDescent="0.3">
      <c r="A1185" s="790">
        <f t="shared" si="1016"/>
        <v>0</v>
      </c>
      <c r="B1185" s="753"/>
      <c r="C1185" s="753"/>
      <c r="D1185" s="754" t="s">
        <v>6861</v>
      </c>
      <c r="E1185" s="706" t="s">
        <v>8678</v>
      </c>
      <c r="F1185" s="755" t="s">
        <v>5218</v>
      </c>
      <c r="G1185" s="755" t="str">
        <f>VLOOKUP(D1185,'03. Insumos'!A:F,3,0)</f>
        <v>unid</v>
      </c>
      <c r="H1185" s="756">
        <v>1</v>
      </c>
      <c r="I1185" s="756">
        <v>40</v>
      </c>
      <c r="J1185" s="757">
        <v>117.25</v>
      </c>
      <c r="K1185" s="757">
        <f>IF(A1185=0,VLOOKUP(D1185,'03. Insumos'!A:F,4,0),"")</f>
        <v>380.63299999999998</v>
      </c>
      <c r="L1185" s="757">
        <f t="shared" si="1015"/>
        <v>4690</v>
      </c>
      <c r="M1185" s="153">
        <f t="shared" ca="1" si="989"/>
        <v>2.847708643498224E-4</v>
      </c>
      <c r="O1185" s="760">
        <f t="shared" si="992"/>
        <v>15225.32</v>
      </c>
      <c r="R1185" s="12">
        <f t="shared" ref="R1185:R1186" si="1017">IF(J1185&lt;&gt;0,J1185/1.03-K1185,0)</f>
        <v>-266.79804854368933</v>
      </c>
    </row>
    <row r="1186" spans="1:18" s="759" customFormat="1" outlineLevel="1" x14ac:dyDescent="0.3">
      <c r="A1186" s="790">
        <f t="shared" si="1016"/>
        <v>0</v>
      </c>
      <c r="B1186" s="753"/>
      <c r="C1186" s="753"/>
      <c r="D1186" s="754" t="s">
        <v>6861</v>
      </c>
      <c r="E1186" s="706" t="s">
        <v>8679</v>
      </c>
      <c r="F1186" s="755" t="s">
        <v>5218</v>
      </c>
      <c r="G1186" s="755" t="str">
        <f>VLOOKUP(D1186,'03. Insumos'!A:F,3,0)</f>
        <v>unid</v>
      </c>
      <c r="H1186" s="756">
        <v>1</v>
      </c>
      <c r="I1186" s="756">
        <v>37</v>
      </c>
      <c r="J1186" s="757">
        <v>106.28</v>
      </c>
      <c r="K1186" s="757">
        <f>IF(A1186=0,VLOOKUP(D1186,'03. Insumos'!A:F,4,0),"")</f>
        <v>380.63299999999998</v>
      </c>
      <c r="L1186" s="757">
        <f t="shared" si="1015"/>
        <v>3932.36</v>
      </c>
      <c r="M1186" s="153">
        <f t="shared" ca="1" si="989"/>
        <v>2.387679224167735E-4</v>
      </c>
      <c r="O1186" s="760">
        <f t="shared" si="992"/>
        <v>14083.420999999998</v>
      </c>
      <c r="R1186" s="12">
        <f t="shared" si="1017"/>
        <v>-277.44853398058251</v>
      </c>
    </row>
    <row r="1187" spans="1:18" s="759" customFormat="1" outlineLevel="1" x14ac:dyDescent="0.3">
      <c r="A1187" s="790">
        <f t="shared" ref="A1187" si="1018">LEN(C1187)</f>
        <v>0</v>
      </c>
      <c r="B1187" s="753"/>
      <c r="C1187" s="753"/>
      <c r="D1187" s="754" t="s">
        <v>6861</v>
      </c>
      <c r="E1187" s="706" t="s">
        <v>8680</v>
      </c>
      <c r="F1187" s="755" t="s">
        <v>5218</v>
      </c>
      <c r="G1187" s="755" t="str">
        <f>VLOOKUP(D1187,'03. Insumos'!A:F,3,0)</f>
        <v>unid</v>
      </c>
      <c r="H1187" s="756">
        <v>1</v>
      </c>
      <c r="I1187" s="756">
        <v>5</v>
      </c>
      <c r="J1187" s="757">
        <v>79.94</v>
      </c>
      <c r="K1187" s="757">
        <f>IF(A1187=0,VLOOKUP(D1187,'03. Insumos'!A:F,4,0),"")</f>
        <v>380.63299999999998</v>
      </c>
      <c r="L1187" s="757">
        <f t="shared" ref="L1187" si="1019">H1187*J1187*I1187</f>
        <v>399.7</v>
      </c>
      <c r="M1187" s="153">
        <f t="shared" ref="M1187" ca="1" si="1020">L1187/$L$7</f>
        <v>2.4269278140857999E-5</v>
      </c>
      <c r="O1187" s="760">
        <f t="shared" ref="O1187" si="1021">IF(I1187&lt;&gt;0,I1187*H1187*K1187,)</f>
        <v>1903.165</v>
      </c>
      <c r="R1187" s="12">
        <f t="shared" si="998"/>
        <v>-303.0213495145631</v>
      </c>
    </row>
    <row r="1188" spans="1:18" s="759" customFormat="1" outlineLevel="1" x14ac:dyDescent="0.3">
      <c r="A1188" s="790">
        <f t="shared" ref="A1188" si="1022">LEN(C1188)</f>
        <v>0</v>
      </c>
      <c r="B1188" s="753"/>
      <c r="C1188" s="753"/>
      <c r="D1188" s="754" t="s">
        <v>6861</v>
      </c>
      <c r="E1188" s="706" t="s">
        <v>8681</v>
      </c>
      <c r="F1188" s="755" t="s">
        <v>5218</v>
      </c>
      <c r="G1188" s="755" t="str">
        <f>VLOOKUP(D1188,'03. Insumos'!A:F,3,0)</f>
        <v>unid</v>
      </c>
      <c r="H1188" s="756">
        <v>1</v>
      </c>
      <c r="I1188" s="756">
        <v>1</v>
      </c>
      <c r="J1188" s="757">
        <v>248.98</v>
      </c>
      <c r="K1188" s="757">
        <f>IF(A1188=0,VLOOKUP(D1188,'03. Insumos'!A:F,4,0),"")</f>
        <v>380.63299999999998</v>
      </c>
      <c r="L1188" s="757">
        <f t="shared" ref="L1188" si="1023">H1188*J1188*I1188</f>
        <v>248.98</v>
      </c>
      <c r="M1188" s="153">
        <f t="shared" ref="M1188" ca="1" si="1024">L1188/$L$7</f>
        <v>1.5117750491645796E-5</v>
      </c>
      <c r="O1188" s="760">
        <f t="shared" ref="O1188" si="1025">IF(I1188&lt;&gt;0,I1188*H1188*K1188,)</f>
        <v>380.63299999999998</v>
      </c>
      <c r="R1188" s="12">
        <f t="shared" ref="R1188" si="1026">IF(J1188&lt;&gt;0,J1188/1.03-K1188,0)</f>
        <v>-138.90484466019419</v>
      </c>
    </row>
    <row r="1189" spans="1:18" s="759" customFormat="1" outlineLevel="1" x14ac:dyDescent="0.3">
      <c r="A1189" s="790">
        <f t="shared" ref="A1189:A1194" si="1027">LEN(C1189)</f>
        <v>0</v>
      </c>
      <c r="B1189" s="753"/>
      <c r="C1189" s="753"/>
      <c r="D1189" s="754" t="s">
        <v>6862</v>
      </c>
      <c r="E1189" s="706" t="s">
        <v>8682</v>
      </c>
      <c r="F1189" s="755" t="s">
        <v>5218</v>
      </c>
      <c r="G1189" s="755" t="str">
        <f>VLOOKUP(D1189,'03. Insumos'!A:F,3,0)</f>
        <v>unid</v>
      </c>
      <c r="H1189" s="756">
        <v>1</v>
      </c>
      <c r="I1189" s="756">
        <v>40</v>
      </c>
      <c r="J1189" s="757">
        <v>186.20699999999999</v>
      </c>
      <c r="K1189" s="757">
        <f>IF(A1189=0,VLOOKUP(D1189,'03. Insumos'!A:F,4,0),"")</f>
        <v>421.97100000000006</v>
      </c>
      <c r="L1189" s="757">
        <f t="shared" ref="L1189:L1194" si="1028">H1189*J1189*I1189</f>
        <v>7448.28</v>
      </c>
      <c r="M1189" s="153">
        <f t="shared" ca="1" si="989"/>
        <v>4.5225013507878362E-4</v>
      </c>
      <c r="O1189" s="760">
        <f t="shared" ref="O1189:O1194" si="1029">IF(I1189&lt;&gt;0,I1189*H1189*K1189,)</f>
        <v>16878.840000000004</v>
      </c>
      <c r="R1189" s="12">
        <f t="shared" si="998"/>
        <v>-241.187504854369</v>
      </c>
    </row>
    <row r="1190" spans="1:18" s="759" customFormat="1" outlineLevel="1" x14ac:dyDescent="0.3">
      <c r="A1190" s="790">
        <f t="shared" si="1027"/>
        <v>0</v>
      </c>
      <c r="B1190" s="753"/>
      <c r="C1190" s="753"/>
      <c r="D1190" s="754" t="s">
        <v>538</v>
      </c>
      <c r="E1190" s="706" t="s">
        <v>7376</v>
      </c>
      <c r="F1190" s="755" t="s">
        <v>5218</v>
      </c>
      <c r="G1190" s="755" t="str">
        <f>VLOOKUP(D1190,'03. Insumos'!A:F,3,0)</f>
        <v>uni</v>
      </c>
      <c r="H1190" s="756">
        <v>1</v>
      </c>
      <c r="I1190" s="756">
        <f>I1178</f>
        <v>74</v>
      </c>
      <c r="J1190" s="757">
        <v>42.858800000000002</v>
      </c>
      <c r="K1190" s="757">
        <f>IF(A1190=0,VLOOKUP(D1190,'03. Insumos'!A:F,4,0),"")</f>
        <v>60.01</v>
      </c>
      <c r="L1190" s="757">
        <f t="shared" si="1028"/>
        <v>3171.5512000000003</v>
      </c>
      <c r="M1190" s="153">
        <f t="shared" ref="M1190:M1191" ca="1" si="1030">L1190/$L$7</f>
        <v>1.9257257495814851E-4</v>
      </c>
      <c r="O1190" s="760">
        <f t="shared" si="1029"/>
        <v>4440.74</v>
      </c>
      <c r="R1190" s="12">
        <f t="shared" si="998"/>
        <v>-18.399514563106791</v>
      </c>
    </row>
    <row r="1191" spans="1:18" s="759" customFormat="1" outlineLevel="1" x14ac:dyDescent="0.3">
      <c r="A1191" s="790">
        <f t="shared" si="1027"/>
        <v>0</v>
      </c>
      <c r="B1191" s="753"/>
      <c r="C1191" s="753"/>
      <c r="D1191" s="754" t="s">
        <v>539</v>
      </c>
      <c r="E1191" s="706" t="s">
        <v>1070</v>
      </c>
      <c r="F1191" s="755" t="s">
        <v>5218</v>
      </c>
      <c r="G1191" s="755" t="str">
        <f>VLOOKUP(D1191,'03. Insumos'!A:F,3,0)</f>
        <v>uni</v>
      </c>
      <c r="H1191" s="756">
        <v>1</v>
      </c>
      <c r="I1191" s="756">
        <f>I1167+I1168</f>
        <v>111</v>
      </c>
      <c r="J1191" s="757">
        <v>42.858800000000002</v>
      </c>
      <c r="K1191" s="757">
        <f>IF(A1191=0,VLOOKUP(D1191,'03. Insumos'!A:F,4,0),"")</f>
        <v>60.01</v>
      </c>
      <c r="L1191" s="757">
        <f t="shared" si="1028"/>
        <v>4757.3267999999998</v>
      </c>
      <c r="M1191" s="153">
        <f t="shared" ca="1" si="1030"/>
        <v>2.8885886243722273E-4</v>
      </c>
      <c r="O1191" s="760">
        <f t="shared" si="1029"/>
        <v>6661.11</v>
      </c>
      <c r="R1191" s="12">
        <f t="shared" si="998"/>
        <v>-18.399514563106791</v>
      </c>
    </row>
    <row r="1192" spans="1:18" s="759" customFormat="1" outlineLevel="1" x14ac:dyDescent="0.3">
      <c r="A1192" s="790">
        <f t="shared" ref="A1192" si="1031">LEN(C1192)</f>
        <v>0</v>
      </c>
      <c r="B1192" s="753"/>
      <c r="C1192" s="753"/>
      <c r="D1192" s="754" t="s">
        <v>5077</v>
      </c>
      <c r="E1192" s="706" t="s">
        <v>5113</v>
      </c>
      <c r="F1192" s="755" t="s">
        <v>5218</v>
      </c>
      <c r="G1192" s="755" t="str">
        <f>VLOOKUP(D1192,'03. Insumos'!A:F,3,0)</f>
        <v>unid.</v>
      </c>
      <c r="H1192" s="756">
        <v>1</v>
      </c>
      <c r="I1192" s="756">
        <f>I1170+I1171+I1173+I1174+I1168+I1169</f>
        <v>115</v>
      </c>
      <c r="J1192" s="757">
        <v>11</v>
      </c>
      <c r="K1192" s="757">
        <f>IF(A1192=0,VLOOKUP(D1192,'03. Insumos'!A:F,4,0),"")</f>
        <v>26.6</v>
      </c>
      <c r="L1192" s="757">
        <f t="shared" ref="L1192" si="1032">H1192*J1192*I1192</f>
        <v>1265</v>
      </c>
      <c r="M1192" s="153">
        <f t="shared" ref="M1192" ca="1" si="1033">L1192/$L$7</f>
        <v>7.6809199019728218E-5</v>
      </c>
      <c r="O1192" s="760">
        <f t="shared" ref="O1192" si="1034">IF(I1192&lt;&gt;0,I1192*H1192*K1192,)</f>
        <v>3059</v>
      </c>
      <c r="R1192" s="12">
        <f t="shared" si="998"/>
        <v>-15.920388349514564</v>
      </c>
    </row>
    <row r="1193" spans="1:18" s="759" customFormat="1" outlineLevel="1" x14ac:dyDescent="0.3">
      <c r="A1193" s="790">
        <f t="shared" si="1027"/>
        <v>0</v>
      </c>
      <c r="B1193" s="753"/>
      <c r="C1193" s="753"/>
      <c r="D1193" s="754" t="s">
        <v>6736</v>
      </c>
      <c r="E1193" s="706" t="s">
        <v>1564</v>
      </c>
      <c r="F1193" s="755" t="s">
        <v>5218</v>
      </c>
      <c r="G1193" s="755" t="str">
        <f>VLOOKUP(D1193,'03. Insumos'!A:F,3,0)</f>
        <v>unid</v>
      </c>
      <c r="H1193" s="756">
        <v>1</v>
      </c>
      <c r="I1193" s="756">
        <f>7*37+30</f>
        <v>289</v>
      </c>
      <c r="J1193" s="757">
        <v>35</v>
      </c>
      <c r="K1193" s="757">
        <f>IF(A1193=0,VLOOKUP(D1193,'03. Insumos'!A:F,4,0),"")</f>
        <v>56.9</v>
      </c>
      <c r="L1193" s="757">
        <f t="shared" si="1028"/>
        <v>10115</v>
      </c>
      <c r="M1193" s="153">
        <f t="shared" ref="M1193:M1194" ca="1" si="1035">L1193/$L$7</f>
        <v>6.1416999848581098E-4</v>
      </c>
      <c r="O1193" s="760">
        <f t="shared" si="1029"/>
        <v>16444.099999999999</v>
      </c>
      <c r="R1193" s="12">
        <f t="shared" si="998"/>
        <v>-22.919417475728153</v>
      </c>
    </row>
    <row r="1194" spans="1:18" s="759" customFormat="1" hidden="1" outlineLevel="1" x14ac:dyDescent="0.3">
      <c r="A1194" s="790">
        <f t="shared" si="1027"/>
        <v>0</v>
      </c>
      <c r="B1194" s="753"/>
      <c r="C1194" s="753"/>
      <c r="D1194" s="754" t="s">
        <v>5558</v>
      </c>
      <c r="E1194" s="706" t="str">
        <f>VLOOKUP(D1194,'03. Insumos'!A:D,2,0)</f>
        <v>Ralo linear Grelha tampa inox, 90cm</v>
      </c>
      <c r="F1194" s="755" t="s">
        <v>5218</v>
      </c>
      <c r="G1194" s="755" t="str">
        <f>VLOOKUP(D1194,'03. Insumos'!A:F,3,0)</f>
        <v>unid</v>
      </c>
      <c r="H1194" s="756">
        <v>1</v>
      </c>
      <c r="I1194" s="756"/>
      <c r="J1194" s="757"/>
      <c r="K1194" s="757">
        <f>IF(A1194=0,VLOOKUP(D1194,'03. Insumos'!A:F,4,0),"")</f>
        <v>270</v>
      </c>
      <c r="L1194" s="757">
        <f t="shared" si="1028"/>
        <v>0</v>
      </c>
      <c r="M1194" s="153">
        <f t="shared" ca="1" si="1035"/>
        <v>0</v>
      </c>
      <c r="O1194" s="760">
        <f t="shared" si="1029"/>
        <v>0</v>
      </c>
      <c r="R1194" s="12">
        <f t="shared" ref="R1194" si="1036">IF(J1194&lt;&gt;0,J1194/1.03-K1194,0)</f>
        <v>0</v>
      </c>
    </row>
    <row r="1195" spans="1:18" s="759" customFormat="1" outlineLevel="1" x14ac:dyDescent="0.3">
      <c r="A1195" s="790">
        <f t="shared" ref="A1195" si="1037">LEN(C1195)</f>
        <v>0</v>
      </c>
      <c r="B1195" s="753"/>
      <c r="C1195" s="753"/>
      <c r="D1195" s="754" t="s">
        <v>6729</v>
      </c>
      <c r="E1195" s="706" t="str">
        <f>VLOOKUP(D1195,'03. Insumos'!A:D,2,0)</f>
        <v>Barra de Apoio Reta 70 cm - Inox Esc - 00963616</v>
      </c>
      <c r="F1195" s="755" t="s">
        <v>5218</v>
      </c>
      <c r="G1195" s="755" t="str">
        <f>VLOOKUP(D1195,'03. Insumos'!A:F,3,0)</f>
        <v>unid</v>
      </c>
      <c r="H1195" s="756">
        <v>1</v>
      </c>
      <c r="I1195" s="756">
        <v>5</v>
      </c>
      <c r="J1195" s="757">
        <v>625.29999999999995</v>
      </c>
      <c r="K1195" s="757">
        <f>IF(A1195=0,VLOOKUP(D1195,'03. Insumos'!A:F,4,0),"")</f>
        <v>212.18</v>
      </c>
      <c r="L1195" s="757">
        <f t="shared" ref="L1195" si="1038">H1195*J1195*I1195</f>
        <v>3126.5</v>
      </c>
      <c r="M1195" s="153">
        <f t="shared" ca="1" si="989"/>
        <v>1.8983712311081445E-4</v>
      </c>
      <c r="O1195" s="760">
        <f t="shared" ref="O1195" si="1039">IF(I1195&lt;&gt;0,I1195*H1195*K1195,)</f>
        <v>1060.9000000000001</v>
      </c>
      <c r="R1195" s="12">
        <f t="shared" si="998"/>
        <v>394.90737864077659</v>
      </c>
    </row>
    <row r="1196" spans="1:18" s="18" customFormat="1" x14ac:dyDescent="0.3">
      <c r="A1196" s="290">
        <f t="shared" si="994"/>
        <v>3</v>
      </c>
      <c r="B1196" s="35"/>
      <c r="C1196" s="390" t="s">
        <v>351</v>
      </c>
      <c r="D1196" s="390" t="s">
        <v>7409</v>
      </c>
      <c r="E1196" s="390"/>
      <c r="F1196" s="323"/>
      <c r="G1196" s="323"/>
      <c r="H1196" s="324"/>
      <c r="I1196" s="324"/>
      <c r="J1196" s="333"/>
      <c r="K1196" s="333"/>
      <c r="L1196" s="333">
        <f>SUMIF(A1197:A1204,4,L1197:L1204)</f>
        <v>357846.29</v>
      </c>
      <c r="M1196" s="153">
        <f t="shared" ca="1" si="989"/>
        <v>2.1727973839590024E-2</v>
      </c>
      <c r="O1196" s="148">
        <f t="shared" si="992"/>
        <v>0</v>
      </c>
      <c r="R1196" s="12">
        <f t="shared" si="998"/>
        <v>0</v>
      </c>
    </row>
    <row r="1197" spans="1:18" s="18" customFormat="1" outlineLevel="1" x14ac:dyDescent="0.3">
      <c r="A1197" s="290">
        <f t="shared" si="994"/>
        <v>4</v>
      </c>
      <c r="B1197" s="45"/>
      <c r="C1197" s="45" t="s">
        <v>375</v>
      </c>
      <c r="D1197" s="45" t="s">
        <v>7409</v>
      </c>
      <c r="E1197" s="347"/>
      <c r="F1197" s="327"/>
      <c r="G1197" s="327"/>
      <c r="H1197" s="328"/>
      <c r="I1197" s="548"/>
      <c r="J1197" s="335"/>
      <c r="K1197" s="335" t="str">
        <f>IF(A1197=0,VLOOKUP(D1197,'03. Insumos'!A:F,4,0),"")</f>
        <v/>
      </c>
      <c r="L1197" s="335">
        <f>SUMIF(A1198:A1204,6,L1198:L1204)</f>
        <v>357846.29</v>
      </c>
      <c r="M1197" s="153">
        <f t="shared" ca="1" si="989"/>
        <v>2.1727973839590024E-2</v>
      </c>
      <c r="O1197" s="148">
        <f t="shared" si="992"/>
        <v>0</v>
      </c>
      <c r="R1197" s="12">
        <f t="shared" si="998"/>
        <v>0</v>
      </c>
    </row>
    <row r="1198" spans="1:18" s="486" customFormat="1" ht="13.5" customHeight="1" outlineLevel="1" x14ac:dyDescent="0.3">
      <c r="A1198" s="290">
        <f t="shared" si="994"/>
        <v>6</v>
      </c>
      <c r="B1198" s="489"/>
      <c r="C1198" s="489" t="s">
        <v>376</v>
      </c>
      <c r="D1198" s="606" t="s">
        <v>7462</v>
      </c>
      <c r="E1198" s="391"/>
      <c r="F1198" s="325"/>
      <c r="G1198" s="325" t="s">
        <v>8479</v>
      </c>
      <c r="H1198" s="326">
        <v>154</v>
      </c>
      <c r="I1198" s="326"/>
      <c r="J1198" s="492"/>
      <c r="K1198" s="492" t="str">
        <f>IF(A1198=0,VLOOKUP(D1198,'03. Insumos'!A:F,4,0),"")</f>
        <v/>
      </c>
      <c r="L1198" s="492">
        <f>SUM(L1199:L1200)</f>
        <v>268708.87</v>
      </c>
      <c r="M1198" s="153">
        <f t="shared" ca="1" si="989"/>
        <v>1.6315662509246071E-2</v>
      </c>
      <c r="O1198" s="512"/>
      <c r="R1198" s="487"/>
    </row>
    <row r="1199" spans="1:18" s="486" customFormat="1" outlineLevel="1" x14ac:dyDescent="0.3">
      <c r="A1199" s="290">
        <f t="shared" si="994"/>
        <v>0</v>
      </c>
      <c r="B1199" s="480"/>
      <c r="C1199" s="480"/>
      <c r="D1199" s="370" t="s">
        <v>6560</v>
      </c>
      <c r="E1199" s="67" t="str">
        <f>VLOOKUP(D1199,'03. Insumos'!A:D,2,0)</f>
        <v>Infra para Ar Condicionado Tipo Split</v>
      </c>
      <c r="F1199" s="68" t="s">
        <v>5218</v>
      </c>
      <c r="G1199" s="68" t="s">
        <v>8479</v>
      </c>
      <c r="H1199" s="69">
        <v>1</v>
      </c>
      <c r="I1199" s="69">
        <v>1</v>
      </c>
      <c r="J1199" s="757">
        <f t="shared" ref="J1199:J1200" si="1040">IFERROR(IF(K1199&lt;&gt;0,K1199*$K$5,0),0)</f>
        <v>226475.08</v>
      </c>
      <c r="K1199" s="538">
        <f>IF(A1199=0,VLOOKUP(D1199,'03. Insumos'!A:F,4,0),"")</f>
        <v>226475.08</v>
      </c>
      <c r="L1199" s="538">
        <f t="shared" ref="L1199" si="1041">H1199*J1199*I1199</f>
        <v>226475.08</v>
      </c>
      <c r="M1199" s="153">
        <f t="shared" ref="M1199:M1342" ca="1" si="1042">L1199/$L$7</f>
        <v>1.375128023140622E-2</v>
      </c>
      <c r="O1199" s="512">
        <f>IF(I1199&lt;&gt;0,I1199*H1199*K1199,)</f>
        <v>226475.08</v>
      </c>
      <c r="R1199" s="487">
        <f>IF(J1199&lt;&gt;0,J1199/1.03-K1199,0)</f>
        <v>-6596.3615533980774</v>
      </c>
    </row>
    <row r="1200" spans="1:18" s="486" customFormat="1" outlineLevel="1" x14ac:dyDescent="0.3">
      <c r="A1200" s="290">
        <f t="shared" ref="A1200" si="1043">LEN(C1200)</f>
        <v>0</v>
      </c>
      <c r="B1200" s="480"/>
      <c r="C1200" s="480"/>
      <c r="D1200" s="370" t="s">
        <v>7394</v>
      </c>
      <c r="E1200" s="67" t="str">
        <f>VLOOKUP(D1200,'03. Insumos'!A:D,2,0)</f>
        <v>Infra para Ar Condicionado + Equipamentos da Área Comum</v>
      </c>
      <c r="F1200" s="68" t="s">
        <v>5218</v>
      </c>
      <c r="G1200" s="68" t="str">
        <f>VLOOKUP(D1200,'03. Insumos'!A:F,3,0)</f>
        <v>vb</v>
      </c>
      <c r="H1200" s="69">
        <v>1</v>
      </c>
      <c r="I1200" s="69">
        <v>1</v>
      </c>
      <c r="J1200" s="757">
        <f t="shared" si="1040"/>
        <v>42233.79</v>
      </c>
      <c r="K1200" s="538">
        <f>IF(A1200=0,VLOOKUP(D1200,'03. Insumos'!A:F,4,0),"")</f>
        <v>42233.79</v>
      </c>
      <c r="L1200" s="538">
        <f t="shared" ref="L1200" si="1044">H1200*J1200*I1200</f>
        <v>42233.79</v>
      </c>
      <c r="M1200" s="153">
        <f t="shared" ref="M1200" ca="1" si="1045">L1200/$L$7</f>
        <v>2.5643822778398479E-3</v>
      </c>
      <c r="O1200" s="512">
        <f>IF(I1200&lt;&gt;0,I1200*H1200*K1200,)</f>
        <v>42233.79</v>
      </c>
      <c r="R1200" s="487">
        <f>IF(J1200&lt;&gt;0,J1200/1.03-K1200,0)</f>
        <v>-1230.1103883495161</v>
      </c>
    </row>
    <row r="1201" spans="1:18" s="486" customFormat="1" ht="13.5" customHeight="1" outlineLevel="1" x14ac:dyDescent="0.3">
      <c r="A1201" s="290">
        <f t="shared" si="994"/>
        <v>6</v>
      </c>
      <c r="B1201" s="489"/>
      <c r="C1201" s="489" t="s">
        <v>5203</v>
      </c>
      <c r="D1201" s="606" t="s">
        <v>7004</v>
      </c>
      <c r="E1201" s="391"/>
      <c r="F1201" s="325"/>
      <c r="G1201" s="325" t="s">
        <v>29</v>
      </c>
      <c r="H1201" s="326">
        <v>1</v>
      </c>
      <c r="I1201" s="326"/>
      <c r="J1201" s="334"/>
      <c r="K1201" s="492" t="str">
        <f>IF(A1201=0,VLOOKUP(D1201,'03. Insumos'!A:F,4,0),"")</f>
        <v/>
      </c>
      <c r="L1201" s="492">
        <f>SUM(L1202:L1202)</f>
        <v>89137.42</v>
      </c>
      <c r="M1201" s="153">
        <f t="shared" ca="1" si="1042"/>
        <v>5.4123113303439548E-3</v>
      </c>
      <c r="O1201" s="512"/>
      <c r="R1201" s="487"/>
    </row>
    <row r="1202" spans="1:18" s="478" customFormat="1" outlineLevel="1" x14ac:dyDescent="0.3">
      <c r="A1202" s="290">
        <f t="shared" si="994"/>
        <v>0</v>
      </c>
      <c r="B1202" s="494"/>
      <c r="C1202" s="494"/>
      <c r="D1202" s="370" t="s">
        <v>6558</v>
      </c>
      <c r="E1202" s="67" t="str">
        <f>VLOOKUP(D1202,'03. Insumos'!A:D,2,0)</f>
        <v>Instalação de Exaustão Mecânica</v>
      </c>
      <c r="F1202" s="68" t="s">
        <v>5218</v>
      </c>
      <c r="G1202" s="68" t="str">
        <f>VLOOKUP(D1202,'03. Insumos'!A:F,3,0)</f>
        <v>vb</v>
      </c>
      <c r="H1202" s="69">
        <v>1</v>
      </c>
      <c r="I1202" s="69">
        <v>1</v>
      </c>
      <c r="J1202" s="757">
        <f t="shared" ref="J1202" si="1046">IFERROR(IF(K1202&lt;&gt;0,K1202*$K$5,0),0)</f>
        <v>89137.42</v>
      </c>
      <c r="K1202" s="485">
        <f>IF(A1202=0,VLOOKUP(D1202,'03. Insumos'!A:F,4,0),"")</f>
        <v>89137.42</v>
      </c>
      <c r="L1202" s="485">
        <f t="shared" ref="L1202" si="1047">H1202*J1202*I1202</f>
        <v>89137.42</v>
      </c>
      <c r="M1202" s="153">
        <f t="shared" ca="1" si="1042"/>
        <v>5.4123113303439548E-3</v>
      </c>
      <c r="O1202" s="512">
        <f t="shared" ref="O1202" si="1048">IF(I1202&lt;&gt;0,I1202*H1202*K1202,)</f>
        <v>89137.42</v>
      </c>
      <c r="R1202" s="487">
        <f t="shared" ref="R1202" si="1049">IF(J1202&lt;&gt;0,J1202/1.03-K1202,0)</f>
        <v>-2596.2355339805799</v>
      </c>
    </row>
    <row r="1203" spans="1:18" s="486" customFormat="1" ht="13.5" hidden="1" customHeight="1" outlineLevel="1" x14ac:dyDescent="0.3">
      <c r="A1203" s="290">
        <f t="shared" si="994"/>
        <v>6</v>
      </c>
      <c r="B1203" s="489"/>
      <c r="C1203" s="489" t="s">
        <v>5204</v>
      </c>
      <c r="D1203" s="606" t="s">
        <v>7005</v>
      </c>
      <c r="E1203" s="391"/>
      <c r="F1203" s="325"/>
      <c r="G1203" s="325" t="s">
        <v>29</v>
      </c>
      <c r="H1203" s="326">
        <v>1</v>
      </c>
      <c r="I1203" s="326"/>
      <c r="J1203" s="334"/>
      <c r="K1203" s="492" t="str">
        <f>IF(A1203=0,VLOOKUP(D1203,'03. Insumos'!A:F,4,0),"")</f>
        <v/>
      </c>
      <c r="L1203" s="492">
        <f>SUM(L1204:L1204)</f>
        <v>0</v>
      </c>
      <c r="M1203" s="153">
        <f t="shared" ca="1" si="1042"/>
        <v>0</v>
      </c>
      <c r="O1203" s="512"/>
      <c r="R1203" s="487"/>
    </row>
    <row r="1204" spans="1:18" s="478" customFormat="1" hidden="1" outlineLevel="1" x14ac:dyDescent="0.3">
      <c r="A1204" s="290">
        <f t="shared" si="994"/>
        <v>0</v>
      </c>
      <c r="B1204" s="494"/>
      <c r="C1204" s="494"/>
      <c r="D1204" s="370" t="s">
        <v>6559</v>
      </c>
      <c r="E1204" s="67" t="str">
        <f>VLOOKUP(D1204,'03. Insumos'!A:D,2,0)</f>
        <v xml:space="preserve">Pressurização das Escadas </v>
      </c>
      <c r="F1204" s="68" t="s">
        <v>5218</v>
      </c>
      <c r="G1204" s="68" t="str">
        <f>VLOOKUP(D1204,'03. Insumos'!A:F,3,0)</f>
        <v>vb</v>
      </c>
      <c r="H1204" s="69">
        <v>1</v>
      </c>
      <c r="I1204" s="69"/>
      <c r="J1204" s="757">
        <f t="shared" ref="J1204" si="1050">IFERROR(IF(K1204&lt;&gt;0,K1204*$K$5,0),0)</f>
        <v>241242</v>
      </c>
      <c r="K1204" s="485">
        <f>IF(A1204=0,VLOOKUP(D1204,'03. Insumos'!A:F,4,0),"")</f>
        <v>241242</v>
      </c>
      <c r="L1204" s="485">
        <f t="shared" ref="L1204" si="1051">H1204*J1204*I1204</f>
        <v>0</v>
      </c>
      <c r="M1204" s="153">
        <f t="shared" ca="1" si="1042"/>
        <v>0</v>
      </c>
      <c r="O1204" s="512">
        <f t="shared" ref="O1204:O1206" si="1052">IF(I1204&lt;&gt;0,I1204*H1204*K1204,)</f>
        <v>0</v>
      </c>
      <c r="R1204" s="487">
        <f t="shared" ref="R1204:R1206" si="1053">IF(J1204&lt;&gt;0,J1204/1.03-K1204,0)</f>
        <v>-7026.4660194174794</v>
      </c>
    </row>
    <row r="1205" spans="1:18" s="18" customFormat="1" x14ac:dyDescent="0.3">
      <c r="A1205" s="290">
        <f t="shared" ref="A1205:A1224" si="1054">LEN(C1205)</f>
        <v>3</v>
      </c>
      <c r="B1205" s="35"/>
      <c r="C1205" s="390" t="s">
        <v>360</v>
      </c>
      <c r="D1205" s="390" t="s">
        <v>7410</v>
      </c>
      <c r="E1205" s="390"/>
      <c r="F1205" s="323"/>
      <c r="G1205" s="323"/>
      <c r="H1205" s="324"/>
      <c r="I1205" s="324"/>
      <c r="J1205" s="333"/>
      <c r="K1205" s="333"/>
      <c r="L1205" s="333">
        <f>SUMIF(A1206:A1233,4,L1206:L1233)</f>
        <v>64065.423999999999</v>
      </c>
      <c r="M1205" s="153">
        <f t="shared" ca="1" si="1042"/>
        <v>3.8899714642681997E-3</v>
      </c>
      <c r="O1205" s="148">
        <f t="shared" si="1052"/>
        <v>0</v>
      </c>
      <c r="R1205" s="12">
        <f t="shared" si="1053"/>
        <v>0</v>
      </c>
    </row>
    <row r="1206" spans="1:18" s="18" customFormat="1" outlineLevel="1" x14ac:dyDescent="0.3">
      <c r="A1206" s="290">
        <f t="shared" si="1054"/>
        <v>4</v>
      </c>
      <c r="B1206" s="45"/>
      <c r="C1206" s="45" t="s">
        <v>1815</v>
      </c>
      <c r="D1206" s="45" t="s">
        <v>7410</v>
      </c>
      <c r="E1206" s="347"/>
      <c r="F1206" s="327"/>
      <c r="G1206" s="327"/>
      <c r="H1206" s="328"/>
      <c r="I1206" s="548"/>
      <c r="J1206" s="335"/>
      <c r="K1206" s="335" t="str">
        <f>IF(A1206=0,VLOOKUP(D1206,'03. Insumos'!A:F,4,0),"")</f>
        <v/>
      </c>
      <c r="L1206" s="335">
        <f>SUMIF(A1207:A1233,6,L1207:L1233)</f>
        <v>64065.423999999999</v>
      </c>
      <c r="M1206" s="153">
        <f t="shared" ca="1" si="1042"/>
        <v>3.8899714642681997E-3</v>
      </c>
      <c r="O1206" s="148">
        <f t="shared" si="1052"/>
        <v>0</v>
      </c>
      <c r="R1206" s="12">
        <f t="shared" si="1053"/>
        <v>0</v>
      </c>
    </row>
    <row r="1207" spans="1:18" s="486" customFormat="1" ht="13.5" hidden="1" customHeight="1" outlineLevel="1" x14ac:dyDescent="0.3">
      <c r="A1207" s="290">
        <f t="shared" si="1054"/>
        <v>6</v>
      </c>
      <c r="B1207" s="489"/>
      <c r="C1207" s="489" t="s">
        <v>1816</v>
      </c>
      <c r="D1207" s="489" t="s">
        <v>7411</v>
      </c>
      <c r="E1207" s="489"/>
      <c r="F1207" s="490"/>
      <c r="G1207" s="490"/>
      <c r="H1207" s="326">
        <v>1</v>
      </c>
      <c r="I1207" s="549"/>
      <c r="J1207" s="492"/>
      <c r="K1207" s="492" t="str">
        <f>IF(A1207=0,VLOOKUP(D1207,'03. Insumos'!A:F,4,0),"")</f>
        <v/>
      </c>
      <c r="L1207" s="492">
        <f>SUM(L1208:L1212)</f>
        <v>0</v>
      </c>
      <c r="M1207" s="153">
        <f t="shared" ca="1" si="1042"/>
        <v>0</v>
      </c>
      <c r="O1207" s="512"/>
      <c r="R1207" s="487"/>
    </row>
    <row r="1208" spans="1:18" s="486" customFormat="1" hidden="1" outlineLevel="1" x14ac:dyDescent="0.3">
      <c r="A1208" s="290">
        <f t="shared" si="1054"/>
        <v>0</v>
      </c>
      <c r="B1208" s="480"/>
      <c r="C1208" s="480"/>
      <c r="D1208" s="370" t="s">
        <v>6796</v>
      </c>
      <c r="E1208" s="67" t="str">
        <f>VLOOKUP(D1208,'03. Insumos'!A:D,2,0)</f>
        <v>Gerador automático carenado silenciado 40 KVA –220/127V</v>
      </c>
      <c r="F1208" s="68" t="s">
        <v>5218</v>
      </c>
      <c r="G1208" s="68" t="str">
        <f>VLOOKUP(D1208,'03. Insumos'!A:F,3,0)</f>
        <v>unid</v>
      </c>
      <c r="H1208" s="69">
        <v>1</v>
      </c>
      <c r="I1208" s="69"/>
      <c r="J1208" s="70">
        <f t="shared" ref="J1208:J1209" si="1055">IFERROR(IF(K1208&lt;&gt;0,K1208*$K$5,0),0)</f>
        <v>115000</v>
      </c>
      <c r="K1208" s="538">
        <f>IF(A1208=0,VLOOKUP(D1208,'03. Insumos'!A:F,4,0),"")</f>
        <v>115000</v>
      </c>
      <c r="L1208" s="538">
        <f t="shared" ref="L1208:L1212" si="1056">H1208*J1208*I1208</f>
        <v>0</v>
      </c>
      <c r="M1208" s="153">
        <f t="shared" ref="M1208:M1233" ca="1" si="1057">L1208/$L$7</f>
        <v>0</v>
      </c>
      <c r="O1208" s="512">
        <f>IF(I1208&lt;&gt;0,I1208*H1208*K1208,)</f>
        <v>0</v>
      </c>
      <c r="R1208" s="487">
        <f>IF(J1208&lt;&gt;0,J1208/1.03-K1208,0)</f>
        <v>-3349.5145631068008</v>
      </c>
    </row>
    <row r="1209" spans="1:18" s="486" customFormat="1" ht="13.5" hidden="1" customHeight="1" outlineLevel="1" x14ac:dyDescent="0.3">
      <c r="A1209" s="290">
        <f t="shared" si="1054"/>
        <v>0</v>
      </c>
      <c r="B1209" s="480"/>
      <c r="C1209" s="480"/>
      <c r="D1209" s="370" t="s">
        <v>6863</v>
      </c>
      <c r="E1209" s="67" t="str">
        <f>VLOOKUP(D1209,'03. Insumos'!A:D,2,0)</f>
        <v>Instalação de Gerador e Acessórios</v>
      </c>
      <c r="F1209" s="68" t="s">
        <v>5218</v>
      </c>
      <c r="G1209" s="68" t="str">
        <f>VLOOKUP(D1209,'03. Insumos'!A:F,3,0)</f>
        <v>vb</v>
      </c>
      <c r="H1209" s="69">
        <v>1</v>
      </c>
      <c r="I1209" s="69"/>
      <c r="J1209" s="70">
        <f t="shared" si="1055"/>
        <v>15000</v>
      </c>
      <c r="K1209" s="485">
        <f>IF(A1209=0,VLOOKUP(D1209,'03. Insumos'!A:F,4,0),"")</f>
        <v>15000</v>
      </c>
      <c r="L1209" s="485">
        <f t="shared" si="1056"/>
        <v>0</v>
      </c>
      <c r="M1209" s="153">
        <f t="shared" ca="1" si="1057"/>
        <v>0</v>
      </c>
      <c r="O1209" s="512">
        <f>IF(I1209&lt;&gt;0,I1209*H1209*K1209,)</f>
        <v>0</v>
      </c>
      <c r="R1209" s="487">
        <f>IF(J1209&lt;&gt;0,J1209/1.03-K1209,0)</f>
        <v>-436.89320388349552</v>
      </c>
    </row>
    <row r="1210" spans="1:18" s="486" customFormat="1" ht="13.5" hidden="1" customHeight="1" outlineLevel="1" x14ac:dyDescent="0.3">
      <c r="A1210" s="290">
        <f t="shared" ref="A1210:A1211" si="1058">LEN(C1210)</f>
        <v>0</v>
      </c>
      <c r="B1210" s="480"/>
      <c r="C1210" s="480"/>
      <c r="D1210" s="370" t="s">
        <v>7602</v>
      </c>
      <c r="E1210" s="67" t="str">
        <f>VLOOKUP(D1210,'03. Insumos'!A:D,2,0)</f>
        <v>Duplicador de Vaga</v>
      </c>
      <c r="F1210" s="68" t="s">
        <v>5218</v>
      </c>
      <c r="G1210" s="68" t="str">
        <f>VLOOKUP(D1210,'03. Insumos'!A:F,3,0)</f>
        <v>unid</v>
      </c>
      <c r="H1210" s="69">
        <v>1</v>
      </c>
      <c r="I1210" s="69"/>
      <c r="J1210" s="70">
        <f t="shared" ref="J1210" si="1059">IFERROR(IF(K1210&lt;&gt;0,K1210*$K$5,0),0)</f>
        <v>51560.12</v>
      </c>
      <c r="K1210" s="485">
        <f>IF(A1210=0,VLOOKUP(D1210,'03. Insumos'!A:F,4,0),"")</f>
        <v>51560.12</v>
      </c>
      <c r="L1210" s="485">
        <f t="shared" ref="L1210:L1211" si="1060">H1210*J1210*I1210</f>
        <v>0</v>
      </c>
      <c r="M1210" s="153">
        <f t="shared" ref="M1210:M1211" ca="1" si="1061">L1210/$L$7</f>
        <v>0</v>
      </c>
      <c r="O1210" s="512">
        <f>IF(I1210&lt;&gt;0,I1210*H1210*K1210,)</f>
        <v>0</v>
      </c>
      <c r="R1210" s="487">
        <f>IF(J1210&lt;&gt;0,J1210/1.03-K1210,0)</f>
        <v>-1501.751067961166</v>
      </c>
    </row>
    <row r="1211" spans="1:18" s="486" customFormat="1" ht="13.5" hidden="1" customHeight="1" outlineLevel="1" x14ac:dyDescent="0.3">
      <c r="A1211" s="290">
        <f t="shared" si="1058"/>
        <v>0</v>
      </c>
      <c r="B1211" s="480"/>
      <c r="C1211" s="480"/>
      <c r="D1211" s="370"/>
      <c r="E1211" s="67" t="s">
        <v>8446</v>
      </c>
      <c r="F1211" s="68" t="s">
        <v>5218</v>
      </c>
      <c r="G1211" s="68" t="s">
        <v>29</v>
      </c>
      <c r="H1211" s="69">
        <v>110</v>
      </c>
      <c r="I1211" s="69"/>
      <c r="J1211" s="70">
        <v>892.05</v>
      </c>
      <c r="K1211" s="485" t="e">
        <f>IF(A1211=0,VLOOKUP(D1211,'03. Insumos'!A:F,4,0),"")</f>
        <v>#N/A</v>
      </c>
      <c r="L1211" s="485">
        <f t="shared" si="1060"/>
        <v>0</v>
      </c>
      <c r="M1211" s="153">
        <f t="shared" ca="1" si="1061"/>
        <v>0</v>
      </c>
      <c r="O1211" s="512">
        <f>IF(I1211&lt;&gt;0,I1211*H1211*K1211,)</f>
        <v>0</v>
      </c>
      <c r="R1211" s="487" t="e">
        <f>IF(J1211&lt;&gt;0,J1211/1.03-K1211,0)</f>
        <v>#N/A</v>
      </c>
    </row>
    <row r="1212" spans="1:18" s="486" customFormat="1" ht="13.5" hidden="1" customHeight="1" outlineLevel="1" x14ac:dyDescent="0.3">
      <c r="A1212" s="290">
        <f t="shared" si="1054"/>
        <v>0</v>
      </c>
      <c r="B1212" s="480"/>
      <c r="C1212" s="480"/>
      <c r="D1212" s="370"/>
      <c r="E1212" s="67" t="s">
        <v>8445</v>
      </c>
      <c r="F1212" s="68" t="s">
        <v>5218</v>
      </c>
      <c r="G1212" s="68" t="s">
        <v>29</v>
      </c>
      <c r="H1212" s="69"/>
      <c r="I1212" s="69">
        <v>1</v>
      </c>
      <c r="J1212" s="70">
        <v>1089</v>
      </c>
      <c r="K1212" s="485" t="e">
        <f>IF(A1212=0,VLOOKUP(D1212,'03. Insumos'!A:F,4,0),"")</f>
        <v>#N/A</v>
      </c>
      <c r="L1212" s="485">
        <f t="shared" si="1056"/>
        <v>0</v>
      </c>
      <c r="M1212" s="153">
        <f t="shared" ca="1" si="1057"/>
        <v>0</v>
      </c>
      <c r="O1212" s="512" t="e">
        <f>IF(I1212&lt;&gt;0,I1212*H1212*K1212,)</f>
        <v>#N/A</v>
      </c>
      <c r="R1212" s="487" t="e">
        <f>IF(J1212&lt;&gt;0,J1212/1.03-K1212,0)</f>
        <v>#N/A</v>
      </c>
    </row>
    <row r="1213" spans="1:18" s="486" customFormat="1" ht="13.5" customHeight="1" outlineLevel="1" x14ac:dyDescent="0.3">
      <c r="A1213" s="290">
        <f t="shared" ref="A1213:A1214" si="1062">LEN(C1213)</f>
        <v>6</v>
      </c>
      <c r="B1213" s="489"/>
      <c r="C1213" s="489" t="s">
        <v>7408</v>
      </c>
      <c r="D1213" s="489" t="s">
        <v>8421</v>
      </c>
      <c r="E1213" s="489"/>
      <c r="F1213" s="490"/>
      <c r="G1213" s="490"/>
      <c r="H1213" s="491"/>
      <c r="I1213" s="491"/>
      <c r="J1213" s="492"/>
      <c r="K1213" s="492" t="str">
        <f>IF(A1213=0,VLOOKUP(D1213,'03. Insumos'!A:F,4,0),"")</f>
        <v/>
      </c>
      <c r="L1213" s="492">
        <f>SUM(L1214)</f>
        <v>40000</v>
      </c>
      <c r="M1213" s="153">
        <f t="shared" ref="M1213:M1214" ca="1" si="1063">L1213/$L$7</f>
        <v>2.4287493761178886E-3</v>
      </c>
      <c r="O1213" s="512"/>
      <c r="R1213" s="487"/>
    </row>
    <row r="1214" spans="1:18" s="478" customFormat="1" outlineLevel="1" x14ac:dyDescent="0.3">
      <c r="A1214" s="290">
        <f t="shared" si="1062"/>
        <v>0</v>
      </c>
      <c r="B1214" s="494"/>
      <c r="C1214" s="494"/>
      <c r="D1214" s="708"/>
      <c r="E1214" s="747" t="s">
        <v>8421</v>
      </c>
      <c r="F1214" s="482" t="s">
        <v>5218</v>
      </c>
      <c r="G1214" s="482" t="s">
        <v>29</v>
      </c>
      <c r="H1214" s="69">
        <v>40000</v>
      </c>
      <c r="I1214" s="483">
        <v>1</v>
      </c>
      <c r="J1214" s="70">
        <v>1</v>
      </c>
      <c r="K1214" s="485" t="e">
        <f>IF(A1214=0,VLOOKUP(D1214,'03. Insumos'!A:F,4,0),"")</f>
        <v>#N/A</v>
      </c>
      <c r="L1214" s="485">
        <f t="shared" ref="L1214" si="1064">H1214*J1214*I1214</f>
        <v>40000</v>
      </c>
      <c r="M1214" s="153">
        <f t="shared" ca="1" si="1063"/>
        <v>2.4287493761178886E-3</v>
      </c>
      <c r="O1214" s="512" t="e">
        <f t="shared" ref="O1214" si="1065">IF(I1214&lt;&gt;0,I1214*H1214*K1214,)</f>
        <v>#N/A</v>
      </c>
      <c r="R1214" s="487" t="e">
        <f t="shared" ref="R1214" si="1066">IF(J1214&lt;&gt;0,J1214/1.03-K1214,0)</f>
        <v>#N/A</v>
      </c>
    </row>
    <row r="1215" spans="1:18" s="486" customFormat="1" ht="13.5" hidden="1" customHeight="1" outlineLevel="1" x14ac:dyDescent="0.3">
      <c r="A1215" s="290">
        <f t="shared" si="1054"/>
        <v>6</v>
      </c>
      <c r="B1215" s="489"/>
      <c r="C1215" s="489" t="s">
        <v>7408</v>
      </c>
      <c r="D1215" s="489" t="s">
        <v>8422</v>
      </c>
      <c r="E1215" s="489"/>
      <c r="F1215" s="490"/>
      <c r="G1215" s="490"/>
      <c r="H1215" s="491"/>
      <c r="I1215" s="491"/>
      <c r="J1215" s="492"/>
      <c r="K1215" s="492" t="str">
        <f>IF(A1215=0,VLOOKUP(D1215,'03. Insumos'!A:F,4,0),"")</f>
        <v/>
      </c>
      <c r="L1215" s="492">
        <f>SUM(L1216:L1220)</f>
        <v>0</v>
      </c>
      <c r="M1215" s="153">
        <f t="shared" ca="1" si="1057"/>
        <v>0</v>
      </c>
      <c r="O1215" s="512"/>
      <c r="R1215" s="487"/>
    </row>
    <row r="1216" spans="1:18" s="478" customFormat="1" hidden="1" outlineLevel="1" x14ac:dyDescent="0.3">
      <c r="A1216" s="290">
        <f t="shared" si="1054"/>
        <v>0</v>
      </c>
      <c r="B1216" s="494"/>
      <c r="C1216" s="494"/>
      <c r="D1216" s="708"/>
      <c r="E1216" s="747" t="s">
        <v>8422</v>
      </c>
      <c r="F1216" s="482" t="s">
        <v>5218</v>
      </c>
      <c r="G1216" s="482" t="s">
        <v>29</v>
      </c>
      <c r="H1216" s="69"/>
      <c r="I1216" s="483">
        <v>1</v>
      </c>
      <c r="J1216" s="70">
        <v>1</v>
      </c>
      <c r="K1216" s="485" t="e">
        <f>IF(A1216=0,VLOOKUP(D1216,'03. Insumos'!A:F,4,0),"")</f>
        <v>#N/A</v>
      </c>
      <c r="L1216" s="485">
        <f t="shared" ref="L1216:L1220" si="1067">H1216*J1216*I1216</f>
        <v>0</v>
      </c>
      <c r="M1216" s="153">
        <f t="shared" ca="1" si="1057"/>
        <v>0</v>
      </c>
      <c r="O1216" s="512" t="e">
        <f t="shared" ref="O1216:O1220" si="1068">IF(I1216&lt;&gt;0,I1216*H1216*K1216,)</f>
        <v>#N/A</v>
      </c>
      <c r="R1216" s="487" t="e">
        <f t="shared" ref="R1216:R1220" si="1069">IF(J1216&lt;&gt;0,J1216/1.03-K1216,0)</f>
        <v>#N/A</v>
      </c>
    </row>
    <row r="1217" spans="1:18" s="478" customFormat="1" hidden="1" outlineLevel="1" x14ac:dyDescent="0.3">
      <c r="A1217" s="290">
        <f t="shared" si="1054"/>
        <v>0</v>
      </c>
      <c r="B1217" s="494"/>
      <c r="C1217" s="494"/>
      <c r="D1217" s="708"/>
      <c r="E1217" s="747" t="e">
        <f>VLOOKUP(D1217,'03. Insumos'!A:D,2,0)</f>
        <v>#N/A</v>
      </c>
      <c r="F1217" s="482" t="s">
        <v>5218</v>
      </c>
      <c r="G1217" s="482" t="e">
        <f>VLOOKUP(D1217,'03. Insumos'!A:F,3,0)</f>
        <v>#N/A</v>
      </c>
      <c r="H1217" s="483"/>
      <c r="I1217" s="483">
        <v>1</v>
      </c>
      <c r="J1217" s="485">
        <f t="shared" ref="J1217:J1220" si="1070">IFERROR(IF(K1217&lt;&gt;0,K1217*$K$5,0),0)</f>
        <v>0</v>
      </c>
      <c r="K1217" s="485" t="e">
        <f>IF(A1217=0,VLOOKUP(D1217,'03. Insumos'!A:F,4,0),"")</f>
        <v>#N/A</v>
      </c>
      <c r="L1217" s="485">
        <f t="shared" si="1067"/>
        <v>0</v>
      </c>
      <c r="M1217" s="153">
        <f t="shared" ca="1" si="1057"/>
        <v>0</v>
      </c>
      <c r="O1217" s="512" t="e">
        <f t="shared" si="1068"/>
        <v>#N/A</v>
      </c>
      <c r="R1217" s="487">
        <f t="shared" si="1069"/>
        <v>0</v>
      </c>
    </row>
    <row r="1218" spans="1:18" s="478" customFormat="1" hidden="1" outlineLevel="1" x14ac:dyDescent="0.3">
      <c r="A1218" s="290">
        <f t="shared" si="1054"/>
        <v>0</v>
      </c>
      <c r="B1218" s="494"/>
      <c r="C1218" s="494"/>
      <c r="D1218" s="708"/>
      <c r="E1218" s="747" t="e">
        <f>VLOOKUP(D1218,'03. Insumos'!A:D,2,0)</f>
        <v>#N/A</v>
      </c>
      <c r="F1218" s="482" t="s">
        <v>5218</v>
      </c>
      <c r="G1218" s="482" t="e">
        <f>VLOOKUP(D1218,'03. Insumos'!A:F,3,0)</f>
        <v>#N/A</v>
      </c>
      <c r="H1218" s="483"/>
      <c r="I1218" s="483">
        <v>1</v>
      </c>
      <c r="J1218" s="485">
        <f t="shared" si="1070"/>
        <v>0</v>
      </c>
      <c r="K1218" s="485" t="e">
        <f>IF(A1218=0,VLOOKUP(D1218,'03. Insumos'!A:F,4,0),"")</f>
        <v>#N/A</v>
      </c>
      <c r="L1218" s="485">
        <f t="shared" si="1067"/>
        <v>0</v>
      </c>
      <c r="M1218" s="153">
        <f t="shared" ca="1" si="1057"/>
        <v>0</v>
      </c>
      <c r="O1218" s="512" t="e">
        <f t="shared" si="1068"/>
        <v>#N/A</v>
      </c>
      <c r="R1218" s="487">
        <f t="shared" si="1069"/>
        <v>0</v>
      </c>
    </row>
    <row r="1219" spans="1:18" s="478" customFormat="1" hidden="1" outlineLevel="1" x14ac:dyDescent="0.3">
      <c r="A1219" s="290">
        <f t="shared" si="1054"/>
        <v>0</v>
      </c>
      <c r="B1219" s="494"/>
      <c r="C1219" s="494"/>
      <c r="D1219" s="708"/>
      <c r="E1219" s="747" t="e">
        <f>VLOOKUP(D1219,'03. Insumos'!A:D,2,0)</f>
        <v>#N/A</v>
      </c>
      <c r="F1219" s="482" t="s">
        <v>5218</v>
      </c>
      <c r="G1219" s="482" t="e">
        <f>VLOOKUP(D1219,'03. Insumos'!A:F,3,0)</f>
        <v>#N/A</v>
      </c>
      <c r="H1219" s="483"/>
      <c r="I1219" s="483">
        <f>H1215</f>
        <v>0</v>
      </c>
      <c r="J1219" s="485">
        <f t="shared" si="1070"/>
        <v>0</v>
      </c>
      <c r="K1219" s="485" t="e">
        <f>IF(A1219=0,VLOOKUP(D1219,'03. Insumos'!A:F,4,0),"")</f>
        <v>#N/A</v>
      </c>
      <c r="L1219" s="485">
        <f t="shared" si="1067"/>
        <v>0</v>
      </c>
      <c r="M1219" s="153">
        <f t="shared" ca="1" si="1057"/>
        <v>0</v>
      </c>
      <c r="O1219" s="512">
        <f t="shared" si="1068"/>
        <v>0</v>
      </c>
      <c r="R1219" s="487">
        <f t="shared" si="1069"/>
        <v>0</v>
      </c>
    </row>
    <row r="1220" spans="1:18" s="478" customFormat="1" hidden="1" outlineLevel="1" x14ac:dyDescent="0.3">
      <c r="A1220" s="290">
        <f t="shared" si="1054"/>
        <v>0</v>
      </c>
      <c r="B1220" s="494"/>
      <c r="C1220" s="494"/>
      <c r="D1220" s="708"/>
      <c r="E1220" s="747" t="e">
        <f>VLOOKUP(D1220,'03. Insumos'!A:D,2,0)</f>
        <v>#N/A</v>
      </c>
      <c r="F1220" s="482" t="s">
        <v>3809</v>
      </c>
      <c r="G1220" s="482" t="e">
        <f>VLOOKUP(D1220,'03. Insumos'!A:F,3,0)</f>
        <v>#N/A</v>
      </c>
      <c r="H1220" s="483"/>
      <c r="I1220" s="483">
        <v>1</v>
      </c>
      <c r="J1220" s="485">
        <f t="shared" si="1070"/>
        <v>0</v>
      </c>
      <c r="K1220" s="485" t="e">
        <f>IF(A1220=0,VLOOKUP(D1220,'03. Insumos'!A:F,4,0),"")</f>
        <v>#N/A</v>
      </c>
      <c r="L1220" s="485">
        <f t="shared" si="1067"/>
        <v>0</v>
      </c>
      <c r="M1220" s="153">
        <f t="shared" ca="1" si="1057"/>
        <v>0</v>
      </c>
      <c r="O1220" s="512" t="e">
        <f t="shared" si="1068"/>
        <v>#N/A</v>
      </c>
      <c r="R1220" s="487">
        <f t="shared" si="1069"/>
        <v>0</v>
      </c>
    </row>
    <row r="1221" spans="1:18" s="486" customFormat="1" ht="13.5" customHeight="1" outlineLevel="1" x14ac:dyDescent="0.3">
      <c r="A1221" s="290">
        <f t="shared" ref="A1221:A1222" si="1071">LEN(C1221)</f>
        <v>6</v>
      </c>
      <c r="B1221" s="489"/>
      <c r="C1221" s="489" t="s">
        <v>8662</v>
      </c>
      <c r="D1221" s="489" t="s">
        <v>8028</v>
      </c>
      <c r="E1221" s="489"/>
      <c r="F1221" s="490"/>
      <c r="G1221" s="490"/>
      <c r="H1221" s="491"/>
      <c r="I1221" s="491"/>
      <c r="J1221" s="492"/>
      <c r="K1221" s="492" t="str">
        <f>IF(A1221=0,VLOOKUP(D1221,'03. Insumos'!A:F,4,0),"")</f>
        <v/>
      </c>
      <c r="L1221" s="492">
        <f>SUM(L1222)</f>
        <v>14007.84</v>
      </c>
      <c r="M1221" s="153">
        <f t="shared" ref="M1221:M1222" ca="1" si="1072">L1221/$L$7</f>
        <v>8.5053831651898005E-4</v>
      </c>
      <c r="O1221" s="512"/>
      <c r="R1221" s="487"/>
    </row>
    <row r="1222" spans="1:18" s="478" customFormat="1" outlineLevel="1" x14ac:dyDescent="0.3">
      <c r="A1222" s="290">
        <f t="shared" si="1071"/>
        <v>0</v>
      </c>
      <c r="B1222" s="494"/>
      <c r="C1222" s="494"/>
      <c r="D1222" s="708"/>
      <c r="E1222" s="747" t="s">
        <v>8028</v>
      </c>
      <c r="F1222" s="482" t="s">
        <v>5218</v>
      </c>
      <c r="G1222" s="482" t="s">
        <v>73</v>
      </c>
      <c r="H1222" s="483">
        <f>'01. Resumo Final'!E12</f>
        <v>4002.24</v>
      </c>
      <c r="I1222" s="483">
        <v>1</v>
      </c>
      <c r="J1222" s="485">
        <v>3.5</v>
      </c>
      <c r="K1222" s="485" t="e">
        <f>IF(A1222=0,VLOOKUP(D1222,'03. Insumos'!A:F,4,0),"")</f>
        <v>#N/A</v>
      </c>
      <c r="L1222" s="485">
        <f t="shared" ref="L1222" si="1073">H1222*J1222*I1222</f>
        <v>14007.84</v>
      </c>
      <c r="M1222" s="153">
        <f t="shared" ca="1" si="1072"/>
        <v>8.5053831651898005E-4</v>
      </c>
      <c r="O1222" s="512" t="e">
        <f t="shared" ref="O1222" si="1074">IF(I1222&lt;&gt;0,I1222*H1222*K1222,)</f>
        <v>#N/A</v>
      </c>
      <c r="R1222" s="487" t="e">
        <f t="shared" ref="R1222" si="1075">IF(J1222&lt;&gt;0,J1222/1.03-K1222,0)</f>
        <v>#N/A</v>
      </c>
    </row>
    <row r="1223" spans="1:18" s="486" customFormat="1" ht="13.5" customHeight="1" outlineLevel="1" x14ac:dyDescent="0.3">
      <c r="A1223" s="290">
        <f t="shared" si="1054"/>
        <v>6</v>
      </c>
      <c r="B1223" s="489"/>
      <c r="C1223" s="489" t="s">
        <v>8662</v>
      </c>
      <c r="D1223" s="489" t="s">
        <v>8029</v>
      </c>
      <c r="E1223" s="489"/>
      <c r="F1223" s="490"/>
      <c r="G1223" s="490"/>
      <c r="H1223" s="491"/>
      <c r="I1223" s="491"/>
      <c r="J1223" s="492"/>
      <c r="K1223" s="492" t="str">
        <f>IF(A1223=0,VLOOKUP(D1223,'03. Insumos'!A:F,4,0),"")</f>
        <v/>
      </c>
      <c r="L1223" s="492">
        <f>SUM(L1224)</f>
        <v>6403.5839999999998</v>
      </c>
      <c r="M1223" s="153">
        <f t="shared" ca="1" si="1057"/>
        <v>3.8881751612296231E-4</v>
      </c>
      <c r="O1223" s="512"/>
      <c r="R1223" s="487"/>
    </row>
    <row r="1224" spans="1:18" s="478" customFormat="1" outlineLevel="1" x14ac:dyDescent="0.3">
      <c r="A1224" s="290">
        <f t="shared" si="1054"/>
        <v>0</v>
      </c>
      <c r="B1224" s="494"/>
      <c r="C1224" s="494"/>
      <c r="D1224" s="708"/>
      <c r="E1224" s="747" t="s">
        <v>8030</v>
      </c>
      <c r="F1224" s="482" t="s">
        <v>5218</v>
      </c>
      <c r="G1224" s="482" t="s">
        <v>73</v>
      </c>
      <c r="H1224" s="483">
        <f>'01. Resumo Final'!E12</f>
        <v>4002.24</v>
      </c>
      <c r="I1224" s="483">
        <v>1</v>
      </c>
      <c r="J1224" s="485">
        <v>1.6</v>
      </c>
      <c r="K1224" s="485" t="e">
        <f>IF(A1224=0,VLOOKUP(D1224,'03. Insumos'!A:F,4,0),"")</f>
        <v>#N/A</v>
      </c>
      <c r="L1224" s="485">
        <f t="shared" ref="L1224" si="1076">H1224*J1224*I1224</f>
        <v>6403.5839999999998</v>
      </c>
      <c r="M1224" s="153">
        <f t="shared" ca="1" si="1057"/>
        <v>3.8881751612296231E-4</v>
      </c>
      <c r="O1224" s="512" t="e">
        <f t="shared" ref="O1224" si="1077">IF(I1224&lt;&gt;0,I1224*H1224*K1224,)</f>
        <v>#N/A</v>
      </c>
      <c r="R1224" s="487" t="e">
        <f t="shared" ref="R1224" si="1078">IF(J1224&lt;&gt;0,J1224/1.03-K1224,0)</f>
        <v>#N/A</v>
      </c>
    </row>
    <row r="1225" spans="1:18" s="486" customFormat="1" ht="13.5" customHeight="1" outlineLevel="1" x14ac:dyDescent="0.3">
      <c r="A1225" s="290">
        <f t="shared" ref="A1225:A1226" si="1079">LEN(C1225)</f>
        <v>6</v>
      </c>
      <c r="B1225" s="489"/>
      <c r="C1225" s="489" t="s">
        <v>8662</v>
      </c>
      <c r="D1225" s="489" t="s">
        <v>1551</v>
      </c>
      <c r="E1225" s="489"/>
      <c r="F1225" s="490"/>
      <c r="G1225" s="490"/>
      <c r="H1225" s="491"/>
      <c r="I1225" s="491"/>
      <c r="J1225" s="492"/>
      <c r="K1225" s="492" t="str">
        <f>IF(A1225=0,VLOOKUP(D1225,'03. Insumos'!A:F,4,0),"")</f>
        <v/>
      </c>
      <c r="L1225" s="492">
        <f>SUM(L1226:L1233)</f>
        <v>3654</v>
      </c>
      <c r="M1225" s="153">
        <f t="shared" ref="M1225:M1226" ca="1" si="1080">L1225/$L$7</f>
        <v>2.2186625550836911E-4</v>
      </c>
      <c r="O1225" s="512"/>
      <c r="R1225" s="487"/>
    </row>
    <row r="1226" spans="1:18" s="478" customFormat="1" outlineLevel="1" x14ac:dyDescent="0.3">
      <c r="A1226" s="290">
        <f t="shared" si="1079"/>
        <v>0</v>
      </c>
      <c r="B1226" s="494"/>
      <c r="C1226" s="494"/>
      <c r="D1226" s="708" t="s">
        <v>6069</v>
      </c>
      <c r="E1226" s="67" t="str">
        <f>VLOOKUP(D1226,'03. Insumos'!A:D,2,0)</f>
        <v>Fornecimento de Churrasqueira</v>
      </c>
      <c r="F1226" s="482" t="s">
        <v>5218</v>
      </c>
      <c r="G1226" s="482" t="s">
        <v>29</v>
      </c>
      <c r="H1226" s="483">
        <v>1</v>
      </c>
      <c r="I1226" s="483">
        <v>1</v>
      </c>
      <c r="J1226" s="485">
        <f>IFERROR(IF(K1226&lt;&gt;0,K1226*$K$5,0),0)</f>
        <v>3654</v>
      </c>
      <c r="K1226" s="485">
        <f>IF(A1226=0,VLOOKUP(D1226,'03. Insumos'!A:F,4,0),"")</f>
        <v>3654</v>
      </c>
      <c r="L1226" s="485">
        <f t="shared" ref="L1226" si="1081">H1226*J1226*I1226</f>
        <v>3654</v>
      </c>
      <c r="M1226" s="153">
        <f t="shared" ca="1" si="1080"/>
        <v>2.2186625550836911E-4</v>
      </c>
      <c r="O1226" s="512">
        <f t="shared" ref="O1226" si="1082">IF(I1226&lt;&gt;0,I1226*H1226*K1226,)</f>
        <v>3654</v>
      </c>
      <c r="R1226" s="487">
        <f t="shared" ref="R1226" si="1083">IF(J1226&lt;&gt;0,J1226/1.03-K1226,0)</f>
        <v>-106.4271844660193</v>
      </c>
    </row>
    <row r="1227" spans="1:18" s="486" customFormat="1" ht="13.5" hidden="1" customHeight="1" outlineLevel="1" x14ac:dyDescent="0.3">
      <c r="A1227" s="290">
        <f t="shared" ref="A1227:A1228" si="1084">LEN(C1227)</f>
        <v>6</v>
      </c>
      <c r="B1227" s="489"/>
      <c r="C1227" s="489" t="s">
        <v>5204</v>
      </c>
      <c r="D1227" s="391" t="s">
        <v>8057</v>
      </c>
      <c r="E1227" s="391"/>
      <c r="F1227" s="490"/>
      <c r="G1227" s="490"/>
      <c r="H1227" s="491"/>
      <c r="I1227" s="491"/>
      <c r="J1227" s="492"/>
      <c r="K1227" s="492" t="str">
        <f>IF(A1227=0,VLOOKUP(D1227,'03. Insumos'!A:F,4,0),"")</f>
        <v/>
      </c>
      <c r="L1227" s="492">
        <f>SUM(L1228:L1233)</f>
        <v>0</v>
      </c>
      <c r="M1227" s="153">
        <f t="shared" ref="M1227:M1228" ca="1" si="1085">L1227/$L$7</f>
        <v>0</v>
      </c>
      <c r="O1227" s="512"/>
      <c r="R1227" s="487"/>
    </row>
    <row r="1228" spans="1:18" s="478" customFormat="1" hidden="1" outlineLevel="1" x14ac:dyDescent="0.3">
      <c r="A1228" s="290">
        <f t="shared" si="1084"/>
        <v>0</v>
      </c>
      <c r="B1228" s="494"/>
      <c r="C1228" s="494"/>
      <c r="D1228" s="370" t="s">
        <v>2666</v>
      </c>
      <c r="E1228" s="67" t="str">
        <f>VLOOKUP(D1228,'03. Insumos'!A:D,2,0)</f>
        <v>Deck de madeira (mat +mo)</v>
      </c>
      <c r="F1228" s="482" t="s">
        <v>5218</v>
      </c>
      <c r="G1228" s="482" t="s">
        <v>73</v>
      </c>
      <c r="H1228" s="483">
        <v>1</v>
      </c>
      <c r="I1228" s="483"/>
      <c r="J1228" s="485">
        <v>1350</v>
      </c>
      <c r="K1228" s="485">
        <f>IF(A1228=0,VLOOKUP(D1228,'03. Insumos'!A:F,4,0),"")</f>
        <v>12500</v>
      </c>
      <c r="L1228" s="485">
        <f t="shared" ref="L1228" si="1086">H1228*J1228*I1228</f>
        <v>0</v>
      </c>
      <c r="M1228" s="153">
        <f t="shared" ca="1" si="1085"/>
        <v>0</v>
      </c>
      <c r="O1228" s="512">
        <f t="shared" ref="O1228" si="1087">IF(I1228&lt;&gt;0,I1228*H1228*K1228,)</f>
        <v>0</v>
      </c>
      <c r="R1228" s="487">
        <f t="shared" ref="R1228" si="1088">IF(J1228&lt;&gt;0,J1228/1.03-K1228,0)</f>
        <v>-11189.320388349515</v>
      </c>
    </row>
    <row r="1229" spans="1:18" s="478" customFormat="1" hidden="1" outlineLevel="1" x14ac:dyDescent="0.3">
      <c r="A1229" s="290">
        <f>LEN(C1229)</f>
        <v>0</v>
      </c>
      <c r="B1229" s="494"/>
      <c r="C1229" s="494"/>
      <c r="D1229" s="708"/>
      <c r="E1229" s="747" t="e">
        <f>VLOOKUP(D1229,'03. Insumos'!A:D,2,0)</f>
        <v>#N/A</v>
      </c>
      <c r="F1229" s="482" t="s">
        <v>5218</v>
      </c>
      <c r="G1229" s="482" t="e">
        <f>VLOOKUP(D1229,'03. Insumos'!A:F,3,0)</f>
        <v>#N/A</v>
      </c>
      <c r="H1229" s="483"/>
      <c r="I1229" s="483">
        <v>1</v>
      </c>
      <c r="J1229" s="485">
        <f>IFERROR(IF(K1229&lt;&gt;0,K1229*$K$5,0),0)</f>
        <v>0</v>
      </c>
      <c r="K1229" s="485" t="e">
        <f>IF(A1229=0,VLOOKUP(D1229,'03. Insumos'!A:F,4,0),"")</f>
        <v>#N/A</v>
      </c>
      <c r="L1229" s="485">
        <f>H1229*J1229*I1229</f>
        <v>0</v>
      </c>
      <c r="M1229" s="153">
        <f t="shared" ca="1" si="1057"/>
        <v>0</v>
      </c>
      <c r="O1229" s="512" t="e">
        <f>IF(I1229&lt;&gt;0,I1229*H1229*K1229,)</f>
        <v>#N/A</v>
      </c>
      <c r="R1229" s="487">
        <f>IF(J1229&lt;&gt;0,J1229/1.03-K1229,0)</f>
        <v>0</v>
      </c>
    </row>
    <row r="1230" spans="1:18" s="478" customFormat="1" hidden="1" outlineLevel="1" x14ac:dyDescent="0.3">
      <c r="A1230" s="290">
        <f>LEN(C1230)</f>
        <v>0</v>
      </c>
      <c r="B1230" s="494"/>
      <c r="C1230" s="494"/>
      <c r="D1230" s="708"/>
      <c r="E1230" s="481" t="e">
        <f>VLOOKUP(D1230,'03. Insumos'!A:D,2,0)</f>
        <v>#N/A</v>
      </c>
      <c r="F1230" s="482" t="s">
        <v>5218</v>
      </c>
      <c r="G1230" s="482" t="e">
        <f>VLOOKUP(D1230,'03. Insumos'!A:F,3,0)</f>
        <v>#N/A</v>
      </c>
      <c r="H1230" s="483"/>
      <c r="I1230" s="483">
        <v>1</v>
      </c>
      <c r="J1230" s="485">
        <f>IFERROR(IF(K1230&lt;&gt;0,K1230*$K$5,0),0)</f>
        <v>0</v>
      </c>
      <c r="K1230" s="485" t="e">
        <f>IF(A1230=0,VLOOKUP(D1230,'03. Insumos'!A:F,4,0),"")</f>
        <v>#N/A</v>
      </c>
      <c r="L1230" s="485">
        <f>H1230*J1230*I1230</f>
        <v>0</v>
      </c>
      <c r="M1230" s="153">
        <f t="shared" ca="1" si="1057"/>
        <v>0</v>
      </c>
      <c r="O1230" s="512" t="e">
        <f>IF(I1230&lt;&gt;0,I1230*H1230*K1230,)</f>
        <v>#N/A</v>
      </c>
      <c r="R1230" s="487">
        <f>IF(J1230&lt;&gt;0,J1230/1.03-K1230,0)</f>
        <v>0</v>
      </c>
    </row>
    <row r="1231" spans="1:18" s="478" customFormat="1" hidden="1" outlineLevel="1" x14ac:dyDescent="0.3">
      <c r="A1231" s="290">
        <f t="shared" ref="A1231:A1233" si="1089">LEN(C1231)</f>
        <v>0</v>
      </c>
      <c r="B1231" s="494"/>
      <c r="C1231" s="494"/>
      <c r="D1231" s="708"/>
      <c r="E1231" s="747" t="e">
        <f>VLOOKUP(D1231,'03. Insumos'!A:D,2,0)</f>
        <v>#N/A</v>
      </c>
      <c r="F1231" s="482" t="s">
        <v>5218</v>
      </c>
      <c r="G1231" s="482" t="e">
        <f>VLOOKUP(D1231,'03. Insumos'!A:F,3,0)</f>
        <v>#N/A</v>
      </c>
      <c r="H1231" s="483"/>
      <c r="I1231" s="483">
        <v>4</v>
      </c>
      <c r="J1231" s="485">
        <f t="shared" ref="J1231:J1233" si="1090">IFERROR(IF(K1231&lt;&gt;0,K1231*$K$5,0),0)</f>
        <v>0</v>
      </c>
      <c r="K1231" s="485" t="e">
        <f>IF(A1231=0,VLOOKUP(D1231,'03. Insumos'!A:F,4,0),"")</f>
        <v>#N/A</v>
      </c>
      <c r="L1231" s="485">
        <f t="shared" ref="L1231:L1233" si="1091">H1231*J1231*I1231</f>
        <v>0</v>
      </c>
      <c r="M1231" s="153">
        <f t="shared" ca="1" si="1057"/>
        <v>0</v>
      </c>
      <c r="O1231" s="512" t="e">
        <f t="shared" ref="O1231:O1233" si="1092">IF(I1231&lt;&gt;0,I1231*H1231*K1231,)</f>
        <v>#N/A</v>
      </c>
      <c r="R1231" s="487">
        <f t="shared" ref="R1231:R1233" si="1093">IF(J1231&lt;&gt;0,J1231/1.03-K1231,0)</f>
        <v>0</v>
      </c>
    </row>
    <row r="1232" spans="1:18" s="478" customFormat="1" hidden="1" outlineLevel="1" x14ac:dyDescent="0.3">
      <c r="A1232" s="290">
        <f t="shared" si="1089"/>
        <v>0</v>
      </c>
      <c r="B1232" s="494"/>
      <c r="C1232" s="494"/>
      <c r="D1232" s="708"/>
      <c r="E1232" s="747" t="e">
        <f>VLOOKUP(D1232,'03. Insumos'!A:D,2,0)</f>
        <v>#N/A</v>
      </c>
      <c r="F1232" s="482" t="s">
        <v>5218</v>
      </c>
      <c r="G1232" s="482" t="e">
        <f>VLOOKUP(D1232,'03. Insumos'!A:F,3,0)</f>
        <v>#N/A</v>
      </c>
      <c r="H1232" s="483"/>
      <c r="I1232" s="483">
        <v>1</v>
      </c>
      <c r="J1232" s="485">
        <f t="shared" si="1090"/>
        <v>0</v>
      </c>
      <c r="K1232" s="485" t="e">
        <f>IF(A1232=0,VLOOKUP(D1232,'03. Insumos'!A:F,4,0),"")</f>
        <v>#N/A</v>
      </c>
      <c r="L1232" s="485">
        <f t="shared" si="1091"/>
        <v>0</v>
      </c>
      <c r="M1232" s="153">
        <f t="shared" ca="1" si="1057"/>
        <v>0</v>
      </c>
      <c r="O1232" s="512" t="e">
        <f t="shared" si="1092"/>
        <v>#N/A</v>
      </c>
      <c r="R1232" s="487">
        <f t="shared" si="1093"/>
        <v>0</v>
      </c>
    </row>
    <row r="1233" spans="1:18" s="478" customFormat="1" hidden="1" outlineLevel="1" x14ac:dyDescent="0.3">
      <c r="A1233" s="290">
        <f t="shared" si="1089"/>
        <v>0</v>
      </c>
      <c r="B1233" s="494"/>
      <c r="C1233" s="494"/>
      <c r="D1233" s="708"/>
      <c r="E1233" s="747" t="e">
        <f>VLOOKUP(D1233,'03. Insumos'!A:D,2,0)</f>
        <v>#N/A</v>
      </c>
      <c r="F1233" s="482" t="s">
        <v>5218</v>
      </c>
      <c r="G1233" s="482" t="e">
        <f>VLOOKUP(D1233,'03. Insumos'!A:F,3,0)</f>
        <v>#N/A</v>
      </c>
      <c r="H1233" s="483"/>
      <c r="I1233" s="483">
        <v>1</v>
      </c>
      <c r="J1233" s="485">
        <f t="shared" si="1090"/>
        <v>0</v>
      </c>
      <c r="K1233" s="485" t="e">
        <f>IF(A1233=0,VLOOKUP(D1233,'03. Insumos'!A:F,4,0),"")</f>
        <v>#N/A</v>
      </c>
      <c r="L1233" s="485">
        <f t="shared" si="1091"/>
        <v>0</v>
      </c>
      <c r="M1233" s="153">
        <f t="shared" ca="1" si="1057"/>
        <v>0</v>
      </c>
      <c r="O1233" s="512" t="e">
        <f t="shared" si="1092"/>
        <v>#N/A</v>
      </c>
      <c r="R1233" s="487">
        <f t="shared" si="1093"/>
        <v>0</v>
      </c>
    </row>
    <row r="1234" spans="1:18" s="18" customFormat="1" x14ac:dyDescent="0.3">
      <c r="A1234" s="290">
        <f t="shared" si="994"/>
        <v>3</v>
      </c>
      <c r="B1234" s="35"/>
      <c r="C1234" s="390" t="s">
        <v>980</v>
      </c>
      <c r="D1234" s="390" t="s">
        <v>87</v>
      </c>
      <c r="E1234" s="390"/>
      <c r="F1234" s="323"/>
      <c r="G1234" s="678"/>
      <c r="H1234" s="324"/>
      <c r="I1234" s="324"/>
      <c r="J1234" s="333"/>
      <c r="K1234" s="333"/>
      <c r="L1234" s="333">
        <f>SUMIF(A1235:A1244,4,L1235:L1244)</f>
        <v>57871.360000000001</v>
      </c>
      <c r="M1234" s="153">
        <f t="shared" ca="1" si="1042"/>
        <v>3.5138757373773433E-3</v>
      </c>
      <c r="O1234" s="148">
        <f t="shared" si="992"/>
        <v>0</v>
      </c>
      <c r="R1234" s="12">
        <f t="shared" ref="R1234:R1246" si="1094">IF(J1234&lt;&gt;0,J1234/1.03-K1234,0)</f>
        <v>0</v>
      </c>
    </row>
    <row r="1235" spans="1:18" s="18" customFormat="1" outlineLevel="1" x14ac:dyDescent="0.3">
      <c r="A1235" s="290">
        <f t="shared" si="994"/>
        <v>4</v>
      </c>
      <c r="B1235" s="45"/>
      <c r="C1235" s="45" t="s">
        <v>981</v>
      </c>
      <c r="D1235" s="45" t="s">
        <v>93</v>
      </c>
      <c r="E1235" s="347"/>
      <c r="F1235" s="327"/>
      <c r="G1235" s="327"/>
      <c r="H1235" s="328"/>
      <c r="I1235" s="548"/>
      <c r="J1235" s="335"/>
      <c r="K1235" s="335" t="str">
        <f>IF(A1235=0,VLOOKUP(D1235,'03. Insumos'!A:F,4,0),"")</f>
        <v/>
      </c>
      <c r="L1235" s="335">
        <f>SUMIF(A1236:A1244,6,L1236:L1244)</f>
        <v>57871.360000000001</v>
      </c>
      <c r="M1235" s="153">
        <f t="shared" ca="1" si="1042"/>
        <v>3.5138757373773433E-3</v>
      </c>
      <c r="O1235" s="148">
        <f t="shared" si="992"/>
        <v>0</v>
      </c>
      <c r="R1235" s="12">
        <f t="shared" si="1094"/>
        <v>0</v>
      </c>
    </row>
    <row r="1236" spans="1:18" s="59" customFormat="1" outlineLevel="1" x14ac:dyDescent="0.3">
      <c r="A1236" s="290">
        <f t="shared" si="994"/>
        <v>6</v>
      </c>
      <c r="B1236" s="391"/>
      <c r="C1236" s="391" t="s">
        <v>982</v>
      </c>
      <c r="D1236" s="606" t="s">
        <v>6997</v>
      </c>
      <c r="E1236" s="391"/>
      <c r="F1236" s="325"/>
      <c r="G1236" s="325" t="s">
        <v>73</v>
      </c>
      <c r="H1236" s="326">
        <f>'01. Resumo Final'!$E$12</f>
        <v>4002.24</v>
      </c>
      <c r="I1236" s="547"/>
      <c r="J1236" s="334"/>
      <c r="K1236" s="334" t="str">
        <f>IF(A1236=0,VLOOKUP(D1236,'03. Insumos'!A:F,4,0),"")</f>
        <v/>
      </c>
      <c r="L1236" s="334">
        <f>SUM(L1237:L1237)</f>
        <v>56031.360000000001</v>
      </c>
      <c r="M1236" s="153">
        <f t="shared" ca="1" si="1042"/>
        <v>3.4021532660759202E-3</v>
      </c>
      <c r="O1236" s="148">
        <f t="shared" si="992"/>
        <v>0</v>
      </c>
      <c r="R1236" s="12">
        <f t="shared" si="1094"/>
        <v>0</v>
      </c>
    </row>
    <row r="1237" spans="1:18" s="51" customFormat="1" outlineLevel="1" x14ac:dyDescent="0.3">
      <c r="A1237" s="13">
        <f t="shared" ref="A1237" si="1095">LEN(C1237)</f>
        <v>0</v>
      </c>
      <c r="B1237" s="49"/>
      <c r="C1237" s="49"/>
      <c r="D1237" s="370" t="s">
        <v>6553</v>
      </c>
      <c r="E1237" s="67" t="str">
        <f>VLOOKUP(D1237,'03. Insumos'!A:D,2,0)</f>
        <v>Limpeza de Obra</v>
      </c>
      <c r="F1237" s="68" t="s">
        <v>5218</v>
      </c>
      <c r="G1237" s="68" t="str">
        <f>VLOOKUP(D1237,'03. Insumos'!A:F,3,0)</f>
        <v>m²</v>
      </c>
      <c r="H1237" s="69">
        <v>1</v>
      </c>
      <c r="I1237" s="69">
        <f>H1236</f>
        <v>4002.24</v>
      </c>
      <c r="J1237" s="485">
        <f t="shared" ref="J1237" si="1096">IFERROR(IF(K1237&lt;&gt;0,K1237*$K$5,0),0)</f>
        <v>14</v>
      </c>
      <c r="K1237" s="70">
        <f>IF(A1237=0,VLOOKUP(D1237,'03. Insumos'!A:F,4,0),"")</f>
        <v>14</v>
      </c>
      <c r="L1237" s="70">
        <f>H1237*J1237*I1237</f>
        <v>56031.360000000001</v>
      </c>
      <c r="M1237" s="153">
        <f t="shared" ref="M1237" ca="1" si="1097">L1237/$L$7</f>
        <v>3.4021532660759202E-3</v>
      </c>
      <c r="O1237" s="148">
        <f t="shared" ref="O1237" si="1098">IF(I1237&lt;&gt;0,I1237*H1237*K1237,)</f>
        <v>56031.360000000001</v>
      </c>
      <c r="R1237" s="12">
        <f t="shared" ref="R1237" si="1099">IF(J1237&lt;&gt;0,J1237/1.03-K1237,0)</f>
        <v>-0.40776699029126284</v>
      </c>
    </row>
    <row r="1238" spans="1:18" s="59" customFormat="1" hidden="1" outlineLevel="1" x14ac:dyDescent="0.3">
      <c r="A1238" s="290">
        <f t="shared" si="994"/>
        <v>6</v>
      </c>
      <c r="B1238" s="391"/>
      <c r="C1238" s="391" t="s">
        <v>6996</v>
      </c>
      <c r="D1238" s="606" t="s">
        <v>6998</v>
      </c>
      <c r="E1238" s="391"/>
      <c r="F1238" s="325"/>
      <c r="G1238" s="325" t="s">
        <v>73</v>
      </c>
      <c r="H1238" s="326"/>
      <c r="I1238" s="547"/>
      <c r="J1238" s="334"/>
      <c r="K1238" s="334" t="str">
        <f>IF(A1238=0,VLOOKUP(D1238,'03. Insumos'!A:F,4,0),"")</f>
        <v/>
      </c>
      <c r="L1238" s="334">
        <f>SUM(L1239)</f>
        <v>0</v>
      </c>
      <c r="M1238" s="153">
        <f t="shared" ca="1" si="1042"/>
        <v>0</v>
      </c>
      <c r="O1238" s="148">
        <f t="shared" si="992"/>
        <v>0</v>
      </c>
      <c r="R1238" s="12">
        <f t="shared" si="1094"/>
        <v>0</v>
      </c>
    </row>
    <row r="1239" spans="1:18" s="51" customFormat="1" hidden="1" outlineLevel="1" x14ac:dyDescent="0.3">
      <c r="A1239" s="13">
        <f t="shared" si="994"/>
        <v>0</v>
      </c>
      <c r="B1239" s="49"/>
      <c r="C1239" s="49"/>
      <c r="D1239" s="370" t="s">
        <v>6554</v>
      </c>
      <c r="E1239" s="67" t="str">
        <f>VLOOKUP(D1239,'03. Insumos'!A:D,2,0)</f>
        <v>Limpeza Final</v>
      </c>
      <c r="F1239" s="68" t="s">
        <v>5218</v>
      </c>
      <c r="G1239" s="68" t="str">
        <f>VLOOKUP(D1239,'03. Insumos'!A:F,3,0)</f>
        <v>m²</v>
      </c>
      <c r="H1239" s="69">
        <v>1</v>
      </c>
      <c r="I1239" s="69">
        <f>H1238</f>
        <v>0</v>
      </c>
      <c r="J1239" s="70">
        <f>IFERROR(IF(K1239&lt;&gt;0,K1239*$K$5,0),0)</f>
        <v>11.084999778300004</v>
      </c>
      <c r="K1239" s="70">
        <f>IF(A1239=0,VLOOKUP(D1239,'03. Insumos'!A:F,4,0),"")</f>
        <v>11.084999778300004</v>
      </c>
      <c r="L1239" s="70">
        <f>H1239*J1239*I1239</f>
        <v>0</v>
      </c>
      <c r="M1239" s="153">
        <f t="shared" ca="1" si="1042"/>
        <v>0</v>
      </c>
      <c r="O1239" s="148">
        <f t="shared" si="992"/>
        <v>0</v>
      </c>
      <c r="R1239" s="12">
        <f t="shared" si="1094"/>
        <v>-0.32286407121262251</v>
      </c>
    </row>
    <row r="1240" spans="1:18" s="59" customFormat="1" hidden="1" outlineLevel="1" x14ac:dyDescent="0.3">
      <c r="A1240" s="290">
        <f t="shared" si="994"/>
        <v>6</v>
      </c>
      <c r="B1240" s="391"/>
      <c r="C1240" s="391" t="s">
        <v>6996</v>
      </c>
      <c r="D1240" s="606" t="s">
        <v>7486</v>
      </c>
      <c r="E1240" s="391"/>
      <c r="F1240" s="325"/>
      <c r="G1240" s="325" t="s">
        <v>29</v>
      </c>
      <c r="H1240" s="326">
        <v>1</v>
      </c>
      <c r="I1240" s="547"/>
      <c r="J1240" s="334"/>
      <c r="K1240" s="334" t="str">
        <f>IF(A1240=0,VLOOKUP(D1240,'03. Insumos'!A:F,4,0),"")</f>
        <v/>
      </c>
      <c r="L1240" s="334">
        <f>SUM(L1241)</f>
        <v>0</v>
      </c>
      <c r="M1240" s="153">
        <f t="shared" ca="1" si="1042"/>
        <v>0</v>
      </c>
      <c r="O1240" s="148">
        <f t="shared" si="992"/>
        <v>0</v>
      </c>
      <c r="R1240" s="12">
        <f t="shared" si="1094"/>
        <v>0</v>
      </c>
    </row>
    <row r="1241" spans="1:18" s="51" customFormat="1" hidden="1" outlineLevel="1" x14ac:dyDescent="0.3">
      <c r="A1241" s="13">
        <f t="shared" si="994"/>
        <v>0</v>
      </c>
      <c r="B1241" s="49"/>
      <c r="C1241" s="49"/>
      <c r="D1241" s="370" t="s">
        <v>7488</v>
      </c>
      <c r="E1241" s="67" t="str">
        <f>VLOOKUP(D1241,'03. Insumos'!A:D,2,0)</f>
        <v>Descupinização para entrega</v>
      </c>
      <c r="F1241" s="68" t="s">
        <v>5218</v>
      </c>
      <c r="G1241" s="68" t="str">
        <f>VLOOKUP(D1241,'03. Insumos'!A:F,3,0)</f>
        <v>vb</v>
      </c>
      <c r="H1241" s="69"/>
      <c r="I1241" s="69">
        <f>H1240</f>
        <v>1</v>
      </c>
      <c r="J1241" s="70">
        <v>1</v>
      </c>
      <c r="K1241" s="70">
        <f>IF(A1241=0,VLOOKUP(D1241,'03. Insumos'!A:F,4,0),"")</f>
        <v>1</v>
      </c>
      <c r="L1241" s="70">
        <f>H1241*J1241*I1241</f>
        <v>0</v>
      </c>
      <c r="M1241" s="153">
        <f t="shared" ca="1" si="1042"/>
        <v>0</v>
      </c>
      <c r="O1241" s="148">
        <f t="shared" si="992"/>
        <v>0</v>
      </c>
      <c r="R1241" s="12">
        <f t="shared" si="1094"/>
        <v>-2.9126213592232997E-2</v>
      </c>
    </row>
    <row r="1242" spans="1:18" s="59" customFormat="1" outlineLevel="1" x14ac:dyDescent="0.3">
      <c r="A1242" s="290">
        <f t="shared" si="994"/>
        <v>6</v>
      </c>
      <c r="B1242" s="391"/>
      <c r="C1242" s="391" t="s">
        <v>8663</v>
      </c>
      <c r="D1242" s="606" t="s">
        <v>7001</v>
      </c>
      <c r="E1242" s="391"/>
      <c r="F1242" s="325"/>
      <c r="G1242" s="325" t="s">
        <v>1376</v>
      </c>
      <c r="H1242" s="326"/>
      <c r="I1242" s="547"/>
      <c r="J1242" s="334"/>
      <c r="K1242" s="334" t="str">
        <f>IF(A1242=0,VLOOKUP(D1242,'03. Insumos'!A:F,4,0),"")</f>
        <v/>
      </c>
      <c r="L1242" s="334">
        <f>SUM(L1243:L1244)</f>
        <v>1840</v>
      </c>
      <c r="M1242" s="153">
        <f t="shared" ca="1" si="1042"/>
        <v>1.1172247130142287E-4</v>
      </c>
      <c r="O1242" s="148">
        <f t="shared" si="992"/>
        <v>0</v>
      </c>
      <c r="R1242" s="12">
        <f t="shared" si="1094"/>
        <v>0</v>
      </c>
    </row>
    <row r="1243" spans="1:18" s="51" customFormat="1" hidden="1" outlineLevel="1" x14ac:dyDescent="0.3">
      <c r="A1243" s="13">
        <f t="shared" si="994"/>
        <v>0</v>
      </c>
      <c r="B1243" s="49"/>
      <c r="C1243" s="49"/>
      <c r="D1243" s="370" t="s">
        <v>6556</v>
      </c>
      <c r="E1243" s="67" t="str">
        <f>VLOOKUP(D1243,'03. Insumos'!A:D,2,0)</f>
        <v>Limpeza de Caixa D'água - Mão de Obra</v>
      </c>
      <c r="F1243" s="68" t="s">
        <v>5218</v>
      </c>
      <c r="G1243" s="68" t="str">
        <f>VLOOKUP(D1243,'03. Insumos'!A:F,3,0)</f>
        <v>unid</v>
      </c>
      <c r="H1243" s="69">
        <v>1</v>
      </c>
      <c r="I1243" s="69"/>
      <c r="J1243" s="70">
        <f>IFERROR(IF(K1243&lt;&gt;0,K1243*$K$5,0),0)</f>
        <v>591.57999999999993</v>
      </c>
      <c r="K1243" s="70">
        <f>IF(A1243=0,VLOOKUP(D1243,'03. Insumos'!A:F,4,0),"")</f>
        <v>591.57999999999993</v>
      </c>
      <c r="L1243" s="70">
        <f>H1243*J1243*I1243</f>
        <v>0</v>
      </c>
      <c r="M1243" s="153">
        <f t="shared" ca="1" si="1042"/>
        <v>0</v>
      </c>
      <c r="O1243" s="148">
        <f t="shared" ref="O1243:O1246" si="1100">IF(I1243&lt;&gt;0,I1243*H1243*K1243,)</f>
        <v>0</v>
      </c>
      <c r="R1243" s="12">
        <f t="shared" si="1094"/>
        <v>-17.230485436893218</v>
      </c>
    </row>
    <row r="1244" spans="1:18" s="51" customFormat="1" outlineLevel="1" x14ac:dyDescent="0.3">
      <c r="A1244" s="13">
        <f t="shared" si="994"/>
        <v>0</v>
      </c>
      <c r="B1244" s="49"/>
      <c r="C1244" s="49"/>
      <c r="D1244" s="370" t="s">
        <v>6557</v>
      </c>
      <c r="E1244" s="67" t="str">
        <f>VLOOKUP(D1244,'03. Insumos'!A:D,2,0)</f>
        <v>Limpeza de Cisterna - Mão de Obra</v>
      </c>
      <c r="F1244" s="68" t="s">
        <v>5218</v>
      </c>
      <c r="G1244" s="68" t="str">
        <f>VLOOKUP(D1244,'03. Insumos'!A:F,3,0)</f>
        <v>unid</v>
      </c>
      <c r="H1244" s="69">
        <v>1</v>
      </c>
      <c r="I1244" s="69">
        <v>2</v>
      </c>
      <c r="J1244" s="485">
        <f t="shared" ref="J1244" si="1101">IFERROR(IF(K1244&lt;&gt;0,K1244*$K$5,0),0)</f>
        <v>920</v>
      </c>
      <c r="K1244" s="70">
        <f>IF(A1244=0,VLOOKUP(D1244,'03. Insumos'!A:F,4,0),"")</f>
        <v>920</v>
      </c>
      <c r="L1244" s="70">
        <f>H1244*J1244*I1244</f>
        <v>1840</v>
      </c>
      <c r="M1244" s="153">
        <f t="shared" ca="1" si="1042"/>
        <v>1.1172247130142287E-4</v>
      </c>
      <c r="O1244" s="148">
        <f t="shared" si="1100"/>
        <v>1840</v>
      </c>
      <c r="R1244" s="12">
        <f t="shared" si="1094"/>
        <v>-26.796116504854353</v>
      </c>
    </row>
    <row r="1245" spans="1:18" s="18" customFormat="1" x14ac:dyDescent="0.3">
      <c r="A1245" s="290">
        <f t="shared" ref="A1245:A1246" si="1102">LEN(C1245)</f>
        <v>3</v>
      </c>
      <c r="B1245" s="35"/>
      <c r="C1245" s="390" t="s">
        <v>2872</v>
      </c>
      <c r="D1245" s="390" t="s">
        <v>8782</v>
      </c>
      <c r="E1245" s="390"/>
      <c r="F1245" s="36"/>
      <c r="G1245" s="678"/>
      <c r="H1245" s="324"/>
      <c r="I1245" s="324"/>
      <c r="J1245" s="333"/>
      <c r="K1245" s="38"/>
      <c r="L1245" s="333">
        <f>SUMIF(A1246:A1341,4,L1246:L1341)</f>
        <v>115077.83649</v>
      </c>
      <c r="M1245" s="153">
        <f t="shared" ca="1" si="1042"/>
        <v>6.9873805895020969E-3</v>
      </c>
      <c r="O1245" s="148">
        <f t="shared" si="1100"/>
        <v>0</v>
      </c>
      <c r="R1245" s="12">
        <f t="shared" si="1094"/>
        <v>0</v>
      </c>
    </row>
    <row r="1246" spans="1:18" s="18" customFormat="1" outlineLevel="1" x14ac:dyDescent="0.3">
      <c r="A1246" s="290">
        <f t="shared" si="1102"/>
        <v>4</v>
      </c>
      <c r="B1246" s="45"/>
      <c r="C1246" s="45" t="s">
        <v>981</v>
      </c>
      <c r="D1246" s="45" t="s">
        <v>8683</v>
      </c>
      <c r="E1246" s="347"/>
      <c r="F1246" s="60"/>
      <c r="G1246" s="327"/>
      <c r="H1246" s="328"/>
      <c r="I1246" s="548"/>
      <c r="J1246" s="62"/>
      <c r="K1246" s="62" t="str">
        <f>IF(A1246=0,VLOOKUP(D1246,'03. Insumos'!A:F,4,0),"")</f>
        <v/>
      </c>
      <c r="L1246" s="335">
        <f>SUMIF(A1247:A1252,6,L1247:L1252)</f>
        <v>16000.492599999998</v>
      </c>
      <c r="M1246" s="153">
        <f t="shared" ca="1" si="1042"/>
        <v>9.7152966049572208E-4</v>
      </c>
      <c r="O1246" s="148">
        <f t="shared" si="1100"/>
        <v>0</v>
      </c>
      <c r="R1246" s="12">
        <f t="shared" si="1094"/>
        <v>0</v>
      </c>
    </row>
    <row r="1247" spans="1:18" s="59" customFormat="1" outlineLevel="1" x14ac:dyDescent="0.3">
      <c r="A1247" s="290">
        <f t="shared" ref="A1247:A1248" si="1103">LEN(C1247)</f>
        <v>6</v>
      </c>
      <c r="B1247" s="606"/>
      <c r="C1247" s="391" t="s">
        <v>982</v>
      </c>
      <c r="D1247" s="606" t="s">
        <v>8765</v>
      </c>
      <c r="E1247" s="391"/>
      <c r="F1247" s="325"/>
      <c r="G1247" s="325" t="s">
        <v>73</v>
      </c>
      <c r="H1247" s="326">
        <f>I1248</f>
        <v>36.44</v>
      </c>
      <c r="I1247" s="326" t="s">
        <v>2787</v>
      </c>
      <c r="J1247" s="812">
        <f>L1247/H1247</f>
        <v>130</v>
      </c>
      <c r="K1247" s="607" t="str">
        <f>IF(A1247=0,VLOOKUP(D1247,'03. Insumos'!A:F,4,0),"")</f>
        <v/>
      </c>
      <c r="L1247" s="334">
        <f>SUM(L1248:L1248)</f>
        <v>4737.2</v>
      </c>
      <c r="M1247" s="153">
        <f t="shared" ref="M1247:M1252" ca="1" si="1104">L1247/$L$7</f>
        <v>2.8763678861364153E-4</v>
      </c>
      <c r="O1247" s="148" t="e">
        <f t="shared" ref="O1247:O1248" si="1105">IF(I1247&lt;&gt;0,I1247*H1247*K1247,)</f>
        <v>#VALUE!</v>
      </c>
      <c r="R1247" s="12" t="e">
        <f t="shared" ref="R1247:R1248" si="1106">IF(J1247&lt;&gt;0,J1247/1.03-K1247,0)</f>
        <v>#VALUE!</v>
      </c>
    </row>
    <row r="1248" spans="1:18" s="51" customFormat="1" outlineLevel="1" x14ac:dyDescent="0.3">
      <c r="A1248" s="13">
        <f t="shared" si="1103"/>
        <v>0</v>
      </c>
      <c r="B1248" s="49"/>
      <c r="C1248" s="49"/>
      <c r="D1248" s="370" t="s">
        <v>8399</v>
      </c>
      <c r="E1248" s="67" t="str">
        <f>VLOOKUP(D1248,'03. Insumos'!A:D,2,0)</f>
        <v>Forro em drywall Decorativo - Material e Mão de Obra</v>
      </c>
      <c r="F1248" s="68" t="s">
        <v>5218</v>
      </c>
      <c r="G1248" s="68" t="str">
        <f>VLOOKUP(D1248,'03. Insumos'!A:F,3,0)</f>
        <v>m²</v>
      </c>
      <c r="H1248" s="69">
        <v>1</v>
      </c>
      <c r="I1248" s="69">
        <v>36.44</v>
      </c>
      <c r="J1248" s="70">
        <f>IFERROR(IF(K1248&lt;&gt;0,K1248*$K$5,0),0)</f>
        <v>130</v>
      </c>
      <c r="K1248" s="54">
        <f>IF(A1248=0,VLOOKUP(D1248,'03. Insumos'!A:F,4,0),"")</f>
        <v>130</v>
      </c>
      <c r="L1248" s="485">
        <f t="shared" ref="L1248" si="1107">H1248*J1248*I1248</f>
        <v>4737.2</v>
      </c>
      <c r="M1248" s="153">
        <f t="shared" ca="1" si="1104"/>
        <v>2.8763678861364153E-4</v>
      </c>
      <c r="O1248" s="148">
        <f t="shared" si="1105"/>
        <v>4737.2</v>
      </c>
      <c r="R1248" s="12">
        <f t="shared" si="1106"/>
        <v>-3.786407766990294</v>
      </c>
    </row>
    <row r="1249" spans="1:20" s="59" customFormat="1" ht="13.5" customHeight="1" outlineLevel="1" x14ac:dyDescent="0.3">
      <c r="A1249" s="290">
        <f t="shared" ref="A1249:A1252" si="1108">LEN(C1249)</f>
        <v>6</v>
      </c>
      <c r="B1249" s="606"/>
      <c r="C1249" s="391" t="s">
        <v>982</v>
      </c>
      <c r="D1249" s="648" t="s">
        <v>1163</v>
      </c>
      <c r="E1249" s="391"/>
      <c r="F1249" s="325"/>
      <c r="G1249" s="325" t="s">
        <v>73</v>
      </c>
      <c r="H1249" s="326">
        <f>I1250</f>
        <v>36.44</v>
      </c>
      <c r="I1249" s="65" t="s">
        <v>2787</v>
      </c>
      <c r="J1249" s="812">
        <f>L1249/H1249</f>
        <v>228.16500000000002</v>
      </c>
      <c r="K1249" s="607" t="str">
        <f>IF(A1249=0,VLOOKUP(D1249,'03. Insumos'!A:F,4,0),"")</f>
        <v/>
      </c>
      <c r="L1249" s="334">
        <f>SUM(L1250)</f>
        <v>8314.3325999999997</v>
      </c>
      <c r="M1249" s="153">
        <f t="shared" ca="1" si="1104"/>
        <v>5.0483575287716548E-4</v>
      </c>
      <c r="O1249" s="148" t="e">
        <f t="shared" ref="O1249:O1250" si="1109">IF(I1249&lt;&gt;0,I1249*H1249*K1249,)</f>
        <v>#VALUE!</v>
      </c>
      <c r="R1249" s="12" t="e">
        <f t="shared" ref="R1249:R1250" si="1110">IF(J1249&lt;&gt;0,J1249/1.03-K1249,0)</f>
        <v>#VALUE!</v>
      </c>
    </row>
    <row r="1250" spans="1:20" s="71" customFormat="1" ht="23.4" customHeight="1" outlineLevel="1" x14ac:dyDescent="0.3">
      <c r="A1250" s="59">
        <f t="shared" si="1108"/>
        <v>0</v>
      </c>
      <c r="B1250" s="67"/>
      <c r="C1250" s="67"/>
      <c r="D1250" s="370" t="s">
        <v>8060</v>
      </c>
      <c r="E1250" s="706" t="s">
        <v>8767</v>
      </c>
      <c r="F1250" s="68" t="s">
        <v>5218</v>
      </c>
      <c r="G1250" s="68" t="str">
        <f>VLOOKUP(D1250,'03. Insumos'!A:F,3,0)</f>
        <v>m²</v>
      </c>
      <c r="H1250" s="69">
        <v>1.05</v>
      </c>
      <c r="I1250" s="483">
        <v>36.44</v>
      </c>
      <c r="J1250" s="70">
        <v>217.3</v>
      </c>
      <c r="K1250" s="70">
        <f>IF(A1250=0,VLOOKUP(D1250,'03. Insumos'!A:F,4,0),"")</f>
        <v>84.27</v>
      </c>
      <c r="L1250" s="70">
        <f t="shared" ref="L1250" si="1111">H1250*J1250*I1250</f>
        <v>8314.3325999999997</v>
      </c>
      <c r="M1250" s="153">
        <f t="shared" ca="1" si="1104"/>
        <v>5.0483575287716548E-4</v>
      </c>
      <c r="O1250" s="499">
        <f t="shared" si="1109"/>
        <v>3224.3387399999997</v>
      </c>
      <c r="R1250" s="500">
        <f t="shared" si="1110"/>
        <v>126.70087378640777</v>
      </c>
    </row>
    <row r="1251" spans="1:20" s="478" customFormat="1" ht="13.5" customHeight="1" outlineLevel="1" x14ac:dyDescent="0.3">
      <c r="A1251" s="290">
        <f t="shared" si="1108"/>
        <v>6</v>
      </c>
      <c r="B1251" s="489"/>
      <c r="C1251" s="391" t="s">
        <v>982</v>
      </c>
      <c r="D1251" s="606" t="s">
        <v>5909</v>
      </c>
      <c r="E1251" s="391"/>
      <c r="F1251" s="490"/>
      <c r="G1251" s="490" t="s">
        <v>73</v>
      </c>
      <c r="H1251" s="326">
        <f>SUM(I1252:I1252)</f>
        <v>65.824999999999989</v>
      </c>
      <c r="I1251" s="549"/>
      <c r="J1251" s="812">
        <f>L1251/H1251</f>
        <v>44.8</v>
      </c>
      <c r="K1251" s="492" t="str">
        <f>IF(A1251=0,VLOOKUP(D1251,'03. Insumos'!A:F,4,0),"")</f>
        <v/>
      </c>
      <c r="L1251" s="492">
        <f>SUMIF(A1252:A1252,0,L1252:L1252)</f>
        <v>2948.9599999999991</v>
      </c>
      <c r="M1251" s="153">
        <f t="shared" ca="1" si="1104"/>
        <v>1.7905711900491515E-4</v>
      </c>
      <c r="O1251" s="512">
        <f>IF(I1251&lt;&gt;0,I1251*H1251*K1251,)</f>
        <v>0</v>
      </c>
      <c r="R1251" s="487" t="e">
        <f>IF(J1251&lt;&gt;0,J1251/1.03-K1251,0)</f>
        <v>#VALUE!</v>
      </c>
      <c r="T1251" s="478">
        <f>L1251/H1251</f>
        <v>44.8</v>
      </c>
    </row>
    <row r="1252" spans="1:20" s="486" customFormat="1" outlineLevel="1" x14ac:dyDescent="0.3">
      <c r="A1252" s="13">
        <f t="shared" si="1108"/>
        <v>0</v>
      </c>
      <c r="B1252" s="480"/>
      <c r="C1252" s="480"/>
      <c r="D1252" s="370" t="s">
        <v>7933</v>
      </c>
      <c r="E1252" s="706" t="s">
        <v>8768</v>
      </c>
      <c r="F1252" s="482" t="s">
        <v>5218</v>
      </c>
      <c r="G1252" s="482" t="str">
        <f>VLOOKUP(D1252,'03. Insumos'!A:F,3,0)</f>
        <v>m²</v>
      </c>
      <c r="H1252" s="69">
        <v>1</v>
      </c>
      <c r="I1252" s="483">
        <v>65.824999999999989</v>
      </c>
      <c r="J1252" s="70">
        <v>44.8</v>
      </c>
      <c r="K1252" s="485">
        <f>IF(A1252=0,VLOOKUP(D1252,'03. Insumos'!A:F,4,0),"")</f>
        <v>28.15</v>
      </c>
      <c r="L1252" s="485">
        <f t="shared" ref="L1252" si="1112">H1252*J1252*I1252</f>
        <v>2948.9599999999991</v>
      </c>
      <c r="M1252" s="153">
        <f t="shared" ca="1" si="1104"/>
        <v>1.7905711900491515E-4</v>
      </c>
      <c r="O1252" s="512"/>
      <c r="R1252" s="487"/>
    </row>
    <row r="1253" spans="1:20" s="18" customFormat="1" outlineLevel="1" x14ac:dyDescent="0.3">
      <c r="A1253" s="290">
        <f t="shared" ref="A1253" si="1113">LEN(C1253)</f>
        <v>4</v>
      </c>
      <c r="B1253" s="45"/>
      <c r="C1253" s="45" t="s">
        <v>981</v>
      </c>
      <c r="D1253" s="45" t="s">
        <v>8684</v>
      </c>
      <c r="E1253" s="347"/>
      <c r="F1253" s="60"/>
      <c r="G1253" s="327"/>
      <c r="H1253" s="328"/>
      <c r="I1253" s="548"/>
      <c r="J1253" s="62"/>
      <c r="K1253" s="62" t="str">
        <f>IF(A1253=0,VLOOKUP(D1253,'03. Insumos'!A:F,4,0),"")</f>
        <v/>
      </c>
      <c r="L1253" s="335">
        <f>SUMIF(A1254:A1259,6,L1254:L1259)</f>
        <v>8569.9294999999984</v>
      </c>
      <c r="M1253" s="153">
        <f t="shared" ref="M1253" ca="1" si="1114">L1253/$L$7</f>
        <v>5.2035527316248212E-4</v>
      </c>
      <c r="O1253" s="148">
        <f t="shared" ref="O1253" si="1115">IF(I1253&lt;&gt;0,I1253*H1253*K1253,)</f>
        <v>0</v>
      </c>
      <c r="R1253" s="12">
        <f t="shared" ref="R1253" si="1116">IF(J1253&lt;&gt;0,J1253/1.03-K1253,0)</f>
        <v>0</v>
      </c>
    </row>
    <row r="1254" spans="1:20" s="51" customFormat="1" outlineLevel="1" x14ac:dyDescent="0.3">
      <c r="A1254" s="13">
        <f t="shared" ref="A1254:A1255" si="1117">LEN(C1254)</f>
        <v>6</v>
      </c>
      <c r="B1254" s="391"/>
      <c r="C1254" s="391" t="s">
        <v>982</v>
      </c>
      <c r="D1254" s="391" t="s">
        <v>6882</v>
      </c>
      <c r="E1254" s="391"/>
      <c r="F1254" s="325"/>
      <c r="G1254" s="325" t="s">
        <v>1376</v>
      </c>
      <c r="H1254" s="631">
        <f>I1255</f>
        <v>38</v>
      </c>
      <c r="I1254" s="547"/>
      <c r="J1254" s="812">
        <f>L1254/H1254</f>
        <v>124.5</v>
      </c>
      <c r="K1254" s="334"/>
      <c r="L1254" s="334">
        <f>SUMIF(A1255:A1255,0,L1255:L1255)</f>
        <v>4731</v>
      </c>
      <c r="M1254" s="355">
        <f t="shared" ref="M1254:M1259" ca="1" si="1118">L1254/$L$7</f>
        <v>2.8726033246034323E-4</v>
      </c>
      <c r="O1254" s="148"/>
      <c r="R1254" s="356"/>
    </row>
    <row r="1255" spans="1:20" s="836" customFormat="1" outlineLevel="1" x14ac:dyDescent="0.3">
      <c r="A1255" s="351">
        <f t="shared" si="1117"/>
        <v>0</v>
      </c>
      <c r="B1255" s="835"/>
      <c r="C1255" s="822"/>
      <c r="D1255" s="748" t="s">
        <v>6463</v>
      </c>
      <c r="E1255" s="668" t="s">
        <v>8769</v>
      </c>
      <c r="F1255" s="670" t="s">
        <v>5218</v>
      </c>
      <c r="G1255" s="669" t="str">
        <f>VLOOKUP(D1255,'03. Insumos'!A:F,3,0)</f>
        <v>unid</v>
      </c>
      <c r="H1255" s="631">
        <v>1</v>
      </c>
      <c r="I1255" s="631">
        <v>38</v>
      </c>
      <c r="J1255" s="632">
        <v>124.5</v>
      </c>
      <c r="K1255" s="632">
        <f>IF(A1255=0,VLOOKUP(D1255,'03. Insumos'!A:F,4,0),"")</f>
        <v>1700</v>
      </c>
      <c r="L1255" s="632">
        <f t="shared" ref="L1255" si="1119">H1255*J1255*I1255</f>
        <v>4731</v>
      </c>
      <c r="M1255" s="355">
        <f t="shared" ca="1" si="1118"/>
        <v>2.8726033246034323E-4</v>
      </c>
      <c r="O1255" s="824"/>
      <c r="R1255" s="825"/>
    </row>
    <row r="1256" spans="1:20" s="59" customFormat="1" ht="13.5" customHeight="1" outlineLevel="1" x14ac:dyDescent="0.3">
      <c r="A1256" s="290">
        <f t="shared" ref="A1256:A1259" si="1120">LEN(C1256)</f>
        <v>6</v>
      </c>
      <c r="B1256" s="606"/>
      <c r="C1256" s="391" t="s">
        <v>982</v>
      </c>
      <c r="D1256" s="648" t="s">
        <v>8770</v>
      </c>
      <c r="E1256" s="391"/>
      <c r="F1256" s="325"/>
      <c r="G1256" s="325" t="s">
        <v>73</v>
      </c>
      <c r="H1256" s="326">
        <f>I1257</f>
        <v>29.74</v>
      </c>
      <c r="I1256" s="65" t="s">
        <v>2787</v>
      </c>
      <c r="J1256" s="812">
        <f>L1256/H1256</f>
        <v>29.925000000000001</v>
      </c>
      <c r="K1256" s="607" t="str">
        <f>IF(A1256=0,VLOOKUP(D1256,'03. Insumos'!A:F,4,0),"")</f>
        <v/>
      </c>
      <c r="L1256" s="334">
        <f>SUM(L1257)</f>
        <v>889.96949999999993</v>
      </c>
      <c r="M1256" s="153">
        <f t="shared" ca="1" si="1118"/>
        <v>5.4037821697223722E-5</v>
      </c>
      <c r="O1256" s="148" t="e">
        <f t="shared" ref="O1256:O1257" si="1121">IF(I1256&lt;&gt;0,I1256*H1256*K1256,)</f>
        <v>#VALUE!</v>
      </c>
      <c r="R1256" s="12" t="e">
        <f t="shared" ref="R1256:R1257" si="1122">IF(J1256&lt;&gt;0,J1256/1.03-K1256,0)</f>
        <v>#VALUE!</v>
      </c>
    </row>
    <row r="1257" spans="1:20" s="71" customFormat="1" outlineLevel="1" x14ac:dyDescent="0.3">
      <c r="A1257" s="59">
        <f t="shared" si="1120"/>
        <v>0</v>
      </c>
      <c r="B1257" s="67"/>
      <c r="C1257" s="67"/>
      <c r="D1257" s="370" t="s">
        <v>8060</v>
      </c>
      <c r="E1257" s="706" t="s">
        <v>8771</v>
      </c>
      <c r="F1257" s="68" t="s">
        <v>5218</v>
      </c>
      <c r="G1257" s="68" t="str">
        <f>VLOOKUP(D1257,'03. Insumos'!A:F,3,0)</f>
        <v>m²</v>
      </c>
      <c r="H1257" s="69">
        <v>1.05</v>
      </c>
      <c r="I1257" s="483">
        <v>29.74</v>
      </c>
      <c r="J1257" s="70">
        <v>28.5</v>
      </c>
      <c r="K1257" s="70">
        <f>IF(A1257=0,VLOOKUP(D1257,'03. Insumos'!A:F,4,0),"")</f>
        <v>84.27</v>
      </c>
      <c r="L1257" s="70">
        <f t="shared" ref="L1257" si="1123">H1257*J1257*I1257</f>
        <v>889.96949999999993</v>
      </c>
      <c r="M1257" s="153">
        <f t="shared" ca="1" si="1118"/>
        <v>5.4037821697223722E-5</v>
      </c>
      <c r="O1257" s="499">
        <f t="shared" si="1121"/>
        <v>2631.4992899999997</v>
      </c>
      <c r="R1257" s="500">
        <f t="shared" si="1122"/>
        <v>-56.600097087378636</v>
      </c>
    </row>
    <row r="1258" spans="1:20" s="478" customFormat="1" ht="13.5" customHeight="1" outlineLevel="1" x14ac:dyDescent="0.3">
      <c r="A1258" s="290">
        <f t="shared" si="1120"/>
        <v>6</v>
      </c>
      <c r="B1258" s="489"/>
      <c r="C1258" s="391" t="s">
        <v>982</v>
      </c>
      <c r="D1258" s="606" t="s">
        <v>5909</v>
      </c>
      <c r="E1258" s="391"/>
      <c r="F1258" s="490"/>
      <c r="G1258" s="490" t="s">
        <v>73</v>
      </c>
      <c r="H1258" s="326">
        <f>SUM(I1259:I1259)</f>
        <v>65.824999999999989</v>
      </c>
      <c r="I1258" s="549"/>
      <c r="J1258" s="812">
        <f>L1258/H1258</f>
        <v>44.8</v>
      </c>
      <c r="K1258" s="492" t="str">
        <f>IF(A1258=0,VLOOKUP(D1258,'03. Insumos'!A:F,4,0),"")</f>
        <v/>
      </c>
      <c r="L1258" s="492">
        <f>SUMIF(A1259:A1259,0,L1259:L1259)</f>
        <v>2948.9599999999991</v>
      </c>
      <c r="M1258" s="153">
        <f t="shared" ca="1" si="1118"/>
        <v>1.7905711900491515E-4</v>
      </c>
      <c r="O1258" s="512">
        <f>IF(I1258&lt;&gt;0,I1258*H1258*K1258,)</f>
        <v>0</v>
      </c>
      <c r="R1258" s="487" t="e">
        <f>IF(J1258&lt;&gt;0,J1258/1.03-K1258,0)</f>
        <v>#VALUE!</v>
      </c>
      <c r="T1258" s="478">
        <f>L1258/H1258</f>
        <v>44.8</v>
      </c>
    </row>
    <row r="1259" spans="1:20" s="486" customFormat="1" outlineLevel="1" x14ac:dyDescent="0.3">
      <c r="A1259" s="13">
        <f t="shared" si="1120"/>
        <v>0</v>
      </c>
      <c r="B1259" s="480"/>
      <c r="C1259" s="480"/>
      <c r="D1259" s="370" t="s">
        <v>7933</v>
      </c>
      <c r="E1259" s="706" t="s">
        <v>8768</v>
      </c>
      <c r="F1259" s="482" t="s">
        <v>5218</v>
      </c>
      <c r="G1259" s="482" t="str">
        <f>VLOOKUP(D1259,'03. Insumos'!A:F,3,0)</f>
        <v>m²</v>
      </c>
      <c r="H1259" s="69">
        <v>1</v>
      </c>
      <c r="I1259" s="483">
        <v>65.824999999999989</v>
      </c>
      <c r="J1259" s="70">
        <v>44.8</v>
      </c>
      <c r="K1259" s="485">
        <f>IF(A1259=0,VLOOKUP(D1259,'03. Insumos'!A:F,4,0),"")</f>
        <v>28.15</v>
      </c>
      <c r="L1259" s="485">
        <f t="shared" ref="L1259" si="1124">H1259*J1259*I1259</f>
        <v>2948.9599999999991</v>
      </c>
      <c r="M1259" s="153">
        <f t="shared" ca="1" si="1118"/>
        <v>1.7905711900491515E-4</v>
      </c>
      <c r="O1259" s="512"/>
      <c r="R1259" s="487"/>
    </row>
    <row r="1260" spans="1:20" s="18" customFormat="1" outlineLevel="1" x14ac:dyDescent="0.3">
      <c r="A1260" s="290">
        <f t="shared" ref="A1260" si="1125">LEN(C1260)</f>
        <v>4</v>
      </c>
      <c r="B1260" s="45"/>
      <c r="C1260" s="45" t="s">
        <v>981</v>
      </c>
      <c r="D1260" s="45" t="s">
        <v>8685</v>
      </c>
      <c r="E1260" s="347"/>
      <c r="F1260" s="60"/>
      <c r="G1260" s="327"/>
      <c r="H1260" s="328"/>
      <c r="I1260" s="548"/>
      <c r="J1260" s="62"/>
      <c r="K1260" s="62" t="str">
        <f>IF(A1260=0,VLOOKUP(D1260,'03. Insumos'!A:F,4,0),"")</f>
        <v/>
      </c>
      <c r="L1260" s="335">
        <f>SUMIF(A1261:A1286,6,L1261:L1286)</f>
        <v>21363.770400000001</v>
      </c>
      <c r="M1260" s="153">
        <f t="shared" ref="M1260" ca="1" si="1126">L1260/$L$7</f>
        <v>1.2971811007631453E-3</v>
      </c>
      <c r="O1260" s="148">
        <f t="shared" ref="O1260" si="1127">IF(I1260&lt;&gt;0,I1260*H1260*K1260,)</f>
        <v>0</v>
      </c>
      <c r="R1260" s="12">
        <f t="shared" ref="R1260" si="1128">IF(J1260&lt;&gt;0,J1260/1.03-K1260,0)</f>
        <v>0</v>
      </c>
    </row>
    <row r="1261" spans="1:20" s="59" customFormat="1" outlineLevel="1" x14ac:dyDescent="0.3">
      <c r="A1261" s="290">
        <f t="shared" ref="A1261:A1265" si="1129">LEN(C1261)</f>
        <v>6</v>
      </c>
      <c r="B1261" s="606"/>
      <c r="C1261" s="391" t="s">
        <v>982</v>
      </c>
      <c r="D1261" s="606" t="s">
        <v>8765</v>
      </c>
      <c r="E1261" s="391"/>
      <c r="F1261" s="325"/>
      <c r="G1261" s="325" t="s">
        <v>73</v>
      </c>
      <c r="H1261" s="326">
        <f>I1262</f>
        <v>42.47</v>
      </c>
      <c r="I1261" s="326" t="s">
        <v>2787</v>
      </c>
      <c r="J1261" s="812">
        <f>L1261/H1261</f>
        <v>130</v>
      </c>
      <c r="K1261" s="607" t="str">
        <f>IF(A1261=0,VLOOKUP(D1261,'03. Insumos'!A:F,4,0),"")</f>
        <v/>
      </c>
      <c r="L1261" s="334">
        <f>SUM(L1262:L1262)</f>
        <v>5521.0999999999995</v>
      </c>
      <c r="M1261" s="153">
        <f t="shared" ref="M1261:M1286" ca="1" si="1130">L1261/$L$7</f>
        <v>3.3523420451211179E-4</v>
      </c>
      <c r="O1261" s="148" t="e">
        <f t="shared" ref="O1261:O1264" si="1131">IF(I1261&lt;&gt;0,I1261*H1261*K1261,)</f>
        <v>#VALUE!</v>
      </c>
      <c r="R1261" s="12" t="e">
        <f t="shared" ref="R1261:R1264" si="1132">IF(J1261&lt;&gt;0,J1261/1.03-K1261,0)</f>
        <v>#VALUE!</v>
      </c>
    </row>
    <row r="1262" spans="1:20" s="51" customFormat="1" outlineLevel="1" x14ac:dyDescent="0.3">
      <c r="A1262" s="13">
        <f t="shared" si="1129"/>
        <v>0</v>
      </c>
      <c r="B1262" s="49"/>
      <c r="C1262" s="49"/>
      <c r="D1262" s="370" t="s">
        <v>8399</v>
      </c>
      <c r="E1262" s="67" t="str">
        <f>VLOOKUP(D1262,'03. Insumos'!A:D,2,0)</f>
        <v>Forro em drywall Decorativo - Material e Mão de Obra</v>
      </c>
      <c r="F1262" s="68" t="s">
        <v>5218</v>
      </c>
      <c r="G1262" s="68" t="str">
        <f>VLOOKUP(D1262,'03. Insumos'!A:F,3,0)</f>
        <v>m²</v>
      </c>
      <c r="H1262" s="69">
        <v>1</v>
      </c>
      <c r="I1262" s="69">
        <v>42.47</v>
      </c>
      <c r="J1262" s="70">
        <f>IFERROR(IF(K1262&lt;&gt;0,K1262*$K$5,0),0)</f>
        <v>130</v>
      </c>
      <c r="K1262" s="54">
        <f>IF(A1262=0,VLOOKUP(D1262,'03. Insumos'!A:F,4,0),"")</f>
        <v>130</v>
      </c>
      <c r="L1262" s="485">
        <f t="shared" ref="L1262" si="1133">H1262*J1262*I1262</f>
        <v>5521.0999999999995</v>
      </c>
      <c r="M1262" s="153">
        <f t="shared" ca="1" si="1130"/>
        <v>3.3523420451211179E-4</v>
      </c>
      <c r="O1262" s="148">
        <f t="shared" si="1131"/>
        <v>5521.0999999999995</v>
      </c>
      <c r="R1262" s="12">
        <f t="shared" si="1132"/>
        <v>-3.786407766990294</v>
      </c>
    </row>
    <row r="1263" spans="1:20" s="59" customFormat="1" ht="13.5" customHeight="1" outlineLevel="1" x14ac:dyDescent="0.3">
      <c r="A1263" s="290">
        <f t="shared" si="1129"/>
        <v>6</v>
      </c>
      <c r="B1263" s="606"/>
      <c r="C1263" s="391" t="s">
        <v>982</v>
      </c>
      <c r="D1263" s="648" t="s">
        <v>7424</v>
      </c>
      <c r="E1263" s="391"/>
      <c r="F1263" s="325"/>
      <c r="G1263" s="325" t="s">
        <v>73</v>
      </c>
      <c r="H1263" s="326">
        <f>SUM(I1264:I1264)</f>
        <v>8.75</v>
      </c>
      <c r="I1263" s="65">
        <f>(5+12+12+5+3+9+9)*(0.3*0.6)</f>
        <v>9.9</v>
      </c>
      <c r="J1263" s="812">
        <f>L1263/H1263</f>
        <v>196.87348571428572</v>
      </c>
      <c r="K1263" s="607" t="str">
        <f>IF(A1263=0,VLOOKUP(D1263,'03. Insumos'!A:F,4,0),"")</f>
        <v/>
      </c>
      <c r="L1263" s="334">
        <f>SUM(L1264:L1269)</f>
        <v>1722.643</v>
      </c>
      <c r="M1263" s="153">
        <f t="shared" ca="1" si="1130"/>
        <v>1.0459670278809619E-4</v>
      </c>
      <c r="O1263" s="148" t="e">
        <f t="shared" si="1131"/>
        <v>#VALUE!</v>
      </c>
      <c r="R1263" s="12" t="e">
        <f t="shared" si="1132"/>
        <v>#VALUE!</v>
      </c>
    </row>
    <row r="1264" spans="1:20" s="71" customFormat="1" outlineLevel="1" x14ac:dyDescent="0.3">
      <c r="A1264" s="59">
        <f t="shared" si="1129"/>
        <v>0</v>
      </c>
      <c r="B1264" s="67"/>
      <c r="C1264" s="67"/>
      <c r="D1264" s="370" t="s">
        <v>7790</v>
      </c>
      <c r="E1264" s="67" t="s">
        <v>8697</v>
      </c>
      <c r="F1264" s="68" t="s">
        <v>5218</v>
      </c>
      <c r="G1264" s="68" t="s">
        <v>73</v>
      </c>
      <c r="H1264" s="69">
        <v>1.2</v>
      </c>
      <c r="I1264" s="483">
        <v>8.75</v>
      </c>
      <c r="J1264" s="70">
        <v>66.55</v>
      </c>
      <c r="K1264" s="70">
        <f>IF(A1264=0,VLOOKUP(D1264,'03. Insumos'!A:F,4,0),"")</f>
        <v>137.71</v>
      </c>
      <c r="L1264" s="70">
        <f t="shared" ref="L1264:L1269" si="1134">H1264*J1264*I1264</f>
        <v>698.77499999999998</v>
      </c>
      <c r="M1264" s="153">
        <f t="shared" ca="1" si="1130"/>
        <v>4.2428733632419436E-5</v>
      </c>
      <c r="O1264" s="499">
        <f t="shared" si="1131"/>
        <v>1445.9550000000002</v>
      </c>
      <c r="R1264" s="500">
        <f t="shared" si="1132"/>
        <v>-73.098349514563125</v>
      </c>
    </row>
    <row r="1265" spans="1:20" s="51" customFormat="1" ht="13.5" customHeight="1" outlineLevel="1" x14ac:dyDescent="0.3">
      <c r="A1265" s="13">
        <f t="shared" si="1129"/>
        <v>0</v>
      </c>
      <c r="B1265" s="49"/>
      <c r="C1265" s="49"/>
      <c r="D1265" s="370" t="s">
        <v>6480</v>
      </c>
      <c r="E1265" s="67" t="str">
        <f>VLOOKUP(D1265,'03. Insumos'!A:D,2,0)</f>
        <v>Revestimento de Parede - Mão de Obra</v>
      </c>
      <c r="F1265" s="68" t="s">
        <v>3809</v>
      </c>
      <c r="G1265" s="68" t="str">
        <f>VLOOKUP(D1265,'03. Insumos'!A:F,3,0)</f>
        <v>m²</v>
      </c>
      <c r="H1265" s="69">
        <v>1</v>
      </c>
      <c r="I1265" s="69">
        <f>H1263</f>
        <v>8.75</v>
      </c>
      <c r="J1265" s="70">
        <f t="shared" ref="J1265:J1269" si="1135">IFERROR(IF(K1265&lt;&gt;0,K1265*$K$5,0),0)</f>
        <v>90</v>
      </c>
      <c r="K1265" s="70">
        <f>IF(A1265=0,VLOOKUP(D1265,'03. Insumos'!A:F,4,0),"")</f>
        <v>90</v>
      </c>
      <c r="L1265" s="70">
        <f t="shared" si="1134"/>
        <v>787.5</v>
      </c>
      <c r="M1265" s="153">
        <f t="shared" ca="1" si="1130"/>
        <v>4.7816003342320924E-5</v>
      </c>
      <c r="O1265" s="148"/>
      <c r="R1265" s="356"/>
    </row>
    <row r="1266" spans="1:20" s="51" customFormat="1" ht="13.5" customHeight="1" outlineLevel="1" x14ac:dyDescent="0.3">
      <c r="A1266" s="13">
        <v>0</v>
      </c>
      <c r="B1266" s="49"/>
      <c r="C1266" s="49"/>
      <c r="D1266" s="370" t="s">
        <v>4069</v>
      </c>
      <c r="E1266" s="67" t="str">
        <f>VLOOKUP(D1266,'03. Insumos'!A:D,2,0)</f>
        <v>Argamassa colante 20kg ACIII Cinza 20kg</v>
      </c>
      <c r="F1266" s="68" t="s">
        <v>5218</v>
      </c>
      <c r="G1266" s="68" t="str">
        <f>VLOOKUP(D1266,'03. Insumos'!A:F,3,0)</f>
        <v>sc</v>
      </c>
      <c r="H1266" s="69">
        <v>1.1000000000000001</v>
      </c>
      <c r="I1266" s="69">
        <f>ROUNDUP(((H1263*8)/20),0)</f>
        <v>4</v>
      </c>
      <c r="J1266" s="70">
        <f t="shared" si="1135"/>
        <v>31.899999999999995</v>
      </c>
      <c r="K1266" s="70">
        <f>IF(A1266=0,VLOOKUP(D1266,'03. Insumos'!A:F,4,0),"")</f>
        <v>31.899999999999995</v>
      </c>
      <c r="L1266" s="70">
        <f t="shared" si="1134"/>
        <v>140.35999999999999</v>
      </c>
      <c r="M1266" s="153">
        <f t="shared" ca="1" si="1130"/>
        <v>8.5224815607976697E-6</v>
      </c>
      <c r="O1266" s="148"/>
      <c r="R1266" s="356"/>
    </row>
    <row r="1267" spans="1:20" s="51" customFormat="1" ht="13.5" customHeight="1" outlineLevel="1" x14ac:dyDescent="0.3">
      <c r="A1267" s="13">
        <v>0</v>
      </c>
      <c r="B1267" s="49"/>
      <c r="C1267" s="49"/>
      <c r="D1267" s="370" t="s">
        <v>6482</v>
      </c>
      <c r="E1267" s="67" t="str">
        <f>VLOOKUP(D1267,'03. Insumos'!A:D,2,0)</f>
        <v>Rejunte para Pisos e Azulejos</v>
      </c>
      <c r="F1267" s="68" t="s">
        <v>5218</v>
      </c>
      <c r="G1267" s="68" t="str">
        <f>VLOOKUP(D1267,'03. Insumos'!A:F,3,0)</f>
        <v>bd</v>
      </c>
      <c r="H1267" s="69">
        <v>1.1000000000000001</v>
      </c>
      <c r="I1267" s="483">
        <f>ROUNDUP(((H1263/8)),0)</f>
        <v>2</v>
      </c>
      <c r="J1267" s="70">
        <f t="shared" si="1135"/>
        <v>23.9</v>
      </c>
      <c r="K1267" s="70">
        <f>IF(A1267=0,VLOOKUP(D1267,'03. Insumos'!A:F,4,0),"")</f>
        <v>23.9</v>
      </c>
      <c r="L1267" s="70">
        <f t="shared" si="1134"/>
        <v>52.58</v>
      </c>
      <c r="M1267" s="153">
        <f t="shared" ca="1" si="1130"/>
        <v>3.192591054906964E-6</v>
      </c>
      <c r="O1267" s="148"/>
      <c r="R1267" s="356"/>
    </row>
    <row r="1268" spans="1:20" s="51" customFormat="1" ht="13.5" customHeight="1" outlineLevel="1" x14ac:dyDescent="0.3">
      <c r="A1268" s="13">
        <v>0</v>
      </c>
      <c r="B1268" s="49"/>
      <c r="C1268" s="49"/>
      <c r="D1268" s="370" t="s">
        <v>7447</v>
      </c>
      <c r="E1268" s="67" t="str">
        <f>VLOOKUP(D1268,'03. Insumos'!A:D,2,0)</f>
        <v>Nivelador de piso - Clips</v>
      </c>
      <c r="F1268" s="68" t="s">
        <v>5218</v>
      </c>
      <c r="G1268" s="68" t="str">
        <f>VLOOKUP(D1268,'03. Insumos'!A:F,3,0)</f>
        <v>unid</v>
      </c>
      <c r="H1268" s="69">
        <v>1.1000000000000001</v>
      </c>
      <c r="I1268" s="483">
        <f>ROUNDUP(H1263*12,0)</f>
        <v>105</v>
      </c>
      <c r="J1268" s="70">
        <f t="shared" si="1135"/>
        <v>0.25</v>
      </c>
      <c r="K1268" s="70">
        <f>IF(A1268=0,VLOOKUP(D1268,'03. Insumos'!A:F,4,0),"")</f>
        <v>0.25</v>
      </c>
      <c r="L1268" s="70">
        <f t="shared" si="1134"/>
        <v>28.875000000000004</v>
      </c>
      <c r="M1268" s="153">
        <f t="shared" ca="1" si="1130"/>
        <v>1.753253455885101E-6</v>
      </c>
      <c r="O1268" s="148"/>
      <c r="R1268" s="356"/>
    </row>
    <row r="1269" spans="1:20" s="51" customFormat="1" ht="13.5" customHeight="1" outlineLevel="1" x14ac:dyDescent="0.3">
      <c r="A1269" s="13">
        <v>0</v>
      </c>
      <c r="B1269" s="49"/>
      <c r="C1269" s="49"/>
      <c r="D1269" s="370" t="s">
        <v>7448</v>
      </c>
      <c r="E1269" s="67" t="str">
        <f>VLOOKUP(D1269,'03. Insumos'!A:D,2,0)</f>
        <v>Nivelador de piso - Cunha</v>
      </c>
      <c r="F1269" s="68" t="s">
        <v>5218</v>
      </c>
      <c r="G1269" s="68" t="str">
        <f>VLOOKUP(D1269,'03. Insumos'!A:F,3,0)</f>
        <v>unid</v>
      </c>
      <c r="H1269" s="69">
        <v>1.1000000000000001</v>
      </c>
      <c r="I1269" s="483">
        <f>ROUNDUP(H1263*12/4,0)</f>
        <v>27</v>
      </c>
      <c r="J1269" s="70">
        <f t="shared" si="1135"/>
        <v>0.49000000000000005</v>
      </c>
      <c r="K1269" s="70">
        <f>IF(A1269=0,VLOOKUP(D1269,'03. Insumos'!A:F,4,0),"")</f>
        <v>0.49000000000000005</v>
      </c>
      <c r="L1269" s="70">
        <f t="shared" si="1134"/>
        <v>14.553000000000004</v>
      </c>
      <c r="M1269" s="153">
        <f t="shared" ca="1" si="1130"/>
        <v>8.8363974176609096E-7</v>
      </c>
      <c r="O1269" s="148"/>
      <c r="R1269" s="356"/>
    </row>
    <row r="1270" spans="1:20" s="59" customFormat="1" ht="13.5" customHeight="1" outlineLevel="1" x14ac:dyDescent="0.3">
      <c r="A1270" s="290">
        <f t="shared" ref="A1270:A1272" si="1136">LEN(C1270)</f>
        <v>6</v>
      </c>
      <c r="B1270" s="606"/>
      <c r="C1270" s="391" t="s">
        <v>982</v>
      </c>
      <c r="D1270" s="648" t="s">
        <v>7425</v>
      </c>
      <c r="E1270" s="391"/>
      <c r="F1270" s="325"/>
      <c r="G1270" s="325" t="s">
        <v>73</v>
      </c>
      <c r="H1270" s="326">
        <f>SUM(I1271:I1271)</f>
        <v>42.47</v>
      </c>
      <c r="I1270" s="65">
        <f>8*(1.2*1.2)</f>
        <v>11.52</v>
      </c>
      <c r="J1270" s="812">
        <f>L1270/H1270</f>
        <v>195.98557570049448</v>
      </c>
      <c r="K1270" s="607" t="str">
        <f>IF(A1270=0,VLOOKUP(D1270,'03. Insumos'!A:F,4,0),"")</f>
        <v/>
      </c>
      <c r="L1270" s="334">
        <f>SUM(L1271:L1277)</f>
        <v>8323.5074000000004</v>
      </c>
      <c r="M1270" s="153">
        <f t="shared" ca="1" si="1130"/>
        <v>5.0539283512156567E-4</v>
      </c>
      <c r="O1270" s="148" t="e">
        <f t="shared" ref="O1270:O1271" si="1137">IF(I1270&lt;&gt;0,I1270*H1270*K1270,)</f>
        <v>#VALUE!</v>
      </c>
      <c r="R1270" s="12" t="e">
        <f t="shared" ref="R1270:R1271" si="1138">IF(J1270&lt;&gt;0,J1270/1.03-K1270,0)</f>
        <v>#VALUE!</v>
      </c>
    </row>
    <row r="1271" spans="1:20" s="71" customFormat="1" outlineLevel="1" x14ac:dyDescent="0.3">
      <c r="A1271" s="59">
        <f t="shared" si="1136"/>
        <v>0</v>
      </c>
      <c r="B1271" s="67"/>
      <c r="C1271" s="67"/>
      <c r="D1271" s="370" t="s">
        <v>7774</v>
      </c>
      <c r="E1271" s="706" t="s">
        <v>8693</v>
      </c>
      <c r="F1271" s="68" t="s">
        <v>5218</v>
      </c>
      <c r="G1271" s="68" t="str">
        <f>VLOOKUP(D1271,'03. Insumos'!A:F,3,0)</f>
        <v>m²</v>
      </c>
      <c r="H1271" s="69">
        <v>1.2</v>
      </c>
      <c r="I1271" s="483">
        <v>42.47</v>
      </c>
      <c r="J1271" s="70">
        <f>58+9.35</f>
        <v>67.349999999999994</v>
      </c>
      <c r="K1271" s="70">
        <f>IF(A1271=0,VLOOKUP(D1271,'03. Insumos'!A:F,4,0),"")</f>
        <v>103.67</v>
      </c>
      <c r="L1271" s="70">
        <f t="shared" ref="L1271:L1277" si="1139">H1271*J1271*I1271</f>
        <v>3432.4253999999996</v>
      </c>
      <c r="M1271" s="153">
        <f t="shared" ca="1" si="1130"/>
        <v>2.0841252622052982E-4</v>
      </c>
      <c r="O1271" s="499">
        <f t="shared" si="1137"/>
        <v>5283.4378799999995</v>
      </c>
      <c r="R1271" s="500">
        <f t="shared" si="1138"/>
        <v>-38.281650485436899</v>
      </c>
    </row>
    <row r="1272" spans="1:20" s="51" customFormat="1" ht="13.5" customHeight="1" outlineLevel="1" x14ac:dyDescent="0.3">
      <c r="A1272" s="13">
        <f t="shared" si="1136"/>
        <v>0</v>
      </c>
      <c r="B1272" s="49"/>
      <c r="C1272" s="49"/>
      <c r="D1272" s="370" t="s">
        <v>6502</v>
      </c>
      <c r="E1272" s="67" t="str">
        <f>VLOOKUP(D1272,'03. Insumos'!A:D,2,0)</f>
        <v>Revestimento de Piso - Mão de Obra</v>
      </c>
      <c r="F1272" s="68" t="s">
        <v>3809</v>
      </c>
      <c r="G1272" s="68" t="str">
        <f>VLOOKUP(D1272,'03. Insumos'!A:F,3,0)</f>
        <v>m²</v>
      </c>
      <c r="H1272" s="69">
        <v>1</v>
      </c>
      <c r="I1272" s="483">
        <f>H1270</f>
        <v>42.47</v>
      </c>
      <c r="J1272" s="70">
        <v>90</v>
      </c>
      <c r="K1272" s="70">
        <f>IF(A1272=0,VLOOKUP(D1272,'03. Insumos'!A:F,4,0),"")</f>
        <v>90</v>
      </c>
      <c r="L1272" s="70">
        <f t="shared" si="1139"/>
        <v>3822.2999999999997</v>
      </c>
      <c r="M1272" s="153">
        <f t="shared" ca="1" si="1130"/>
        <v>2.3208521850838509E-4</v>
      </c>
      <c r="O1272" s="148"/>
      <c r="R1272" s="356"/>
    </row>
    <row r="1273" spans="1:20" s="51" customFormat="1" ht="13.5" customHeight="1" outlineLevel="1" x14ac:dyDescent="0.3">
      <c r="A1273" s="13">
        <v>0</v>
      </c>
      <c r="B1273" s="49"/>
      <c r="C1273" s="49"/>
      <c r="D1273" s="370" t="s">
        <v>4069</v>
      </c>
      <c r="E1273" s="67" t="str">
        <f>VLOOKUP(D1273,'03. Insumos'!A:D,2,0)</f>
        <v>Argamassa colante 20kg ACIII Cinza 20kg</v>
      </c>
      <c r="F1273" s="68" t="s">
        <v>5218</v>
      </c>
      <c r="G1273" s="68" t="str">
        <f>VLOOKUP(D1273,'03. Insumos'!A:F,3,0)</f>
        <v>sc</v>
      </c>
      <c r="H1273" s="69">
        <v>1.1000000000000001</v>
      </c>
      <c r="I1273" s="483">
        <f>ROUNDUP(((H1270*9)/20),0)</f>
        <v>20</v>
      </c>
      <c r="J1273" s="70">
        <f t="shared" ref="J1273:J1277" si="1140">IFERROR(IF(K1273&lt;&gt;0,K1273*$K$5,0),0)</f>
        <v>31.899999999999995</v>
      </c>
      <c r="K1273" s="70">
        <f>IF(A1273=0,VLOOKUP(D1273,'03. Insumos'!A:F,4,0),"")</f>
        <v>31.899999999999995</v>
      </c>
      <c r="L1273" s="70">
        <f t="shared" si="1139"/>
        <v>701.8</v>
      </c>
      <c r="M1273" s="153">
        <f t="shared" ca="1" si="1130"/>
        <v>4.261240780398835E-5</v>
      </c>
      <c r="O1273" s="148"/>
      <c r="R1273" s="356"/>
    </row>
    <row r="1274" spans="1:20" s="51" customFormat="1" ht="13.5" customHeight="1" outlineLevel="1" x14ac:dyDescent="0.3">
      <c r="A1274" s="13">
        <v>0</v>
      </c>
      <c r="B1274" s="49"/>
      <c r="C1274" s="49"/>
      <c r="D1274" s="370" t="s">
        <v>6482</v>
      </c>
      <c r="E1274" s="67" t="str">
        <f>VLOOKUP(D1274,'03. Insumos'!A:D,2,0)</f>
        <v>Rejunte para Pisos e Azulejos</v>
      </c>
      <c r="F1274" s="68" t="s">
        <v>5218</v>
      </c>
      <c r="G1274" s="68" t="str">
        <f>VLOOKUP(D1274,'03. Insumos'!A:F,3,0)</f>
        <v>bd</v>
      </c>
      <c r="H1274" s="69">
        <v>1.1000000000000001</v>
      </c>
      <c r="I1274" s="483">
        <f>ROUNDUP(((H1270/8)),0)</f>
        <v>6</v>
      </c>
      <c r="J1274" s="70">
        <f t="shared" si="1140"/>
        <v>23.9</v>
      </c>
      <c r="K1274" s="70">
        <f>IF(A1274=0,VLOOKUP(D1274,'03. Insumos'!A:F,4,0),"")</f>
        <v>23.9</v>
      </c>
      <c r="L1274" s="70">
        <f t="shared" si="1139"/>
        <v>157.74</v>
      </c>
      <c r="M1274" s="153">
        <f t="shared" ca="1" si="1130"/>
        <v>9.5777731647208941E-6</v>
      </c>
      <c r="O1274" s="148"/>
      <c r="R1274" s="356"/>
    </row>
    <row r="1275" spans="1:20" s="51" customFormat="1" ht="13.5" hidden="1" customHeight="1" outlineLevel="1" x14ac:dyDescent="0.3">
      <c r="A1275" s="13">
        <v>0</v>
      </c>
      <c r="B1275" s="49"/>
      <c r="C1275" s="49"/>
      <c r="D1275" s="370" t="s">
        <v>7451</v>
      </c>
      <c r="E1275" s="67" t="str">
        <f>VLOOKUP(D1275,'03. Insumos'!A:D,2,0)</f>
        <v>Cantoneira de alumínio cor branca</v>
      </c>
      <c r="F1275" s="68" t="s">
        <v>5218</v>
      </c>
      <c r="G1275" s="68" t="str">
        <f>VLOOKUP(D1275,'03. Insumos'!A:F,3,0)</f>
        <v>m</v>
      </c>
      <c r="H1275" s="69">
        <v>1.1000000000000001</v>
      </c>
      <c r="I1275" s="483"/>
      <c r="J1275" s="70">
        <f t="shared" si="1140"/>
        <v>47.5</v>
      </c>
      <c r="K1275" s="70">
        <f>IF(A1275=0,VLOOKUP(D1275,'03. Insumos'!A:F,4,0),"")</f>
        <v>47.5</v>
      </c>
      <c r="L1275" s="70">
        <f t="shared" si="1139"/>
        <v>0</v>
      </c>
      <c r="M1275" s="153">
        <f t="shared" ca="1" si="1130"/>
        <v>0</v>
      </c>
      <c r="O1275" s="148"/>
      <c r="R1275" s="356"/>
    </row>
    <row r="1276" spans="1:20" s="51" customFormat="1" ht="13.5" customHeight="1" outlineLevel="1" x14ac:dyDescent="0.3">
      <c r="A1276" s="13">
        <v>0</v>
      </c>
      <c r="B1276" s="49"/>
      <c r="C1276" s="49"/>
      <c r="D1276" s="370" t="s">
        <v>7447</v>
      </c>
      <c r="E1276" s="67" t="str">
        <f>VLOOKUP(D1276,'03. Insumos'!A:D,2,0)</f>
        <v>Nivelador de piso - Clips</v>
      </c>
      <c r="F1276" s="68" t="s">
        <v>5218</v>
      </c>
      <c r="G1276" s="68" t="str">
        <f>VLOOKUP(D1276,'03. Insumos'!A:F,3,0)</f>
        <v>unid</v>
      </c>
      <c r="H1276" s="69">
        <v>1.1000000000000001</v>
      </c>
      <c r="I1276" s="483">
        <f>ROUNDUP(H1270*12,0)</f>
        <v>510</v>
      </c>
      <c r="J1276" s="70">
        <f t="shared" si="1140"/>
        <v>0.25</v>
      </c>
      <c r="K1276" s="70">
        <f>IF(A1276=0,VLOOKUP(D1276,'03. Insumos'!A:F,4,0),"")</f>
        <v>0.25</v>
      </c>
      <c r="L1276" s="70">
        <f t="shared" si="1139"/>
        <v>140.25</v>
      </c>
      <c r="M1276" s="153">
        <f t="shared" ca="1" si="1130"/>
        <v>8.5158025000133467E-6</v>
      </c>
      <c r="O1276" s="148"/>
      <c r="R1276" s="356"/>
    </row>
    <row r="1277" spans="1:20" s="51" customFormat="1" ht="13.5" customHeight="1" outlineLevel="1" x14ac:dyDescent="0.3">
      <c r="A1277" s="13">
        <v>0</v>
      </c>
      <c r="B1277" s="49"/>
      <c r="C1277" s="49"/>
      <c r="D1277" s="370" t="s">
        <v>7448</v>
      </c>
      <c r="E1277" s="67" t="str">
        <f>VLOOKUP(D1277,'03. Insumos'!A:D,2,0)</f>
        <v>Nivelador de piso - Cunha</v>
      </c>
      <c r="F1277" s="68" t="s">
        <v>5218</v>
      </c>
      <c r="G1277" s="68" t="str">
        <f>VLOOKUP(D1277,'03. Insumos'!A:F,3,0)</f>
        <v>unid</v>
      </c>
      <c r="H1277" s="69">
        <v>1.1000000000000001</v>
      </c>
      <c r="I1277" s="483">
        <f>ROUNDUP(H1270*12/4,0)</f>
        <v>128</v>
      </c>
      <c r="J1277" s="70">
        <f t="shared" si="1140"/>
        <v>0.49000000000000005</v>
      </c>
      <c r="K1277" s="70">
        <f>IF(A1277=0,VLOOKUP(D1277,'03. Insumos'!A:F,4,0),"")</f>
        <v>0.49000000000000005</v>
      </c>
      <c r="L1277" s="70">
        <f t="shared" si="1139"/>
        <v>68.992000000000019</v>
      </c>
      <c r="M1277" s="153">
        <f t="shared" ca="1" si="1130"/>
        <v>4.1891069239281347E-6</v>
      </c>
      <c r="O1277" s="148"/>
      <c r="R1277" s="356"/>
    </row>
    <row r="1278" spans="1:20" s="478" customFormat="1" ht="13.5" customHeight="1" outlineLevel="1" x14ac:dyDescent="0.3">
      <c r="A1278" s="290">
        <f t="shared" ref="A1278:A1286" si="1141">LEN(C1278)</f>
        <v>6</v>
      </c>
      <c r="B1278" s="489"/>
      <c r="C1278" s="391" t="s">
        <v>982</v>
      </c>
      <c r="D1278" s="606" t="s">
        <v>5909</v>
      </c>
      <c r="E1278" s="391"/>
      <c r="F1278" s="490"/>
      <c r="G1278" s="490" t="s">
        <v>73</v>
      </c>
      <c r="H1278" s="326">
        <f>SUM(I1279:I1279)</f>
        <v>74.275000000000006</v>
      </c>
      <c r="I1278" s="549"/>
      <c r="J1278" s="812">
        <f>L1278/H1278</f>
        <v>44.8</v>
      </c>
      <c r="K1278" s="492" t="str">
        <f>IF(A1278=0,VLOOKUP(D1278,'03. Insumos'!A:F,4,0),"")</f>
        <v/>
      </c>
      <c r="L1278" s="492">
        <f>SUMIF(A1279,0,L1279)</f>
        <v>3327.52</v>
      </c>
      <c r="M1278" s="153">
        <f t="shared" ca="1" si="1130"/>
        <v>2.0204280310049489E-4</v>
      </c>
      <c r="O1278" s="512">
        <f>IF(I1278&lt;&gt;0,I1278*H1278*K1278,)</f>
        <v>0</v>
      </c>
      <c r="R1278" s="487" t="e">
        <f>IF(J1278&lt;&gt;0,J1278/1.03-K1278,0)</f>
        <v>#VALUE!</v>
      </c>
      <c r="T1278" s="478">
        <f>L1278/H1278</f>
        <v>44.8</v>
      </c>
    </row>
    <row r="1279" spans="1:20" s="486" customFormat="1" outlineLevel="1" x14ac:dyDescent="0.3">
      <c r="A1279" s="13">
        <f t="shared" si="1141"/>
        <v>0</v>
      </c>
      <c r="B1279" s="480"/>
      <c r="C1279" s="480"/>
      <c r="D1279" s="370" t="s">
        <v>7933</v>
      </c>
      <c r="E1279" s="706" t="s">
        <v>8768</v>
      </c>
      <c r="F1279" s="482" t="s">
        <v>5218</v>
      </c>
      <c r="G1279" s="482" t="s">
        <v>73</v>
      </c>
      <c r="H1279" s="69">
        <v>1</v>
      </c>
      <c r="I1279" s="483">
        <v>74.275000000000006</v>
      </c>
      <c r="J1279" s="70">
        <v>44.8</v>
      </c>
      <c r="K1279" s="485">
        <f>IF(A1279=0,VLOOKUP(D1279,'03. Insumos'!A:F,4,0),"")</f>
        <v>28.15</v>
      </c>
      <c r="L1279" s="485">
        <f t="shared" ref="L1279" si="1142">H1279*J1279*I1279</f>
        <v>3327.52</v>
      </c>
      <c r="M1279" s="153">
        <f t="shared" ca="1" si="1130"/>
        <v>2.0204280310049489E-4</v>
      </c>
      <c r="O1279" s="512"/>
      <c r="R1279" s="487"/>
    </row>
    <row r="1280" spans="1:20" s="59" customFormat="1" ht="13.5" customHeight="1" outlineLevel="1" x14ac:dyDescent="0.3">
      <c r="A1280" s="290">
        <f t="shared" si="1141"/>
        <v>6</v>
      </c>
      <c r="B1280" s="391"/>
      <c r="C1280" s="391" t="s">
        <v>982</v>
      </c>
      <c r="D1280" s="606" t="s">
        <v>7248</v>
      </c>
      <c r="E1280" s="391"/>
      <c r="F1280" s="325"/>
      <c r="G1280" s="325"/>
      <c r="H1280" s="326">
        <f>SUM(I1283:I1283)</f>
        <v>1</v>
      </c>
      <c r="I1280" s="547"/>
      <c r="J1280" s="812">
        <f>L1280/H1280</f>
        <v>2469</v>
      </c>
      <c r="K1280" s="334" t="str">
        <f>IF(A1280=0,VLOOKUP(D1280,'03. Insumos'!A:F,4,0),"")</f>
        <v/>
      </c>
      <c r="L1280" s="334">
        <f>SUM(L1281:L1286)</f>
        <v>2469</v>
      </c>
      <c r="M1280" s="153">
        <f t="shared" ca="1" si="1130"/>
        <v>1.4991455524087665E-4</v>
      </c>
      <c r="O1280" s="148">
        <f>IF(I1280&lt;&gt;0,I1280*H1280*K1280,)</f>
        <v>0</v>
      </c>
      <c r="R1280" s="12" t="e">
        <f>IF(J1280&lt;&gt;0,J1280/1.03-K1280,0)</f>
        <v>#VALUE!</v>
      </c>
    </row>
    <row r="1281" spans="1:18" s="59" customFormat="1" outlineLevel="1" x14ac:dyDescent="0.3">
      <c r="A1281" s="13">
        <f t="shared" si="1141"/>
        <v>0</v>
      </c>
      <c r="B1281" s="55"/>
      <c r="C1281" s="494"/>
      <c r="D1281" s="748" t="s">
        <v>7819</v>
      </c>
      <c r="E1281" s="706" t="s">
        <v>8773</v>
      </c>
      <c r="F1281" s="669" t="s">
        <v>5218</v>
      </c>
      <c r="G1281" s="669" t="str">
        <f>VLOOKUP(D1281,'03. Insumos'!A:F,3,0)</f>
        <v>unid</v>
      </c>
      <c r="H1281" s="631">
        <v>1</v>
      </c>
      <c r="I1281" s="631">
        <v>1</v>
      </c>
      <c r="J1281" s="632">
        <v>1160</v>
      </c>
      <c r="K1281" s="632">
        <f>IF(A1281=0,VLOOKUP(D1281,'03. Insumos'!A:F,4,0),"")</f>
        <v>540</v>
      </c>
      <c r="L1281" s="632">
        <f t="shared" ref="L1281:L1286" si="1143">H1281*J1281*I1281</f>
        <v>1160</v>
      </c>
      <c r="M1281" s="153">
        <f t="shared" ca="1" si="1130"/>
        <v>7.0433731907418767E-5</v>
      </c>
      <c r="O1281" s="148"/>
      <c r="R1281" s="12"/>
    </row>
    <row r="1282" spans="1:18" s="59" customFormat="1" outlineLevel="1" x14ac:dyDescent="0.3">
      <c r="A1282" s="13">
        <f t="shared" ref="A1282" si="1144">LEN(C1282)</f>
        <v>0</v>
      </c>
      <c r="B1282" s="55"/>
      <c r="C1282" s="494"/>
      <c r="D1282" s="748" t="s">
        <v>7819</v>
      </c>
      <c r="E1282" s="706" t="s">
        <v>8772</v>
      </c>
      <c r="F1282" s="669" t="s">
        <v>5218</v>
      </c>
      <c r="G1282" s="669" t="str">
        <f>VLOOKUP(D1282,'03. Insumos'!A:F,3,0)</f>
        <v>unid</v>
      </c>
      <c r="H1282" s="631">
        <v>1</v>
      </c>
      <c r="I1282" s="631">
        <v>1</v>
      </c>
      <c r="J1282" s="632">
        <v>900</v>
      </c>
      <c r="K1282" s="632">
        <f>IF(A1282=0,VLOOKUP(D1282,'03. Insumos'!A:F,4,0),"")</f>
        <v>540</v>
      </c>
      <c r="L1282" s="632">
        <f t="shared" ref="L1282" si="1145">H1282*J1282*I1282</f>
        <v>900</v>
      </c>
      <c r="M1282" s="153">
        <f t="shared" ref="M1282" ca="1" si="1146">L1282/$L$7</f>
        <v>5.4646860962652488E-5</v>
      </c>
      <c r="O1282" s="148"/>
      <c r="R1282" s="12"/>
    </row>
    <row r="1283" spans="1:18" s="59" customFormat="1" outlineLevel="1" x14ac:dyDescent="0.3">
      <c r="A1283" s="13">
        <f t="shared" si="1141"/>
        <v>0</v>
      </c>
      <c r="B1283" s="55"/>
      <c r="C1283" s="494"/>
      <c r="D1283" s="748" t="s">
        <v>6648</v>
      </c>
      <c r="E1283" s="706" t="str">
        <f>VLOOKUP(D1283,'03. Insumos'!A:D,2,0)</f>
        <v>Bancada Cozinha Reta - Mão de Obra</v>
      </c>
      <c r="F1283" s="669" t="s">
        <v>5218</v>
      </c>
      <c r="G1283" s="669" t="str">
        <f>VLOOKUP(D1283,'03. Insumos'!A:F,3,0)</f>
        <v>unid</v>
      </c>
      <c r="H1283" s="631">
        <v>1</v>
      </c>
      <c r="I1283" s="631">
        <f>I1281</f>
        <v>1</v>
      </c>
      <c r="J1283" s="632">
        <f t="shared" ref="J1283:J1286" si="1147">IFERROR(IF(K1283&lt;&gt;0,K1283*$K$5,0),0)</f>
        <v>250</v>
      </c>
      <c r="K1283" s="632">
        <f>IF(A1283=0,VLOOKUP(D1283,'03. Insumos'!A:F,4,0),"")</f>
        <v>250</v>
      </c>
      <c r="L1283" s="632">
        <f t="shared" si="1143"/>
        <v>250</v>
      </c>
      <c r="M1283" s="153">
        <f t="shared" ca="1" si="1130"/>
        <v>1.5179683600736803E-5</v>
      </c>
      <c r="O1283" s="148"/>
      <c r="R1283" s="12"/>
    </row>
    <row r="1284" spans="1:18" s="59" customFormat="1" outlineLevel="1" x14ac:dyDescent="0.3">
      <c r="A1284" s="13">
        <f t="shared" si="1141"/>
        <v>0</v>
      </c>
      <c r="B1284" s="55"/>
      <c r="C1284" s="494"/>
      <c r="D1284" s="748" t="s">
        <v>7373</v>
      </c>
      <c r="E1284" s="706" t="str">
        <f>VLOOKUP(D1284,'03. Insumos'!A:D,2,0)</f>
        <v>Mão Francesa para bancada</v>
      </c>
      <c r="F1284" s="669" t="s">
        <v>5218</v>
      </c>
      <c r="G1284" s="669" t="str">
        <f>VLOOKUP(D1284,'03. Insumos'!A:F,3,0)</f>
        <v>unid</v>
      </c>
      <c r="H1284" s="631">
        <v>1</v>
      </c>
      <c r="I1284" s="631">
        <f>I1283*2</f>
        <v>2</v>
      </c>
      <c r="J1284" s="632">
        <f t="shared" si="1147"/>
        <v>45</v>
      </c>
      <c r="K1284" s="632">
        <f>IF(A1284=0,VLOOKUP(D1284,'03. Insumos'!A:F,4,0),"")</f>
        <v>45</v>
      </c>
      <c r="L1284" s="632">
        <f t="shared" si="1143"/>
        <v>90</v>
      </c>
      <c r="M1284" s="153">
        <f t="shared" ca="1" si="1130"/>
        <v>5.4646860962652491E-6</v>
      </c>
      <c r="O1284" s="148"/>
      <c r="R1284" s="12"/>
    </row>
    <row r="1285" spans="1:18" s="59" customFormat="1" outlineLevel="1" x14ac:dyDescent="0.3">
      <c r="A1285" s="13">
        <f t="shared" si="1141"/>
        <v>0</v>
      </c>
      <c r="B1285" s="55"/>
      <c r="C1285" s="494"/>
      <c r="D1285" s="748" t="s">
        <v>7374</v>
      </c>
      <c r="E1285" s="706" t="str">
        <f>VLOOKUP(D1285,'03. Insumos'!A:D,2,0)</f>
        <v>Parafuso com bucha N10</v>
      </c>
      <c r="F1285" s="669" t="s">
        <v>5218</v>
      </c>
      <c r="G1285" s="669" t="str">
        <f>VLOOKUP(D1285,'03. Insumos'!A:F,3,0)</f>
        <v>unid</v>
      </c>
      <c r="H1285" s="631">
        <v>1</v>
      </c>
      <c r="I1285" s="631">
        <f>I1284*2</f>
        <v>4</v>
      </c>
      <c r="J1285" s="632">
        <f t="shared" si="1147"/>
        <v>8</v>
      </c>
      <c r="K1285" s="632">
        <f>IF(A1285=0,VLOOKUP(D1285,'03. Insumos'!A:F,4,0),"")</f>
        <v>8</v>
      </c>
      <c r="L1285" s="632">
        <f t="shared" si="1143"/>
        <v>32</v>
      </c>
      <c r="M1285" s="153">
        <f t="shared" ca="1" si="1130"/>
        <v>1.9429995008943107E-6</v>
      </c>
      <c r="O1285" s="148"/>
      <c r="R1285" s="12"/>
    </row>
    <row r="1286" spans="1:18" s="59" customFormat="1" outlineLevel="1" x14ac:dyDescent="0.3">
      <c r="A1286" s="13">
        <f t="shared" si="1141"/>
        <v>0</v>
      </c>
      <c r="B1286" s="55"/>
      <c r="C1286" s="494"/>
      <c r="D1286" s="748" t="s">
        <v>7387</v>
      </c>
      <c r="E1286" s="706" t="str">
        <f>VLOOKUP(D1286,'03. Insumos'!A:D,2,0)</f>
        <v>Silicone Branco</v>
      </c>
      <c r="F1286" s="669" t="s">
        <v>5218</v>
      </c>
      <c r="G1286" s="669" t="str">
        <f>VLOOKUP(D1286,'03. Insumos'!A:F,3,0)</f>
        <v>bis</v>
      </c>
      <c r="H1286" s="631">
        <v>1</v>
      </c>
      <c r="I1286" s="631">
        <f>I1284/2</f>
        <v>1</v>
      </c>
      <c r="J1286" s="632">
        <f t="shared" si="1147"/>
        <v>37</v>
      </c>
      <c r="K1286" s="632">
        <f>IF(A1286=0,VLOOKUP(D1286,'03. Insumos'!A:F,4,0),"")</f>
        <v>37</v>
      </c>
      <c r="L1286" s="632">
        <f t="shared" si="1143"/>
        <v>37</v>
      </c>
      <c r="M1286" s="153">
        <f t="shared" ca="1" si="1130"/>
        <v>2.2465931729090468E-6</v>
      </c>
      <c r="O1286" s="148"/>
      <c r="R1286" s="12"/>
    </row>
    <row r="1287" spans="1:18" s="18" customFormat="1" outlineLevel="1" x14ac:dyDescent="0.3">
      <c r="A1287" s="290">
        <f t="shared" ref="A1287" si="1148">LEN(C1287)</f>
        <v>4</v>
      </c>
      <c r="B1287" s="45"/>
      <c r="C1287" s="45" t="s">
        <v>981</v>
      </c>
      <c r="D1287" s="45" t="s">
        <v>8686</v>
      </c>
      <c r="E1287" s="347"/>
      <c r="F1287" s="60"/>
      <c r="G1287" s="327"/>
      <c r="H1287" s="328"/>
      <c r="I1287" s="548"/>
      <c r="J1287" s="62"/>
      <c r="K1287" s="62" t="str">
        <f>IF(A1287=0,VLOOKUP(D1287,'03. Insumos'!A:F,4,0),"")</f>
        <v/>
      </c>
      <c r="L1287" s="335">
        <f>SUMIF(A1288:A1289,6,L1288:L1289)</f>
        <v>591.61725000000001</v>
      </c>
      <c r="M1287" s="153">
        <f t="shared" ref="M1287" ca="1" si="1149">L1287/$L$7</f>
        <v>3.5922250670952019E-5</v>
      </c>
      <c r="O1287" s="148">
        <f t="shared" ref="O1287" si="1150">IF(I1287&lt;&gt;0,I1287*H1287*K1287,)</f>
        <v>0</v>
      </c>
      <c r="R1287" s="12">
        <f t="shared" ref="R1287" si="1151">IF(J1287&lt;&gt;0,J1287/1.03-K1287,0)</f>
        <v>0</v>
      </c>
    </row>
    <row r="1288" spans="1:18" s="59" customFormat="1" ht="13.5" customHeight="1" outlineLevel="1" x14ac:dyDescent="0.3">
      <c r="A1288" s="290">
        <f t="shared" ref="A1288:A1289" si="1152">LEN(C1288)</f>
        <v>6</v>
      </c>
      <c r="B1288" s="606"/>
      <c r="C1288" s="391" t="s">
        <v>982</v>
      </c>
      <c r="D1288" s="648" t="s">
        <v>8770</v>
      </c>
      <c r="E1288" s="391"/>
      <c r="F1288" s="325"/>
      <c r="G1288" s="325" t="s">
        <v>73</v>
      </c>
      <c r="H1288" s="326">
        <f>I1289</f>
        <v>19.77</v>
      </c>
      <c r="I1288" s="65" t="s">
        <v>2787</v>
      </c>
      <c r="J1288" s="812">
        <f>L1288/H1288</f>
        <v>29.925000000000001</v>
      </c>
      <c r="K1288" s="607" t="str">
        <f>IF(A1288=0,VLOOKUP(D1288,'03. Insumos'!A:F,4,0),"")</f>
        <v/>
      </c>
      <c r="L1288" s="334">
        <f>SUM(L1289)</f>
        <v>591.61725000000001</v>
      </c>
      <c r="M1288" s="153">
        <f t="shared" ref="M1288:M1289" ca="1" si="1153">L1288/$L$7</f>
        <v>3.5922250670952019E-5</v>
      </c>
      <c r="O1288" s="148" t="e">
        <f t="shared" ref="O1288:O1289" si="1154">IF(I1288&lt;&gt;0,I1288*H1288*K1288,)</f>
        <v>#VALUE!</v>
      </c>
      <c r="R1288" s="12" t="e">
        <f t="shared" ref="R1288:R1289" si="1155">IF(J1288&lt;&gt;0,J1288/1.03-K1288,0)</f>
        <v>#VALUE!</v>
      </c>
    </row>
    <row r="1289" spans="1:18" s="71" customFormat="1" outlineLevel="1" x14ac:dyDescent="0.3">
      <c r="A1289" s="59">
        <f t="shared" si="1152"/>
        <v>0</v>
      </c>
      <c r="B1289" s="67"/>
      <c r="C1289" s="67"/>
      <c r="D1289" s="370" t="s">
        <v>8060</v>
      </c>
      <c r="E1289" s="706" t="s">
        <v>8771</v>
      </c>
      <c r="F1289" s="68" t="s">
        <v>5218</v>
      </c>
      <c r="G1289" s="68" t="str">
        <f>VLOOKUP(D1289,'03. Insumos'!A:F,3,0)</f>
        <v>m²</v>
      </c>
      <c r="H1289" s="69">
        <v>1.05</v>
      </c>
      <c r="I1289" s="483">
        <v>19.77</v>
      </c>
      <c r="J1289" s="70">
        <v>28.5</v>
      </c>
      <c r="K1289" s="70">
        <f>IF(A1289=0,VLOOKUP(D1289,'03. Insumos'!A:F,4,0),"")</f>
        <v>84.27</v>
      </c>
      <c r="L1289" s="70">
        <f t="shared" ref="L1289" si="1156">H1289*J1289*I1289</f>
        <v>591.61725000000001</v>
      </c>
      <c r="M1289" s="153">
        <f t="shared" ca="1" si="1153"/>
        <v>3.5922250670952019E-5</v>
      </c>
      <c r="O1289" s="499">
        <f t="shared" si="1154"/>
        <v>1749.3187950000001</v>
      </c>
      <c r="R1289" s="500">
        <f t="shared" si="1155"/>
        <v>-56.600097087378636</v>
      </c>
    </row>
    <row r="1290" spans="1:18" s="18" customFormat="1" outlineLevel="1" x14ac:dyDescent="0.3">
      <c r="A1290" s="290">
        <f t="shared" ref="A1290" si="1157">LEN(C1290)</f>
        <v>4</v>
      </c>
      <c r="B1290" s="45"/>
      <c r="C1290" s="45" t="s">
        <v>981</v>
      </c>
      <c r="D1290" s="45" t="s">
        <v>8687</v>
      </c>
      <c r="E1290" s="347"/>
      <c r="F1290" s="60"/>
      <c r="G1290" s="327"/>
      <c r="H1290" s="328"/>
      <c r="I1290" s="548"/>
      <c r="J1290" s="62"/>
      <c r="K1290" s="62" t="str">
        <f>IF(A1290=0,VLOOKUP(D1290,'03. Insumos'!A:F,4,0),"")</f>
        <v/>
      </c>
      <c r="L1290" s="335">
        <f>SUMIF(A1291:A1314,6,L1291:L1314)</f>
        <v>5507.8088199999993</v>
      </c>
      <c r="M1290" s="153">
        <f t="shared" ref="M1290" ca="1" si="1158">L1290/$L$7</f>
        <v>3.3442718088379003E-4</v>
      </c>
      <c r="O1290" s="148">
        <f t="shared" ref="O1290" si="1159">IF(I1290&lt;&gt;0,I1290*H1290*K1290,)</f>
        <v>0</v>
      </c>
      <c r="R1290" s="12">
        <f t="shared" ref="R1290" si="1160">IF(J1290&lt;&gt;0,J1290/1.03-K1290,0)</f>
        <v>0</v>
      </c>
    </row>
    <row r="1291" spans="1:18" s="59" customFormat="1" ht="13.5" customHeight="1" outlineLevel="1" x14ac:dyDescent="0.3">
      <c r="A1291" s="290">
        <f t="shared" ref="A1291:A1293" si="1161">LEN(C1291)</f>
        <v>6</v>
      </c>
      <c r="B1291" s="606"/>
      <c r="C1291" s="391" t="s">
        <v>982</v>
      </c>
      <c r="D1291" s="648" t="s">
        <v>7424</v>
      </c>
      <c r="E1291" s="391"/>
      <c r="F1291" s="325"/>
      <c r="G1291" s="325" t="s">
        <v>73</v>
      </c>
      <c r="H1291" s="326">
        <f>SUM(I1292:I1292)</f>
        <v>4.5</v>
      </c>
      <c r="I1291" s="65">
        <f>(5+12+12+5+3+9+9)*(0.3*0.6)</f>
        <v>9.9</v>
      </c>
      <c r="J1291" s="812">
        <f>L1291/H1291</f>
        <v>167.04766666666669</v>
      </c>
      <c r="K1291" s="607" t="str">
        <f>IF(A1291=0,VLOOKUP(D1291,'03. Insumos'!A:F,4,0),"")</f>
        <v/>
      </c>
      <c r="L1291" s="334">
        <f>SUM(L1292:L1297)</f>
        <v>751.71450000000004</v>
      </c>
      <c r="M1291" s="153">
        <f t="shared" ref="M1291:M1314" ca="1" si="1162">L1291/$L$7</f>
        <v>4.5643153072344266E-5</v>
      </c>
      <c r="O1291" s="148" t="e">
        <f t="shared" ref="O1291:O1292" si="1163">IF(I1291&lt;&gt;0,I1291*H1291*K1291,)</f>
        <v>#VALUE!</v>
      </c>
      <c r="R1291" s="12" t="e">
        <f t="shared" ref="R1291:R1292" si="1164">IF(J1291&lt;&gt;0,J1291/1.03-K1291,0)</f>
        <v>#VALUE!</v>
      </c>
    </row>
    <row r="1292" spans="1:18" s="71" customFormat="1" outlineLevel="1" x14ac:dyDescent="0.3">
      <c r="A1292" s="59">
        <f t="shared" si="1161"/>
        <v>0</v>
      </c>
      <c r="B1292" s="67"/>
      <c r="C1292" s="67"/>
      <c r="D1292" s="370" t="s">
        <v>7781</v>
      </c>
      <c r="E1292" s="67" t="s">
        <v>8759</v>
      </c>
      <c r="F1292" s="68" t="s">
        <v>5218</v>
      </c>
      <c r="G1292" s="68" t="str">
        <f>VLOOKUP(D1292,'03. Insumos'!A:F,3,0)</f>
        <v>m²</v>
      </c>
      <c r="H1292" s="69">
        <v>1.1000000000000001</v>
      </c>
      <c r="I1292" s="483">
        <f>1.5*3</f>
        <v>4.5</v>
      </c>
      <c r="J1292" s="70">
        <f>39.32+6.71</f>
        <v>46.03</v>
      </c>
      <c r="K1292" s="70">
        <f>IF(A1292=0,VLOOKUP(D1292,'03. Insumos'!A:F,4,0),"")</f>
        <v>202.32000000000002</v>
      </c>
      <c r="L1292" s="70">
        <f t="shared" ref="L1292:L1297" si="1165">H1292*J1292*I1292</f>
        <v>227.8485</v>
      </c>
      <c r="M1292" s="153">
        <f t="shared" ca="1" si="1162"/>
        <v>1.3834672555609917E-5</v>
      </c>
      <c r="O1292" s="499">
        <f t="shared" si="1163"/>
        <v>1001.4840000000002</v>
      </c>
      <c r="R1292" s="500">
        <f t="shared" si="1164"/>
        <v>-157.63067961165052</v>
      </c>
    </row>
    <row r="1293" spans="1:18" s="51" customFormat="1" ht="13.5" customHeight="1" outlineLevel="1" x14ac:dyDescent="0.3">
      <c r="A1293" s="13">
        <f t="shared" si="1161"/>
        <v>0</v>
      </c>
      <c r="B1293" s="49"/>
      <c r="C1293" s="49"/>
      <c r="D1293" s="370" t="s">
        <v>6480</v>
      </c>
      <c r="E1293" s="67" t="str">
        <f>VLOOKUP(D1293,'03. Insumos'!A:D,2,0)</f>
        <v>Revestimento de Parede - Mão de Obra</v>
      </c>
      <c r="F1293" s="68" t="s">
        <v>3809</v>
      </c>
      <c r="G1293" s="68" t="str">
        <f>VLOOKUP(D1293,'03. Insumos'!A:F,3,0)</f>
        <v>m²</v>
      </c>
      <c r="H1293" s="69">
        <v>1</v>
      </c>
      <c r="I1293" s="69">
        <f>H1291</f>
        <v>4.5</v>
      </c>
      <c r="J1293" s="70">
        <f t="shared" ref="J1293:J1297" si="1166">IFERROR(IF(K1293&lt;&gt;0,K1293*$K$5,0),0)</f>
        <v>90</v>
      </c>
      <c r="K1293" s="70">
        <f>IF(A1293=0,VLOOKUP(D1293,'03. Insumos'!A:F,4,0),"")</f>
        <v>90</v>
      </c>
      <c r="L1293" s="70">
        <f t="shared" si="1165"/>
        <v>405</v>
      </c>
      <c r="M1293" s="153">
        <f t="shared" ca="1" si="1162"/>
        <v>2.4591087433193619E-5</v>
      </c>
      <c r="O1293" s="148"/>
      <c r="R1293" s="356"/>
    </row>
    <row r="1294" spans="1:18" s="51" customFormat="1" ht="13.5" customHeight="1" outlineLevel="1" x14ac:dyDescent="0.3">
      <c r="A1294" s="13">
        <v>0</v>
      </c>
      <c r="B1294" s="49"/>
      <c r="C1294" s="49"/>
      <c r="D1294" s="370" t="s">
        <v>4069</v>
      </c>
      <c r="E1294" s="67" t="str">
        <f>VLOOKUP(D1294,'03. Insumos'!A:D,2,0)</f>
        <v>Argamassa colante 20kg ACIII Cinza 20kg</v>
      </c>
      <c r="F1294" s="68" t="s">
        <v>5218</v>
      </c>
      <c r="G1294" s="68" t="str">
        <f>VLOOKUP(D1294,'03. Insumos'!A:F,3,0)</f>
        <v>sc</v>
      </c>
      <c r="H1294" s="69">
        <v>1.1000000000000001</v>
      </c>
      <c r="I1294" s="69">
        <f>ROUNDUP(((H1291*8)/20),0)</f>
        <v>2</v>
      </c>
      <c r="J1294" s="70">
        <f t="shared" si="1166"/>
        <v>31.899999999999995</v>
      </c>
      <c r="K1294" s="70">
        <f>IF(A1294=0,VLOOKUP(D1294,'03. Insumos'!A:F,4,0),"")</f>
        <v>31.899999999999995</v>
      </c>
      <c r="L1294" s="70">
        <f t="shared" si="1165"/>
        <v>70.179999999999993</v>
      </c>
      <c r="M1294" s="153">
        <f t="shared" ca="1" si="1162"/>
        <v>4.2612407803988349E-6</v>
      </c>
      <c r="O1294" s="148"/>
      <c r="R1294" s="356"/>
    </row>
    <row r="1295" spans="1:18" s="51" customFormat="1" ht="13.5" customHeight="1" outlineLevel="1" x14ac:dyDescent="0.3">
      <c r="A1295" s="13">
        <v>0</v>
      </c>
      <c r="B1295" s="49"/>
      <c r="C1295" s="49"/>
      <c r="D1295" s="370" t="s">
        <v>6482</v>
      </c>
      <c r="E1295" s="67" t="str">
        <f>VLOOKUP(D1295,'03. Insumos'!A:D,2,0)</f>
        <v>Rejunte para Pisos e Azulejos</v>
      </c>
      <c r="F1295" s="68" t="s">
        <v>5218</v>
      </c>
      <c r="G1295" s="68" t="str">
        <f>VLOOKUP(D1295,'03. Insumos'!A:F,3,0)</f>
        <v>bd</v>
      </c>
      <c r="H1295" s="69">
        <v>1.1000000000000001</v>
      </c>
      <c r="I1295" s="483">
        <f>ROUNDUP(((H1291/8)),0)</f>
        <v>1</v>
      </c>
      <c r="J1295" s="70">
        <f t="shared" si="1166"/>
        <v>23.9</v>
      </c>
      <c r="K1295" s="70">
        <f>IF(A1295=0,VLOOKUP(D1295,'03. Insumos'!A:F,4,0),"")</f>
        <v>23.9</v>
      </c>
      <c r="L1295" s="70">
        <f t="shared" si="1165"/>
        <v>26.29</v>
      </c>
      <c r="M1295" s="153">
        <f t="shared" ca="1" si="1162"/>
        <v>1.596295527453482E-6</v>
      </c>
      <c r="O1295" s="148"/>
      <c r="R1295" s="356"/>
    </row>
    <row r="1296" spans="1:18" s="51" customFormat="1" ht="13.5" customHeight="1" outlineLevel="1" x14ac:dyDescent="0.3">
      <c r="A1296" s="13">
        <v>0</v>
      </c>
      <c r="B1296" s="49"/>
      <c r="C1296" s="49"/>
      <c r="D1296" s="370" t="s">
        <v>7447</v>
      </c>
      <c r="E1296" s="67" t="str">
        <f>VLOOKUP(D1296,'03. Insumos'!A:D,2,0)</f>
        <v>Nivelador de piso - Clips</v>
      </c>
      <c r="F1296" s="68" t="s">
        <v>5218</v>
      </c>
      <c r="G1296" s="68" t="str">
        <f>VLOOKUP(D1296,'03. Insumos'!A:F,3,0)</f>
        <v>unid</v>
      </c>
      <c r="H1296" s="69">
        <v>1.1000000000000001</v>
      </c>
      <c r="I1296" s="483">
        <f>ROUNDUP(H1291*12,0)</f>
        <v>54</v>
      </c>
      <c r="J1296" s="70">
        <f t="shared" si="1166"/>
        <v>0.25</v>
      </c>
      <c r="K1296" s="70">
        <f>IF(A1296=0,VLOOKUP(D1296,'03. Insumos'!A:F,4,0),"")</f>
        <v>0.25</v>
      </c>
      <c r="L1296" s="70">
        <f t="shared" si="1165"/>
        <v>14.850000000000001</v>
      </c>
      <c r="M1296" s="153">
        <f t="shared" ca="1" si="1162"/>
        <v>9.016732058837661E-7</v>
      </c>
      <c r="O1296" s="148"/>
      <c r="R1296" s="356"/>
    </row>
    <row r="1297" spans="1:18" s="51" customFormat="1" ht="13.5" customHeight="1" outlineLevel="1" x14ac:dyDescent="0.3">
      <c r="A1297" s="13">
        <v>0</v>
      </c>
      <c r="B1297" s="49"/>
      <c r="C1297" s="49"/>
      <c r="D1297" s="370" t="s">
        <v>7448</v>
      </c>
      <c r="E1297" s="67" t="str">
        <f>VLOOKUP(D1297,'03. Insumos'!A:D,2,0)</f>
        <v>Nivelador de piso - Cunha</v>
      </c>
      <c r="F1297" s="68" t="s">
        <v>5218</v>
      </c>
      <c r="G1297" s="68" t="str">
        <f>VLOOKUP(D1297,'03. Insumos'!A:F,3,0)</f>
        <v>unid</v>
      </c>
      <c r="H1297" s="69">
        <v>1.1000000000000001</v>
      </c>
      <c r="I1297" s="483">
        <f>ROUNDUP(H1291*12/4,0)</f>
        <v>14</v>
      </c>
      <c r="J1297" s="70">
        <f t="shared" si="1166"/>
        <v>0.49000000000000005</v>
      </c>
      <c r="K1297" s="70">
        <f>IF(A1297=0,VLOOKUP(D1297,'03. Insumos'!A:F,4,0),"")</f>
        <v>0.49000000000000005</v>
      </c>
      <c r="L1297" s="70">
        <f t="shared" si="1165"/>
        <v>7.546000000000002</v>
      </c>
      <c r="M1297" s="153">
        <f t="shared" ca="1" si="1162"/>
        <v>4.5818356980463976E-7</v>
      </c>
      <c r="O1297" s="148"/>
      <c r="R1297" s="356"/>
    </row>
    <row r="1298" spans="1:18" s="59" customFormat="1" ht="13.5" customHeight="1" outlineLevel="1" x14ac:dyDescent="0.3">
      <c r="A1298" s="290">
        <f t="shared" ref="A1298:A1300" si="1167">LEN(C1298)</f>
        <v>6</v>
      </c>
      <c r="B1298" s="606"/>
      <c r="C1298" s="391" t="s">
        <v>982</v>
      </c>
      <c r="D1298" s="648" t="s">
        <v>7425</v>
      </c>
      <c r="E1298" s="391"/>
      <c r="F1298" s="325"/>
      <c r="G1298" s="325" t="s">
        <v>73</v>
      </c>
      <c r="H1298" s="326">
        <f>SUM(I1299:I1299)</f>
        <v>19.38</v>
      </c>
      <c r="I1298" s="65">
        <f>8*(1.2*1.2)</f>
        <v>11.52</v>
      </c>
      <c r="J1298" s="812">
        <f>L1298/H1298</f>
        <v>197.47648710010316</v>
      </c>
      <c r="K1298" s="607" t="str">
        <f>IF(A1298=0,VLOOKUP(D1298,'03. Insumos'!A:F,4,0),"")</f>
        <v/>
      </c>
      <c r="L1298" s="334">
        <f>SUM(L1299:L1305)</f>
        <v>3827.0943199999992</v>
      </c>
      <c r="M1298" s="153">
        <f t="shared" ca="1" si="1162"/>
        <v>2.3237632355110782E-4</v>
      </c>
      <c r="O1298" s="148" t="e">
        <f t="shared" ref="O1298:O1299" si="1168">IF(I1298&lt;&gt;0,I1298*H1298*K1298,)</f>
        <v>#VALUE!</v>
      </c>
      <c r="R1298" s="12" t="e">
        <f t="shared" ref="R1298:R1299" si="1169">IF(J1298&lt;&gt;0,J1298/1.03-K1298,0)</f>
        <v>#VALUE!</v>
      </c>
    </row>
    <row r="1299" spans="1:18" s="71" customFormat="1" outlineLevel="1" x14ac:dyDescent="0.3">
      <c r="A1299" s="59">
        <f t="shared" si="1167"/>
        <v>0</v>
      </c>
      <c r="B1299" s="67"/>
      <c r="C1299" s="67"/>
      <c r="D1299" s="370" t="s">
        <v>7774</v>
      </c>
      <c r="E1299" s="706" t="s">
        <v>8774</v>
      </c>
      <c r="F1299" s="68" t="s">
        <v>5218</v>
      </c>
      <c r="G1299" s="68" t="str">
        <f>VLOOKUP(D1299,'03. Insumos'!A:F,3,0)</f>
        <v>m²</v>
      </c>
      <c r="H1299" s="69">
        <v>1.2</v>
      </c>
      <c r="I1299" s="483">
        <v>19.38</v>
      </c>
      <c r="J1299" s="70">
        <f>55.36+13.11</f>
        <v>68.47</v>
      </c>
      <c r="K1299" s="70">
        <f>IF(A1299=0,VLOOKUP(D1299,'03. Insumos'!A:F,4,0),"")</f>
        <v>103.67</v>
      </c>
      <c r="L1299" s="70">
        <f t="shared" ref="L1299:L1305" si="1170">H1299*J1299*I1299</f>
        <v>1592.3383199999998</v>
      </c>
      <c r="M1299" s="153">
        <f t="shared" ca="1" si="1162"/>
        <v>9.6684767531715157E-5</v>
      </c>
      <c r="O1299" s="499">
        <f t="shared" si="1168"/>
        <v>2410.9495199999997</v>
      </c>
      <c r="R1299" s="500">
        <f t="shared" si="1169"/>
        <v>-37.194271844660193</v>
      </c>
    </row>
    <row r="1300" spans="1:18" s="51" customFormat="1" ht="13.5" customHeight="1" outlineLevel="1" x14ac:dyDescent="0.3">
      <c r="A1300" s="13">
        <f t="shared" si="1167"/>
        <v>0</v>
      </c>
      <c r="B1300" s="49"/>
      <c r="C1300" s="49"/>
      <c r="D1300" s="370" t="s">
        <v>6502</v>
      </c>
      <c r="E1300" s="67" t="str">
        <f>VLOOKUP(D1300,'03. Insumos'!A:D,2,0)</f>
        <v>Revestimento de Piso - Mão de Obra</v>
      </c>
      <c r="F1300" s="68" t="s">
        <v>3809</v>
      </c>
      <c r="G1300" s="68" t="str">
        <f>VLOOKUP(D1300,'03. Insumos'!A:F,3,0)</f>
        <v>m²</v>
      </c>
      <c r="H1300" s="69">
        <v>1</v>
      </c>
      <c r="I1300" s="483">
        <f>H1298</f>
        <v>19.38</v>
      </c>
      <c r="J1300" s="70">
        <v>90</v>
      </c>
      <c r="K1300" s="70">
        <f>IF(A1300=0,VLOOKUP(D1300,'03. Insumos'!A:F,4,0),"")</f>
        <v>90</v>
      </c>
      <c r="L1300" s="70">
        <f t="shared" si="1170"/>
        <v>1744.1999999999998</v>
      </c>
      <c r="M1300" s="153">
        <f t="shared" ca="1" si="1162"/>
        <v>1.0590561654562052E-4</v>
      </c>
      <c r="O1300" s="148"/>
      <c r="R1300" s="356"/>
    </row>
    <row r="1301" spans="1:18" s="51" customFormat="1" ht="13.5" customHeight="1" outlineLevel="1" x14ac:dyDescent="0.3">
      <c r="A1301" s="13">
        <v>0</v>
      </c>
      <c r="B1301" s="49"/>
      <c r="C1301" s="49"/>
      <c r="D1301" s="370" t="s">
        <v>4069</v>
      </c>
      <c r="E1301" s="67" t="str">
        <f>VLOOKUP(D1301,'03. Insumos'!A:D,2,0)</f>
        <v>Argamassa colante 20kg ACIII Cinza 20kg</v>
      </c>
      <c r="F1301" s="68" t="s">
        <v>5218</v>
      </c>
      <c r="G1301" s="68" t="str">
        <f>VLOOKUP(D1301,'03. Insumos'!A:F,3,0)</f>
        <v>sc</v>
      </c>
      <c r="H1301" s="69">
        <v>1.1000000000000001</v>
      </c>
      <c r="I1301" s="483">
        <f>ROUNDUP(((H1298*9)/20),0)</f>
        <v>9</v>
      </c>
      <c r="J1301" s="70">
        <f t="shared" ref="J1301:J1305" si="1171">IFERROR(IF(K1301&lt;&gt;0,K1301*$K$5,0),0)</f>
        <v>31.899999999999995</v>
      </c>
      <c r="K1301" s="70">
        <f>IF(A1301=0,VLOOKUP(D1301,'03. Insumos'!A:F,4,0),"")</f>
        <v>31.899999999999995</v>
      </c>
      <c r="L1301" s="70">
        <f t="shared" si="1170"/>
        <v>315.80999999999995</v>
      </c>
      <c r="M1301" s="153">
        <f t="shared" ca="1" si="1162"/>
        <v>1.9175583511794756E-5</v>
      </c>
      <c r="O1301" s="148"/>
      <c r="R1301" s="356"/>
    </row>
    <row r="1302" spans="1:18" s="51" customFormat="1" ht="13.5" customHeight="1" outlineLevel="1" x14ac:dyDescent="0.3">
      <c r="A1302" s="13">
        <v>0</v>
      </c>
      <c r="B1302" s="49"/>
      <c r="C1302" s="49"/>
      <c r="D1302" s="370" t="s">
        <v>6482</v>
      </c>
      <c r="E1302" s="67" t="str">
        <f>VLOOKUP(D1302,'03. Insumos'!A:D,2,0)</f>
        <v>Rejunte para Pisos e Azulejos</v>
      </c>
      <c r="F1302" s="68" t="s">
        <v>5218</v>
      </c>
      <c r="G1302" s="68" t="str">
        <f>VLOOKUP(D1302,'03. Insumos'!A:F,3,0)</f>
        <v>bd</v>
      </c>
      <c r="H1302" s="69">
        <v>1.1000000000000001</v>
      </c>
      <c r="I1302" s="483">
        <f>ROUNDUP(((H1298/8)),0)</f>
        <v>3</v>
      </c>
      <c r="J1302" s="70">
        <f t="shared" si="1171"/>
        <v>23.9</v>
      </c>
      <c r="K1302" s="70">
        <f>IF(A1302=0,VLOOKUP(D1302,'03. Insumos'!A:F,4,0),"")</f>
        <v>23.9</v>
      </c>
      <c r="L1302" s="70">
        <f t="shared" si="1170"/>
        <v>78.87</v>
      </c>
      <c r="M1302" s="153">
        <f t="shared" ca="1" si="1162"/>
        <v>4.7888865823604471E-6</v>
      </c>
      <c r="O1302" s="148"/>
      <c r="R1302" s="356"/>
    </row>
    <row r="1303" spans="1:18" s="51" customFormat="1" ht="13.5" hidden="1" customHeight="1" outlineLevel="1" x14ac:dyDescent="0.3">
      <c r="A1303" s="13">
        <v>0</v>
      </c>
      <c r="B1303" s="49"/>
      <c r="C1303" s="49"/>
      <c r="D1303" s="370" t="s">
        <v>7451</v>
      </c>
      <c r="E1303" s="67" t="str">
        <f>VLOOKUP(D1303,'03. Insumos'!A:D,2,0)</f>
        <v>Cantoneira de alumínio cor branca</v>
      </c>
      <c r="F1303" s="68" t="s">
        <v>5218</v>
      </c>
      <c r="G1303" s="68" t="str">
        <f>VLOOKUP(D1303,'03. Insumos'!A:F,3,0)</f>
        <v>m</v>
      </c>
      <c r="H1303" s="69">
        <v>1.1000000000000001</v>
      </c>
      <c r="I1303" s="483"/>
      <c r="J1303" s="70">
        <f t="shared" si="1171"/>
        <v>47.5</v>
      </c>
      <c r="K1303" s="70">
        <f>IF(A1303=0,VLOOKUP(D1303,'03. Insumos'!A:F,4,0),"")</f>
        <v>47.5</v>
      </c>
      <c r="L1303" s="70">
        <f t="shared" si="1170"/>
        <v>0</v>
      </c>
      <c r="M1303" s="153">
        <f t="shared" ca="1" si="1162"/>
        <v>0</v>
      </c>
      <c r="O1303" s="148"/>
      <c r="R1303" s="356"/>
    </row>
    <row r="1304" spans="1:18" s="51" customFormat="1" ht="13.5" customHeight="1" outlineLevel="1" x14ac:dyDescent="0.3">
      <c r="A1304" s="13">
        <v>0</v>
      </c>
      <c r="B1304" s="49"/>
      <c r="C1304" s="49"/>
      <c r="D1304" s="370" t="s">
        <v>7447</v>
      </c>
      <c r="E1304" s="67" t="str">
        <f>VLOOKUP(D1304,'03. Insumos'!A:D,2,0)</f>
        <v>Nivelador de piso - Clips</v>
      </c>
      <c r="F1304" s="68" t="s">
        <v>5218</v>
      </c>
      <c r="G1304" s="68" t="str">
        <f>VLOOKUP(D1304,'03. Insumos'!A:F,3,0)</f>
        <v>unid</v>
      </c>
      <c r="H1304" s="69">
        <v>1.1000000000000001</v>
      </c>
      <c r="I1304" s="483">
        <f>ROUNDUP(H1298*12,0)</f>
        <v>233</v>
      </c>
      <c r="J1304" s="70">
        <f t="shared" si="1171"/>
        <v>0.25</v>
      </c>
      <c r="K1304" s="70">
        <f>IF(A1304=0,VLOOKUP(D1304,'03. Insumos'!A:F,4,0),"")</f>
        <v>0.25</v>
      </c>
      <c r="L1304" s="70">
        <f t="shared" si="1170"/>
        <v>64.075000000000003</v>
      </c>
      <c r="M1304" s="153">
        <f t="shared" ca="1" si="1162"/>
        <v>3.8905529068688429E-6</v>
      </c>
      <c r="O1304" s="148"/>
      <c r="R1304" s="356"/>
    </row>
    <row r="1305" spans="1:18" s="51" customFormat="1" ht="13.5" customHeight="1" outlineLevel="1" x14ac:dyDescent="0.3">
      <c r="A1305" s="13">
        <v>0</v>
      </c>
      <c r="B1305" s="49"/>
      <c r="C1305" s="49"/>
      <c r="D1305" s="370" t="s">
        <v>7448</v>
      </c>
      <c r="E1305" s="67" t="str">
        <f>VLOOKUP(D1305,'03. Insumos'!A:D,2,0)</f>
        <v>Nivelador de piso - Cunha</v>
      </c>
      <c r="F1305" s="68" t="s">
        <v>5218</v>
      </c>
      <c r="G1305" s="68" t="str">
        <f>VLOOKUP(D1305,'03. Insumos'!A:F,3,0)</f>
        <v>unid</v>
      </c>
      <c r="H1305" s="69">
        <v>1.1000000000000001</v>
      </c>
      <c r="I1305" s="483">
        <f>ROUNDUP(H1298*12/4,0)</f>
        <v>59</v>
      </c>
      <c r="J1305" s="70">
        <f t="shared" si="1171"/>
        <v>0.49000000000000005</v>
      </c>
      <c r="K1305" s="70">
        <f>IF(A1305=0,VLOOKUP(D1305,'03. Insumos'!A:F,4,0),"")</f>
        <v>0.49000000000000005</v>
      </c>
      <c r="L1305" s="70">
        <f t="shared" si="1170"/>
        <v>31.801000000000009</v>
      </c>
      <c r="M1305" s="153">
        <f t="shared" ca="1" si="1162"/>
        <v>1.930916472748125E-6</v>
      </c>
      <c r="O1305" s="148"/>
      <c r="R1305" s="356"/>
    </row>
    <row r="1306" spans="1:18" s="59" customFormat="1" ht="13.5" customHeight="1" outlineLevel="1" x14ac:dyDescent="0.3">
      <c r="A1306" s="290">
        <f t="shared" ref="A1306:A1314" si="1172">LEN(C1306)</f>
        <v>6</v>
      </c>
      <c r="B1306" s="391"/>
      <c r="C1306" s="391" t="s">
        <v>982</v>
      </c>
      <c r="D1306" s="606" t="s">
        <v>7248</v>
      </c>
      <c r="E1306" s="391"/>
      <c r="F1306" s="325"/>
      <c r="G1306" s="325"/>
      <c r="H1306" s="326">
        <f>SUM(I1311:I1311)</f>
        <v>1</v>
      </c>
      <c r="I1306" s="547"/>
      <c r="J1306" s="812">
        <f>L1306/H1306</f>
        <v>929</v>
      </c>
      <c r="K1306" s="334" t="str">
        <f>IF(A1306=0,VLOOKUP(D1306,'03. Insumos'!A:F,4,0),"")</f>
        <v/>
      </c>
      <c r="L1306" s="334">
        <f>SUM(L1307:L1314)</f>
        <v>929</v>
      </c>
      <c r="M1306" s="153">
        <f t="shared" ca="1" si="1162"/>
        <v>5.6407704260337958E-5</v>
      </c>
      <c r="O1306" s="148">
        <f>IF(I1306&lt;&gt;0,I1306*H1306*K1306,)</f>
        <v>0</v>
      </c>
      <c r="R1306" s="12" t="e">
        <f>IF(J1306&lt;&gt;0,J1306/1.03-K1306,0)</f>
        <v>#VALUE!</v>
      </c>
    </row>
    <row r="1307" spans="1:18" s="59" customFormat="1" hidden="1" outlineLevel="1" x14ac:dyDescent="0.3">
      <c r="A1307" s="13">
        <f t="shared" si="1172"/>
        <v>0</v>
      </c>
      <c r="B1307" s="55"/>
      <c r="C1307" s="494"/>
      <c r="D1307" s="748" t="s">
        <v>7866</v>
      </c>
      <c r="E1307" s="706" t="s">
        <v>8690</v>
      </c>
      <c r="F1307" s="669" t="s">
        <v>5218</v>
      </c>
      <c r="G1307" s="669" t="s">
        <v>29</v>
      </c>
      <c r="H1307" s="631">
        <v>1</v>
      </c>
      <c r="I1307" s="631"/>
      <c r="J1307" s="632">
        <v>102159</v>
      </c>
      <c r="K1307" s="632">
        <f>IF(A1307=0,VLOOKUP(D1307,'03. Insumos'!A:F,4,0),"")</f>
        <v>2205.8820000000001</v>
      </c>
      <c r="L1307" s="632">
        <f t="shared" ref="L1307:L1314" si="1173">H1307*J1307*I1307</f>
        <v>0</v>
      </c>
      <c r="M1307" s="153">
        <f t="shared" ca="1" si="1162"/>
        <v>0</v>
      </c>
      <c r="O1307" s="148"/>
      <c r="R1307" s="12"/>
    </row>
    <row r="1308" spans="1:18" s="59" customFormat="1" hidden="1" outlineLevel="1" x14ac:dyDescent="0.3">
      <c r="A1308" s="13">
        <f t="shared" si="1172"/>
        <v>0</v>
      </c>
      <c r="B1308" s="55"/>
      <c r="C1308" s="494"/>
      <c r="D1308" s="748" t="s">
        <v>6833</v>
      </c>
      <c r="E1308" s="706" t="str">
        <f>VLOOKUP(D1308,'03. Insumos'!A:D,2,0)</f>
        <v>Bancada em L Cozinha C=3,90m em Granito Preto São Grabriel - Material</v>
      </c>
      <c r="F1308" s="669" t="s">
        <v>5218</v>
      </c>
      <c r="G1308" s="669" t="str">
        <f>VLOOKUP(D1308,'03. Insumos'!A:F,3,0)</f>
        <v>unid</v>
      </c>
      <c r="H1308" s="631"/>
      <c r="I1308" s="631"/>
      <c r="J1308" s="632">
        <f t="shared" ref="J1308" si="1174">IFERROR(IF(K1308&lt;&gt;0,K1308*$K$5,0),0)</f>
        <v>3059.1</v>
      </c>
      <c r="K1308" s="632">
        <f>IF(A1308=0,VLOOKUP(D1308,'03. Insumos'!A:F,4,0),"")</f>
        <v>3059.1</v>
      </c>
      <c r="L1308" s="632">
        <f t="shared" si="1173"/>
        <v>0</v>
      </c>
      <c r="M1308" s="153">
        <f t="shared" ca="1" si="1162"/>
        <v>0</v>
      </c>
      <c r="O1308" s="148"/>
      <c r="R1308" s="12"/>
    </row>
    <row r="1309" spans="1:18" s="59" customFormat="1" hidden="1" outlineLevel="1" x14ac:dyDescent="0.3">
      <c r="A1309" s="13">
        <f t="shared" si="1172"/>
        <v>0</v>
      </c>
      <c r="B1309" s="55"/>
      <c r="C1309" s="494"/>
      <c r="D1309" s="748" t="s">
        <v>7818</v>
      </c>
      <c r="E1309" s="706" t="str">
        <f>VLOOKUP(D1309,'03. Insumos'!A:D,2,0)</f>
        <v>Bancada Cozinha 2,50x0,60 em Marmore Branco Siena - Material</v>
      </c>
      <c r="F1309" s="669" t="s">
        <v>5218</v>
      </c>
      <c r="G1309" s="669" t="s">
        <v>73</v>
      </c>
      <c r="H1309" s="631"/>
      <c r="I1309" s="631"/>
      <c r="J1309" s="632">
        <v>902.91250000000002</v>
      </c>
      <c r="K1309" s="632">
        <f>IF(A1309=0,VLOOKUP(D1309,'03. Insumos'!A:F,4,0),"")</f>
        <v>1921.5</v>
      </c>
      <c r="L1309" s="632">
        <f t="shared" si="1173"/>
        <v>0</v>
      </c>
      <c r="M1309" s="153">
        <f t="shared" ca="1" si="1162"/>
        <v>0</v>
      </c>
      <c r="O1309" s="148"/>
      <c r="R1309" s="12"/>
    </row>
    <row r="1310" spans="1:18" s="59" customFormat="1" outlineLevel="1" x14ac:dyDescent="0.3">
      <c r="A1310" s="13">
        <f t="shared" si="1172"/>
        <v>0</v>
      </c>
      <c r="B1310" s="55"/>
      <c r="C1310" s="494"/>
      <c r="D1310" s="748" t="s">
        <v>7819</v>
      </c>
      <c r="E1310" s="706" t="s">
        <v>8775</v>
      </c>
      <c r="F1310" s="669" t="s">
        <v>5218</v>
      </c>
      <c r="G1310" s="669" t="str">
        <f>VLOOKUP(D1310,'03. Insumos'!A:F,3,0)</f>
        <v>unid</v>
      </c>
      <c r="H1310" s="631">
        <v>1</v>
      </c>
      <c r="I1310" s="631">
        <v>1</v>
      </c>
      <c r="J1310" s="632">
        <v>520</v>
      </c>
      <c r="K1310" s="632">
        <f>IF(A1310=0,VLOOKUP(D1310,'03. Insumos'!A:F,4,0),"")</f>
        <v>540</v>
      </c>
      <c r="L1310" s="632">
        <f t="shared" si="1173"/>
        <v>520</v>
      </c>
      <c r="M1310" s="153">
        <f t="shared" ca="1" si="1162"/>
        <v>3.1573741889532552E-5</v>
      </c>
      <c r="O1310" s="148"/>
      <c r="R1310" s="12"/>
    </row>
    <row r="1311" spans="1:18" s="59" customFormat="1" outlineLevel="1" x14ac:dyDescent="0.3">
      <c r="A1311" s="13">
        <f t="shared" si="1172"/>
        <v>0</v>
      </c>
      <c r="B1311" s="55"/>
      <c r="C1311" s="494"/>
      <c r="D1311" s="748" t="s">
        <v>6648</v>
      </c>
      <c r="E1311" s="706" t="str">
        <f>VLOOKUP(D1311,'03. Insumos'!A:D,2,0)</f>
        <v>Bancada Cozinha Reta - Mão de Obra</v>
      </c>
      <c r="F1311" s="669" t="s">
        <v>5218</v>
      </c>
      <c r="G1311" s="669" t="str">
        <f>VLOOKUP(D1311,'03. Insumos'!A:F,3,0)</f>
        <v>unid</v>
      </c>
      <c r="H1311" s="631">
        <v>1</v>
      </c>
      <c r="I1311" s="631">
        <f>I1310</f>
        <v>1</v>
      </c>
      <c r="J1311" s="632">
        <f t="shared" ref="J1311:J1314" si="1175">IFERROR(IF(K1311&lt;&gt;0,K1311*$K$5,0),0)</f>
        <v>250</v>
      </c>
      <c r="K1311" s="632">
        <f>IF(A1311=0,VLOOKUP(D1311,'03. Insumos'!A:F,4,0),"")</f>
        <v>250</v>
      </c>
      <c r="L1311" s="632">
        <f t="shared" si="1173"/>
        <v>250</v>
      </c>
      <c r="M1311" s="153">
        <f t="shared" ca="1" si="1162"/>
        <v>1.5179683600736803E-5</v>
      </c>
      <c r="O1311" s="148"/>
      <c r="R1311" s="12"/>
    </row>
    <row r="1312" spans="1:18" s="59" customFormat="1" outlineLevel="1" x14ac:dyDescent="0.3">
      <c r="A1312" s="13">
        <f t="shared" si="1172"/>
        <v>0</v>
      </c>
      <c r="B1312" s="55"/>
      <c r="C1312" s="494"/>
      <c r="D1312" s="748" t="s">
        <v>7373</v>
      </c>
      <c r="E1312" s="706" t="str">
        <f>VLOOKUP(D1312,'03. Insumos'!A:D,2,0)</f>
        <v>Mão Francesa para bancada</v>
      </c>
      <c r="F1312" s="669" t="s">
        <v>5218</v>
      </c>
      <c r="G1312" s="669" t="str">
        <f>VLOOKUP(D1312,'03. Insumos'!A:F,3,0)</f>
        <v>unid</v>
      </c>
      <c r="H1312" s="631">
        <v>1</v>
      </c>
      <c r="I1312" s="631">
        <f>+I1311*2</f>
        <v>2</v>
      </c>
      <c r="J1312" s="632">
        <f t="shared" si="1175"/>
        <v>45</v>
      </c>
      <c r="K1312" s="632">
        <f>IF(A1312=0,VLOOKUP(D1312,'03. Insumos'!A:F,4,0),"")</f>
        <v>45</v>
      </c>
      <c r="L1312" s="632">
        <f t="shared" si="1173"/>
        <v>90</v>
      </c>
      <c r="M1312" s="153">
        <f t="shared" ca="1" si="1162"/>
        <v>5.4646860962652491E-6</v>
      </c>
      <c r="O1312" s="148"/>
      <c r="R1312" s="12"/>
    </row>
    <row r="1313" spans="1:18" s="59" customFormat="1" outlineLevel="1" x14ac:dyDescent="0.3">
      <c r="A1313" s="13">
        <f t="shared" si="1172"/>
        <v>0</v>
      </c>
      <c r="B1313" s="55"/>
      <c r="C1313" s="494"/>
      <c r="D1313" s="748" t="s">
        <v>7374</v>
      </c>
      <c r="E1313" s="706" t="str">
        <f>VLOOKUP(D1313,'03. Insumos'!A:D,2,0)</f>
        <v>Parafuso com bucha N10</v>
      </c>
      <c r="F1313" s="669" t="s">
        <v>5218</v>
      </c>
      <c r="G1313" s="669" t="str">
        <f>VLOOKUP(D1313,'03. Insumos'!A:F,3,0)</f>
        <v>unid</v>
      </c>
      <c r="H1313" s="631">
        <v>1</v>
      </c>
      <c r="I1313" s="631">
        <f>I1312*2</f>
        <v>4</v>
      </c>
      <c r="J1313" s="632">
        <f t="shared" si="1175"/>
        <v>8</v>
      </c>
      <c r="K1313" s="632">
        <f>IF(A1313=0,VLOOKUP(D1313,'03. Insumos'!A:F,4,0),"")</f>
        <v>8</v>
      </c>
      <c r="L1313" s="632">
        <f t="shared" si="1173"/>
        <v>32</v>
      </c>
      <c r="M1313" s="153">
        <f t="shared" ca="1" si="1162"/>
        <v>1.9429995008943107E-6</v>
      </c>
      <c r="O1313" s="148"/>
      <c r="R1313" s="12"/>
    </row>
    <row r="1314" spans="1:18" s="59" customFormat="1" outlineLevel="1" x14ac:dyDescent="0.3">
      <c r="A1314" s="13">
        <f t="shared" si="1172"/>
        <v>0</v>
      </c>
      <c r="B1314" s="55"/>
      <c r="C1314" s="494"/>
      <c r="D1314" s="748" t="s">
        <v>7387</v>
      </c>
      <c r="E1314" s="706" t="str">
        <f>VLOOKUP(D1314,'03. Insumos'!A:D,2,0)</f>
        <v>Silicone Branco</v>
      </c>
      <c r="F1314" s="669" t="s">
        <v>5218</v>
      </c>
      <c r="G1314" s="669" t="str">
        <f>VLOOKUP(D1314,'03. Insumos'!A:F,3,0)</f>
        <v>bis</v>
      </c>
      <c r="H1314" s="631">
        <v>1</v>
      </c>
      <c r="I1314" s="631">
        <f>I1312/2</f>
        <v>1</v>
      </c>
      <c r="J1314" s="632">
        <f t="shared" si="1175"/>
        <v>37</v>
      </c>
      <c r="K1314" s="632">
        <f>IF(A1314=0,VLOOKUP(D1314,'03. Insumos'!A:F,4,0),"")</f>
        <v>37</v>
      </c>
      <c r="L1314" s="632">
        <f t="shared" si="1173"/>
        <v>37</v>
      </c>
      <c r="M1314" s="153">
        <f t="shared" ca="1" si="1162"/>
        <v>2.2465931729090468E-6</v>
      </c>
      <c r="O1314" s="148"/>
      <c r="R1314" s="12"/>
    </row>
    <row r="1315" spans="1:18" s="18" customFormat="1" outlineLevel="1" x14ac:dyDescent="0.3">
      <c r="A1315" s="290">
        <f t="shared" ref="A1315" si="1176">LEN(C1315)</f>
        <v>4</v>
      </c>
      <c r="B1315" s="45"/>
      <c r="C1315" s="45" t="s">
        <v>981</v>
      </c>
      <c r="D1315" s="45" t="s">
        <v>8688</v>
      </c>
      <c r="E1315" s="347"/>
      <c r="F1315" s="60"/>
      <c r="G1315" s="327"/>
      <c r="H1315" s="328"/>
      <c r="I1315" s="548"/>
      <c r="J1315" s="62"/>
      <c r="K1315" s="62" t="str">
        <f>IF(A1315=0,VLOOKUP(D1315,'03. Insumos'!A:F,4,0),"")</f>
        <v/>
      </c>
      <c r="L1315" s="335">
        <f>SUMIF(A1316:A1317,6,L1316:L1317)</f>
        <v>4227.4050000000007</v>
      </c>
      <c r="M1315" s="153">
        <f t="shared" ref="M1315" ca="1" si="1177">L1315/$L$7</f>
        <v>2.5668268140869108E-4</v>
      </c>
      <c r="O1315" s="148">
        <f t="shared" ref="O1315" si="1178">IF(I1315&lt;&gt;0,I1315*H1315*K1315,)</f>
        <v>0</v>
      </c>
      <c r="R1315" s="12">
        <f t="shared" ref="R1315" si="1179">IF(J1315&lt;&gt;0,J1315/1.03-K1315,0)</f>
        <v>0</v>
      </c>
    </row>
    <row r="1316" spans="1:18" s="59" customFormat="1" ht="13.5" customHeight="1" outlineLevel="1" x14ac:dyDescent="0.3">
      <c r="A1316" s="290">
        <f t="shared" ref="A1316:A1317" si="1180">LEN(C1316)</f>
        <v>6</v>
      </c>
      <c r="B1316" s="606"/>
      <c r="C1316" s="391" t="s">
        <v>982</v>
      </c>
      <c r="D1316" s="648" t="s">
        <v>8779</v>
      </c>
      <c r="E1316" s="391"/>
      <c r="F1316" s="325"/>
      <c r="G1316" s="325" t="s">
        <v>73</v>
      </c>
      <c r="H1316" s="326">
        <f>I1317</f>
        <v>21.19</v>
      </c>
      <c r="I1316" s="65" t="s">
        <v>2787</v>
      </c>
      <c r="J1316" s="812"/>
      <c r="K1316" s="607" t="str">
        <f>IF(A1316=0,VLOOKUP(D1316,'03. Insumos'!A:F,4,0),"")</f>
        <v/>
      </c>
      <c r="L1316" s="334">
        <f>SUM(L1317)</f>
        <v>4227.4050000000007</v>
      </c>
      <c r="M1316" s="153">
        <f t="shared" ref="M1316:M1317" ca="1" si="1181">L1316/$L$7</f>
        <v>2.5668268140869108E-4</v>
      </c>
      <c r="O1316" s="148" t="e">
        <f t="shared" ref="O1316:O1317" si="1182">IF(I1316&lt;&gt;0,I1316*H1316*K1316,)</f>
        <v>#VALUE!</v>
      </c>
      <c r="R1316" s="12">
        <f t="shared" ref="R1316:R1317" si="1183">IF(J1316&lt;&gt;0,J1316/1.03-K1316,0)</f>
        <v>0</v>
      </c>
    </row>
    <row r="1317" spans="1:18" s="71" customFormat="1" outlineLevel="1" x14ac:dyDescent="0.3">
      <c r="A1317" s="59">
        <f t="shared" si="1180"/>
        <v>0</v>
      </c>
      <c r="B1317" s="67"/>
      <c r="C1317" s="67"/>
      <c r="D1317" s="370" t="s">
        <v>8060</v>
      </c>
      <c r="E1317" s="706" t="s">
        <v>8780</v>
      </c>
      <c r="F1317" s="68" t="s">
        <v>5218</v>
      </c>
      <c r="G1317" s="68" t="str">
        <f>VLOOKUP(D1317,'03. Insumos'!A:F,3,0)</f>
        <v>m²</v>
      </c>
      <c r="H1317" s="69">
        <v>1.05</v>
      </c>
      <c r="I1317" s="483">
        <v>21.19</v>
      </c>
      <c r="J1317" s="70">
        <v>190</v>
      </c>
      <c r="K1317" s="70">
        <f>IF(A1317=0,VLOOKUP(D1317,'03. Insumos'!A:F,4,0),"")</f>
        <v>84.27</v>
      </c>
      <c r="L1317" s="70">
        <f t="shared" ref="L1317" si="1184">H1317*J1317*I1317</f>
        <v>4227.4050000000007</v>
      </c>
      <c r="M1317" s="153">
        <f t="shared" ca="1" si="1181"/>
        <v>2.5668268140869108E-4</v>
      </c>
      <c r="O1317" s="499">
        <f t="shared" si="1182"/>
        <v>1874.965365</v>
      </c>
      <c r="R1317" s="500">
        <f t="shared" si="1183"/>
        <v>100.19601941747574</v>
      </c>
    </row>
    <row r="1318" spans="1:18" s="18" customFormat="1" outlineLevel="1" x14ac:dyDescent="0.3">
      <c r="A1318" s="290">
        <f t="shared" ref="A1318" si="1185">LEN(C1318)</f>
        <v>4</v>
      </c>
      <c r="B1318" s="45"/>
      <c r="C1318" s="45" t="s">
        <v>981</v>
      </c>
      <c r="D1318" s="45" t="s">
        <v>8781</v>
      </c>
      <c r="E1318" s="347"/>
      <c r="F1318" s="60"/>
      <c r="G1318" s="327"/>
      <c r="H1318" s="328"/>
      <c r="I1318" s="548"/>
      <c r="J1318" s="62"/>
      <c r="K1318" s="62" t="str">
        <f>IF(A1318=0,VLOOKUP(D1318,'03. Insumos'!A:F,4,0),"")</f>
        <v/>
      </c>
      <c r="L1318" s="335">
        <f>SUMIF(A1319:A1334,6,L1319:L1334)</f>
        <v>8429.5909200000006</v>
      </c>
      <c r="M1318" s="153">
        <f t="shared" ref="M1318" ca="1" si="1186">L1318/$L$7</f>
        <v>5.118340921969755E-4</v>
      </c>
      <c r="O1318" s="148">
        <f t="shared" ref="O1318" si="1187">IF(I1318&lt;&gt;0,I1318*H1318*K1318,)</f>
        <v>0</v>
      </c>
      <c r="R1318" s="12">
        <f t="shared" ref="R1318" si="1188">IF(J1318&lt;&gt;0,J1318/1.03-K1318,0)</f>
        <v>0</v>
      </c>
    </row>
    <row r="1319" spans="1:18" s="59" customFormat="1" ht="13.5" customHeight="1" outlineLevel="1" x14ac:dyDescent="0.3">
      <c r="A1319" s="290">
        <f t="shared" ref="A1319:A1321" si="1189">LEN(C1319)</f>
        <v>6</v>
      </c>
      <c r="B1319" s="606"/>
      <c r="C1319" s="391" t="s">
        <v>982</v>
      </c>
      <c r="D1319" s="648" t="s">
        <v>7424</v>
      </c>
      <c r="E1319" s="391"/>
      <c r="F1319" s="325"/>
      <c r="G1319" s="325" t="s">
        <v>73</v>
      </c>
      <c r="H1319" s="326">
        <f>SUM(I1320:I1320)</f>
        <v>12.94</v>
      </c>
      <c r="I1319" s="65">
        <f>(5+12+12+5+3+9+9)*(0.3*0.6)</f>
        <v>9.9</v>
      </c>
      <c r="J1319" s="812">
        <f>L1319/H1319</f>
        <v>201.55764760432768</v>
      </c>
      <c r="K1319" s="607" t="str">
        <f>IF(A1319=0,VLOOKUP(D1319,'03. Insumos'!A:F,4,0),"")</f>
        <v/>
      </c>
      <c r="L1319" s="334">
        <f>SUM(L1320:L1325)</f>
        <v>2608.1559600000001</v>
      </c>
      <c r="M1319" s="153">
        <f t="shared" ref="M1319:M1334" ca="1" si="1190">L1319/$L$7</f>
        <v>1.583639290167038E-4</v>
      </c>
      <c r="O1319" s="148" t="e">
        <f t="shared" ref="O1319:O1320" si="1191">IF(I1319&lt;&gt;0,I1319*H1319*K1319,)</f>
        <v>#VALUE!</v>
      </c>
      <c r="R1319" s="12" t="e">
        <f t="shared" ref="R1319:R1320" si="1192">IF(J1319&lt;&gt;0,J1319/1.03-K1319,0)</f>
        <v>#VALUE!</v>
      </c>
    </row>
    <row r="1320" spans="1:18" s="71" customFormat="1" outlineLevel="1" x14ac:dyDescent="0.3">
      <c r="A1320" s="59">
        <f t="shared" si="1189"/>
        <v>0</v>
      </c>
      <c r="B1320" s="67"/>
      <c r="C1320" s="67"/>
      <c r="D1320" s="370" t="s">
        <v>7790</v>
      </c>
      <c r="E1320" s="67" t="s">
        <v>8694</v>
      </c>
      <c r="F1320" s="68" t="s">
        <v>5218</v>
      </c>
      <c r="G1320" s="68" t="s">
        <v>73</v>
      </c>
      <c r="H1320" s="69">
        <v>1.1000000000000001</v>
      </c>
      <c r="I1320" s="483">
        <v>12.94</v>
      </c>
      <c r="J1320" s="70">
        <v>78.44</v>
      </c>
      <c r="K1320" s="70">
        <f>IF(A1320=0,VLOOKUP(D1320,'03. Insumos'!A:F,4,0),"")</f>
        <v>137.71</v>
      </c>
      <c r="L1320" s="70">
        <f t="shared" ref="L1320:L1325" si="1193">H1320*J1320*I1320</f>
        <v>1116.51496</v>
      </c>
      <c r="M1320" s="153">
        <f t="shared" ca="1" si="1190"/>
        <v>6.7793375313157227E-5</v>
      </c>
      <c r="O1320" s="499">
        <f t="shared" si="1191"/>
        <v>1960.1641400000001</v>
      </c>
      <c r="R1320" s="500">
        <f t="shared" si="1192"/>
        <v>-61.554660194174772</v>
      </c>
    </row>
    <row r="1321" spans="1:18" s="51" customFormat="1" ht="13.5" customHeight="1" outlineLevel="1" x14ac:dyDescent="0.3">
      <c r="A1321" s="13">
        <f t="shared" si="1189"/>
        <v>0</v>
      </c>
      <c r="B1321" s="49"/>
      <c r="C1321" s="49"/>
      <c r="D1321" s="370" t="s">
        <v>6480</v>
      </c>
      <c r="E1321" s="67" t="str">
        <f>VLOOKUP(D1321,'03. Insumos'!A:D,2,0)</f>
        <v>Revestimento de Parede - Mão de Obra</v>
      </c>
      <c r="F1321" s="68" t="s">
        <v>3809</v>
      </c>
      <c r="G1321" s="68" t="str">
        <f>VLOOKUP(D1321,'03. Insumos'!A:F,3,0)</f>
        <v>m²</v>
      </c>
      <c r="H1321" s="69">
        <v>1</v>
      </c>
      <c r="I1321" s="69">
        <f>H1319</f>
        <v>12.94</v>
      </c>
      <c r="J1321" s="70">
        <f t="shared" ref="J1321:J1325" si="1194">IFERROR(IF(K1321&lt;&gt;0,K1321*$K$5,0),0)</f>
        <v>90</v>
      </c>
      <c r="K1321" s="70">
        <f>IF(A1321=0,VLOOKUP(D1321,'03. Insumos'!A:F,4,0),"")</f>
        <v>90</v>
      </c>
      <c r="L1321" s="70">
        <f t="shared" si="1193"/>
        <v>1164.5999999999999</v>
      </c>
      <c r="M1321" s="153">
        <f t="shared" ca="1" si="1190"/>
        <v>7.071303808567231E-5</v>
      </c>
      <c r="O1321" s="148"/>
      <c r="R1321" s="356"/>
    </row>
    <row r="1322" spans="1:18" s="51" customFormat="1" ht="13.5" customHeight="1" outlineLevel="1" x14ac:dyDescent="0.3">
      <c r="A1322" s="13">
        <v>0</v>
      </c>
      <c r="B1322" s="49"/>
      <c r="C1322" s="49"/>
      <c r="D1322" s="370" t="s">
        <v>4069</v>
      </c>
      <c r="E1322" s="67" t="str">
        <f>VLOOKUP(D1322,'03. Insumos'!A:D,2,0)</f>
        <v>Argamassa colante 20kg ACIII Cinza 20kg</v>
      </c>
      <c r="F1322" s="68" t="s">
        <v>5218</v>
      </c>
      <c r="G1322" s="68" t="str">
        <f>VLOOKUP(D1322,'03. Insumos'!A:F,3,0)</f>
        <v>sc</v>
      </c>
      <c r="H1322" s="69">
        <v>1.1000000000000001</v>
      </c>
      <c r="I1322" s="69">
        <f>ROUNDUP(((H1319*8)/20),0)</f>
        <v>6</v>
      </c>
      <c r="J1322" s="70">
        <f t="shared" si="1194"/>
        <v>31.899999999999995</v>
      </c>
      <c r="K1322" s="70">
        <f>IF(A1322=0,VLOOKUP(D1322,'03. Insumos'!A:F,4,0),"")</f>
        <v>31.899999999999995</v>
      </c>
      <c r="L1322" s="70">
        <f t="shared" si="1193"/>
        <v>210.53999999999996</v>
      </c>
      <c r="M1322" s="153">
        <f t="shared" ca="1" si="1190"/>
        <v>1.2783722341196504E-5</v>
      </c>
      <c r="O1322" s="148"/>
      <c r="R1322" s="356"/>
    </row>
    <row r="1323" spans="1:18" s="51" customFormat="1" ht="13.5" customHeight="1" outlineLevel="1" x14ac:dyDescent="0.3">
      <c r="A1323" s="13">
        <v>0</v>
      </c>
      <c r="B1323" s="49"/>
      <c r="C1323" s="49"/>
      <c r="D1323" s="370" t="s">
        <v>6482</v>
      </c>
      <c r="E1323" s="67" t="str">
        <f>VLOOKUP(D1323,'03. Insumos'!A:D,2,0)</f>
        <v>Rejunte para Pisos e Azulejos</v>
      </c>
      <c r="F1323" s="68" t="s">
        <v>5218</v>
      </c>
      <c r="G1323" s="68" t="str">
        <f>VLOOKUP(D1323,'03. Insumos'!A:F,3,0)</f>
        <v>bd</v>
      </c>
      <c r="H1323" s="69">
        <v>1.1000000000000001</v>
      </c>
      <c r="I1323" s="483">
        <f>ROUNDUP(((H1319/8)),0)</f>
        <v>2</v>
      </c>
      <c r="J1323" s="70">
        <f t="shared" si="1194"/>
        <v>23.9</v>
      </c>
      <c r="K1323" s="70">
        <f>IF(A1323=0,VLOOKUP(D1323,'03. Insumos'!A:F,4,0),"")</f>
        <v>23.9</v>
      </c>
      <c r="L1323" s="70">
        <f t="shared" si="1193"/>
        <v>52.58</v>
      </c>
      <c r="M1323" s="153">
        <f t="shared" ca="1" si="1190"/>
        <v>3.192591054906964E-6</v>
      </c>
      <c r="O1323" s="148"/>
      <c r="R1323" s="356"/>
    </row>
    <row r="1324" spans="1:18" s="51" customFormat="1" ht="13.5" customHeight="1" outlineLevel="1" x14ac:dyDescent="0.3">
      <c r="A1324" s="13">
        <v>0</v>
      </c>
      <c r="B1324" s="49"/>
      <c r="C1324" s="49"/>
      <c r="D1324" s="370" t="s">
        <v>7447</v>
      </c>
      <c r="E1324" s="67" t="str">
        <f>VLOOKUP(D1324,'03. Insumos'!A:D,2,0)</f>
        <v>Nivelador de piso - Clips</v>
      </c>
      <c r="F1324" s="68" t="s">
        <v>5218</v>
      </c>
      <c r="G1324" s="68" t="str">
        <f>VLOOKUP(D1324,'03. Insumos'!A:F,3,0)</f>
        <v>unid</v>
      </c>
      <c r="H1324" s="69">
        <v>1.1000000000000001</v>
      </c>
      <c r="I1324" s="483">
        <f>ROUNDUP(H1319*12,0)</f>
        <v>156</v>
      </c>
      <c r="J1324" s="70">
        <f t="shared" si="1194"/>
        <v>0.25</v>
      </c>
      <c r="K1324" s="70">
        <f>IF(A1324=0,VLOOKUP(D1324,'03. Insumos'!A:F,4,0),"")</f>
        <v>0.25</v>
      </c>
      <c r="L1324" s="70">
        <f t="shared" si="1193"/>
        <v>42.900000000000006</v>
      </c>
      <c r="M1324" s="153">
        <f t="shared" ca="1" si="1190"/>
        <v>2.6048337058864354E-6</v>
      </c>
      <c r="O1324" s="148"/>
      <c r="R1324" s="356"/>
    </row>
    <row r="1325" spans="1:18" s="51" customFormat="1" ht="13.5" customHeight="1" outlineLevel="1" x14ac:dyDescent="0.3">
      <c r="A1325" s="13">
        <v>0</v>
      </c>
      <c r="B1325" s="49"/>
      <c r="C1325" s="49"/>
      <c r="D1325" s="370" t="s">
        <v>7448</v>
      </c>
      <c r="E1325" s="67" t="str">
        <f>VLOOKUP(D1325,'03. Insumos'!A:D,2,0)</f>
        <v>Nivelador de piso - Cunha</v>
      </c>
      <c r="F1325" s="68" t="s">
        <v>5218</v>
      </c>
      <c r="G1325" s="68" t="str">
        <f>VLOOKUP(D1325,'03. Insumos'!A:F,3,0)</f>
        <v>unid</v>
      </c>
      <c r="H1325" s="69">
        <v>1.1000000000000001</v>
      </c>
      <c r="I1325" s="483">
        <f>ROUNDUP(H1319*12/4,0)</f>
        <v>39</v>
      </c>
      <c r="J1325" s="70">
        <f t="shared" si="1194"/>
        <v>0.49000000000000005</v>
      </c>
      <c r="K1325" s="70">
        <f>IF(A1325=0,VLOOKUP(D1325,'03. Insumos'!A:F,4,0),"")</f>
        <v>0.49000000000000005</v>
      </c>
      <c r="L1325" s="70">
        <f t="shared" si="1193"/>
        <v>21.021000000000004</v>
      </c>
      <c r="M1325" s="153">
        <f t="shared" ca="1" si="1190"/>
        <v>1.2763685158843536E-6</v>
      </c>
      <c r="O1325" s="148"/>
      <c r="R1325" s="356"/>
    </row>
    <row r="1326" spans="1:18" s="59" customFormat="1" ht="13.5" customHeight="1" outlineLevel="1" x14ac:dyDescent="0.3">
      <c r="A1326" s="290">
        <f t="shared" ref="A1326:A1329" si="1195">LEN(C1326)</f>
        <v>6</v>
      </c>
      <c r="B1326" s="606"/>
      <c r="C1326" s="391" t="s">
        <v>982</v>
      </c>
      <c r="D1326" s="648" t="s">
        <v>7425</v>
      </c>
      <c r="E1326" s="391"/>
      <c r="F1326" s="325"/>
      <c r="G1326" s="325" t="s">
        <v>73</v>
      </c>
      <c r="H1326" s="326">
        <f>SUM(I1327:I1328)</f>
        <v>29.36</v>
      </c>
      <c r="I1326" s="65">
        <f>8*(1.2*1.2)</f>
        <v>11.52</v>
      </c>
      <c r="J1326" s="812">
        <f>L1326/H1326</f>
        <v>198.27775749318803</v>
      </c>
      <c r="K1326" s="607" t="str">
        <f>IF(A1326=0,VLOOKUP(D1326,'03. Insumos'!A:F,4,0),"")</f>
        <v/>
      </c>
      <c r="L1326" s="334">
        <f>SUM(L1327:L1334)</f>
        <v>5821.4349600000005</v>
      </c>
      <c r="M1326" s="153">
        <f t="shared" ca="1" si="1190"/>
        <v>3.5347016318027164E-4</v>
      </c>
      <c r="O1326" s="148" t="e">
        <f t="shared" ref="O1326:O1328" si="1196">IF(I1326&lt;&gt;0,I1326*H1326*K1326,)</f>
        <v>#VALUE!</v>
      </c>
      <c r="R1326" s="12" t="e">
        <f t="shared" ref="R1326:R1328" si="1197">IF(J1326&lt;&gt;0,J1326/1.03-K1326,0)</f>
        <v>#VALUE!</v>
      </c>
    </row>
    <row r="1327" spans="1:18" s="71" customFormat="1" outlineLevel="1" x14ac:dyDescent="0.3">
      <c r="A1327" s="59">
        <f t="shared" si="1195"/>
        <v>0</v>
      </c>
      <c r="B1327" s="67"/>
      <c r="C1327" s="67"/>
      <c r="D1327" s="370" t="s">
        <v>7774</v>
      </c>
      <c r="E1327" s="706" t="s">
        <v>8774</v>
      </c>
      <c r="F1327" s="68" t="s">
        <v>5218</v>
      </c>
      <c r="G1327" s="68" t="str">
        <f>VLOOKUP(D1327,'03. Insumos'!A:F,3,0)</f>
        <v>m²</v>
      </c>
      <c r="H1327" s="69">
        <v>1.2</v>
      </c>
      <c r="I1327" s="483">
        <v>17.52</v>
      </c>
      <c r="J1327" s="70">
        <f>58+9.35</f>
        <v>67.349999999999994</v>
      </c>
      <c r="K1327" s="70">
        <f>IF(A1327=0,VLOOKUP(D1327,'03. Insumos'!A:F,4,0),"")</f>
        <v>103.67</v>
      </c>
      <c r="L1327" s="70">
        <f t="shared" ref="L1327:L1334" si="1198">H1327*J1327*I1327</f>
        <v>1415.9663999999998</v>
      </c>
      <c r="M1327" s="153">
        <f t="shared" ca="1" si="1190"/>
        <v>8.5975687765097304E-5</v>
      </c>
      <c r="O1327" s="499">
        <f t="shared" si="1196"/>
        <v>2179.5580799999998</v>
      </c>
      <c r="R1327" s="500">
        <f t="shared" si="1197"/>
        <v>-38.281650485436899</v>
      </c>
    </row>
    <row r="1328" spans="1:18" s="71" customFormat="1" outlineLevel="1" x14ac:dyDescent="0.3">
      <c r="A1328" s="59">
        <f t="shared" si="1195"/>
        <v>0</v>
      </c>
      <c r="B1328" s="67"/>
      <c r="C1328" s="67"/>
      <c r="D1328" s="370" t="s">
        <v>7779</v>
      </c>
      <c r="E1328" s="668" t="s">
        <v>8694</v>
      </c>
      <c r="F1328" s="68" t="s">
        <v>5218</v>
      </c>
      <c r="G1328" s="68" t="str">
        <f>VLOOKUP(D1328,'03. Insumos'!A:F,3,0)</f>
        <v>m²</v>
      </c>
      <c r="H1328" s="69">
        <v>1.1000000000000001</v>
      </c>
      <c r="I1328" s="483">
        <v>11.84</v>
      </c>
      <c r="J1328" s="70">
        <f>70.35+8.09</f>
        <v>78.44</v>
      </c>
      <c r="K1328" s="70">
        <f>IF(A1328=0,VLOOKUP(D1328,'03. Insumos'!A:F,4,0),"")</f>
        <v>129.14000000000001</v>
      </c>
      <c r="L1328" s="70">
        <f t="shared" si="1198"/>
        <v>1021.60256</v>
      </c>
      <c r="M1328" s="153">
        <f t="shared" ca="1" si="1190"/>
        <v>6.2030414506010937E-5</v>
      </c>
      <c r="O1328" s="499">
        <f t="shared" si="1196"/>
        <v>1681.9193600000003</v>
      </c>
      <c r="R1328" s="500">
        <f t="shared" si="1197"/>
        <v>-52.984660194174779</v>
      </c>
    </row>
    <row r="1329" spans="1:20 16384:16384" s="51" customFormat="1" ht="13.5" customHeight="1" outlineLevel="1" x14ac:dyDescent="0.3">
      <c r="A1329" s="13">
        <f t="shared" si="1195"/>
        <v>0</v>
      </c>
      <c r="B1329" s="49"/>
      <c r="C1329" s="49"/>
      <c r="D1329" s="370" t="s">
        <v>6502</v>
      </c>
      <c r="E1329" s="67" t="str">
        <f>VLOOKUP(D1329,'03. Insumos'!A:D,2,0)</f>
        <v>Revestimento de Piso - Mão de Obra</v>
      </c>
      <c r="F1329" s="68" t="s">
        <v>3809</v>
      </c>
      <c r="G1329" s="68" t="str">
        <f>VLOOKUP(D1329,'03. Insumos'!A:F,3,0)</f>
        <v>m²</v>
      </c>
      <c r="H1329" s="69">
        <v>1</v>
      </c>
      <c r="I1329" s="483">
        <f>H1326</f>
        <v>29.36</v>
      </c>
      <c r="J1329" s="70">
        <v>90</v>
      </c>
      <c r="K1329" s="70">
        <f>IF(A1329=0,VLOOKUP(D1329,'03. Insumos'!A:F,4,0),"")</f>
        <v>90</v>
      </c>
      <c r="L1329" s="70">
        <f t="shared" si="1198"/>
        <v>2642.4</v>
      </c>
      <c r="M1329" s="153">
        <f t="shared" ca="1" si="1190"/>
        <v>1.6044318378634771E-4</v>
      </c>
      <c r="O1329" s="148"/>
      <c r="R1329" s="356"/>
    </row>
    <row r="1330" spans="1:20 16384:16384" s="51" customFormat="1" ht="13.5" customHeight="1" outlineLevel="1" x14ac:dyDescent="0.3">
      <c r="A1330" s="13">
        <v>0</v>
      </c>
      <c r="B1330" s="49"/>
      <c r="C1330" s="49"/>
      <c r="D1330" s="370" t="s">
        <v>4069</v>
      </c>
      <c r="E1330" s="67" t="str">
        <f>VLOOKUP(D1330,'03. Insumos'!A:D,2,0)</f>
        <v>Argamassa colante 20kg ACIII Cinza 20kg</v>
      </c>
      <c r="F1330" s="68" t="s">
        <v>5218</v>
      </c>
      <c r="G1330" s="68" t="str">
        <f>VLOOKUP(D1330,'03. Insumos'!A:F,3,0)</f>
        <v>sc</v>
      </c>
      <c r="H1330" s="69">
        <v>1.1000000000000001</v>
      </c>
      <c r="I1330" s="483">
        <f>ROUNDUP(((H1326*9)/20),0)</f>
        <v>14</v>
      </c>
      <c r="J1330" s="70">
        <f t="shared" ref="J1330:J1334" si="1199">IFERROR(IF(K1330&lt;&gt;0,K1330*$K$5,0),0)</f>
        <v>31.899999999999995</v>
      </c>
      <c r="K1330" s="70">
        <f>IF(A1330=0,VLOOKUP(D1330,'03. Insumos'!A:F,4,0),"")</f>
        <v>31.899999999999995</v>
      </c>
      <c r="L1330" s="70">
        <f t="shared" si="1198"/>
        <v>491.25999999999993</v>
      </c>
      <c r="M1330" s="153">
        <f t="shared" ca="1" si="1190"/>
        <v>2.9828685462791843E-5</v>
      </c>
      <c r="O1330" s="148"/>
      <c r="R1330" s="356"/>
    </row>
    <row r="1331" spans="1:20 16384:16384" s="51" customFormat="1" ht="13.5" customHeight="1" outlineLevel="1" x14ac:dyDescent="0.3">
      <c r="A1331" s="13">
        <v>0</v>
      </c>
      <c r="B1331" s="49"/>
      <c r="C1331" s="49"/>
      <c r="D1331" s="370" t="s">
        <v>6482</v>
      </c>
      <c r="E1331" s="67" t="str">
        <f>VLOOKUP(D1331,'03. Insumos'!A:D,2,0)</f>
        <v>Rejunte para Pisos e Azulejos</v>
      </c>
      <c r="F1331" s="68" t="s">
        <v>5218</v>
      </c>
      <c r="G1331" s="68" t="str">
        <f>VLOOKUP(D1331,'03. Insumos'!A:F,3,0)</f>
        <v>bd</v>
      </c>
      <c r="H1331" s="69">
        <v>1.1000000000000001</v>
      </c>
      <c r="I1331" s="483">
        <f>ROUNDUP(((H1326/8)),0)</f>
        <v>4</v>
      </c>
      <c r="J1331" s="70">
        <f t="shared" si="1199"/>
        <v>23.9</v>
      </c>
      <c r="K1331" s="70">
        <f>IF(A1331=0,VLOOKUP(D1331,'03. Insumos'!A:F,4,0),"")</f>
        <v>23.9</v>
      </c>
      <c r="L1331" s="70">
        <f t="shared" si="1198"/>
        <v>105.16</v>
      </c>
      <c r="M1331" s="153">
        <f t="shared" ca="1" si="1190"/>
        <v>6.385182109813928E-6</v>
      </c>
      <c r="O1331" s="148"/>
      <c r="R1331" s="356"/>
    </row>
    <row r="1332" spans="1:20 16384:16384" s="51" customFormat="1" ht="13.5" hidden="1" customHeight="1" outlineLevel="1" x14ac:dyDescent="0.3">
      <c r="A1332" s="13">
        <v>0</v>
      </c>
      <c r="B1332" s="49"/>
      <c r="C1332" s="49"/>
      <c r="D1332" s="370" t="s">
        <v>7451</v>
      </c>
      <c r="E1332" s="67" t="str">
        <f>VLOOKUP(D1332,'03. Insumos'!A:D,2,0)</f>
        <v>Cantoneira de alumínio cor branca</v>
      </c>
      <c r="F1332" s="68" t="s">
        <v>5218</v>
      </c>
      <c r="G1332" s="68" t="str">
        <f>VLOOKUP(D1332,'03. Insumos'!A:F,3,0)</f>
        <v>m</v>
      </c>
      <c r="H1332" s="69">
        <v>1.1000000000000001</v>
      </c>
      <c r="I1332" s="483"/>
      <c r="J1332" s="70">
        <f t="shared" si="1199"/>
        <v>47.5</v>
      </c>
      <c r="K1332" s="70">
        <f>IF(A1332=0,VLOOKUP(D1332,'03. Insumos'!A:F,4,0),"")</f>
        <v>47.5</v>
      </c>
      <c r="L1332" s="70">
        <f t="shared" si="1198"/>
        <v>0</v>
      </c>
      <c r="M1332" s="153">
        <f t="shared" ca="1" si="1190"/>
        <v>0</v>
      </c>
      <c r="O1332" s="148"/>
      <c r="R1332" s="356"/>
    </row>
    <row r="1333" spans="1:20 16384:16384" s="51" customFormat="1" ht="13.5" customHeight="1" outlineLevel="1" x14ac:dyDescent="0.3">
      <c r="A1333" s="13">
        <v>0</v>
      </c>
      <c r="B1333" s="49"/>
      <c r="C1333" s="49"/>
      <c r="D1333" s="370" t="s">
        <v>7447</v>
      </c>
      <c r="E1333" s="67" t="str">
        <f>VLOOKUP(D1333,'03. Insumos'!A:D,2,0)</f>
        <v>Nivelador de piso - Clips</v>
      </c>
      <c r="F1333" s="68" t="s">
        <v>5218</v>
      </c>
      <c r="G1333" s="68" t="str">
        <f>VLOOKUP(D1333,'03. Insumos'!A:F,3,0)</f>
        <v>unid</v>
      </c>
      <c r="H1333" s="69">
        <v>1.1000000000000001</v>
      </c>
      <c r="I1333" s="483">
        <f>ROUNDUP(H1326*12,0)</f>
        <v>353</v>
      </c>
      <c r="J1333" s="70">
        <f t="shared" si="1199"/>
        <v>0.25</v>
      </c>
      <c r="K1333" s="70">
        <f>IF(A1333=0,VLOOKUP(D1333,'03. Insumos'!A:F,4,0),"")</f>
        <v>0.25</v>
      </c>
      <c r="L1333" s="70">
        <f t="shared" si="1198"/>
        <v>97.075000000000003</v>
      </c>
      <c r="M1333" s="153">
        <f t="shared" ca="1" si="1190"/>
        <v>5.8942711421661008E-6</v>
      </c>
      <c r="O1333" s="148"/>
      <c r="R1333" s="356"/>
    </row>
    <row r="1334" spans="1:20 16384:16384" s="51" customFormat="1" ht="13.5" customHeight="1" outlineLevel="1" x14ac:dyDescent="0.3">
      <c r="A1334" s="13">
        <v>0</v>
      </c>
      <c r="B1334" s="49"/>
      <c r="C1334" s="49"/>
      <c r="D1334" s="370" t="s">
        <v>7448</v>
      </c>
      <c r="E1334" s="67" t="str">
        <f>VLOOKUP(D1334,'03. Insumos'!A:D,2,0)</f>
        <v>Nivelador de piso - Cunha</v>
      </c>
      <c r="F1334" s="68" t="s">
        <v>5218</v>
      </c>
      <c r="G1334" s="68" t="str">
        <f>VLOOKUP(D1334,'03. Insumos'!A:F,3,0)</f>
        <v>unid</v>
      </c>
      <c r="H1334" s="69">
        <v>1.1000000000000001</v>
      </c>
      <c r="I1334" s="483">
        <f>ROUNDUP(H1326*12/4,0)</f>
        <v>89</v>
      </c>
      <c r="J1334" s="70">
        <f t="shared" si="1199"/>
        <v>0.49000000000000005</v>
      </c>
      <c r="K1334" s="70">
        <f>IF(A1334=0,VLOOKUP(D1334,'03. Insumos'!A:F,4,0),"")</f>
        <v>0.49000000000000005</v>
      </c>
      <c r="L1334" s="70">
        <f t="shared" si="1198"/>
        <v>47.971000000000011</v>
      </c>
      <c r="M1334" s="153">
        <f t="shared" ca="1" si="1190"/>
        <v>2.9127384080437811E-6</v>
      </c>
      <c r="O1334" s="148"/>
      <c r="R1334" s="356"/>
    </row>
    <row r="1335" spans="1:20 16384:16384" s="18" customFormat="1" outlineLevel="1" x14ac:dyDescent="0.3">
      <c r="A1335" s="290">
        <f t="shared" ref="A1335" si="1200">LEN(C1335)</f>
        <v>4</v>
      </c>
      <c r="B1335" s="45"/>
      <c r="C1335" s="45" t="s">
        <v>981</v>
      </c>
      <c r="D1335" s="45" t="s">
        <v>8689</v>
      </c>
      <c r="E1335" s="347"/>
      <c r="F1335" s="60"/>
      <c r="G1335" s="327"/>
      <c r="H1335" s="328"/>
      <c r="I1335" s="548"/>
      <c r="J1335" s="62"/>
      <c r="K1335" s="62" t="str">
        <f>IF(A1335=0,VLOOKUP(D1335,'03. Insumos'!A:F,4,0),"")</f>
        <v/>
      </c>
      <c r="L1335" s="335">
        <f>SUMIF(A1336:A1341,6,L1336:L1341)</f>
        <v>50387.222000000002</v>
      </c>
      <c r="M1335" s="153">
        <f t="shared" ref="M1335" ca="1" si="1201">L1335/$L$7</f>
        <v>3.0594483499203386E-3</v>
      </c>
      <c r="O1335" s="148">
        <f t="shared" ref="O1335" si="1202">IF(I1335&lt;&gt;0,I1335*H1335*K1335,)</f>
        <v>0</v>
      </c>
      <c r="R1335" s="12">
        <f t="shared" ref="R1335" si="1203">IF(J1335&lt;&gt;0,J1335/1.03-K1335,0)</f>
        <v>0</v>
      </c>
    </row>
    <row r="1336" spans="1:20 16384:16384" s="51" customFormat="1" outlineLevel="1" x14ac:dyDescent="0.3">
      <c r="A1336" s="13">
        <f t="shared" ref="A1336:A1337" si="1204">LEN(C1336)</f>
        <v>6</v>
      </c>
      <c r="B1336" s="391"/>
      <c r="C1336" s="391" t="s">
        <v>982</v>
      </c>
      <c r="D1336" s="391" t="s">
        <v>6882</v>
      </c>
      <c r="E1336" s="391"/>
      <c r="F1336" s="325"/>
      <c r="G1336" s="325" t="s">
        <v>29</v>
      </c>
      <c r="H1336" s="631">
        <v>1</v>
      </c>
      <c r="I1336" s="547"/>
      <c r="J1336" s="812">
        <f>L1336/H1336</f>
        <v>35000</v>
      </c>
      <c r="K1336" s="334"/>
      <c r="L1336" s="334">
        <f>SUMIF(A1337:A1337,0,L1337:L1337)</f>
        <v>35000</v>
      </c>
      <c r="M1336" s="355">
        <f t="shared" ref="M1336:M1341" ca="1" si="1205">L1336/$L$7</f>
        <v>2.1251557041031522E-3</v>
      </c>
      <c r="O1336" s="148"/>
      <c r="R1336" s="356"/>
    </row>
    <row r="1337" spans="1:20 16384:16384" s="836" customFormat="1" outlineLevel="1" x14ac:dyDescent="0.3">
      <c r="A1337" s="351">
        <f t="shared" si="1204"/>
        <v>0</v>
      </c>
      <c r="B1337" s="835"/>
      <c r="C1337" s="822"/>
      <c r="D1337" s="748" t="s">
        <v>6463</v>
      </c>
      <c r="E1337" s="668" t="s">
        <v>8778</v>
      </c>
      <c r="F1337" s="670" t="s">
        <v>5218</v>
      </c>
      <c r="G1337" s="669" t="s">
        <v>29</v>
      </c>
      <c r="H1337" s="631">
        <v>1</v>
      </c>
      <c r="I1337" s="631">
        <v>1</v>
      </c>
      <c r="J1337" s="632">
        <v>35000</v>
      </c>
      <c r="K1337" s="632">
        <f>IF(A1337=0,VLOOKUP(D1337,'03. Insumos'!A:F,4,0),"")</f>
        <v>1700</v>
      </c>
      <c r="L1337" s="632">
        <f t="shared" ref="L1337" si="1206">H1337*J1337*I1337</f>
        <v>35000</v>
      </c>
      <c r="M1337" s="355">
        <f t="shared" ca="1" si="1205"/>
        <v>2.1251557041031522E-3</v>
      </c>
      <c r="O1337" s="824"/>
      <c r="R1337" s="825"/>
    </row>
    <row r="1338" spans="1:20 16384:16384" s="59" customFormat="1" ht="13.5" customHeight="1" outlineLevel="1" x14ac:dyDescent="0.3">
      <c r="A1338" s="290">
        <f t="shared" ref="A1338:A1341" si="1207">LEN(C1338)</f>
        <v>6</v>
      </c>
      <c r="B1338" s="606"/>
      <c r="C1338" s="391" t="s">
        <v>982</v>
      </c>
      <c r="D1338" s="648" t="s">
        <v>8776</v>
      </c>
      <c r="E1338" s="391"/>
      <c r="F1338" s="325"/>
      <c r="G1338" s="325" t="s">
        <v>73</v>
      </c>
      <c r="H1338" s="326">
        <f>I1339</f>
        <v>49.25</v>
      </c>
      <c r="I1338" s="65" t="s">
        <v>2787</v>
      </c>
      <c r="J1338" s="812"/>
      <c r="K1338" s="607" t="str">
        <f>IF(A1338=0,VLOOKUP(D1338,'03. Insumos'!A:F,4,0),"")</f>
        <v/>
      </c>
      <c r="L1338" s="334">
        <f>SUM(L1339)</f>
        <v>14725.75</v>
      </c>
      <c r="M1338" s="153">
        <f t="shared" ca="1" si="1205"/>
        <v>8.9412890313419991E-4</v>
      </c>
      <c r="O1338" s="148" t="e">
        <f t="shared" ref="O1338:O1339" si="1208">IF(I1338&lt;&gt;0,I1338*H1338*K1338,)</f>
        <v>#VALUE!</v>
      </c>
      <c r="R1338" s="12">
        <f t="shared" ref="R1338:R1339" si="1209">IF(J1338&lt;&gt;0,J1338/1.03-K1338,0)</f>
        <v>0</v>
      </c>
    </row>
    <row r="1339" spans="1:20 16384:16384" s="71" customFormat="1" outlineLevel="1" x14ac:dyDescent="0.3">
      <c r="A1339" s="59">
        <f t="shared" si="1207"/>
        <v>0</v>
      </c>
      <c r="B1339" s="67"/>
      <c r="C1339" s="67"/>
      <c r="D1339" s="370" t="s">
        <v>8060</v>
      </c>
      <c r="E1339" s="706" t="s">
        <v>8777</v>
      </c>
      <c r="F1339" s="68" t="s">
        <v>5218</v>
      </c>
      <c r="G1339" s="68" t="str">
        <f>VLOOKUP(D1339,'03. Insumos'!A:F,3,0)</f>
        <v>m²</v>
      </c>
      <c r="H1339" s="69">
        <v>1.3</v>
      </c>
      <c r="I1339" s="483">
        <v>49.25</v>
      </c>
      <c r="J1339" s="70">
        <v>230</v>
      </c>
      <c r="K1339" s="70">
        <f>IF(A1339=0,VLOOKUP(D1339,'03. Insumos'!A:F,4,0),"")</f>
        <v>84.27</v>
      </c>
      <c r="L1339" s="70">
        <f t="shared" ref="L1339" si="1210">H1339*J1339*I1339</f>
        <v>14725.75</v>
      </c>
      <c r="M1339" s="153">
        <f t="shared" ca="1" si="1205"/>
        <v>8.9412890313419991E-4</v>
      </c>
      <c r="O1339" s="499">
        <f t="shared" si="1208"/>
        <v>5395.3867500000006</v>
      </c>
      <c r="R1339" s="500">
        <f t="shared" si="1209"/>
        <v>139.03097087378643</v>
      </c>
    </row>
    <row r="1340" spans="1:20 16384:16384" s="478" customFormat="1" ht="13.5" customHeight="1" outlineLevel="1" x14ac:dyDescent="0.3">
      <c r="A1340" s="290">
        <f t="shared" si="1207"/>
        <v>6</v>
      </c>
      <c r="B1340" s="489"/>
      <c r="C1340" s="391" t="s">
        <v>982</v>
      </c>
      <c r="D1340" s="606" t="s">
        <v>5909</v>
      </c>
      <c r="E1340" s="391"/>
      <c r="F1340" s="490"/>
      <c r="G1340" s="490" t="s">
        <v>73</v>
      </c>
      <c r="H1340" s="326">
        <f>SUM(I1341:I1341)</f>
        <v>14.765000000000001</v>
      </c>
      <c r="I1340" s="549"/>
      <c r="J1340" s="812">
        <f>L1340/H1340</f>
        <v>44.8</v>
      </c>
      <c r="K1340" s="492" t="str">
        <f>IF(A1340=0,VLOOKUP(D1340,'03. Insumos'!A:F,4,0),"")</f>
        <v/>
      </c>
      <c r="L1340" s="492">
        <f>SUMIF(A1341:A1341,0,L1341:L1341)</f>
        <v>661.47199999999998</v>
      </c>
      <c r="M1340" s="153">
        <f t="shared" ca="1" si="1205"/>
        <v>4.0163742682986299E-5</v>
      </c>
      <c r="O1340" s="512">
        <f>IF(I1340&lt;&gt;0,I1340*H1340*K1340,)</f>
        <v>0</v>
      </c>
      <c r="R1340" s="487" t="e">
        <f>IF(J1340&lt;&gt;0,J1340/1.03-K1340,0)</f>
        <v>#VALUE!</v>
      </c>
      <c r="T1340" s="478">
        <f>L1340/H1340</f>
        <v>44.8</v>
      </c>
    </row>
    <row r="1341" spans="1:20 16384:16384" s="486" customFormat="1" outlineLevel="1" x14ac:dyDescent="0.3">
      <c r="A1341" s="13">
        <f t="shared" si="1207"/>
        <v>0</v>
      </c>
      <c r="B1341" s="480"/>
      <c r="C1341" s="480"/>
      <c r="D1341" s="370" t="s">
        <v>7933</v>
      </c>
      <c r="E1341" s="706" t="s">
        <v>8768</v>
      </c>
      <c r="F1341" s="482" t="s">
        <v>5218</v>
      </c>
      <c r="G1341" s="482" t="s">
        <v>73</v>
      </c>
      <c r="H1341" s="69">
        <v>1</v>
      </c>
      <c r="I1341" s="483">
        <v>14.765000000000001</v>
      </c>
      <c r="J1341" s="70">
        <v>44.8</v>
      </c>
      <c r="K1341" s="485">
        <f>IF(A1341=0,VLOOKUP(D1341,'03. Insumos'!A:F,4,0),"")</f>
        <v>28.15</v>
      </c>
      <c r="L1341" s="485">
        <f t="shared" ref="L1341" si="1211">H1341*J1341*I1341</f>
        <v>661.47199999999998</v>
      </c>
      <c r="M1341" s="153">
        <f t="shared" ca="1" si="1205"/>
        <v>4.0163742682986299E-5</v>
      </c>
      <c r="O1341" s="512"/>
      <c r="R1341" s="487"/>
    </row>
    <row r="1342" spans="1:20 16384:16384" ht="16.2" x14ac:dyDescent="0.4">
      <c r="B1342" s="1053" t="s">
        <v>30</v>
      </c>
      <c r="C1342" s="1053"/>
      <c r="D1342" s="1053"/>
      <c r="E1342" s="1054"/>
      <c r="F1342" s="1055"/>
      <c r="G1342" s="1056"/>
      <c r="H1342" s="1057"/>
      <c r="I1342" s="1058"/>
      <c r="J1342" s="1059"/>
      <c r="K1342" s="1059"/>
      <c r="L1342" s="1059">
        <f ca="1">L7</f>
        <v>16469381.482224394</v>
      </c>
      <c r="M1342" s="153">
        <f t="shared" ca="1" si="1042"/>
        <v>1</v>
      </c>
      <c r="R1342" s="12"/>
      <c r="S1342" s="226"/>
      <c r="XFD1342" s="13">
        <f ca="1">SUM(A1342:XFC1342)</f>
        <v>16469382.482224394</v>
      </c>
    </row>
    <row r="1343" spans="1:20 16384:16384" ht="14.4" hidden="1" x14ac:dyDescent="0.3">
      <c r="A1343" s="13"/>
      <c r="B1343" s="184"/>
      <c r="C1343" s="184"/>
      <c r="D1343" s="184"/>
      <c r="E1343" s="184" t="s">
        <v>2253</v>
      </c>
      <c r="F1343" s="185" t="s">
        <v>5218</v>
      </c>
      <c r="G1343" s="817">
        <f ca="1">J1343/L1345</f>
        <v>0.7727645317619124</v>
      </c>
      <c r="H1343" s="186">
        <v>1</v>
      </c>
      <c r="I1343" s="186"/>
      <c r="J1343" s="187">
        <f>SUMIF($F$11:$F$2090,F1343,$L$11:$L$2090)</f>
        <v>12726953.869519444</v>
      </c>
      <c r="K1343" s="187"/>
      <c r="L1343" s="187"/>
      <c r="M1343" s="681"/>
    </row>
    <row r="1344" spans="1:20 16384:16384" ht="14.4" hidden="1" x14ac:dyDescent="0.3">
      <c r="A1344" s="13"/>
      <c r="B1344" s="184"/>
      <c r="C1344" s="184"/>
      <c r="D1344" s="184"/>
      <c r="E1344" s="184" t="s">
        <v>2254</v>
      </c>
      <c r="F1344" s="185" t="s">
        <v>3809</v>
      </c>
      <c r="G1344" s="817">
        <f ca="1">J1344/L1345</f>
        <v>0.20753870393829379</v>
      </c>
      <c r="H1344" s="186">
        <v>1</v>
      </c>
      <c r="I1344" s="186"/>
      <c r="J1344" s="187">
        <f ca="1">SUMIF($F$11:$F$2090,F1344,$L$11:$L$2090)</f>
        <v>3418034.0874861865</v>
      </c>
      <c r="K1344" s="187"/>
      <c r="L1344" s="187">
        <f ca="1">K1344/L1345</f>
        <v>0</v>
      </c>
      <c r="M1344" s="43"/>
      <c r="N1344" s="226"/>
    </row>
    <row r="1345" spans="1:19" ht="14.4" hidden="1" x14ac:dyDescent="0.3">
      <c r="A1345" s="13"/>
      <c r="B1345" s="184"/>
      <c r="C1345" s="184"/>
      <c r="D1345" s="184" t="s">
        <v>30</v>
      </c>
      <c r="E1345" s="184"/>
      <c r="F1345" s="185"/>
      <c r="G1345" s="281"/>
      <c r="H1345" s="186"/>
      <c r="I1345" s="186"/>
      <c r="J1345" s="187"/>
      <c r="K1345" s="187"/>
      <c r="L1345" s="682">
        <f ca="1">L1342</f>
        <v>16469381.482224394</v>
      </c>
      <c r="M1345" s="681"/>
      <c r="S1345" s="226"/>
    </row>
    <row r="1346" spans="1:19" ht="14.4" x14ac:dyDescent="0.3">
      <c r="A1346" s="13"/>
      <c r="B1346" s="184"/>
      <c r="C1346" s="184"/>
      <c r="D1346" s="184" t="s">
        <v>2252</v>
      </c>
      <c r="E1346" s="184"/>
      <c r="F1346" s="185"/>
      <c r="G1346" s="283"/>
      <c r="H1346" s="186"/>
      <c r="I1346" s="186"/>
      <c r="J1346" s="187"/>
      <c r="K1346" s="187">
        <f ca="1">L1346/9</f>
        <v>0</v>
      </c>
      <c r="L1346" s="187">
        <f ca="1">L1342*G1346</f>
        <v>0</v>
      </c>
      <c r="R1346" s="43">
        <f ca="1">L1346</f>
        <v>0</v>
      </c>
      <c r="S1346" s="683">
        <f ca="1">R1346/26</f>
        <v>0</v>
      </c>
    </row>
    <row r="1347" spans="1:19" ht="14.4" hidden="1" x14ac:dyDescent="0.3">
      <c r="A1347" s="13"/>
      <c r="B1347" s="184"/>
      <c r="C1347" s="184"/>
      <c r="D1347" s="184"/>
      <c r="E1347" s="184"/>
      <c r="F1347" s="185"/>
      <c r="G1347" s="281"/>
      <c r="H1347" s="186"/>
      <c r="I1347" s="186"/>
      <c r="J1347" s="187"/>
      <c r="K1347" s="187"/>
      <c r="L1347" s="682"/>
    </row>
    <row r="1348" spans="1:19" ht="14.4" hidden="1" x14ac:dyDescent="0.3">
      <c r="A1348" s="13"/>
      <c r="B1348" s="291"/>
      <c r="C1348" s="291"/>
      <c r="D1348" s="291" t="s">
        <v>5219</v>
      </c>
      <c r="E1348" s="291"/>
      <c r="F1348" s="292"/>
      <c r="G1348" s="684"/>
      <c r="H1348" s="685"/>
      <c r="I1348" s="685"/>
      <c r="J1348" s="686"/>
      <c r="K1348" s="686"/>
      <c r="L1348" s="687">
        <f ca="1">L1346/739.583</f>
        <v>0</v>
      </c>
    </row>
    <row r="1349" spans="1:19" ht="16.2" x14ac:dyDescent="0.4">
      <c r="B1349" s="1053" t="s">
        <v>22</v>
      </c>
      <c r="C1349" s="1053"/>
      <c r="D1349" s="1053"/>
      <c r="E1349" s="1054"/>
      <c r="F1349" s="1055"/>
      <c r="G1349" s="1056"/>
      <c r="H1349" s="1057"/>
      <c r="I1349" s="1058"/>
      <c r="J1349" s="1059"/>
      <c r="K1349" s="1059"/>
      <c r="L1349" s="1059">
        <f ca="1">L1350</f>
        <v>16469381.482224394</v>
      </c>
      <c r="M1349" s="153"/>
      <c r="R1349" s="828" t="e">
        <f ca="1">#REF!/L1342</f>
        <v>#REF!</v>
      </c>
      <c r="S1349" s="226"/>
    </row>
    <row r="1350" spans="1:19" ht="19.5" hidden="1" customHeight="1" x14ac:dyDescent="0.4">
      <c r="B1350" s="175" t="s">
        <v>5220</v>
      </c>
      <c r="C1350" s="175"/>
      <c r="D1350" s="175"/>
      <c r="E1350" s="175"/>
      <c r="F1350" s="176"/>
      <c r="G1350" s="176"/>
      <c r="H1350" s="177"/>
      <c r="I1350" s="177"/>
      <c r="J1350" s="178"/>
      <c r="K1350" s="178"/>
      <c r="L1350" s="178">
        <f ca="1">SUM(L1345:L1346)</f>
        <v>16469381.482224394</v>
      </c>
      <c r="M1350" s="43">
        <f ca="1">L1350/180</f>
        <v>91496.563790135522</v>
      </c>
      <c r="N1350" s="226"/>
      <c r="R1350" s="11"/>
    </row>
    <row r="1351" spans="1:19" customFormat="1" ht="19.5" customHeight="1" x14ac:dyDescent="0.3"/>
    <row r="1352" spans="1:19" ht="16.2" x14ac:dyDescent="0.4">
      <c r="B1352" s="1053" t="s">
        <v>7825</v>
      </c>
      <c r="C1352" s="1053"/>
      <c r="D1352" s="1053"/>
      <c r="E1352" s="1054"/>
      <c r="F1352" s="1055"/>
      <c r="G1352" s="1056"/>
      <c r="H1352" s="1057"/>
      <c r="I1352" s="1058"/>
      <c r="J1352" s="1059"/>
      <c r="K1352" s="1059"/>
      <c r="L1352" s="1059">
        <f ca="1">L1342*0.01</f>
        <v>164693.81482224393</v>
      </c>
      <c r="M1352" s="153"/>
      <c r="R1352" s="828" t="e">
        <f ca="1">#REF!/L1345</f>
        <v>#REF!</v>
      </c>
      <c r="S1352" s="226"/>
    </row>
    <row r="1353" spans="1:19" ht="14.4" thickBot="1" x14ac:dyDescent="0.35">
      <c r="G1353" s="788"/>
    </row>
    <row r="1354" spans="1:19" x14ac:dyDescent="0.3">
      <c r="J1354" s="589" t="s">
        <v>7945</v>
      </c>
      <c r="K1354" s="588"/>
      <c r="L1354" s="591">
        <f>'01. Resumo Final'!E12</f>
        <v>4002.24</v>
      </c>
    </row>
    <row r="1355" spans="1:19" ht="14.4" thickBot="1" x14ac:dyDescent="0.35">
      <c r="J1355" s="590" t="s">
        <v>3557</v>
      </c>
      <c r="K1355" s="368"/>
      <c r="L1355" s="587">
        <f ca="1">(L1342)/L1354</f>
        <v>4115.0409476254281</v>
      </c>
      <c r="M1355" s="150">
        <f ca="1">L1355/3000</f>
        <v>1.3716803158751427</v>
      </c>
    </row>
    <row r="1356" spans="1:19" ht="14.4" thickBot="1" x14ac:dyDescent="0.35"/>
    <row r="1357" spans="1:19" x14ac:dyDescent="0.3">
      <c r="I1357" s="551">
        <f ca="1">L1350/L1342</f>
        <v>1</v>
      </c>
      <c r="J1357" s="589" t="s">
        <v>7262</v>
      </c>
      <c r="K1357" s="588"/>
      <c r="L1357" s="591">
        <v>2079.85</v>
      </c>
      <c r="M1357" s="681">
        <f>M1358*L1357</f>
        <v>11399816.156523371</v>
      </c>
    </row>
    <row r="1358" spans="1:19" ht="14.4" thickBot="1" x14ac:dyDescent="0.35">
      <c r="J1358" s="590" t="s">
        <v>3557</v>
      </c>
      <c r="K1358" s="368"/>
      <c r="L1358" s="587">
        <f ca="1">(L1345)/L1357</f>
        <v>7918.5429152219604</v>
      </c>
      <c r="M1358" s="43">
        <v>5481.0761143944856</v>
      </c>
    </row>
    <row r="1360" spans="1:19" ht="12.75" customHeight="1" x14ac:dyDescent="0.3">
      <c r="J1360" s="1112" t="s">
        <v>5221</v>
      </c>
      <c r="K1360" s="688"/>
      <c r="L1360" s="688">
        <f>SUM(L9:L296)</f>
        <v>22108670.558709696</v>
      </c>
      <c r="M1360" s="689"/>
      <c r="N1360" s="690"/>
      <c r="O1360" s="690"/>
      <c r="P1360" s="690"/>
      <c r="Q1360" s="690"/>
      <c r="R1360" s="691"/>
    </row>
    <row r="1361" spans="10:19" ht="14.4" thickBot="1" x14ac:dyDescent="0.35">
      <c r="J1361" s="1113"/>
      <c r="K1361" s="692"/>
      <c r="L1361" s="692">
        <f>L1360/5</f>
        <v>4421734.1117419396</v>
      </c>
      <c r="M1361" s="693" t="s">
        <v>5222</v>
      </c>
      <c r="N1361" s="694"/>
      <c r="O1361" s="694"/>
      <c r="P1361" s="694"/>
      <c r="Q1361" s="694"/>
      <c r="R1361" s="695">
        <f>L9</f>
        <v>4421734.1117419368</v>
      </c>
      <c r="S1361" s="226">
        <f>L1361-R1361</f>
        <v>0</v>
      </c>
    </row>
    <row r="1362" spans="10:19" ht="14.4" thickBot="1" x14ac:dyDescent="0.35">
      <c r="J1362" s="696"/>
      <c r="M1362" s="18"/>
      <c r="R1362" s="150"/>
    </row>
    <row r="1363" spans="10:19" x14ac:dyDescent="0.3">
      <c r="J1363" s="1112" t="s">
        <v>5223</v>
      </c>
      <c r="K1363" s="688"/>
      <c r="L1363" s="688">
        <f ca="1">SUM(L297:L1252)</f>
        <v>59941004.820742272</v>
      </c>
      <c r="M1363" s="697"/>
      <c r="N1363" s="690"/>
      <c r="O1363" s="690"/>
      <c r="P1363" s="690"/>
      <c r="Q1363" s="690"/>
      <c r="R1363" s="698"/>
    </row>
    <row r="1364" spans="10:19" ht="14.4" thickBot="1" x14ac:dyDescent="0.35">
      <c r="J1364" s="1113"/>
      <c r="K1364" s="692"/>
      <c r="L1364" s="692">
        <f ca="1">L1363/5</f>
        <v>11988200.964148454</v>
      </c>
      <c r="M1364" s="693" t="s">
        <v>5224</v>
      </c>
      <c r="N1364" s="694"/>
      <c r="O1364" s="694"/>
      <c r="P1364" s="694"/>
      <c r="Q1364" s="694"/>
      <c r="R1364" s="695">
        <f ca="1">L297</f>
        <v>12047647.370482458</v>
      </c>
      <c r="S1364" s="226">
        <f ca="1">L1364-R1364</f>
        <v>-59446.406334003434</v>
      </c>
    </row>
    <row r="1365" spans="10:19" ht="14.4" thickBot="1" x14ac:dyDescent="0.35">
      <c r="J1365" s="696"/>
      <c r="M1365" s="699"/>
    </row>
    <row r="1366" spans="10:19" ht="14.4" thickBot="1" x14ac:dyDescent="0.35">
      <c r="J1366" s="700" t="s">
        <v>5225</v>
      </c>
      <c r="K1366" s="701"/>
      <c r="L1366" s="701">
        <f ca="1">L1364+L1361</f>
        <v>16409935.075890394</v>
      </c>
      <c r="M1366" s="702" t="s">
        <v>5226</v>
      </c>
      <c r="N1366" s="703"/>
      <c r="O1366" s="703"/>
      <c r="P1366" s="703"/>
      <c r="Q1366" s="703"/>
      <c r="R1366" s="704">
        <f ca="1">R1364+R1361</f>
        <v>16469381.482224394</v>
      </c>
    </row>
    <row r="1367" spans="10:19" ht="14.4" thickBot="1" x14ac:dyDescent="0.35">
      <c r="J1367" s="696"/>
    </row>
    <row r="1368" spans="10:19" ht="14.4" thickBot="1" x14ac:dyDescent="0.35">
      <c r="J1368" s="700" t="s">
        <v>5227</v>
      </c>
      <c r="K1368" s="701"/>
      <c r="L1368" s="704">
        <f ca="1">L1366-R1366</f>
        <v>-59446.406333999708</v>
      </c>
    </row>
  </sheetData>
  <autoFilter ref="B5:L1350" xr:uid="{B7410C54-8F7D-4A6A-B2E2-E31D1B075EAA}"/>
  <mergeCells count="3">
    <mergeCell ref="E1:J2"/>
    <mergeCell ref="J1360:J1361"/>
    <mergeCell ref="J1363:J1364"/>
  </mergeCells>
  <conditionalFormatting sqref="A1:A748 A771:A1350">
    <cfRule type="cellIs" dxfId="12" priority="2" operator="equal">
      <formula>2</formula>
    </cfRule>
  </conditionalFormatting>
  <conditionalFormatting sqref="A749:A756">
    <cfRule type="cellIs" dxfId="11" priority="63" operator="equal">
      <formula>2</formula>
    </cfRule>
  </conditionalFormatting>
  <conditionalFormatting sqref="A757 A759">
    <cfRule type="cellIs" dxfId="10" priority="69" operator="equal">
      <formula>2</formula>
    </cfRule>
  </conditionalFormatting>
  <conditionalFormatting sqref="A758">
    <cfRule type="cellIs" dxfId="9" priority="3" operator="equal">
      <formula>2</formula>
    </cfRule>
  </conditionalFormatting>
  <conditionalFormatting sqref="A760:A770">
    <cfRule type="cellIs" dxfId="8" priority="22" operator="equal">
      <formula>2</formula>
    </cfRule>
  </conditionalFormatting>
  <conditionalFormatting sqref="A1352:A65926">
    <cfRule type="cellIs" dxfId="7" priority="35" operator="equal">
      <formula>2</formula>
    </cfRule>
  </conditionalFormatting>
  <pageMargins left="0.7" right="0.7" top="0.75" bottom="0.75" header="0.3" footer="0.3"/>
  <pageSetup paperSize="9" scale="95" fitToHeight="0" orientation="landscape" r:id="rId1"/>
  <ignoredErrors>
    <ignoredError sqref="J580 L476 J486 J482 J477 I488 J323 J749 J630 J1043 J155 J164 L459:L460 L467:L469 L463:L464 L473" formula="1"/>
  </ignoredError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Plan3"/>
  <dimension ref="A2:J3377"/>
  <sheetViews>
    <sheetView showGridLines="0" zoomScale="101" zoomScaleNormal="101" workbookViewId="0">
      <pane ySplit="3" topLeftCell="A2662" activePane="bottomLeft" state="frozen"/>
      <selection pane="bottomLeft" activeCell="D2674" sqref="D2674"/>
    </sheetView>
  </sheetViews>
  <sheetFormatPr defaultRowHeight="14.4" x14ac:dyDescent="0.3"/>
  <cols>
    <col min="1" max="1" width="10.109375" style="138" bestFit="1" customWidth="1"/>
    <col min="2" max="2" width="86.88671875" style="138" customWidth="1"/>
    <col min="3" max="3" width="10.6640625" style="138" customWidth="1"/>
    <col min="4" max="4" width="17.109375" style="139" bestFit="1" customWidth="1"/>
    <col min="5" max="5" width="40.6640625" style="158" customWidth="1"/>
    <col min="6" max="6" width="11.33203125" style="138" bestFit="1" customWidth="1"/>
    <col min="7" max="7" width="13.33203125" bestFit="1" customWidth="1"/>
    <col min="8" max="8" width="9.5546875" bestFit="1" customWidth="1"/>
    <col min="9" max="9" width="10.5546875" bestFit="1" customWidth="1"/>
  </cols>
  <sheetData>
    <row r="2" spans="1:7" x14ac:dyDescent="0.3">
      <c r="A2" s="1147" t="s">
        <v>118</v>
      </c>
      <c r="B2" s="1147"/>
      <c r="C2" s="1147"/>
      <c r="D2" s="1147"/>
      <c r="E2" s="1147"/>
      <c r="F2" s="1147"/>
    </row>
    <row r="3" spans="1:7" s="138" customFormat="1" ht="15" thickBot="1" x14ac:dyDescent="0.35">
      <c r="A3" s="154" t="s">
        <v>119</v>
      </c>
      <c r="B3" s="154" t="s">
        <v>101</v>
      </c>
      <c r="C3" s="154" t="s">
        <v>28</v>
      </c>
      <c r="D3" s="155" t="s">
        <v>120</v>
      </c>
      <c r="E3" s="154" t="s">
        <v>121</v>
      </c>
      <c r="F3" s="154" t="s">
        <v>122</v>
      </c>
    </row>
    <row r="4" spans="1:7" ht="15.75" customHeight="1" thickTop="1" x14ac:dyDescent="0.3">
      <c r="A4" s="168" t="s">
        <v>117</v>
      </c>
      <c r="B4" s="157" t="s">
        <v>31</v>
      </c>
      <c r="C4" s="159" t="s">
        <v>29</v>
      </c>
      <c r="D4" s="160">
        <v>1</v>
      </c>
      <c r="E4" s="161" t="s">
        <v>240</v>
      </c>
      <c r="F4" s="162">
        <v>42878</v>
      </c>
    </row>
    <row r="5" spans="1:7" ht="15" customHeight="1" x14ac:dyDescent="0.3">
      <c r="A5" s="169" t="s">
        <v>123</v>
      </c>
      <c r="B5" s="156" t="s">
        <v>33</v>
      </c>
      <c r="C5" s="163" t="s">
        <v>29</v>
      </c>
      <c r="D5" s="160">
        <v>2000</v>
      </c>
      <c r="E5" s="165" t="s">
        <v>240</v>
      </c>
      <c r="F5" s="166">
        <v>42761</v>
      </c>
      <c r="G5">
        <v>1.02</v>
      </c>
    </row>
    <row r="6" spans="1:7" ht="15" customHeight="1" x14ac:dyDescent="0.3">
      <c r="A6" s="169" t="s">
        <v>124</v>
      </c>
      <c r="B6" s="156" t="s">
        <v>34</v>
      </c>
      <c r="C6" s="163" t="s">
        <v>29</v>
      </c>
      <c r="D6" s="160">
        <v>2000</v>
      </c>
      <c r="E6" s="165" t="s">
        <v>240</v>
      </c>
      <c r="F6" s="166">
        <v>42761</v>
      </c>
    </row>
    <row r="7" spans="1:7" ht="15" customHeight="1" x14ac:dyDescent="0.3">
      <c r="A7" s="169" t="s">
        <v>125</v>
      </c>
      <c r="B7" s="156" t="s">
        <v>35</v>
      </c>
      <c r="C7" s="163" t="s">
        <v>29</v>
      </c>
      <c r="D7" s="160">
        <v>2000</v>
      </c>
      <c r="E7" s="165" t="s">
        <v>240</v>
      </c>
      <c r="F7" s="166">
        <v>42761</v>
      </c>
    </row>
    <row r="8" spans="1:7" ht="15" customHeight="1" x14ac:dyDescent="0.3">
      <c r="A8" s="169" t="s">
        <v>126</v>
      </c>
      <c r="B8" s="156" t="s">
        <v>3149</v>
      </c>
      <c r="C8" s="163" t="s">
        <v>37</v>
      </c>
      <c r="D8" s="160">
        <v>3000</v>
      </c>
      <c r="E8" s="165"/>
      <c r="F8" s="166">
        <v>43766</v>
      </c>
    </row>
    <row r="9" spans="1:7" ht="15" customHeight="1" x14ac:dyDescent="0.3">
      <c r="A9" s="169" t="s">
        <v>127</v>
      </c>
      <c r="B9" s="156" t="s">
        <v>394</v>
      </c>
      <c r="C9" s="163" t="s">
        <v>241</v>
      </c>
      <c r="D9" s="160">
        <v>2600</v>
      </c>
      <c r="E9" s="165" t="s">
        <v>395</v>
      </c>
      <c r="F9" s="166">
        <v>42761</v>
      </c>
    </row>
    <row r="10" spans="1:7" ht="15" customHeight="1" x14ac:dyDescent="0.3">
      <c r="A10" s="169" t="s">
        <v>128</v>
      </c>
      <c r="B10" s="156" t="s">
        <v>3048</v>
      </c>
      <c r="C10" s="163" t="s">
        <v>74</v>
      </c>
      <c r="D10" s="160">
        <f>(((((55.85+8.74+10.21)*1.3)*1.03)/1.03)*1.02)/1.02</f>
        <v>97.240000000000023</v>
      </c>
      <c r="E10" s="165" t="s">
        <v>3049</v>
      </c>
      <c r="F10" s="166">
        <v>43754</v>
      </c>
    </row>
    <row r="11" spans="1:7" ht="15" customHeight="1" x14ac:dyDescent="0.3">
      <c r="A11" s="169" t="s">
        <v>129</v>
      </c>
      <c r="B11" s="156" t="s">
        <v>243</v>
      </c>
      <c r="C11" s="163" t="s">
        <v>241</v>
      </c>
      <c r="D11" s="160">
        <v>20</v>
      </c>
      <c r="E11" s="165" t="s">
        <v>244</v>
      </c>
      <c r="F11" s="166">
        <v>42760</v>
      </c>
    </row>
    <row r="12" spans="1:7" ht="15" customHeight="1" x14ac:dyDescent="0.3">
      <c r="A12" s="169" t="s">
        <v>130</v>
      </c>
      <c r="B12" s="156" t="s">
        <v>242</v>
      </c>
      <c r="C12" s="163" t="s">
        <v>241</v>
      </c>
      <c r="D12" s="160">
        <v>12</v>
      </c>
      <c r="E12" s="165" t="s">
        <v>244</v>
      </c>
      <c r="F12" s="166">
        <v>42760</v>
      </c>
    </row>
    <row r="13" spans="1:7" ht="15" customHeight="1" x14ac:dyDescent="0.3">
      <c r="A13" s="169" t="s">
        <v>131</v>
      </c>
      <c r="B13" s="156" t="s">
        <v>110</v>
      </c>
      <c r="C13" s="163" t="s">
        <v>241</v>
      </c>
      <c r="D13" s="160">
        <v>62</v>
      </c>
      <c r="E13" s="165" t="s">
        <v>245</v>
      </c>
      <c r="F13" s="166">
        <v>42760</v>
      </c>
    </row>
    <row r="14" spans="1:7" ht="15" customHeight="1" x14ac:dyDescent="0.3">
      <c r="A14" s="169" t="s">
        <v>132</v>
      </c>
      <c r="B14" s="156" t="s">
        <v>108</v>
      </c>
      <c r="C14" s="163" t="s">
        <v>241</v>
      </c>
      <c r="D14" s="160">
        <v>60</v>
      </c>
      <c r="E14" s="165" t="s">
        <v>244</v>
      </c>
      <c r="F14" s="166">
        <v>42760</v>
      </c>
    </row>
    <row r="15" spans="1:7" ht="15" customHeight="1" x14ac:dyDescent="0.3">
      <c r="A15" s="169" t="s">
        <v>133</v>
      </c>
      <c r="B15" s="156" t="s">
        <v>2965</v>
      </c>
      <c r="C15" s="163" t="s">
        <v>29</v>
      </c>
      <c r="D15" s="160">
        <f>((((90600+17000)*1.03)/1.03)*1.02)/1.02</f>
        <v>107600</v>
      </c>
      <c r="E15" s="165" t="s">
        <v>3075</v>
      </c>
      <c r="F15" s="166">
        <v>43752</v>
      </c>
    </row>
    <row r="16" spans="1:7" ht="15" customHeight="1" x14ac:dyDescent="0.3">
      <c r="A16" s="169" t="s">
        <v>134</v>
      </c>
      <c r="B16" s="156" t="s">
        <v>7770</v>
      </c>
      <c r="C16" s="163" t="s">
        <v>251</v>
      </c>
      <c r="D16" s="160">
        <v>2400</v>
      </c>
      <c r="E16" s="165" t="s">
        <v>2261</v>
      </c>
      <c r="F16" s="166">
        <v>45383</v>
      </c>
    </row>
    <row r="17" spans="1:6" ht="15" customHeight="1" x14ac:dyDescent="0.3">
      <c r="A17" s="169" t="s">
        <v>135</v>
      </c>
      <c r="B17" s="156" t="s">
        <v>7771</v>
      </c>
      <c r="C17" s="163" t="s">
        <v>73</v>
      </c>
      <c r="D17" s="160">
        <v>65</v>
      </c>
      <c r="E17" s="165" t="s">
        <v>2261</v>
      </c>
      <c r="F17" s="166">
        <v>45383</v>
      </c>
    </row>
    <row r="18" spans="1:6" ht="15" customHeight="1" x14ac:dyDescent="0.3">
      <c r="A18" s="169" t="s">
        <v>136</v>
      </c>
      <c r="B18" s="156" t="s">
        <v>38</v>
      </c>
      <c r="C18" s="163" t="s">
        <v>241</v>
      </c>
      <c r="D18" s="160">
        <v>150</v>
      </c>
      <c r="E18" s="165" t="s">
        <v>245</v>
      </c>
      <c r="F18" s="166">
        <v>42760</v>
      </c>
    </row>
    <row r="19" spans="1:6" ht="15" customHeight="1" x14ac:dyDescent="0.3">
      <c r="A19" s="169" t="s">
        <v>137</v>
      </c>
      <c r="B19" s="156" t="s">
        <v>247</v>
      </c>
      <c r="C19" s="163" t="s">
        <v>241</v>
      </c>
      <c r="D19" s="160">
        <v>100</v>
      </c>
      <c r="E19" s="165" t="s">
        <v>240</v>
      </c>
      <c r="F19" s="166">
        <v>42760</v>
      </c>
    </row>
    <row r="20" spans="1:6" ht="15" customHeight="1" x14ac:dyDescent="0.3">
      <c r="A20" s="169" t="s">
        <v>138</v>
      </c>
      <c r="B20" s="156" t="s">
        <v>109</v>
      </c>
      <c r="C20" s="163" t="s">
        <v>241</v>
      </c>
      <c r="D20" s="160">
        <v>400</v>
      </c>
      <c r="E20" s="165" t="s">
        <v>240</v>
      </c>
      <c r="F20" s="166">
        <v>42760</v>
      </c>
    </row>
    <row r="21" spans="1:6" ht="15" customHeight="1" x14ac:dyDescent="0.3">
      <c r="A21" s="169" t="s">
        <v>139</v>
      </c>
      <c r="B21" s="156" t="s">
        <v>39</v>
      </c>
      <c r="C21" s="163" t="s">
        <v>241</v>
      </c>
      <c r="D21" s="160">
        <v>1500</v>
      </c>
      <c r="E21" s="165" t="s">
        <v>240</v>
      </c>
      <c r="F21" s="166">
        <v>42760</v>
      </c>
    </row>
    <row r="22" spans="1:6" ht="15" customHeight="1" x14ac:dyDescent="0.3">
      <c r="A22" s="169" t="s">
        <v>140</v>
      </c>
      <c r="B22" s="156" t="s">
        <v>246</v>
      </c>
      <c r="C22" s="163" t="s">
        <v>37</v>
      </c>
      <c r="D22" s="160">
        <v>400</v>
      </c>
      <c r="E22" s="165" t="s">
        <v>245</v>
      </c>
      <c r="F22" s="166">
        <v>42760</v>
      </c>
    </row>
    <row r="23" spans="1:6" ht="15" customHeight="1" x14ac:dyDescent="0.3">
      <c r="A23" s="169" t="s">
        <v>141</v>
      </c>
      <c r="B23" s="156" t="s">
        <v>40</v>
      </c>
      <c r="C23" s="163" t="s">
        <v>241</v>
      </c>
      <c r="D23" s="160">
        <v>100</v>
      </c>
      <c r="E23" s="165" t="s">
        <v>240</v>
      </c>
      <c r="F23" s="166">
        <v>42760</v>
      </c>
    </row>
    <row r="24" spans="1:6" ht="15" customHeight="1" x14ac:dyDescent="0.3">
      <c r="A24" s="169" t="s">
        <v>142</v>
      </c>
      <c r="B24" s="156" t="s">
        <v>41</v>
      </c>
      <c r="C24" s="163" t="s">
        <v>241</v>
      </c>
      <c r="D24" s="160">
        <v>100</v>
      </c>
      <c r="E24" s="165" t="s">
        <v>240</v>
      </c>
      <c r="F24" s="166">
        <v>42760</v>
      </c>
    </row>
    <row r="25" spans="1:6" ht="15" customHeight="1" x14ac:dyDescent="0.3">
      <c r="A25" s="169" t="s">
        <v>143</v>
      </c>
      <c r="B25" s="156" t="s">
        <v>42</v>
      </c>
      <c r="C25" s="163" t="s">
        <v>241</v>
      </c>
      <c r="D25" s="160">
        <v>1000</v>
      </c>
      <c r="E25" s="165" t="s">
        <v>240</v>
      </c>
      <c r="F25" s="166">
        <v>42760</v>
      </c>
    </row>
    <row r="26" spans="1:6" ht="15" customHeight="1" x14ac:dyDescent="0.3">
      <c r="A26" s="169" t="s">
        <v>144</v>
      </c>
      <c r="B26" s="156" t="s">
        <v>8793</v>
      </c>
      <c r="C26" s="163" t="s">
        <v>241</v>
      </c>
      <c r="D26" s="160">
        <v>2500</v>
      </c>
      <c r="E26" s="165" t="s">
        <v>240</v>
      </c>
      <c r="F26" s="166">
        <v>42760</v>
      </c>
    </row>
    <row r="27" spans="1:6" ht="15" customHeight="1" x14ac:dyDescent="0.3">
      <c r="A27" s="169" t="s">
        <v>145</v>
      </c>
      <c r="B27" s="156" t="s">
        <v>43</v>
      </c>
      <c r="C27" s="163" t="s">
        <v>37</v>
      </c>
      <c r="D27" s="160">
        <v>300</v>
      </c>
      <c r="E27" s="165" t="s">
        <v>240</v>
      </c>
      <c r="F27" s="166">
        <v>42760</v>
      </c>
    </row>
    <row r="28" spans="1:6" ht="15" customHeight="1" x14ac:dyDescent="0.3">
      <c r="A28" s="169" t="s">
        <v>146</v>
      </c>
      <c r="B28" s="156" t="s">
        <v>46</v>
      </c>
      <c r="C28" s="163" t="s">
        <v>241</v>
      </c>
      <c r="D28" s="160">
        <f>((((4*135)*1.03)/1.03)*1.02)/1.02</f>
        <v>540</v>
      </c>
      <c r="E28" s="165" t="s">
        <v>3544</v>
      </c>
      <c r="F28" s="166">
        <v>44118</v>
      </c>
    </row>
    <row r="29" spans="1:6" ht="15" customHeight="1" x14ac:dyDescent="0.3">
      <c r="A29" s="169" t="s">
        <v>147</v>
      </c>
      <c r="B29" s="156" t="s">
        <v>91</v>
      </c>
      <c r="C29" s="163" t="s">
        <v>241</v>
      </c>
      <c r="D29" s="160">
        <v>370</v>
      </c>
      <c r="E29" s="165" t="s">
        <v>3544</v>
      </c>
      <c r="F29" s="166">
        <v>44118</v>
      </c>
    </row>
    <row r="30" spans="1:6" ht="15" customHeight="1" x14ac:dyDescent="0.3">
      <c r="A30" s="169" t="s">
        <v>148</v>
      </c>
      <c r="B30" s="156" t="s">
        <v>878</v>
      </c>
      <c r="C30" s="163" t="s">
        <v>37</v>
      </c>
      <c r="D30" s="160">
        <v>300</v>
      </c>
      <c r="E30" s="165" t="s">
        <v>240</v>
      </c>
      <c r="F30" s="166">
        <v>42760</v>
      </c>
    </row>
    <row r="31" spans="1:6" ht="15" customHeight="1" x14ac:dyDescent="0.3">
      <c r="A31" s="169" t="s">
        <v>149</v>
      </c>
      <c r="B31" s="156" t="s">
        <v>271</v>
      </c>
      <c r="C31" s="163" t="s">
        <v>37</v>
      </c>
      <c r="D31" s="160">
        <v>1000</v>
      </c>
      <c r="E31" s="165" t="s">
        <v>1293</v>
      </c>
      <c r="F31" s="166">
        <v>43040</v>
      </c>
    </row>
    <row r="32" spans="1:6" ht="15" customHeight="1" x14ac:dyDescent="0.3">
      <c r="A32" s="169" t="s">
        <v>150</v>
      </c>
      <c r="B32" s="156" t="s">
        <v>111</v>
      </c>
      <c r="C32" s="163" t="s">
        <v>74</v>
      </c>
      <c r="D32" s="160">
        <v>100</v>
      </c>
      <c r="E32" s="165" t="s">
        <v>248</v>
      </c>
      <c r="F32" s="166">
        <v>42760</v>
      </c>
    </row>
    <row r="33" spans="1:6" ht="15" customHeight="1" x14ac:dyDescent="0.3">
      <c r="A33" s="169" t="s">
        <v>151</v>
      </c>
      <c r="B33" s="156" t="s">
        <v>879</v>
      </c>
      <c r="C33" s="163" t="s">
        <v>74</v>
      </c>
      <c r="D33" s="160">
        <v>5.3</v>
      </c>
      <c r="E33" s="165" t="s">
        <v>881</v>
      </c>
      <c r="F33" s="166">
        <v>42878</v>
      </c>
    </row>
    <row r="34" spans="1:6" ht="15" customHeight="1" x14ac:dyDescent="0.3">
      <c r="A34" s="169" t="s">
        <v>152</v>
      </c>
      <c r="B34" s="156" t="s">
        <v>249</v>
      </c>
      <c r="C34" s="163" t="s">
        <v>251</v>
      </c>
      <c r="D34" s="160">
        <v>800</v>
      </c>
      <c r="E34" s="165" t="s">
        <v>882</v>
      </c>
      <c r="F34" s="166">
        <v>42760</v>
      </c>
    </row>
    <row r="35" spans="1:6" ht="15" customHeight="1" x14ac:dyDescent="0.3">
      <c r="A35" s="169" t="s">
        <v>153</v>
      </c>
      <c r="B35" s="156" t="s">
        <v>250</v>
      </c>
      <c r="C35" s="163" t="s">
        <v>37</v>
      </c>
      <c r="D35" s="160">
        <v>290</v>
      </c>
      <c r="E35" s="165" t="s">
        <v>240</v>
      </c>
      <c r="F35" s="166">
        <v>42760</v>
      </c>
    </row>
    <row r="36" spans="1:6" ht="15" customHeight="1" x14ac:dyDescent="0.3">
      <c r="A36" s="169" t="s">
        <v>154</v>
      </c>
      <c r="B36" s="156" t="s">
        <v>252</v>
      </c>
      <c r="C36" s="163" t="s">
        <v>241</v>
      </c>
      <c r="D36" s="160">
        <v>180</v>
      </c>
      <c r="E36" s="165" t="s">
        <v>240</v>
      </c>
      <c r="F36" s="166">
        <v>42760</v>
      </c>
    </row>
    <row r="37" spans="1:6" ht="15" customHeight="1" x14ac:dyDescent="0.3">
      <c r="A37" s="169" t="s">
        <v>155</v>
      </c>
      <c r="B37" s="156" t="s">
        <v>884</v>
      </c>
      <c r="C37" s="163" t="s">
        <v>37</v>
      </c>
      <c r="D37" s="160">
        <f>((((115*8*22)*1.03)/1.03)*1.02)/1.02</f>
        <v>20240</v>
      </c>
      <c r="E37" s="165" t="s">
        <v>883</v>
      </c>
      <c r="F37" s="166">
        <v>42878</v>
      </c>
    </row>
    <row r="38" spans="1:6" ht="15" customHeight="1" x14ac:dyDescent="0.3">
      <c r="A38" s="169" t="s">
        <v>156</v>
      </c>
      <c r="B38" s="156" t="s">
        <v>885</v>
      </c>
      <c r="C38" s="163" t="s">
        <v>241</v>
      </c>
      <c r="D38" s="160">
        <v>1400</v>
      </c>
      <c r="E38" s="165" t="s">
        <v>883</v>
      </c>
      <c r="F38" s="166">
        <v>42878</v>
      </c>
    </row>
    <row r="39" spans="1:6" ht="15" customHeight="1" x14ac:dyDescent="0.3">
      <c r="A39" s="169" t="s">
        <v>157</v>
      </c>
      <c r="B39" s="156" t="s">
        <v>253</v>
      </c>
      <c r="C39" s="163" t="s">
        <v>37</v>
      </c>
      <c r="D39" s="160">
        <v>32000</v>
      </c>
      <c r="E39" s="165" t="s">
        <v>883</v>
      </c>
      <c r="F39" s="166">
        <v>42878</v>
      </c>
    </row>
    <row r="40" spans="1:6" ht="15" customHeight="1" x14ac:dyDescent="0.3">
      <c r="A40" s="169" t="s">
        <v>158</v>
      </c>
      <c r="B40" s="156" t="s">
        <v>254</v>
      </c>
      <c r="C40" s="163" t="s">
        <v>241</v>
      </c>
      <c r="D40" s="160">
        <v>1400</v>
      </c>
      <c r="E40" s="165" t="s">
        <v>883</v>
      </c>
      <c r="F40" s="166">
        <v>42878</v>
      </c>
    </row>
    <row r="41" spans="1:6" ht="15" customHeight="1" x14ac:dyDescent="0.3">
      <c r="A41" s="169" t="s">
        <v>159</v>
      </c>
      <c r="B41" s="156" t="s">
        <v>255</v>
      </c>
      <c r="C41" s="163" t="s">
        <v>37</v>
      </c>
      <c r="D41" s="160">
        <v>850</v>
      </c>
      <c r="E41" s="165" t="s">
        <v>240</v>
      </c>
      <c r="F41" s="166">
        <v>42760</v>
      </c>
    </row>
    <row r="42" spans="1:6" ht="15" customHeight="1" x14ac:dyDescent="0.3">
      <c r="A42" s="169" t="s">
        <v>160</v>
      </c>
      <c r="B42" s="156" t="s">
        <v>50</v>
      </c>
      <c r="C42" s="163" t="s">
        <v>241</v>
      </c>
      <c r="D42" s="160">
        <v>30</v>
      </c>
      <c r="E42" s="165" t="s">
        <v>240</v>
      </c>
      <c r="F42" s="166">
        <v>42760</v>
      </c>
    </row>
    <row r="43" spans="1:6" ht="15" customHeight="1" x14ac:dyDescent="0.3">
      <c r="A43" s="169" t="s">
        <v>161</v>
      </c>
      <c r="B43" s="156" t="s">
        <v>51</v>
      </c>
      <c r="C43" s="163" t="s">
        <v>241</v>
      </c>
      <c r="D43" s="160">
        <v>50</v>
      </c>
      <c r="E43" s="165" t="s">
        <v>240</v>
      </c>
      <c r="F43" s="166">
        <v>42760</v>
      </c>
    </row>
    <row r="44" spans="1:6" ht="15" customHeight="1" x14ac:dyDescent="0.3">
      <c r="A44" s="169" t="s">
        <v>162</v>
      </c>
      <c r="B44" s="156" t="s">
        <v>53</v>
      </c>
      <c r="C44" s="163" t="s">
        <v>241</v>
      </c>
      <c r="D44" s="160">
        <v>30</v>
      </c>
      <c r="E44" s="165" t="s">
        <v>240</v>
      </c>
      <c r="F44" s="166">
        <v>42760</v>
      </c>
    </row>
    <row r="45" spans="1:6" ht="15" customHeight="1" x14ac:dyDescent="0.3">
      <c r="A45" s="169" t="s">
        <v>163</v>
      </c>
      <c r="B45" s="156" t="s">
        <v>52</v>
      </c>
      <c r="C45" s="163" t="s">
        <v>241</v>
      </c>
      <c r="D45" s="160">
        <v>40</v>
      </c>
      <c r="E45" s="165" t="s">
        <v>240</v>
      </c>
      <c r="F45" s="166">
        <v>42760</v>
      </c>
    </row>
    <row r="46" spans="1:6" ht="15" customHeight="1" x14ac:dyDescent="0.3">
      <c r="A46" s="169" t="s">
        <v>164</v>
      </c>
      <c r="B46" s="156" t="s">
        <v>256</v>
      </c>
      <c r="C46" s="163" t="s">
        <v>241</v>
      </c>
      <c r="D46" s="160">
        <v>450</v>
      </c>
      <c r="E46" s="165" t="s">
        <v>240</v>
      </c>
      <c r="F46" s="166">
        <v>42760</v>
      </c>
    </row>
    <row r="47" spans="1:6" ht="15" customHeight="1" x14ac:dyDescent="0.3">
      <c r="A47" s="169" t="s">
        <v>165</v>
      </c>
      <c r="B47" s="156" t="s">
        <v>1005</v>
      </c>
      <c r="C47" s="163" t="s">
        <v>37</v>
      </c>
      <c r="D47" s="160">
        <f>((((245.6*1.25)*1.03)/1.03)*1.02)/1.02</f>
        <v>307</v>
      </c>
      <c r="E47" s="165" t="s">
        <v>1187</v>
      </c>
      <c r="F47" s="166">
        <v>42935</v>
      </c>
    </row>
    <row r="48" spans="1:6" ht="15" customHeight="1" x14ac:dyDescent="0.3">
      <c r="A48" s="169" t="s">
        <v>166</v>
      </c>
      <c r="B48" s="156" t="s">
        <v>60</v>
      </c>
      <c r="C48" s="163" t="s">
        <v>37</v>
      </c>
      <c r="D48" s="160">
        <v>550</v>
      </c>
      <c r="E48" s="165" t="s">
        <v>7947</v>
      </c>
      <c r="F48" s="166">
        <v>45448</v>
      </c>
    </row>
    <row r="49" spans="1:6" ht="15" customHeight="1" x14ac:dyDescent="0.3">
      <c r="A49" s="169" t="s">
        <v>167</v>
      </c>
      <c r="B49" s="156" t="s">
        <v>3560</v>
      </c>
      <c r="C49" s="163" t="s">
        <v>37</v>
      </c>
      <c r="D49" s="160">
        <v>600</v>
      </c>
      <c r="E49" s="165" t="s">
        <v>7947</v>
      </c>
      <c r="F49" s="166">
        <v>45448</v>
      </c>
    </row>
    <row r="50" spans="1:6" ht="15" customHeight="1" x14ac:dyDescent="0.3">
      <c r="A50" s="169" t="s">
        <v>168</v>
      </c>
      <c r="B50" s="156" t="s">
        <v>61</v>
      </c>
      <c r="C50" s="163" t="s">
        <v>37</v>
      </c>
      <c r="D50" s="160">
        <v>60</v>
      </c>
      <c r="E50" s="165" t="s">
        <v>240</v>
      </c>
      <c r="F50" s="166">
        <v>42760</v>
      </c>
    </row>
    <row r="51" spans="1:6" ht="15" customHeight="1" x14ac:dyDescent="0.3">
      <c r="A51" s="169" t="s">
        <v>169</v>
      </c>
      <c r="B51" s="156" t="s">
        <v>62</v>
      </c>
      <c r="C51" s="163" t="s">
        <v>37</v>
      </c>
      <c r="D51" s="160">
        <v>100</v>
      </c>
      <c r="E51" s="165" t="s">
        <v>240</v>
      </c>
      <c r="F51" s="166">
        <v>42760</v>
      </c>
    </row>
    <row r="52" spans="1:6" ht="15" customHeight="1" x14ac:dyDescent="0.3">
      <c r="A52" s="169" t="s">
        <v>170</v>
      </c>
      <c r="B52" s="156" t="s">
        <v>63</v>
      </c>
      <c r="C52" s="163" t="s">
        <v>37</v>
      </c>
      <c r="D52" s="160">
        <v>450</v>
      </c>
      <c r="E52" s="165" t="s">
        <v>6341</v>
      </c>
      <c r="F52" s="166">
        <v>44584</v>
      </c>
    </row>
    <row r="53" spans="1:6" ht="15" customHeight="1" x14ac:dyDescent="0.3">
      <c r="A53" s="169" t="s">
        <v>171</v>
      </c>
      <c r="B53" s="156" t="s">
        <v>113</v>
      </c>
      <c r="C53" s="163" t="s">
        <v>37</v>
      </c>
      <c r="D53" s="160">
        <v>100</v>
      </c>
      <c r="E53" s="165" t="s">
        <v>240</v>
      </c>
      <c r="F53" s="166">
        <v>42760</v>
      </c>
    </row>
    <row r="54" spans="1:6" ht="15" customHeight="1" x14ac:dyDescent="0.3">
      <c r="A54" s="169" t="s">
        <v>172</v>
      </c>
      <c r="B54" s="156" t="s">
        <v>67</v>
      </c>
      <c r="C54" s="163" t="s">
        <v>241</v>
      </c>
      <c r="D54" s="160">
        <v>400</v>
      </c>
      <c r="E54" s="165"/>
      <c r="F54" s="166">
        <v>43711</v>
      </c>
    </row>
    <row r="55" spans="1:6" ht="15" customHeight="1" x14ac:dyDescent="0.3">
      <c r="A55" s="169" t="s">
        <v>173</v>
      </c>
      <c r="B55" s="156" t="s">
        <v>257</v>
      </c>
      <c r="C55" s="163" t="s">
        <v>241</v>
      </c>
      <c r="D55" s="160">
        <v>700</v>
      </c>
      <c r="E55" s="165" t="s">
        <v>240</v>
      </c>
      <c r="F55" s="166">
        <v>42760</v>
      </c>
    </row>
    <row r="56" spans="1:6" ht="15" customHeight="1" x14ac:dyDescent="0.3">
      <c r="A56" s="169" t="s">
        <v>174</v>
      </c>
      <c r="B56" s="156" t="s">
        <v>71</v>
      </c>
      <c r="C56" s="163" t="s">
        <v>37</v>
      </c>
      <c r="D56" s="160">
        <v>1000</v>
      </c>
      <c r="E56" s="165" t="s">
        <v>240</v>
      </c>
      <c r="F56" s="166">
        <v>42760</v>
      </c>
    </row>
    <row r="57" spans="1:6" ht="15" customHeight="1" x14ac:dyDescent="0.3">
      <c r="A57" s="169" t="s">
        <v>175</v>
      </c>
      <c r="B57" s="156" t="s">
        <v>932</v>
      </c>
      <c r="C57" s="163" t="s">
        <v>241</v>
      </c>
      <c r="D57" s="160">
        <v>6500</v>
      </c>
      <c r="E57" s="165" t="s">
        <v>405</v>
      </c>
      <c r="F57" s="166">
        <v>42760</v>
      </c>
    </row>
    <row r="58" spans="1:6" ht="15" customHeight="1" x14ac:dyDescent="0.3">
      <c r="A58" s="169" t="s">
        <v>176</v>
      </c>
      <c r="B58" s="156" t="s">
        <v>933</v>
      </c>
      <c r="C58" s="163" t="s">
        <v>74</v>
      </c>
      <c r="D58" s="160">
        <v>48.5</v>
      </c>
      <c r="E58" s="165" t="s">
        <v>405</v>
      </c>
      <c r="F58" s="166">
        <v>42760</v>
      </c>
    </row>
    <row r="59" spans="1:6" ht="15" customHeight="1" x14ac:dyDescent="0.3">
      <c r="A59" s="169" t="s">
        <v>177</v>
      </c>
      <c r="B59" s="156" t="s">
        <v>934</v>
      </c>
      <c r="C59" s="163" t="s">
        <v>241</v>
      </c>
      <c r="D59" s="160">
        <v>75</v>
      </c>
      <c r="E59" s="165" t="s">
        <v>405</v>
      </c>
      <c r="F59" s="166">
        <v>42760</v>
      </c>
    </row>
    <row r="60" spans="1:6" ht="15" customHeight="1" x14ac:dyDescent="0.3">
      <c r="A60" s="169" t="s">
        <v>178</v>
      </c>
      <c r="B60" s="156" t="s">
        <v>115</v>
      </c>
      <c r="C60" s="163" t="s">
        <v>241</v>
      </c>
      <c r="D60" s="160">
        <v>150</v>
      </c>
      <c r="E60" s="165" t="s">
        <v>5460</v>
      </c>
      <c r="F60" s="166">
        <v>45792</v>
      </c>
    </row>
    <row r="61" spans="1:6" ht="15.75" customHeight="1" x14ac:dyDescent="0.3">
      <c r="A61" s="169" t="s">
        <v>179</v>
      </c>
      <c r="B61" s="156" t="s">
        <v>3055</v>
      </c>
      <c r="C61" s="163" t="s">
        <v>73</v>
      </c>
      <c r="D61" s="160">
        <f>(((((500)+(106.86)*1.2)*1.03)/1.03)*1.02)/1.02</f>
        <v>628.23199999999997</v>
      </c>
      <c r="E61" s="165" t="s">
        <v>3090</v>
      </c>
      <c r="F61" s="166">
        <v>43755</v>
      </c>
    </row>
    <row r="62" spans="1:6" ht="15" customHeight="1" x14ac:dyDescent="0.3">
      <c r="A62" s="169" t="s">
        <v>180</v>
      </c>
      <c r="B62" s="156" t="s">
        <v>5443</v>
      </c>
      <c r="C62" s="163" t="s">
        <v>89</v>
      </c>
      <c r="D62" s="160">
        <v>0.75</v>
      </c>
      <c r="E62" s="165" t="s">
        <v>1182</v>
      </c>
      <c r="F62" s="166">
        <v>44784</v>
      </c>
    </row>
    <row r="63" spans="1:6" ht="15" customHeight="1" x14ac:dyDescent="0.3">
      <c r="A63" s="169" t="s">
        <v>181</v>
      </c>
      <c r="B63" s="156" t="s">
        <v>8448</v>
      </c>
      <c r="C63" s="163" t="s">
        <v>1376</v>
      </c>
      <c r="D63" s="160">
        <v>23000</v>
      </c>
      <c r="E63" s="165" t="s">
        <v>7950</v>
      </c>
      <c r="F63" s="166">
        <v>45336</v>
      </c>
    </row>
    <row r="64" spans="1:6" ht="15" customHeight="1" x14ac:dyDescent="0.3">
      <c r="A64" s="169" t="s">
        <v>182</v>
      </c>
      <c r="B64" s="156" t="s">
        <v>116</v>
      </c>
      <c r="C64" s="163" t="s">
        <v>29</v>
      </c>
      <c r="D64" s="160">
        <v>5000</v>
      </c>
      <c r="E64" s="165" t="s">
        <v>240</v>
      </c>
      <c r="F64" s="166">
        <v>42760</v>
      </c>
    </row>
    <row r="65" spans="1:7" ht="15" customHeight="1" x14ac:dyDescent="0.3">
      <c r="A65" s="169" t="s">
        <v>183</v>
      </c>
      <c r="B65" s="156" t="s">
        <v>272</v>
      </c>
      <c r="C65" s="163" t="s">
        <v>73</v>
      </c>
      <c r="D65" s="160">
        <v>0</v>
      </c>
      <c r="E65" s="165" t="s">
        <v>240</v>
      </c>
      <c r="F65" s="166">
        <v>42760</v>
      </c>
    </row>
    <row r="66" spans="1:7" ht="15" customHeight="1" x14ac:dyDescent="0.3">
      <c r="A66" s="169" t="s">
        <v>184</v>
      </c>
      <c r="B66" s="156" t="s">
        <v>4130</v>
      </c>
      <c r="C66" s="163" t="s">
        <v>4131</v>
      </c>
      <c r="D66" s="160">
        <f>((((3*70)*1.03)/1.03)*1.02)/1.02</f>
        <v>210</v>
      </c>
      <c r="E66" s="165" t="s">
        <v>2185</v>
      </c>
      <c r="F66" s="166">
        <v>44188</v>
      </c>
    </row>
    <row r="67" spans="1:7" ht="15" customHeight="1" x14ac:dyDescent="0.3">
      <c r="A67" s="169" t="s">
        <v>185</v>
      </c>
      <c r="B67" s="156" t="s">
        <v>5804</v>
      </c>
      <c r="C67" s="163" t="s">
        <v>29</v>
      </c>
      <c r="D67" s="160">
        <v>36500</v>
      </c>
      <c r="E67" s="165" t="s">
        <v>5800</v>
      </c>
      <c r="F67" s="166">
        <v>44476</v>
      </c>
    </row>
    <row r="68" spans="1:7" ht="15" customHeight="1" x14ac:dyDescent="0.3">
      <c r="A68" s="169" t="s">
        <v>186</v>
      </c>
      <c r="B68" s="156" t="s">
        <v>273</v>
      </c>
      <c r="C68" s="163" t="s">
        <v>73</v>
      </c>
      <c r="D68" s="160">
        <v>115</v>
      </c>
      <c r="E68" s="165" t="s">
        <v>6192</v>
      </c>
      <c r="F68" s="166">
        <v>44552</v>
      </c>
    </row>
    <row r="69" spans="1:7" ht="15" customHeight="1" x14ac:dyDescent="0.3">
      <c r="A69" s="169" t="s">
        <v>187</v>
      </c>
      <c r="B69" s="156" t="s">
        <v>259</v>
      </c>
      <c r="C69" s="163" t="s">
        <v>241</v>
      </c>
      <c r="D69" s="160">
        <v>130</v>
      </c>
      <c r="E69" s="165" t="s">
        <v>240</v>
      </c>
      <c r="F69" s="166">
        <v>42760</v>
      </c>
    </row>
    <row r="70" spans="1:7" ht="15" customHeight="1" x14ac:dyDescent="0.3">
      <c r="A70" s="169" t="s">
        <v>188</v>
      </c>
      <c r="B70" s="156" t="s">
        <v>258</v>
      </c>
      <c r="C70" s="163" t="s">
        <v>73</v>
      </c>
      <c r="D70" s="160">
        <v>11.8</v>
      </c>
      <c r="E70" s="165" t="s">
        <v>240</v>
      </c>
      <c r="F70" s="166">
        <v>42760</v>
      </c>
    </row>
    <row r="71" spans="1:7" ht="15" customHeight="1" x14ac:dyDescent="0.3">
      <c r="A71" s="169" t="s">
        <v>189</v>
      </c>
      <c r="B71" s="156" t="s">
        <v>1255</v>
      </c>
      <c r="C71" s="163" t="s">
        <v>73</v>
      </c>
      <c r="D71" s="160">
        <v>45</v>
      </c>
      <c r="E71" s="165" t="s">
        <v>1326</v>
      </c>
      <c r="F71" s="166">
        <v>43045</v>
      </c>
    </row>
    <row r="72" spans="1:7" ht="15" customHeight="1" x14ac:dyDescent="0.3">
      <c r="A72" s="169" t="s">
        <v>190</v>
      </c>
      <c r="B72" s="156" t="s">
        <v>7475</v>
      </c>
      <c r="C72" s="163" t="s">
        <v>2088</v>
      </c>
      <c r="D72" s="160">
        <v>36</v>
      </c>
      <c r="E72" s="165" t="s">
        <v>7476</v>
      </c>
      <c r="F72" s="159" t="s">
        <v>7041</v>
      </c>
      <c r="G72" s="166">
        <v>44650</v>
      </c>
    </row>
    <row r="73" spans="1:7" ht="15" customHeight="1" x14ac:dyDescent="0.3">
      <c r="A73" s="169" t="s">
        <v>191</v>
      </c>
      <c r="B73" s="156" t="s">
        <v>2270</v>
      </c>
      <c r="C73" s="163" t="s">
        <v>241</v>
      </c>
      <c r="D73" s="160">
        <v>21.5</v>
      </c>
      <c r="E73" s="165" t="s">
        <v>2185</v>
      </c>
      <c r="F73" s="166">
        <v>44476</v>
      </c>
    </row>
    <row r="74" spans="1:7" ht="15" customHeight="1" x14ac:dyDescent="0.3">
      <c r="A74" s="169" t="s">
        <v>192</v>
      </c>
      <c r="B74" s="156" t="s">
        <v>264</v>
      </c>
      <c r="C74" s="163" t="s">
        <v>2274</v>
      </c>
      <c r="D74" s="160">
        <v>245</v>
      </c>
      <c r="E74" s="165" t="s">
        <v>2185</v>
      </c>
      <c r="F74" s="166">
        <v>43754</v>
      </c>
    </row>
    <row r="75" spans="1:7" ht="15" customHeight="1" x14ac:dyDescent="0.3">
      <c r="A75" s="169" t="s">
        <v>193</v>
      </c>
      <c r="B75" s="156" t="s">
        <v>274</v>
      </c>
      <c r="C75" s="163" t="s">
        <v>2088</v>
      </c>
      <c r="D75" s="160">
        <v>17</v>
      </c>
      <c r="E75" s="165" t="s">
        <v>2273</v>
      </c>
      <c r="F75" s="166">
        <v>42762</v>
      </c>
    </row>
    <row r="76" spans="1:7" ht="15" customHeight="1" x14ac:dyDescent="0.3">
      <c r="A76" s="169" t="s">
        <v>194</v>
      </c>
      <c r="B76" s="156" t="s">
        <v>279</v>
      </c>
      <c r="C76" s="163" t="s">
        <v>241</v>
      </c>
      <c r="D76" s="160">
        <v>220</v>
      </c>
      <c r="E76" s="165" t="s">
        <v>240</v>
      </c>
      <c r="F76" s="166">
        <v>42760</v>
      </c>
    </row>
    <row r="77" spans="1:7" ht="15" customHeight="1" x14ac:dyDescent="0.3">
      <c r="A77" s="169" t="s">
        <v>195</v>
      </c>
      <c r="B77" s="156" t="s">
        <v>3018</v>
      </c>
      <c r="C77" s="163" t="s">
        <v>241</v>
      </c>
      <c r="D77" s="160">
        <v>169.99</v>
      </c>
      <c r="E77" s="165" t="s">
        <v>2185</v>
      </c>
      <c r="F77" s="166">
        <v>43754</v>
      </c>
    </row>
    <row r="78" spans="1:7" ht="15" customHeight="1" x14ac:dyDescent="0.3">
      <c r="A78" s="169" t="s">
        <v>196</v>
      </c>
      <c r="B78" s="156" t="s">
        <v>292</v>
      </c>
      <c r="C78" s="163" t="s">
        <v>241</v>
      </c>
      <c r="D78" s="160">
        <v>90</v>
      </c>
      <c r="E78" s="165" t="s">
        <v>240</v>
      </c>
      <c r="F78" s="166">
        <v>42760</v>
      </c>
    </row>
    <row r="79" spans="1:7" ht="15" customHeight="1" x14ac:dyDescent="0.3">
      <c r="A79" s="169" t="s">
        <v>197</v>
      </c>
      <c r="B79" s="156" t="s">
        <v>293</v>
      </c>
      <c r="C79" s="163" t="s">
        <v>72</v>
      </c>
      <c r="D79" s="160">
        <v>225</v>
      </c>
      <c r="E79" s="165" t="s">
        <v>2261</v>
      </c>
      <c r="F79" s="166">
        <v>42760</v>
      </c>
    </row>
    <row r="80" spans="1:7" ht="15" customHeight="1" x14ac:dyDescent="0.3">
      <c r="A80" s="169" t="s">
        <v>198</v>
      </c>
      <c r="B80" s="156" t="s">
        <v>294</v>
      </c>
      <c r="C80" s="163" t="s">
        <v>73</v>
      </c>
      <c r="D80" s="160">
        <v>26.9</v>
      </c>
      <c r="E80" s="165" t="s">
        <v>240</v>
      </c>
      <c r="F80" s="166">
        <v>42760</v>
      </c>
    </row>
    <row r="81" spans="1:6" ht="15" customHeight="1" x14ac:dyDescent="0.3">
      <c r="A81" s="169" t="s">
        <v>199</v>
      </c>
      <c r="B81" s="156" t="s">
        <v>295</v>
      </c>
      <c r="C81" s="163" t="s">
        <v>241</v>
      </c>
      <c r="D81" s="160">
        <v>21.9</v>
      </c>
      <c r="E81" s="165" t="s">
        <v>1438</v>
      </c>
      <c r="F81" s="166">
        <v>43074</v>
      </c>
    </row>
    <row r="82" spans="1:6" ht="15" customHeight="1" x14ac:dyDescent="0.3">
      <c r="A82" s="169" t="s">
        <v>200</v>
      </c>
      <c r="B82" s="156" t="s">
        <v>296</v>
      </c>
      <c r="C82" s="163" t="s">
        <v>74</v>
      </c>
      <c r="D82" s="160">
        <v>20</v>
      </c>
      <c r="E82" s="165" t="s">
        <v>240</v>
      </c>
      <c r="F82" s="166">
        <v>42760</v>
      </c>
    </row>
    <row r="83" spans="1:6" ht="15" customHeight="1" x14ac:dyDescent="0.3">
      <c r="A83" s="169" t="s">
        <v>201</v>
      </c>
      <c r="B83" s="156" t="s">
        <v>297</v>
      </c>
      <c r="C83" s="163" t="s">
        <v>89</v>
      </c>
      <c r="D83" s="160">
        <v>2.5</v>
      </c>
      <c r="E83" s="165" t="s">
        <v>240</v>
      </c>
      <c r="F83" s="166">
        <v>42760</v>
      </c>
    </row>
    <row r="84" spans="1:6" ht="15" customHeight="1" x14ac:dyDescent="0.3">
      <c r="A84" s="169" t="s">
        <v>202</v>
      </c>
      <c r="B84" s="156" t="s">
        <v>298</v>
      </c>
      <c r="C84" s="163" t="s">
        <v>73</v>
      </c>
      <c r="D84" s="160">
        <v>13.9</v>
      </c>
      <c r="E84" s="165" t="s">
        <v>240</v>
      </c>
      <c r="F84" s="166">
        <v>42760</v>
      </c>
    </row>
    <row r="85" spans="1:6" ht="15" customHeight="1" x14ac:dyDescent="0.3">
      <c r="A85" s="169" t="s">
        <v>203</v>
      </c>
      <c r="B85" s="156" t="s">
        <v>299</v>
      </c>
      <c r="C85" s="163" t="s">
        <v>241</v>
      </c>
      <c r="D85" s="160">
        <v>59.9</v>
      </c>
      <c r="E85" s="165" t="s">
        <v>240</v>
      </c>
      <c r="F85" s="166">
        <v>42760</v>
      </c>
    </row>
    <row r="86" spans="1:6" ht="15" customHeight="1" x14ac:dyDescent="0.3">
      <c r="A86" s="169" t="s">
        <v>204</v>
      </c>
      <c r="B86" s="156" t="s">
        <v>6194</v>
      </c>
      <c r="C86" s="163" t="s">
        <v>73</v>
      </c>
      <c r="D86" s="160">
        <f>((((75*1.15)*1.03)/1.03)*1.02)/1.02</f>
        <v>86.25</v>
      </c>
      <c r="E86" s="165" t="s">
        <v>4123</v>
      </c>
      <c r="F86" s="166">
        <v>44551</v>
      </c>
    </row>
    <row r="87" spans="1:6" ht="15" customHeight="1" x14ac:dyDescent="0.3">
      <c r="A87" s="169" t="s">
        <v>205</v>
      </c>
      <c r="B87" s="156" t="s">
        <v>959</v>
      </c>
      <c r="C87" s="163" t="s">
        <v>241</v>
      </c>
      <c r="D87" s="160">
        <v>299</v>
      </c>
      <c r="E87" s="165" t="s">
        <v>240</v>
      </c>
      <c r="F87" s="166">
        <v>42760</v>
      </c>
    </row>
    <row r="88" spans="1:6" ht="15" customHeight="1" x14ac:dyDescent="0.3">
      <c r="A88" s="169" t="s">
        <v>206</v>
      </c>
      <c r="B88" s="156" t="s">
        <v>961</v>
      </c>
      <c r="C88" s="163" t="s">
        <v>241</v>
      </c>
      <c r="D88" s="160">
        <v>126.90000000000002</v>
      </c>
      <c r="E88" s="165" t="s">
        <v>240</v>
      </c>
      <c r="F88" s="166">
        <v>42760</v>
      </c>
    </row>
    <row r="89" spans="1:6" ht="15" customHeight="1" x14ac:dyDescent="0.3">
      <c r="A89" s="169" t="s">
        <v>207</v>
      </c>
      <c r="B89" s="156" t="s">
        <v>305</v>
      </c>
      <c r="C89" s="163" t="s">
        <v>241</v>
      </c>
      <c r="D89" s="160">
        <v>0</v>
      </c>
      <c r="E89" s="165" t="s">
        <v>304</v>
      </c>
      <c r="F89" s="166">
        <v>42760</v>
      </c>
    </row>
    <row r="90" spans="1:6" ht="15" customHeight="1" x14ac:dyDescent="0.3">
      <c r="A90" s="169" t="s">
        <v>208</v>
      </c>
      <c r="B90" s="156" t="s">
        <v>1235</v>
      </c>
      <c r="C90" s="163" t="s">
        <v>241</v>
      </c>
      <c r="D90" s="160">
        <v>423.9</v>
      </c>
      <c r="E90" s="165" t="s">
        <v>963</v>
      </c>
      <c r="F90" s="166">
        <v>42936</v>
      </c>
    </row>
    <row r="91" spans="1:6" ht="15" customHeight="1" x14ac:dyDescent="0.3">
      <c r="A91" s="169" t="s">
        <v>209</v>
      </c>
      <c r="B91" s="156" t="s">
        <v>306</v>
      </c>
      <c r="C91" s="163" t="s">
        <v>241</v>
      </c>
      <c r="D91" s="160">
        <v>0</v>
      </c>
      <c r="E91" s="165" t="s">
        <v>304</v>
      </c>
      <c r="F91" s="166">
        <v>42760</v>
      </c>
    </row>
    <row r="92" spans="1:6" ht="15" customHeight="1" x14ac:dyDescent="0.3">
      <c r="A92" s="169" t="s">
        <v>210</v>
      </c>
      <c r="B92" s="156" t="s">
        <v>308</v>
      </c>
      <c r="C92" s="163" t="s">
        <v>241</v>
      </c>
      <c r="D92" s="160">
        <v>650</v>
      </c>
      <c r="E92" s="165" t="s">
        <v>240</v>
      </c>
      <c r="F92" s="166">
        <v>42760</v>
      </c>
    </row>
    <row r="93" spans="1:6" ht="15" customHeight="1" x14ac:dyDescent="0.3">
      <c r="A93" s="169" t="s">
        <v>211</v>
      </c>
      <c r="B93" s="156" t="s">
        <v>309</v>
      </c>
      <c r="C93" s="163" t="s">
        <v>241</v>
      </c>
      <c r="D93" s="160">
        <f>((((D92*2)*1.03)/1.03)*1.02)/1.02</f>
        <v>1300</v>
      </c>
      <c r="E93" s="165" t="s">
        <v>240</v>
      </c>
      <c r="F93" s="166">
        <v>42760</v>
      </c>
    </row>
    <row r="94" spans="1:6" ht="15" customHeight="1" x14ac:dyDescent="0.3">
      <c r="A94" s="169" t="s">
        <v>212</v>
      </c>
      <c r="B94" s="156" t="s">
        <v>310</v>
      </c>
      <c r="C94" s="163" t="s">
        <v>241</v>
      </c>
      <c r="D94" s="160">
        <v>100</v>
      </c>
      <c r="E94" s="165" t="s">
        <v>240</v>
      </c>
      <c r="F94" s="166">
        <v>42760</v>
      </c>
    </row>
    <row r="95" spans="1:6" ht="15" customHeight="1" x14ac:dyDescent="0.3">
      <c r="A95" s="169" t="s">
        <v>213</v>
      </c>
      <c r="B95" s="156" t="s">
        <v>317</v>
      </c>
      <c r="C95" s="163" t="s">
        <v>241</v>
      </c>
      <c r="D95" s="160">
        <v>1440</v>
      </c>
      <c r="E95" s="165" t="s">
        <v>316</v>
      </c>
      <c r="F95" s="167">
        <v>42779</v>
      </c>
    </row>
    <row r="96" spans="1:6" ht="15" customHeight="1" x14ac:dyDescent="0.3">
      <c r="A96" s="169" t="s">
        <v>214</v>
      </c>
      <c r="B96" s="156" t="s">
        <v>318</v>
      </c>
      <c r="C96" s="163" t="s">
        <v>241</v>
      </c>
      <c r="D96" s="160">
        <v>1100</v>
      </c>
      <c r="E96" s="165" t="s">
        <v>316</v>
      </c>
      <c r="F96" s="167">
        <v>42779</v>
      </c>
    </row>
    <row r="97" spans="1:6" ht="15" customHeight="1" x14ac:dyDescent="0.3">
      <c r="A97" s="169" t="s">
        <v>215</v>
      </c>
      <c r="B97" s="156" t="s">
        <v>311</v>
      </c>
      <c r="C97" s="163" t="s">
        <v>74</v>
      </c>
      <c r="D97" s="160">
        <v>60</v>
      </c>
      <c r="E97" s="165" t="s">
        <v>240</v>
      </c>
      <c r="F97" s="166">
        <v>42760</v>
      </c>
    </row>
    <row r="98" spans="1:6" ht="15" customHeight="1" x14ac:dyDescent="0.3">
      <c r="A98" s="169" t="s">
        <v>216</v>
      </c>
      <c r="B98" s="156" t="s">
        <v>312</v>
      </c>
      <c r="C98" s="163" t="s">
        <v>74</v>
      </c>
      <c r="D98" s="160">
        <v>120</v>
      </c>
      <c r="E98" s="165" t="s">
        <v>240</v>
      </c>
      <c r="F98" s="166">
        <v>42760</v>
      </c>
    </row>
    <row r="99" spans="1:6" ht="15" customHeight="1" x14ac:dyDescent="0.3">
      <c r="A99" s="169" t="s">
        <v>217</v>
      </c>
      <c r="B99" s="156" t="s">
        <v>313</v>
      </c>
      <c r="C99" s="163" t="s">
        <v>74</v>
      </c>
      <c r="D99" s="160">
        <v>180</v>
      </c>
      <c r="E99" s="165" t="s">
        <v>240</v>
      </c>
      <c r="F99" s="166">
        <v>42760</v>
      </c>
    </row>
    <row r="100" spans="1:6" ht="15" customHeight="1" x14ac:dyDescent="0.3">
      <c r="A100" s="169" t="s">
        <v>218</v>
      </c>
      <c r="B100" s="156" t="s">
        <v>1342</v>
      </c>
      <c r="C100" s="163" t="s">
        <v>73</v>
      </c>
      <c r="D100" s="160">
        <v>116</v>
      </c>
      <c r="E100" s="517" t="s">
        <v>3121</v>
      </c>
      <c r="F100" s="518">
        <v>43760</v>
      </c>
    </row>
    <row r="101" spans="1:6" ht="15" customHeight="1" x14ac:dyDescent="0.3">
      <c r="A101" s="169" t="s">
        <v>219</v>
      </c>
      <c r="B101" s="156" t="s">
        <v>996</v>
      </c>
      <c r="C101" s="163" t="s">
        <v>73</v>
      </c>
      <c r="D101" s="160">
        <v>65</v>
      </c>
      <c r="E101" s="165" t="s">
        <v>240</v>
      </c>
      <c r="F101" s="166">
        <v>42760</v>
      </c>
    </row>
    <row r="102" spans="1:6" ht="15" customHeight="1" x14ac:dyDescent="0.3">
      <c r="A102" s="169" t="s">
        <v>220</v>
      </c>
      <c r="B102" s="156" t="s">
        <v>314</v>
      </c>
      <c r="C102" s="163" t="s">
        <v>29</v>
      </c>
      <c r="D102" s="160">
        <v>30140</v>
      </c>
      <c r="E102" s="165" t="s">
        <v>315</v>
      </c>
      <c r="F102" s="166">
        <v>42760</v>
      </c>
    </row>
    <row r="103" spans="1:6" ht="15" customHeight="1" x14ac:dyDescent="0.3">
      <c r="A103" s="169" t="s">
        <v>221</v>
      </c>
      <c r="B103" s="156" t="s">
        <v>8013</v>
      </c>
      <c r="C103" s="163" t="s">
        <v>29</v>
      </c>
      <c r="D103" s="160">
        <v>1500</v>
      </c>
      <c r="E103" s="165" t="s">
        <v>8014</v>
      </c>
      <c r="F103" s="166">
        <v>45611</v>
      </c>
    </row>
    <row r="104" spans="1:6" ht="15" customHeight="1" x14ac:dyDescent="0.3">
      <c r="A104" s="169" t="s">
        <v>222</v>
      </c>
      <c r="B104" s="156" t="s">
        <v>8011</v>
      </c>
      <c r="C104" s="163" t="s">
        <v>241</v>
      </c>
      <c r="D104" s="160">
        <v>950</v>
      </c>
      <c r="E104" s="165" t="s">
        <v>8014</v>
      </c>
      <c r="F104" s="166">
        <v>45611</v>
      </c>
    </row>
    <row r="105" spans="1:6" ht="15" customHeight="1" x14ac:dyDescent="0.3">
      <c r="A105" s="169" t="s">
        <v>223</v>
      </c>
      <c r="B105" s="156" t="s">
        <v>8012</v>
      </c>
      <c r="C105" s="163" t="s">
        <v>241</v>
      </c>
      <c r="D105" s="160">
        <v>950</v>
      </c>
      <c r="E105" s="165" t="s">
        <v>8014</v>
      </c>
      <c r="F105" s="166">
        <v>45611</v>
      </c>
    </row>
    <row r="106" spans="1:6" ht="15" customHeight="1" x14ac:dyDescent="0.3">
      <c r="A106" s="169" t="s">
        <v>224</v>
      </c>
      <c r="B106" s="156" t="s">
        <v>390</v>
      </c>
      <c r="C106" s="163" t="s">
        <v>251</v>
      </c>
      <c r="D106" s="160">
        <v>225</v>
      </c>
      <c r="E106" s="165" t="s">
        <v>7315</v>
      </c>
      <c r="F106" s="166">
        <v>44714</v>
      </c>
    </row>
    <row r="107" spans="1:6" ht="15" customHeight="1" x14ac:dyDescent="0.3">
      <c r="A107" s="169" t="s">
        <v>225</v>
      </c>
      <c r="B107" s="156" t="s">
        <v>391</v>
      </c>
      <c r="C107" s="163" t="s">
        <v>241</v>
      </c>
      <c r="D107" s="160">
        <v>155</v>
      </c>
      <c r="E107" s="165" t="s">
        <v>7315</v>
      </c>
      <c r="F107" s="166">
        <v>44714</v>
      </c>
    </row>
    <row r="108" spans="1:6" ht="15" customHeight="1" x14ac:dyDescent="0.3">
      <c r="A108" s="169" t="s">
        <v>226</v>
      </c>
      <c r="B108" s="156" t="s">
        <v>393</v>
      </c>
      <c r="C108" s="170" t="s">
        <v>392</v>
      </c>
      <c r="D108" s="160">
        <v>12</v>
      </c>
      <c r="E108" s="165" t="s">
        <v>7315</v>
      </c>
      <c r="F108" s="166">
        <v>44714</v>
      </c>
    </row>
    <row r="109" spans="1:6" ht="15" customHeight="1" x14ac:dyDescent="0.3">
      <c r="A109" s="169" t="s">
        <v>227</v>
      </c>
      <c r="B109" s="156" t="s">
        <v>7984</v>
      </c>
      <c r="C109" s="163" t="s">
        <v>241</v>
      </c>
      <c r="D109" s="160">
        <v>450</v>
      </c>
      <c r="E109" s="165" t="s">
        <v>7315</v>
      </c>
      <c r="F109" s="166">
        <v>44714</v>
      </c>
    </row>
    <row r="110" spans="1:6" ht="15" customHeight="1" x14ac:dyDescent="0.3">
      <c r="A110" s="169" t="s">
        <v>228</v>
      </c>
      <c r="B110" s="156" t="s">
        <v>7983</v>
      </c>
      <c r="C110" s="163" t="s">
        <v>241</v>
      </c>
      <c r="D110" s="160">
        <v>155</v>
      </c>
      <c r="E110" s="165" t="s">
        <v>7315</v>
      </c>
      <c r="F110" s="166">
        <v>44714</v>
      </c>
    </row>
    <row r="111" spans="1:6" ht="15" customHeight="1" x14ac:dyDescent="0.3">
      <c r="A111" s="169" t="s">
        <v>229</v>
      </c>
      <c r="B111" s="156" t="s">
        <v>1006</v>
      </c>
      <c r="C111" s="163" t="s">
        <v>37</v>
      </c>
      <c r="D111" s="160">
        <v>10000</v>
      </c>
      <c r="E111" s="165"/>
      <c r="F111" s="166"/>
    </row>
    <row r="112" spans="1:6" ht="15" customHeight="1" x14ac:dyDescent="0.3">
      <c r="A112" s="169" t="s">
        <v>230</v>
      </c>
      <c r="B112" s="156" t="s">
        <v>397</v>
      </c>
      <c r="C112" s="163" t="s">
        <v>37</v>
      </c>
      <c r="D112" s="160">
        <v>500</v>
      </c>
      <c r="E112" s="165" t="s">
        <v>3546</v>
      </c>
      <c r="F112" s="166">
        <v>43891</v>
      </c>
    </row>
    <row r="113" spans="1:6" ht="15" customHeight="1" x14ac:dyDescent="0.3">
      <c r="A113" s="169" t="s">
        <v>231</v>
      </c>
      <c r="B113" s="156" t="s">
        <v>398</v>
      </c>
      <c r="C113" s="163" t="s">
        <v>37</v>
      </c>
      <c r="D113" s="160">
        <v>900</v>
      </c>
      <c r="E113" s="165" t="s">
        <v>6290</v>
      </c>
      <c r="F113" s="166">
        <v>43891</v>
      </c>
    </row>
    <row r="114" spans="1:6" ht="15" customHeight="1" x14ac:dyDescent="0.3">
      <c r="A114" s="169" t="s">
        <v>232</v>
      </c>
      <c r="B114" s="156" t="s">
        <v>399</v>
      </c>
      <c r="C114" s="163" t="s">
        <v>37</v>
      </c>
      <c r="D114" s="160">
        <v>400</v>
      </c>
      <c r="E114" s="165" t="s">
        <v>396</v>
      </c>
      <c r="F114" s="166">
        <v>42878</v>
      </c>
    </row>
    <row r="115" spans="1:6" ht="15" customHeight="1" x14ac:dyDescent="0.3">
      <c r="A115" s="169" t="s">
        <v>233</v>
      </c>
      <c r="B115" s="156" t="s">
        <v>400</v>
      </c>
      <c r="C115" s="163" t="s">
        <v>37</v>
      </c>
      <c r="D115" s="160">
        <v>400</v>
      </c>
      <c r="E115" s="165" t="s">
        <v>6290</v>
      </c>
      <c r="F115" s="166">
        <v>43891</v>
      </c>
    </row>
    <row r="116" spans="1:6" ht="15" customHeight="1" x14ac:dyDescent="0.3">
      <c r="A116" s="169" t="s">
        <v>234</v>
      </c>
      <c r="B116" s="156" t="s">
        <v>401</v>
      </c>
      <c r="C116" s="163" t="s">
        <v>37</v>
      </c>
      <c r="D116" s="160">
        <v>800</v>
      </c>
      <c r="E116" s="165" t="s">
        <v>396</v>
      </c>
      <c r="F116" s="166">
        <v>42878</v>
      </c>
    </row>
    <row r="117" spans="1:6" ht="15" customHeight="1" x14ac:dyDescent="0.3">
      <c r="A117" s="169" t="s">
        <v>235</v>
      </c>
      <c r="B117" s="156" t="s">
        <v>1007</v>
      </c>
      <c r="C117" s="163" t="s">
        <v>29</v>
      </c>
      <c r="D117" s="160">
        <v>4000</v>
      </c>
      <c r="E117" s="165" t="s">
        <v>396</v>
      </c>
      <c r="F117" s="166">
        <v>42878</v>
      </c>
    </row>
    <row r="118" spans="1:6" ht="15" customHeight="1" x14ac:dyDescent="0.3">
      <c r="A118" s="169" t="s">
        <v>236</v>
      </c>
      <c r="B118" s="156" t="s">
        <v>402</v>
      </c>
      <c r="C118" s="163" t="s">
        <v>3547</v>
      </c>
      <c r="D118" s="160">
        <v>920</v>
      </c>
      <c r="E118" s="165" t="s">
        <v>3546</v>
      </c>
      <c r="F118" s="166">
        <v>43891</v>
      </c>
    </row>
    <row r="119" spans="1:6" ht="15" customHeight="1" x14ac:dyDescent="0.3">
      <c r="A119" s="169" t="s">
        <v>237</v>
      </c>
      <c r="B119" s="156" t="s">
        <v>403</v>
      </c>
      <c r="C119" s="163" t="s">
        <v>37</v>
      </c>
      <c r="D119" s="160">
        <v>500</v>
      </c>
      <c r="E119" s="165" t="s">
        <v>396</v>
      </c>
      <c r="F119" s="166">
        <v>42878</v>
      </c>
    </row>
    <row r="120" spans="1:6" ht="15" customHeight="1" x14ac:dyDescent="0.3">
      <c r="A120" s="169" t="s">
        <v>238</v>
      </c>
      <c r="B120" s="156" t="s">
        <v>404</v>
      </c>
      <c r="C120" s="163" t="s">
        <v>73</v>
      </c>
      <c r="D120" s="160">
        <v>78</v>
      </c>
      <c r="E120" s="165" t="s">
        <v>2238</v>
      </c>
      <c r="F120" s="166">
        <v>43168</v>
      </c>
    </row>
    <row r="121" spans="1:6" ht="15" customHeight="1" x14ac:dyDescent="0.3">
      <c r="A121" s="169" t="s">
        <v>239</v>
      </c>
      <c r="B121" s="156" t="s">
        <v>406</v>
      </c>
      <c r="C121" s="163" t="s">
        <v>73</v>
      </c>
      <c r="D121" s="160">
        <v>40</v>
      </c>
      <c r="E121" s="165" t="s">
        <v>405</v>
      </c>
      <c r="F121" s="166">
        <v>42878</v>
      </c>
    </row>
    <row r="122" spans="1:6" ht="15" customHeight="1" x14ac:dyDescent="0.3">
      <c r="A122" s="169" t="s">
        <v>407</v>
      </c>
      <c r="B122" s="156" t="s">
        <v>876</v>
      </c>
      <c r="C122" s="163" t="s">
        <v>241</v>
      </c>
      <c r="D122" s="160">
        <v>2500</v>
      </c>
      <c r="E122" s="165" t="s">
        <v>405</v>
      </c>
      <c r="F122" s="166">
        <v>42878</v>
      </c>
    </row>
    <row r="123" spans="1:6" ht="15" customHeight="1" x14ac:dyDescent="0.3">
      <c r="A123" s="169" t="s">
        <v>408</v>
      </c>
      <c r="B123" s="156" t="s">
        <v>875</v>
      </c>
      <c r="C123" s="163" t="s">
        <v>74</v>
      </c>
      <c r="D123" s="160">
        <v>70</v>
      </c>
      <c r="E123" s="165" t="s">
        <v>405</v>
      </c>
      <c r="F123" s="166">
        <v>42878</v>
      </c>
    </row>
    <row r="124" spans="1:6" ht="15" customHeight="1" x14ac:dyDescent="0.3">
      <c r="A124" s="169" t="s">
        <v>409</v>
      </c>
      <c r="B124" s="156" t="s">
        <v>3542</v>
      </c>
      <c r="C124" s="163" t="s">
        <v>74</v>
      </c>
      <c r="D124" s="160">
        <v>530</v>
      </c>
      <c r="E124" s="165" t="s">
        <v>5460</v>
      </c>
      <c r="F124" s="166">
        <v>44584</v>
      </c>
    </row>
    <row r="125" spans="1:6" ht="15" customHeight="1" x14ac:dyDescent="0.3">
      <c r="A125" s="169" t="s">
        <v>410</v>
      </c>
      <c r="B125" s="156" t="s">
        <v>880</v>
      </c>
      <c r="C125" s="163" t="s">
        <v>241</v>
      </c>
      <c r="D125" s="160">
        <v>3000</v>
      </c>
      <c r="E125" s="165" t="s">
        <v>881</v>
      </c>
      <c r="F125" s="166">
        <v>42878</v>
      </c>
    </row>
    <row r="126" spans="1:6" ht="15" customHeight="1" x14ac:dyDescent="0.3">
      <c r="A126" s="169" t="s">
        <v>411</v>
      </c>
      <c r="B126" s="156" t="s">
        <v>2574</v>
      </c>
      <c r="C126" s="163" t="s">
        <v>37</v>
      </c>
      <c r="D126" s="160">
        <v>185</v>
      </c>
      <c r="E126" s="165" t="s">
        <v>886</v>
      </c>
      <c r="F126" s="166">
        <v>44384</v>
      </c>
    </row>
    <row r="127" spans="1:6" ht="15" customHeight="1" x14ac:dyDescent="0.3">
      <c r="A127" s="169" t="s">
        <v>412</v>
      </c>
      <c r="B127" s="156" t="s">
        <v>887</v>
      </c>
      <c r="C127" s="163" t="s">
        <v>37</v>
      </c>
      <c r="D127" s="160">
        <v>165</v>
      </c>
      <c r="E127" s="165" t="s">
        <v>886</v>
      </c>
      <c r="F127" s="166">
        <v>44313</v>
      </c>
    </row>
    <row r="128" spans="1:6" ht="15" customHeight="1" x14ac:dyDescent="0.3">
      <c r="A128" s="169" t="s">
        <v>413</v>
      </c>
      <c r="B128" s="156" t="s">
        <v>2575</v>
      </c>
      <c r="C128" s="163" t="s">
        <v>37</v>
      </c>
      <c r="D128" s="160">
        <v>250</v>
      </c>
      <c r="E128" s="165" t="s">
        <v>886</v>
      </c>
      <c r="F128" s="166">
        <v>42878</v>
      </c>
    </row>
    <row r="129" spans="1:6" ht="15" customHeight="1" x14ac:dyDescent="0.3">
      <c r="A129" s="169" t="s">
        <v>414</v>
      </c>
      <c r="B129" s="156" t="s">
        <v>6429</v>
      </c>
      <c r="C129" s="163" t="s">
        <v>74</v>
      </c>
      <c r="D129" s="160">
        <v>120</v>
      </c>
      <c r="E129" s="165" t="s">
        <v>5460</v>
      </c>
      <c r="F129" s="166">
        <v>45365</v>
      </c>
    </row>
    <row r="130" spans="1:6" ht="15" customHeight="1" x14ac:dyDescent="0.3">
      <c r="A130" s="169" t="s">
        <v>415</v>
      </c>
      <c r="B130" s="156" t="s">
        <v>889</v>
      </c>
      <c r="C130" s="163" t="s">
        <v>74</v>
      </c>
      <c r="D130" s="160">
        <v>15</v>
      </c>
      <c r="E130" s="165" t="s">
        <v>405</v>
      </c>
      <c r="F130" s="166">
        <v>42878</v>
      </c>
    </row>
    <row r="131" spans="1:6" ht="15" customHeight="1" x14ac:dyDescent="0.3">
      <c r="A131" s="169" t="s">
        <v>416</v>
      </c>
      <c r="B131" s="156" t="s">
        <v>890</v>
      </c>
      <c r="C131" s="163" t="s">
        <v>73</v>
      </c>
      <c r="D131" s="160">
        <f>((((137.5+10)*1.03)/1.03)*1.02)/1.02</f>
        <v>147.5</v>
      </c>
      <c r="E131" s="165" t="s">
        <v>405</v>
      </c>
      <c r="F131" s="166">
        <v>42878</v>
      </c>
    </row>
    <row r="132" spans="1:6" ht="15" customHeight="1" x14ac:dyDescent="0.3">
      <c r="A132" s="169" t="s">
        <v>417</v>
      </c>
      <c r="B132" s="156"/>
      <c r="C132" s="163"/>
      <c r="D132" s="160"/>
      <c r="E132" s="165"/>
      <c r="F132" s="166"/>
    </row>
    <row r="133" spans="1:6" ht="15" customHeight="1" x14ac:dyDescent="0.3">
      <c r="A133" s="169" t="s">
        <v>418</v>
      </c>
      <c r="B133" s="156" t="s">
        <v>891</v>
      </c>
      <c r="C133" s="163" t="s">
        <v>89</v>
      </c>
      <c r="D133" s="160">
        <f>((((37/5)*1.03)/1.03)*1.02)/1.02</f>
        <v>7.4</v>
      </c>
      <c r="E133" s="165" t="s">
        <v>947</v>
      </c>
      <c r="F133" s="166">
        <v>42935</v>
      </c>
    </row>
    <row r="134" spans="1:6" ht="15" customHeight="1" x14ac:dyDescent="0.3">
      <c r="A134" s="169" t="s">
        <v>419</v>
      </c>
      <c r="B134" s="156" t="s">
        <v>892</v>
      </c>
      <c r="C134" s="163" t="s">
        <v>73</v>
      </c>
      <c r="D134" s="160">
        <v>36</v>
      </c>
      <c r="E134" s="165" t="s">
        <v>944</v>
      </c>
      <c r="F134" s="166">
        <v>42937</v>
      </c>
    </row>
    <row r="135" spans="1:6" ht="15" customHeight="1" x14ac:dyDescent="0.3">
      <c r="A135" s="169" t="s">
        <v>420</v>
      </c>
      <c r="B135" s="156" t="s">
        <v>893</v>
      </c>
      <c r="C135" s="163" t="s">
        <v>73</v>
      </c>
      <c r="D135" s="160">
        <v>33</v>
      </c>
      <c r="E135" s="165" t="s">
        <v>944</v>
      </c>
      <c r="F135" s="166">
        <v>42937</v>
      </c>
    </row>
    <row r="136" spans="1:6" ht="15" customHeight="1" x14ac:dyDescent="0.3">
      <c r="A136" s="169" t="s">
        <v>421</v>
      </c>
      <c r="B136" s="156" t="s">
        <v>945</v>
      </c>
      <c r="C136" s="163" t="s">
        <v>73</v>
      </c>
      <c r="D136" s="160">
        <v>19.899999999999999</v>
      </c>
      <c r="E136" s="165" t="s">
        <v>947</v>
      </c>
      <c r="F136" s="166">
        <v>42878</v>
      </c>
    </row>
    <row r="137" spans="1:6" ht="15" customHeight="1" x14ac:dyDescent="0.3">
      <c r="A137" s="169" t="s">
        <v>422</v>
      </c>
      <c r="B137" s="156" t="s">
        <v>894</v>
      </c>
      <c r="C137" s="163" t="s">
        <v>73</v>
      </c>
      <c r="D137" s="160">
        <v>114.5</v>
      </c>
      <c r="E137" s="165" t="s">
        <v>972</v>
      </c>
      <c r="F137" s="166">
        <v>42878</v>
      </c>
    </row>
    <row r="138" spans="1:6" ht="15" customHeight="1" x14ac:dyDescent="0.3">
      <c r="A138" s="169" t="s">
        <v>423</v>
      </c>
      <c r="B138" s="156" t="s">
        <v>948</v>
      </c>
      <c r="C138" s="163" t="s">
        <v>73</v>
      </c>
      <c r="D138" s="160">
        <f>((((450/(10*0.52))*1.03)/1.03)*1.02)/1.02</f>
        <v>86.538461538461533</v>
      </c>
      <c r="E138" s="165" t="s">
        <v>949</v>
      </c>
      <c r="F138" s="166">
        <v>42878</v>
      </c>
    </row>
    <row r="139" spans="1:6" ht="15" customHeight="1" x14ac:dyDescent="0.3">
      <c r="A139" s="169" t="s">
        <v>424</v>
      </c>
      <c r="B139" s="156" t="s">
        <v>897</v>
      </c>
      <c r="C139" s="163" t="s">
        <v>74</v>
      </c>
      <c r="D139" s="160">
        <v>105</v>
      </c>
      <c r="E139" s="165" t="s">
        <v>405</v>
      </c>
      <c r="F139" s="166">
        <v>42878</v>
      </c>
    </row>
    <row r="140" spans="1:6" ht="15" customHeight="1" x14ac:dyDescent="0.3">
      <c r="A140" s="169" t="s">
        <v>425</v>
      </c>
      <c r="B140" s="156" t="s">
        <v>898</v>
      </c>
      <c r="C140" s="163" t="s">
        <v>74</v>
      </c>
      <c r="D140" s="160">
        <v>115</v>
      </c>
      <c r="E140" s="165" t="s">
        <v>405</v>
      </c>
      <c r="F140" s="166">
        <v>42878</v>
      </c>
    </row>
    <row r="141" spans="1:6" ht="15" customHeight="1" x14ac:dyDescent="0.3">
      <c r="A141" s="169" t="s">
        <v>426</v>
      </c>
      <c r="B141" s="156" t="s">
        <v>899</v>
      </c>
      <c r="C141" s="163" t="s">
        <v>74</v>
      </c>
      <c r="D141" s="160">
        <v>110</v>
      </c>
      <c r="E141" s="165" t="s">
        <v>405</v>
      </c>
      <c r="F141" s="166">
        <v>42878</v>
      </c>
    </row>
    <row r="142" spans="1:6" ht="15" customHeight="1" x14ac:dyDescent="0.3">
      <c r="A142" s="169" t="s">
        <v>427</v>
      </c>
      <c r="B142" s="156" t="s">
        <v>900</v>
      </c>
      <c r="C142" s="163" t="s">
        <v>74</v>
      </c>
      <c r="D142" s="160">
        <v>500</v>
      </c>
      <c r="E142" s="165" t="s">
        <v>405</v>
      </c>
      <c r="F142" s="166">
        <v>42878</v>
      </c>
    </row>
    <row r="143" spans="1:6" ht="15" customHeight="1" x14ac:dyDescent="0.3">
      <c r="A143" s="169" t="s">
        <v>428</v>
      </c>
      <c r="B143" s="156" t="s">
        <v>895</v>
      </c>
      <c r="C143" s="163" t="s">
        <v>29</v>
      </c>
      <c r="D143" s="160">
        <v>20000</v>
      </c>
      <c r="E143" s="165" t="s">
        <v>405</v>
      </c>
      <c r="F143" s="166">
        <v>42878</v>
      </c>
    </row>
    <row r="144" spans="1:6" ht="15" customHeight="1" x14ac:dyDescent="0.3">
      <c r="A144" s="169" t="s">
        <v>429</v>
      </c>
      <c r="B144" s="156" t="s">
        <v>901</v>
      </c>
      <c r="C144" s="163" t="s">
        <v>73</v>
      </c>
      <c r="D144" s="160">
        <v>32.5</v>
      </c>
      <c r="E144" s="165" t="s">
        <v>944</v>
      </c>
      <c r="F144" s="166">
        <v>43040</v>
      </c>
    </row>
    <row r="145" spans="1:6" ht="15" customHeight="1" x14ac:dyDescent="0.3">
      <c r="A145" s="169" t="s">
        <v>430</v>
      </c>
      <c r="B145" s="156" t="s">
        <v>902</v>
      </c>
      <c r="C145" s="163" t="s">
        <v>73</v>
      </c>
      <c r="D145" s="160">
        <v>5.43</v>
      </c>
      <c r="E145" s="165" t="s">
        <v>944</v>
      </c>
      <c r="F145" s="166">
        <v>43040</v>
      </c>
    </row>
    <row r="146" spans="1:6" ht="15" customHeight="1" x14ac:dyDescent="0.3">
      <c r="A146" s="169" t="s">
        <v>431</v>
      </c>
      <c r="B146" s="156" t="s">
        <v>903</v>
      </c>
      <c r="C146" s="163" t="s">
        <v>73</v>
      </c>
      <c r="D146" s="160">
        <v>29.7</v>
      </c>
      <c r="E146" s="165" t="s">
        <v>944</v>
      </c>
      <c r="F146" s="166">
        <v>43040</v>
      </c>
    </row>
    <row r="147" spans="1:6" ht="15" customHeight="1" x14ac:dyDescent="0.3">
      <c r="A147" s="169" t="s">
        <v>432</v>
      </c>
      <c r="B147" s="156" t="s">
        <v>7681</v>
      </c>
      <c r="C147" s="163" t="s">
        <v>7680</v>
      </c>
      <c r="D147" s="160">
        <f>((78/2)*1.02)/1.02</f>
        <v>39</v>
      </c>
      <c r="E147" s="165" t="s">
        <v>944</v>
      </c>
      <c r="F147" s="166">
        <v>43040</v>
      </c>
    </row>
    <row r="148" spans="1:6" ht="15" customHeight="1" x14ac:dyDescent="0.3">
      <c r="A148" s="169" t="s">
        <v>433</v>
      </c>
      <c r="B148" s="156" t="s">
        <v>904</v>
      </c>
      <c r="C148" s="163" t="s">
        <v>29</v>
      </c>
      <c r="D148" s="160">
        <v>12000</v>
      </c>
      <c r="E148" s="165" t="s">
        <v>405</v>
      </c>
      <c r="F148" s="166">
        <v>42937</v>
      </c>
    </row>
    <row r="149" spans="1:6" ht="15" customHeight="1" x14ac:dyDescent="0.3">
      <c r="A149" s="169" t="s">
        <v>434</v>
      </c>
      <c r="B149" s="156" t="s">
        <v>905</v>
      </c>
      <c r="C149" s="163" t="s">
        <v>37</v>
      </c>
      <c r="D149" s="160">
        <f>(((((2600+960)/(640+240))*1.03)/1.03)*1.02)/1.02</f>
        <v>4.0454545454545459</v>
      </c>
      <c r="E149" s="165" t="s">
        <v>909</v>
      </c>
      <c r="F149" s="166">
        <v>42880</v>
      </c>
    </row>
    <row r="150" spans="1:6" ht="15" customHeight="1" x14ac:dyDescent="0.3">
      <c r="A150" s="169" t="s">
        <v>435</v>
      </c>
      <c r="B150" s="156" t="s">
        <v>906</v>
      </c>
      <c r="C150" s="163" t="s">
        <v>241</v>
      </c>
      <c r="D150" s="160">
        <v>3000</v>
      </c>
      <c r="E150" s="165" t="s">
        <v>909</v>
      </c>
      <c r="F150" s="166">
        <v>42880</v>
      </c>
    </row>
    <row r="151" spans="1:6" ht="15" customHeight="1" x14ac:dyDescent="0.3">
      <c r="A151" s="169" t="s">
        <v>436</v>
      </c>
      <c r="B151" s="156" t="s">
        <v>907</v>
      </c>
      <c r="C151" s="163" t="s">
        <v>73</v>
      </c>
      <c r="D151" s="160">
        <f>((((8+6)*1.03)/1.03)*1.02)/1.02</f>
        <v>14</v>
      </c>
      <c r="E151" s="165" t="s">
        <v>909</v>
      </c>
      <c r="F151" s="166">
        <v>42880</v>
      </c>
    </row>
    <row r="152" spans="1:6" ht="15" customHeight="1" x14ac:dyDescent="0.3">
      <c r="A152" s="169" t="s">
        <v>437</v>
      </c>
      <c r="B152" s="156" t="s">
        <v>908</v>
      </c>
      <c r="C152" s="163" t="s">
        <v>29</v>
      </c>
      <c r="D152" s="160">
        <v>5000</v>
      </c>
      <c r="E152" s="165" t="s">
        <v>405</v>
      </c>
      <c r="F152" s="166">
        <v>42878</v>
      </c>
    </row>
    <row r="153" spans="1:6" ht="15" customHeight="1" x14ac:dyDescent="0.3">
      <c r="A153" s="169" t="s">
        <v>438</v>
      </c>
      <c r="B153" s="156" t="s">
        <v>925</v>
      </c>
      <c r="C153" s="163" t="s">
        <v>241</v>
      </c>
      <c r="D153" s="160">
        <v>12960</v>
      </c>
      <c r="E153" s="165" t="s">
        <v>2058</v>
      </c>
      <c r="F153" s="166">
        <v>43174</v>
      </c>
    </row>
    <row r="154" spans="1:6" ht="15" customHeight="1" x14ac:dyDescent="0.3">
      <c r="A154" s="169" t="s">
        <v>439</v>
      </c>
      <c r="B154" s="156" t="s">
        <v>7569</v>
      </c>
      <c r="C154" s="163" t="s">
        <v>241</v>
      </c>
      <c r="D154" s="160">
        <v>200</v>
      </c>
      <c r="E154" s="165" t="s">
        <v>935</v>
      </c>
      <c r="F154" s="166">
        <v>42880</v>
      </c>
    </row>
    <row r="155" spans="1:6" ht="15" customHeight="1" x14ac:dyDescent="0.3">
      <c r="A155" s="169" t="s">
        <v>440</v>
      </c>
      <c r="B155" s="156" t="s">
        <v>8045</v>
      </c>
      <c r="C155" s="163" t="s">
        <v>89</v>
      </c>
      <c r="D155" s="160">
        <v>6</v>
      </c>
      <c r="E155" s="165" t="s">
        <v>405</v>
      </c>
      <c r="F155" s="166">
        <v>42880</v>
      </c>
    </row>
    <row r="156" spans="1:6" ht="15" customHeight="1" x14ac:dyDescent="0.3">
      <c r="A156" s="169" t="s">
        <v>441</v>
      </c>
      <c r="B156" s="156" t="s">
        <v>2969</v>
      </c>
      <c r="C156" s="163" t="s">
        <v>936</v>
      </c>
      <c r="D156" s="160">
        <v>1.48</v>
      </c>
      <c r="E156" s="165" t="s">
        <v>2238</v>
      </c>
      <c r="F156" s="166">
        <v>43168</v>
      </c>
    </row>
    <row r="157" spans="1:6" ht="15" customHeight="1" x14ac:dyDescent="0.3">
      <c r="A157" s="169" t="s">
        <v>442</v>
      </c>
      <c r="B157" s="156" t="s">
        <v>2968</v>
      </c>
      <c r="C157" s="163" t="s">
        <v>37</v>
      </c>
      <c r="D157" s="160">
        <v>520</v>
      </c>
      <c r="E157" s="165" t="s">
        <v>886</v>
      </c>
      <c r="F157" s="166">
        <v>44119</v>
      </c>
    </row>
    <row r="158" spans="1:6" ht="15" customHeight="1" x14ac:dyDescent="0.3">
      <c r="A158" s="169" t="s">
        <v>443</v>
      </c>
      <c r="B158" s="156" t="s">
        <v>937</v>
      </c>
      <c r="C158" s="163" t="s">
        <v>72</v>
      </c>
      <c r="D158" s="160">
        <f>((((400/7)*1.03)/1.03)*1.02)/1.02</f>
        <v>57.142857142857146</v>
      </c>
      <c r="E158" s="165" t="s">
        <v>405</v>
      </c>
      <c r="F158" s="166">
        <v>42880</v>
      </c>
    </row>
    <row r="159" spans="1:6" ht="15" customHeight="1" x14ac:dyDescent="0.3">
      <c r="A159" s="169" t="s">
        <v>444</v>
      </c>
      <c r="B159" s="156" t="s">
        <v>3513</v>
      </c>
      <c r="C159" s="163" t="s">
        <v>89</v>
      </c>
      <c r="D159" s="160">
        <f>((((7.55263+0.65)*1.03)/1.03)*1.02)/1.02</f>
        <v>8.2026299999999992</v>
      </c>
      <c r="E159" s="165" t="s">
        <v>1182</v>
      </c>
      <c r="F159" s="166">
        <v>44277</v>
      </c>
    </row>
    <row r="160" spans="1:6" ht="15" customHeight="1" x14ac:dyDescent="0.3">
      <c r="A160" s="169" t="s">
        <v>445</v>
      </c>
      <c r="B160" s="156" t="s">
        <v>3514</v>
      </c>
      <c r="C160" s="163" t="s">
        <v>89</v>
      </c>
      <c r="D160" s="160">
        <f>((((7.55263+0.65)*1.03)/1.03)*1.02)/1.02</f>
        <v>8.2026299999999992</v>
      </c>
      <c r="E160" s="165" t="s">
        <v>1182</v>
      </c>
      <c r="F160" s="166">
        <v>44277</v>
      </c>
    </row>
    <row r="161" spans="1:7" ht="15" customHeight="1" x14ac:dyDescent="0.3">
      <c r="A161" s="169" t="s">
        <v>446</v>
      </c>
      <c r="B161" s="156" t="s">
        <v>8396</v>
      </c>
      <c r="C161" s="163" t="s">
        <v>89</v>
      </c>
      <c r="D161" s="160">
        <f>((((6.49916+0.65)*1.03)/1.03)*1.02)/1.02</f>
        <v>7.1491600000000002</v>
      </c>
      <c r="E161" s="165" t="s">
        <v>1182</v>
      </c>
      <c r="F161" s="166">
        <v>44277</v>
      </c>
    </row>
    <row r="162" spans="1:7" ht="15" customHeight="1" x14ac:dyDescent="0.3">
      <c r="A162" s="169" t="s">
        <v>447</v>
      </c>
      <c r="B162" s="156" t="s">
        <v>3515</v>
      </c>
      <c r="C162" s="163" t="s">
        <v>89</v>
      </c>
      <c r="D162" s="160">
        <f>((((6.49916+0.65)*1.03)/1.03)*1.02)/1.02</f>
        <v>7.1491600000000002</v>
      </c>
      <c r="E162" s="165" t="s">
        <v>1182</v>
      </c>
      <c r="F162" s="166">
        <v>44277</v>
      </c>
    </row>
    <row r="163" spans="1:7" ht="15" customHeight="1" x14ac:dyDescent="0.3">
      <c r="A163" s="169" t="s">
        <v>448</v>
      </c>
      <c r="B163" s="156" t="s">
        <v>8048</v>
      </c>
      <c r="C163" s="163" t="s">
        <v>89</v>
      </c>
      <c r="D163" s="160">
        <v>6.3385199999999999</v>
      </c>
      <c r="E163" s="165" t="s">
        <v>1182</v>
      </c>
      <c r="F163" s="166">
        <v>45597</v>
      </c>
    </row>
    <row r="164" spans="1:7" ht="15" customHeight="1" x14ac:dyDescent="0.3">
      <c r="A164" s="169" t="s">
        <v>449</v>
      </c>
      <c r="B164" s="156" t="s">
        <v>3516</v>
      </c>
      <c r="C164" s="163" t="s">
        <v>89</v>
      </c>
      <c r="D164" s="160">
        <f>((((5.90829+0.65)*1.03)/1.03)*1.02)/1.02</f>
        <v>6.5582900000000004</v>
      </c>
      <c r="E164" s="165" t="s">
        <v>1182</v>
      </c>
      <c r="F164" s="166">
        <v>44277</v>
      </c>
    </row>
    <row r="165" spans="1:7" ht="15" customHeight="1" x14ac:dyDescent="0.3">
      <c r="A165" s="169" t="s">
        <v>450</v>
      </c>
      <c r="B165" s="156" t="s">
        <v>3517</v>
      </c>
      <c r="C165" s="163" t="s">
        <v>89</v>
      </c>
      <c r="D165" s="160">
        <f>((((5.90829+0.65)*1.03)/1.03)*1.02)/1.02</f>
        <v>6.5582900000000004</v>
      </c>
      <c r="E165" s="165" t="s">
        <v>1182</v>
      </c>
      <c r="F165" s="166">
        <v>44277</v>
      </c>
    </row>
    <row r="166" spans="1:7" ht="15" customHeight="1" x14ac:dyDescent="0.3">
      <c r="A166" s="169" t="s">
        <v>451</v>
      </c>
      <c r="B166" s="156" t="s">
        <v>3518</v>
      </c>
      <c r="C166" s="163" t="s">
        <v>89</v>
      </c>
      <c r="D166" s="160">
        <f>((((5.90829+0.65)*1.03)/1.03)*1.02)/1.02</f>
        <v>6.5582900000000004</v>
      </c>
      <c r="E166" s="165" t="s">
        <v>1182</v>
      </c>
      <c r="F166" s="166">
        <v>44277</v>
      </c>
    </row>
    <row r="167" spans="1:7" ht="15" customHeight="1" x14ac:dyDescent="0.3">
      <c r="A167" s="169" t="s">
        <v>452</v>
      </c>
      <c r="B167" s="156" t="s">
        <v>3519</v>
      </c>
      <c r="C167" s="163" t="s">
        <v>89</v>
      </c>
      <c r="D167" s="160">
        <f>((((5.90829+0.65)*1.03)/1.03)*1.02)/1.02</f>
        <v>6.5582900000000004</v>
      </c>
      <c r="E167" s="165" t="s">
        <v>1182</v>
      </c>
      <c r="F167" s="166">
        <v>44277</v>
      </c>
    </row>
    <row r="168" spans="1:7" ht="15" customHeight="1" x14ac:dyDescent="0.3">
      <c r="A168" s="169" t="s">
        <v>453</v>
      </c>
      <c r="B168" s="156" t="s">
        <v>938</v>
      </c>
      <c r="C168" s="163" t="s">
        <v>72</v>
      </c>
      <c r="D168" s="160">
        <v>45</v>
      </c>
      <c r="E168" s="165" t="s">
        <v>405</v>
      </c>
      <c r="F168" s="166">
        <v>42880</v>
      </c>
    </row>
    <row r="169" spans="1:7" ht="15" customHeight="1" x14ac:dyDescent="0.3">
      <c r="A169" s="169" t="s">
        <v>454</v>
      </c>
      <c r="B169" s="156" t="s">
        <v>940</v>
      </c>
      <c r="C169" s="163" t="s">
        <v>72</v>
      </c>
      <c r="D169" s="160">
        <v>150</v>
      </c>
      <c r="E169" s="165" t="s">
        <v>5460</v>
      </c>
      <c r="F169" s="166">
        <v>44788</v>
      </c>
    </row>
    <row r="170" spans="1:7" ht="15" customHeight="1" x14ac:dyDescent="0.3">
      <c r="A170" s="169" t="s">
        <v>455</v>
      </c>
      <c r="B170" s="156" t="s">
        <v>941</v>
      </c>
      <c r="C170" s="163" t="s">
        <v>73</v>
      </c>
      <c r="D170" s="160">
        <v>20</v>
      </c>
      <c r="E170" s="165" t="s">
        <v>5460</v>
      </c>
      <c r="F170" s="166">
        <v>44788</v>
      </c>
    </row>
    <row r="171" spans="1:7" ht="15" customHeight="1" x14ac:dyDescent="0.3">
      <c r="A171" s="169" t="s">
        <v>456</v>
      </c>
      <c r="B171" s="156" t="s">
        <v>7234</v>
      </c>
      <c r="C171" s="163" t="s">
        <v>73</v>
      </c>
      <c r="D171" s="160">
        <v>48</v>
      </c>
      <c r="E171" s="165" t="s">
        <v>7884</v>
      </c>
      <c r="F171" s="166">
        <v>44790</v>
      </c>
      <c r="G171" s="166"/>
    </row>
    <row r="172" spans="1:7" ht="15" customHeight="1" x14ac:dyDescent="0.3">
      <c r="A172" s="169" t="s">
        <v>457</v>
      </c>
      <c r="B172" s="156" t="s">
        <v>7233</v>
      </c>
      <c r="C172" s="163" t="s">
        <v>73</v>
      </c>
      <c r="D172" s="160">
        <v>66</v>
      </c>
      <c r="E172" s="165" t="s">
        <v>7884</v>
      </c>
      <c r="F172" s="166">
        <v>44790</v>
      </c>
    </row>
    <row r="173" spans="1:7" ht="15" customHeight="1" x14ac:dyDescent="0.3">
      <c r="A173" s="169" t="s">
        <v>458</v>
      </c>
      <c r="B173" s="156" t="s">
        <v>1229</v>
      </c>
      <c r="C173" s="163" t="s">
        <v>73</v>
      </c>
      <c r="D173" s="160">
        <v>155</v>
      </c>
      <c r="E173" s="165" t="s">
        <v>943</v>
      </c>
      <c r="F173" s="166">
        <v>42880</v>
      </c>
    </row>
    <row r="174" spans="1:7" ht="15" customHeight="1" x14ac:dyDescent="0.3">
      <c r="A174" s="169" t="s">
        <v>459</v>
      </c>
      <c r="B174" s="156" t="s">
        <v>1008</v>
      </c>
      <c r="C174" s="163" t="s">
        <v>73</v>
      </c>
      <c r="D174" s="160">
        <f>((((380*0.9)*1.03)/1.03)*1.02)/1.02</f>
        <v>342</v>
      </c>
      <c r="E174" s="165" t="s">
        <v>946</v>
      </c>
      <c r="F174" s="166">
        <v>42880</v>
      </c>
    </row>
    <row r="175" spans="1:7" ht="15" customHeight="1" x14ac:dyDescent="0.3">
      <c r="A175" s="169" t="s">
        <v>460</v>
      </c>
      <c r="B175" s="156" t="s">
        <v>1009</v>
      </c>
      <c r="C175" s="163" t="s">
        <v>73</v>
      </c>
      <c r="D175" s="160">
        <v>25</v>
      </c>
      <c r="E175" s="165" t="s">
        <v>405</v>
      </c>
      <c r="F175" s="166">
        <v>42936</v>
      </c>
    </row>
    <row r="176" spans="1:7" ht="15" customHeight="1" x14ac:dyDescent="0.3">
      <c r="A176" s="169" t="s">
        <v>461</v>
      </c>
      <c r="B176" s="156" t="s">
        <v>950</v>
      </c>
      <c r="C176" s="163" t="s">
        <v>73</v>
      </c>
      <c r="D176" s="160">
        <v>25</v>
      </c>
      <c r="E176" s="165" t="s">
        <v>405</v>
      </c>
      <c r="F176" s="166">
        <v>42880</v>
      </c>
    </row>
    <row r="177" spans="1:6" ht="15" customHeight="1" x14ac:dyDescent="0.3">
      <c r="A177" s="169" t="s">
        <v>462</v>
      </c>
      <c r="B177" s="156" t="s">
        <v>1010</v>
      </c>
      <c r="C177" s="163" t="s">
        <v>241</v>
      </c>
      <c r="D177" s="160">
        <v>45000</v>
      </c>
      <c r="E177" s="165" t="s">
        <v>951</v>
      </c>
      <c r="F177" s="166">
        <v>42880</v>
      </c>
    </row>
    <row r="178" spans="1:6" ht="15" customHeight="1" x14ac:dyDescent="0.3">
      <c r="A178" s="169" t="s">
        <v>463</v>
      </c>
      <c r="B178" s="156" t="s">
        <v>995</v>
      </c>
      <c r="C178" s="163" t="s">
        <v>73</v>
      </c>
      <c r="D178" s="160">
        <v>700</v>
      </c>
      <c r="E178" s="165" t="s">
        <v>405</v>
      </c>
      <c r="F178" s="166">
        <v>42880</v>
      </c>
    </row>
    <row r="179" spans="1:6" ht="15" customHeight="1" x14ac:dyDescent="0.3">
      <c r="A179" s="169" t="s">
        <v>464</v>
      </c>
      <c r="B179" s="156" t="s">
        <v>953</v>
      </c>
      <c r="C179" s="163" t="s">
        <v>73</v>
      </c>
      <c r="D179" s="160">
        <v>300</v>
      </c>
      <c r="E179" s="165" t="s">
        <v>405</v>
      </c>
      <c r="F179" s="166">
        <v>42880</v>
      </c>
    </row>
    <row r="180" spans="1:6" ht="15" customHeight="1" x14ac:dyDescent="0.3">
      <c r="A180" s="169" t="s">
        <v>465</v>
      </c>
      <c r="B180" s="156" t="s">
        <v>954</v>
      </c>
      <c r="C180" s="163" t="s">
        <v>73</v>
      </c>
      <c r="D180" s="160">
        <v>45</v>
      </c>
      <c r="E180" s="165" t="s">
        <v>405</v>
      </c>
      <c r="F180" s="166">
        <v>42880</v>
      </c>
    </row>
    <row r="181" spans="1:6" ht="15" customHeight="1" x14ac:dyDescent="0.3">
      <c r="A181" s="169" t="s">
        <v>466</v>
      </c>
      <c r="B181" s="156" t="s">
        <v>956</v>
      </c>
      <c r="C181" s="163" t="s">
        <v>74</v>
      </c>
      <c r="D181" s="160">
        <v>220</v>
      </c>
      <c r="E181" s="165" t="s">
        <v>405</v>
      </c>
      <c r="F181" s="166">
        <v>42880</v>
      </c>
    </row>
    <row r="182" spans="1:6" ht="15" customHeight="1" x14ac:dyDescent="0.3">
      <c r="A182" s="169" t="s">
        <v>467</v>
      </c>
      <c r="B182" s="156" t="s">
        <v>3079</v>
      </c>
      <c r="C182" s="470" t="s">
        <v>1376</v>
      </c>
      <c r="D182" s="160">
        <f>((((921*1.3)*1.03)/1.03)*1.02)/1.02</f>
        <v>1197.3</v>
      </c>
      <c r="E182" s="468" t="s">
        <v>3078</v>
      </c>
      <c r="F182" s="469">
        <v>43756</v>
      </c>
    </row>
    <row r="183" spans="1:6" ht="15" customHeight="1" x14ac:dyDescent="0.3">
      <c r="A183" s="169" t="s">
        <v>468</v>
      </c>
      <c r="B183" s="156" t="s">
        <v>957</v>
      </c>
      <c r="C183" s="163" t="s">
        <v>74</v>
      </c>
      <c r="D183" s="160">
        <v>50</v>
      </c>
      <c r="E183" s="165" t="s">
        <v>405</v>
      </c>
      <c r="F183" s="166">
        <v>42880</v>
      </c>
    </row>
    <row r="184" spans="1:6" ht="15" customHeight="1" x14ac:dyDescent="0.3">
      <c r="A184" s="169" t="s">
        <v>469</v>
      </c>
      <c r="B184" s="156" t="s">
        <v>958</v>
      </c>
      <c r="C184" s="163" t="s">
        <v>74</v>
      </c>
      <c r="D184" s="160">
        <v>750</v>
      </c>
      <c r="E184" s="165" t="s">
        <v>405</v>
      </c>
      <c r="F184" s="166">
        <v>42880</v>
      </c>
    </row>
    <row r="185" spans="1:6" ht="15" customHeight="1" x14ac:dyDescent="0.3">
      <c r="A185" s="169" t="s">
        <v>470</v>
      </c>
      <c r="B185" s="156" t="s">
        <v>1011</v>
      </c>
      <c r="C185" s="163" t="s">
        <v>73</v>
      </c>
      <c r="D185" s="160">
        <v>650</v>
      </c>
      <c r="E185" s="165" t="s">
        <v>1012</v>
      </c>
      <c r="F185" s="166">
        <v>42880</v>
      </c>
    </row>
    <row r="186" spans="1:6" ht="15" customHeight="1" x14ac:dyDescent="0.3">
      <c r="A186" s="169" t="s">
        <v>471</v>
      </c>
      <c r="B186" s="156" t="s">
        <v>960</v>
      </c>
      <c r="C186" s="163" t="s">
        <v>241</v>
      </c>
      <c r="D186" s="160">
        <v>54.9</v>
      </c>
      <c r="E186" s="165" t="s">
        <v>963</v>
      </c>
      <c r="F186" s="166">
        <v>42880</v>
      </c>
    </row>
    <row r="187" spans="1:6" ht="15" customHeight="1" x14ac:dyDescent="0.3">
      <c r="A187" s="169" t="s">
        <v>472</v>
      </c>
      <c r="B187" s="156" t="s">
        <v>962</v>
      </c>
      <c r="C187" s="163" t="s">
        <v>241</v>
      </c>
      <c r="D187" s="160">
        <v>86.9</v>
      </c>
      <c r="E187" s="165" t="s">
        <v>963</v>
      </c>
      <c r="F187" s="166">
        <v>42880</v>
      </c>
    </row>
    <row r="188" spans="1:6" ht="15" customHeight="1" x14ac:dyDescent="0.3">
      <c r="A188" s="169" t="s">
        <v>473</v>
      </c>
      <c r="B188" s="156" t="s">
        <v>964</v>
      </c>
      <c r="C188" s="163" t="s">
        <v>241</v>
      </c>
      <c r="D188" s="160">
        <v>123.9</v>
      </c>
      <c r="E188" s="165" t="s">
        <v>963</v>
      </c>
      <c r="F188" s="166">
        <v>42880</v>
      </c>
    </row>
    <row r="189" spans="1:6" ht="15" customHeight="1" x14ac:dyDescent="0.3">
      <c r="A189" s="169" t="s">
        <v>474</v>
      </c>
      <c r="B189" s="156" t="s">
        <v>1258</v>
      </c>
      <c r="C189" s="163" t="s">
        <v>241</v>
      </c>
      <c r="D189" s="160">
        <v>76.400000000000006</v>
      </c>
      <c r="E189" s="165" t="s">
        <v>1257</v>
      </c>
      <c r="F189" s="166">
        <v>42937</v>
      </c>
    </row>
    <row r="190" spans="1:6" ht="15" customHeight="1" x14ac:dyDescent="0.3">
      <c r="A190" s="169" t="s">
        <v>475</v>
      </c>
      <c r="B190" s="156" t="s">
        <v>965</v>
      </c>
      <c r="C190" s="163" t="s">
        <v>241</v>
      </c>
      <c r="D190" s="160">
        <v>199.9</v>
      </c>
      <c r="E190" s="165" t="s">
        <v>963</v>
      </c>
      <c r="F190" s="166">
        <v>42880</v>
      </c>
    </row>
    <row r="191" spans="1:6" ht="15" customHeight="1" x14ac:dyDescent="0.3">
      <c r="A191" s="169" t="s">
        <v>476</v>
      </c>
      <c r="B191" s="156" t="s">
        <v>966</v>
      </c>
      <c r="C191" s="163" t="s">
        <v>241</v>
      </c>
      <c r="D191" s="160">
        <v>16.899999999999999</v>
      </c>
      <c r="E191" s="165" t="s">
        <v>963</v>
      </c>
      <c r="F191" s="166">
        <v>42880</v>
      </c>
    </row>
    <row r="192" spans="1:6" ht="15" customHeight="1" x14ac:dyDescent="0.3">
      <c r="A192" s="169" t="s">
        <v>477</v>
      </c>
      <c r="B192" s="156" t="s">
        <v>967</v>
      </c>
      <c r="C192" s="163" t="s">
        <v>241</v>
      </c>
      <c r="D192" s="160">
        <v>9.9</v>
      </c>
      <c r="E192" s="165" t="s">
        <v>963</v>
      </c>
      <c r="F192" s="166">
        <v>42880</v>
      </c>
    </row>
    <row r="193" spans="1:6" ht="15" customHeight="1" x14ac:dyDescent="0.3">
      <c r="A193" s="169" t="s">
        <v>478</v>
      </c>
      <c r="B193" s="156" t="s">
        <v>968</v>
      </c>
      <c r="C193" s="163" t="s">
        <v>241</v>
      </c>
      <c r="D193" s="160">
        <v>206.9</v>
      </c>
      <c r="E193" s="165" t="s">
        <v>963</v>
      </c>
      <c r="F193" s="166">
        <v>42880</v>
      </c>
    </row>
    <row r="194" spans="1:6" ht="15" customHeight="1" x14ac:dyDescent="0.3">
      <c r="A194" s="169" t="s">
        <v>479</v>
      </c>
      <c r="B194" s="156" t="s">
        <v>969</v>
      </c>
      <c r="C194" s="163" t="s">
        <v>241</v>
      </c>
      <c r="D194" s="160">
        <v>31.25</v>
      </c>
      <c r="E194" s="165" t="s">
        <v>1257</v>
      </c>
      <c r="F194" s="166">
        <v>42937</v>
      </c>
    </row>
    <row r="195" spans="1:6" ht="15" customHeight="1" x14ac:dyDescent="0.3">
      <c r="A195" s="169" t="s">
        <v>480</v>
      </c>
      <c r="B195" s="156" t="s">
        <v>971</v>
      </c>
      <c r="C195" s="163" t="s">
        <v>73</v>
      </c>
      <c r="D195" s="160">
        <v>87</v>
      </c>
      <c r="E195" s="165" t="s">
        <v>1013</v>
      </c>
      <c r="F195" s="166">
        <v>42880</v>
      </c>
    </row>
    <row r="196" spans="1:6" ht="15" customHeight="1" x14ac:dyDescent="0.3">
      <c r="A196" s="169" t="s">
        <v>481</v>
      </c>
      <c r="B196" s="156" t="s">
        <v>2467</v>
      </c>
      <c r="C196" s="163" t="s">
        <v>72</v>
      </c>
      <c r="D196" s="160">
        <v>58</v>
      </c>
      <c r="E196" s="165" t="s">
        <v>2275</v>
      </c>
      <c r="F196" s="166">
        <v>42880</v>
      </c>
    </row>
    <row r="197" spans="1:6" ht="15" customHeight="1" x14ac:dyDescent="0.3">
      <c r="A197" s="169" t="s">
        <v>482</v>
      </c>
      <c r="B197" s="156" t="s">
        <v>1014</v>
      </c>
      <c r="C197" s="163" t="s">
        <v>74</v>
      </c>
      <c r="D197" s="160">
        <v>500</v>
      </c>
      <c r="E197" s="165" t="s">
        <v>405</v>
      </c>
      <c r="F197" s="166">
        <v>42880</v>
      </c>
    </row>
    <row r="198" spans="1:6" ht="15" customHeight="1" x14ac:dyDescent="0.3">
      <c r="A198" s="169" t="s">
        <v>483</v>
      </c>
      <c r="B198" s="156" t="s">
        <v>986</v>
      </c>
      <c r="C198" s="163" t="s">
        <v>29</v>
      </c>
      <c r="D198" s="160">
        <v>6500</v>
      </c>
      <c r="E198" s="165" t="s">
        <v>405</v>
      </c>
      <c r="F198" s="166">
        <v>42880</v>
      </c>
    </row>
    <row r="199" spans="1:6" ht="15" customHeight="1" x14ac:dyDescent="0.3">
      <c r="A199" s="169" t="s">
        <v>484</v>
      </c>
      <c r="B199" s="156" t="s">
        <v>973</v>
      </c>
      <c r="C199" s="163" t="s">
        <v>73</v>
      </c>
      <c r="D199" s="160">
        <v>30</v>
      </c>
      <c r="E199" s="165" t="s">
        <v>405</v>
      </c>
      <c r="F199" s="166">
        <v>42880</v>
      </c>
    </row>
    <row r="200" spans="1:6" ht="15" customHeight="1" x14ac:dyDescent="0.3">
      <c r="A200" s="169" t="s">
        <v>485</v>
      </c>
      <c r="B200" s="156" t="s">
        <v>1015</v>
      </c>
      <c r="C200" s="163" t="s">
        <v>73</v>
      </c>
      <c r="D200" s="160">
        <f>((((40+5)*1.03)/1.03)*1.02)/1.02</f>
        <v>45</v>
      </c>
      <c r="E200" s="165" t="s">
        <v>1231</v>
      </c>
      <c r="F200" s="166">
        <v>42936</v>
      </c>
    </row>
    <row r="201" spans="1:6" ht="15" customHeight="1" x14ac:dyDescent="0.3">
      <c r="A201" s="169" t="s">
        <v>486</v>
      </c>
      <c r="B201" s="156" t="s">
        <v>7677</v>
      </c>
      <c r="C201" s="163" t="s">
        <v>241</v>
      </c>
      <c r="D201" s="160">
        <v>150</v>
      </c>
      <c r="E201" s="165" t="s">
        <v>1003</v>
      </c>
      <c r="F201" s="166">
        <v>42891</v>
      </c>
    </row>
    <row r="202" spans="1:6" ht="15" customHeight="1" x14ac:dyDescent="0.3">
      <c r="A202" s="169" t="s">
        <v>487</v>
      </c>
      <c r="B202" s="156" t="s">
        <v>1016</v>
      </c>
      <c r="C202" s="163" t="s">
        <v>241</v>
      </c>
      <c r="D202" s="160">
        <v>46</v>
      </c>
      <c r="E202" s="165" t="s">
        <v>1003</v>
      </c>
      <c r="F202" s="166">
        <v>42891</v>
      </c>
    </row>
    <row r="203" spans="1:6" ht="15" customHeight="1" x14ac:dyDescent="0.3">
      <c r="A203" s="169" t="s">
        <v>488</v>
      </c>
      <c r="B203" s="156" t="s">
        <v>1017</v>
      </c>
      <c r="C203" s="163" t="s">
        <v>241</v>
      </c>
      <c r="D203" s="160">
        <v>12</v>
      </c>
      <c r="E203" s="165" t="s">
        <v>1003</v>
      </c>
      <c r="F203" s="166">
        <v>42891</v>
      </c>
    </row>
    <row r="204" spans="1:6" ht="15" customHeight="1" x14ac:dyDescent="0.3">
      <c r="A204" s="169" t="s">
        <v>489</v>
      </c>
      <c r="B204" s="156" t="s">
        <v>1018</v>
      </c>
      <c r="C204" s="163" t="s">
        <v>241</v>
      </c>
      <c r="D204" s="160">
        <v>350</v>
      </c>
      <c r="E204" s="165" t="s">
        <v>2297</v>
      </c>
      <c r="F204" s="166">
        <v>42936</v>
      </c>
    </row>
    <row r="205" spans="1:6" ht="15" customHeight="1" x14ac:dyDescent="0.3">
      <c r="A205" s="169" t="s">
        <v>490</v>
      </c>
      <c r="B205" s="156" t="s">
        <v>1019</v>
      </c>
      <c r="C205" s="163" t="s">
        <v>37</v>
      </c>
      <c r="D205" s="160">
        <v>245.6</v>
      </c>
      <c r="E205" s="165" t="s">
        <v>1186</v>
      </c>
      <c r="F205" s="166">
        <v>42935</v>
      </c>
    </row>
    <row r="206" spans="1:6" ht="15" customHeight="1" x14ac:dyDescent="0.3">
      <c r="A206" s="169" t="s">
        <v>491</v>
      </c>
      <c r="B206" s="156" t="s">
        <v>1020</v>
      </c>
      <c r="C206" s="163" t="s">
        <v>241</v>
      </c>
      <c r="D206" s="160">
        <v>600</v>
      </c>
      <c r="E206" s="165" t="s">
        <v>1186</v>
      </c>
      <c r="F206" s="166">
        <v>42935</v>
      </c>
    </row>
    <row r="207" spans="1:6" ht="15" customHeight="1" x14ac:dyDescent="0.3">
      <c r="A207" s="169" t="s">
        <v>492</v>
      </c>
      <c r="B207" s="156" t="s">
        <v>1021</v>
      </c>
      <c r="C207" s="163" t="s">
        <v>73</v>
      </c>
      <c r="D207" s="160">
        <v>105</v>
      </c>
      <c r="E207" s="165" t="s">
        <v>405</v>
      </c>
      <c r="F207" s="166">
        <v>42891</v>
      </c>
    </row>
    <row r="208" spans="1:6" ht="15" customHeight="1" x14ac:dyDescent="0.3">
      <c r="A208" s="169" t="s">
        <v>493</v>
      </c>
      <c r="B208" s="156" t="s">
        <v>1022</v>
      </c>
      <c r="C208" s="163" t="s">
        <v>73</v>
      </c>
      <c r="D208" s="160">
        <v>41.2</v>
      </c>
      <c r="E208" s="165" t="s">
        <v>947</v>
      </c>
      <c r="F208" s="166">
        <v>42892</v>
      </c>
    </row>
    <row r="209" spans="1:6" ht="15" customHeight="1" x14ac:dyDescent="0.3">
      <c r="A209" s="169" t="s">
        <v>494</v>
      </c>
      <c r="B209" s="156" t="s">
        <v>1023</v>
      </c>
      <c r="C209" s="163" t="s">
        <v>73</v>
      </c>
      <c r="D209" s="160">
        <v>21.43</v>
      </c>
      <c r="E209" s="165" t="s">
        <v>947</v>
      </c>
      <c r="F209" s="166">
        <v>42892</v>
      </c>
    </row>
    <row r="210" spans="1:6" ht="15" customHeight="1" x14ac:dyDescent="0.3">
      <c r="A210" s="169" t="s">
        <v>495</v>
      </c>
      <c r="B210" s="156" t="s">
        <v>2979</v>
      </c>
      <c r="C210" s="163" t="s">
        <v>73</v>
      </c>
      <c r="D210" s="160">
        <v>40</v>
      </c>
      <c r="E210" s="165" t="s">
        <v>405</v>
      </c>
      <c r="F210" s="166">
        <v>43753</v>
      </c>
    </row>
    <row r="211" spans="1:6" ht="15" customHeight="1" x14ac:dyDescent="0.3">
      <c r="A211" s="169" t="s">
        <v>496</v>
      </c>
      <c r="B211" s="156" t="s">
        <v>1025</v>
      </c>
      <c r="C211" s="163" t="s">
        <v>73</v>
      </c>
      <c r="D211" s="160">
        <f>((((123.53+5.37)*1.03)/1.03)*1.02)/1.02</f>
        <v>128.9</v>
      </c>
      <c r="E211" s="165" t="s">
        <v>1024</v>
      </c>
      <c r="F211" s="166">
        <v>42892</v>
      </c>
    </row>
    <row r="212" spans="1:6" ht="15" customHeight="1" x14ac:dyDescent="0.3">
      <c r="A212" s="169" t="s">
        <v>497</v>
      </c>
      <c r="B212" s="156" t="s">
        <v>1026</v>
      </c>
      <c r="C212" s="163" t="s">
        <v>73</v>
      </c>
      <c r="D212" s="160">
        <v>33.9</v>
      </c>
      <c r="E212" s="165" t="s">
        <v>1027</v>
      </c>
      <c r="F212" s="166">
        <v>42892</v>
      </c>
    </row>
    <row r="213" spans="1:6" ht="15" customHeight="1" x14ac:dyDescent="0.3">
      <c r="A213" s="169" t="s">
        <v>498</v>
      </c>
      <c r="B213" s="156" t="s">
        <v>3062</v>
      </c>
      <c r="C213" s="163" t="s">
        <v>73</v>
      </c>
      <c r="D213" s="160">
        <f>((((750*1.3)*1.03)/1.03)*1.02)/1.02</f>
        <v>975</v>
      </c>
      <c r="E213" s="165" t="s">
        <v>2982</v>
      </c>
      <c r="F213" s="166">
        <v>43753</v>
      </c>
    </row>
    <row r="214" spans="1:6" ht="15" customHeight="1" x14ac:dyDescent="0.3">
      <c r="A214" s="169" t="s">
        <v>499</v>
      </c>
      <c r="B214" s="156" t="s">
        <v>1028</v>
      </c>
      <c r="C214" s="163" t="s">
        <v>241</v>
      </c>
      <c r="D214" s="160">
        <f>(((((541.6+200)*0.85)*1.03)/1.03)*1.02)/1.02</f>
        <v>630.36</v>
      </c>
      <c r="E214" s="165" t="s">
        <v>1029</v>
      </c>
      <c r="F214" s="166">
        <v>42892</v>
      </c>
    </row>
    <row r="215" spans="1:6" ht="15" customHeight="1" x14ac:dyDescent="0.3">
      <c r="A215" s="169" t="s">
        <v>500</v>
      </c>
      <c r="B215" s="156" t="s">
        <v>1030</v>
      </c>
      <c r="C215" s="163" t="s">
        <v>241</v>
      </c>
      <c r="D215" s="160">
        <f>(((((110.4+168)*0.85)*1.03)/1.03)*1.02)/1.02</f>
        <v>236.64</v>
      </c>
      <c r="E215" s="165" t="s">
        <v>1029</v>
      </c>
      <c r="F215" s="166">
        <v>42892</v>
      </c>
    </row>
    <row r="216" spans="1:6" ht="15" customHeight="1" x14ac:dyDescent="0.3">
      <c r="A216" s="169" t="s">
        <v>501</v>
      </c>
      <c r="B216" s="156" t="s">
        <v>1031</v>
      </c>
      <c r="C216" s="163" t="s">
        <v>241</v>
      </c>
      <c r="D216" s="160">
        <f>(((((27.6+56)*0.85)*1.03)/1.03)*1.02)/1.02</f>
        <v>71.059999999999988</v>
      </c>
      <c r="E216" s="165" t="s">
        <v>1029</v>
      </c>
      <c r="F216" s="166">
        <v>42892</v>
      </c>
    </row>
    <row r="217" spans="1:6" ht="15" customHeight="1" x14ac:dyDescent="0.3">
      <c r="A217" s="169" t="s">
        <v>502</v>
      </c>
      <c r="B217" s="156" t="s">
        <v>1032</v>
      </c>
      <c r="C217" s="163" t="s">
        <v>241</v>
      </c>
      <c r="D217" s="160">
        <f>(((((27.6+56)*0.85)*1.03)/1.03)*1.02)/1.02</f>
        <v>71.059999999999988</v>
      </c>
      <c r="E217" s="165" t="s">
        <v>1029</v>
      </c>
      <c r="F217" s="166">
        <v>42892</v>
      </c>
    </row>
    <row r="218" spans="1:6" ht="15" customHeight="1" x14ac:dyDescent="0.3">
      <c r="A218" s="169" t="s">
        <v>503</v>
      </c>
      <c r="B218" s="156" t="s">
        <v>1033</v>
      </c>
      <c r="C218" s="163" t="s">
        <v>241</v>
      </c>
      <c r="D218" s="160">
        <f>(((((36.8+56)*0.85)*1.03)/1.03)*1.02)/1.02</f>
        <v>78.88</v>
      </c>
      <c r="E218" s="165" t="s">
        <v>1029</v>
      </c>
      <c r="F218" s="166">
        <v>42892</v>
      </c>
    </row>
    <row r="219" spans="1:6" ht="15" customHeight="1" x14ac:dyDescent="0.3">
      <c r="A219" s="169" t="s">
        <v>504</v>
      </c>
      <c r="B219" s="156" t="s">
        <v>1034</v>
      </c>
      <c r="C219" s="163" t="s">
        <v>241</v>
      </c>
      <c r="D219" s="160">
        <f>(((((390.4+200)*0.85)*1.03)/1.03)*1.02)/1.02</f>
        <v>501.83999999999992</v>
      </c>
      <c r="E219" s="165" t="s">
        <v>1029</v>
      </c>
      <c r="F219" s="166">
        <v>42892</v>
      </c>
    </row>
    <row r="220" spans="1:6" ht="15" customHeight="1" x14ac:dyDescent="0.3">
      <c r="A220" s="169" t="s">
        <v>505</v>
      </c>
      <c r="B220" s="156" t="s">
        <v>1035</v>
      </c>
      <c r="C220" s="163" t="s">
        <v>73</v>
      </c>
      <c r="D220" s="160">
        <f>(((((950+140)*0.85)*1.03)/1.03)*1.02)/1.02</f>
        <v>926.5</v>
      </c>
      <c r="E220" s="165" t="s">
        <v>1029</v>
      </c>
      <c r="F220" s="166">
        <v>42892</v>
      </c>
    </row>
    <row r="221" spans="1:6" ht="15" customHeight="1" x14ac:dyDescent="0.3">
      <c r="A221" s="169" t="s">
        <v>506</v>
      </c>
      <c r="B221" s="156" t="s">
        <v>1036</v>
      </c>
      <c r="C221" s="163" t="s">
        <v>73</v>
      </c>
      <c r="D221" s="160">
        <f>(((((950+140)*0.85)*1.03)/1.03)*1.02)/1.02</f>
        <v>926.5</v>
      </c>
      <c r="E221" s="165" t="s">
        <v>1029</v>
      </c>
      <c r="F221" s="166">
        <v>42892</v>
      </c>
    </row>
    <row r="222" spans="1:6" ht="15" customHeight="1" x14ac:dyDescent="0.3">
      <c r="A222" s="169" t="s">
        <v>507</v>
      </c>
      <c r="B222" s="156" t="s">
        <v>1037</v>
      </c>
      <c r="C222" s="163" t="s">
        <v>241</v>
      </c>
      <c r="D222" s="160">
        <f>(((((652.3+200)*0.85)*1.03)/1.03)*1.02)/1.02</f>
        <v>724.45499999999993</v>
      </c>
      <c r="E222" s="165" t="s">
        <v>1029</v>
      </c>
      <c r="F222" s="166">
        <v>42892</v>
      </c>
    </row>
    <row r="223" spans="1:6" ht="15" customHeight="1" x14ac:dyDescent="0.3">
      <c r="A223" s="169" t="s">
        <v>508</v>
      </c>
      <c r="B223" s="156" t="s">
        <v>1038</v>
      </c>
      <c r="C223" s="163" t="s">
        <v>73</v>
      </c>
      <c r="D223" s="160">
        <f>(((((230+140)*0.85)*1.03)/1.03)*1.02)/1.02</f>
        <v>314.5</v>
      </c>
      <c r="E223" s="165" t="s">
        <v>1029</v>
      </c>
      <c r="F223" s="166">
        <v>42892</v>
      </c>
    </row>
    <row r="224" spans="1:6" ht="15" customHeight="1" x14ac:dyDescent="0.3">
      <c r="A224" s="169" t="s">
        <v>509</v>
      </c>
      <c r="B224" s="156" t="s">
        <v>1039</v>
      </c>
      <c r="C224" s="163" t="s">
        <v>241</v>
      </c>
      <c r="D224" s="160">
        <f>(((((37.95+77)*0.85)*1.03)/1.03)*1.02)/1.02</f>
        <v>97.707499999999996</v>
      </c>
      <c r="E224" s="165" t="s">
        <v>1029</v>
      </c>
      <c r="F224" s="166">
        <v>42892</v>
      </c>
    </row>
    <row r="225" spans="1:6" ht="15" customHeight="1" x14ac:dyDescent="0.3">
      <c r="A225" s="169" t="s">
        <v>510</v>
      </c>
      <c r="B225" s="156" t="s">
        <v>1040</v>
      </c>
      <c r="C225" s="163" t="s">
        <v>241</v>
      </c>
      <c r="D225" s="160">
        <f>(((((41.4+84)*0.85)*1.03)/1.03)*1.02)/1.02</f>
        <v>106.59</v>
      </c>
      <c r="E225" s="165" t="s">
        <v>1029</v>
      </c>
      <c r="F225" s="166">
        <v>42892</v>
      </c>
    </row>
    <row r="226" spans="1:6" ht="15" customHeight="1" x14ac:dyDescent="0.3">
      <c r="A226" s="169" t="s">
        <v>511</v>
      </c>
      <c r="B226" s="156" t="s">
        <v>1041</v>
      </c>
      <c r="C226" s="163" t="s">
        <v>241</v>
      </c>
      <c r="D226" s="160">
        <f>(((((48.3+98)*0.85)*1.03)/1.03)*1.02)/1.02</f>
        <v>124.35500000000002</v>
      </c>
      <c r="E226" s="165" t="s">
        <v>1029</v>
      </c>
      <c r="F226" s="166">
        <v>42892</v>
      </c>
    </row>
    <row r="227" spans="1:6" ht="15" customHeight="1" x14ac:dyDescent="0.3">
      <c r="A227" s="169" t="s">
        <v>512</v>
      </c>
      <c r="B227" s="156" t="s">
        <v>1042</v>
      </c>
      <c r="C227" s="163" t="s">
        <v>241</v>
      </c>
      <c r="D227" s="160">
        <f>(((((51.75+105)*0.85)*1.03)/1.03)*1.02)/1.02</f>
        <v>133.23749999999998</v>
      </c>
      <c r="E227" s="165" t="s">
        <v>1029</v>
      </c>
      <c r="F227" s="166">
        <v>42892</v>
      </c>
    </row>
    <row r="228" spans="1:6" ht="15" customHeight="1" x14ac:dyDescent="0.3">
      <c r="A228" s="169" t="s">
        <v>513</v>
      </c>
      <c r="B228" s="156" t="s">
        <v>1043</v>
      </c>
      <c r="C228" s="163" t="s">
        <v>241</v>
      </c>
      <c r="D228" s="160">
        <f>(((((55.2+112)*0.85)*1.03)/1.03)*1.02)/1.02</f>
        <v>142.11999999999998</v>
      </c>
      <c r="E228" s="165" t="s">
        <v>1029</v>
      </c>
      <c r="F228" s="166">
        <v>42892</v>
      </c>
    </row>
    <row r="229" spans="1:6" ht="15" customHeight="1" x14ac:dyDescent="0.3">
      <c r="A229" s="169" t="s">
        <v>514</v>
      </c>
      <c r="B229" s="156" t="s">
        <v>1043</v>
      </c>
      <c r="C229" s="163" t="s">
        <v>241</v>
      </c>
      <c r="D229" s="160">
        <f>(((((55.2+112)*0.85)*1.03)/1.03)*1.02)/1.02</f>
        <v>142.11999999999998</v>
      </c>
      <c r="E229" s="165" t="s">
        <v>1029</v>
      </c>
      <c r="F229" s="166">
        <v>42892</v>
      </c>
    </row>
    <row r="230" spans="1:6" ht="15" customHeight="1" x14ac:dyDescent="0.3">
      <c r="A230" s="169" t="s">
        <v>515</v>
      </c>
      <c r="B230" s="156" t="s">
        <v>1044</v>
      </c>
      <c r="C230" s="163" t="s">
        <v>241</v>
      </c>
      <c r="D230" s="160">
        <f>(((((124.2+189)*0.85)*1.03)/1.03)*1.02)/1.02</f>
        <v>266.21999999999997</v>
      </c>
      <c r="E230" s="165" t="s">
        <v>1029</v>
      </c>
      <c r="F230" s="166">
        <v>42892</v>
      </c>
    </row>
    <row r="231" spans="1:6" ht="15" customHeight="1" x14ac:dyDescent="0.3">
      <c r="A231" s="169" t="s">
        <v>516</v>
      </c>
      <c r="B231" s="156" t="s">
        <v>1045</v>
      </c>
      <c r="C231" s="163" t="s">
        <v>241</v>
      </c>
      <c r="D231" s="160">
        <f>((((487+100)*1.03)/1.03)*1.02)/1.02</f>
        <v>587</v>
      </c>
      <c r="E231" s="165" t="s">
        <v>1046</v>
      </c>
      <c r="F231" s="166">
        <v>42892</v>
      </c>
    </row>
    <row r="232" spans="1:6" ht="15" customHeight="1" x14ac:dyDescent="0.3">
      <c r="A232" s="169" t="s">
        <v>517</v>
      </c>
      <c r="B232" s="156" t="s">
        <v>1047</v>
      </c>
      <c r="C232" s="163" t="s">
        <v>241</v>
      </c>
      <c r="D232" s="160">
        <f>((((503.3+100)*1.03)/1.03)*1.02)/1.02</f>
        <v>603.29999999999995</v>
      </c>
      <c r="E232" s="165" t="s">
        <v>1046</v>
      </c>
      <c r="F232" s="166">
        <v>42892</v>
      </c>
    </row>
    <row r="233" spans="1:6" ht="15" customHeight="1" x14ac:dyDescent="0.3">
      <c r="A233" s="169" t="s">
        <v>518</v>
      </c>
      <c r="B233" s="156" t="s">
        <v>1048</v>
      </c>
      <c r="C233" s="163" t="s">
        <v>241</v>
      </c>
      <c r="D233" s="160">
        <f>((((532.7+100)*1.03)/1.03)*1.02)/1.02</f>
        <v>632.70000000000005</v>
      </c>
      <c r="E233" s="165" t="s">
        <v>1046</v>
      </c>
      <c r="F233" s="166">
        <v>42892</v>
      </c>
    </row>
    <row r="234" spans="1:6" ht="15" customHeight="1" x14ac:dyDescent="0.3">
      <c r="A234" s="169" t="s">
        <v>519</v>
      </c>
      <c r="B234" s="156" t="s">
        <v>1049</v>
      </c>
      <c r="C234" s="163" t="s">
        <v>241</v>
      </c>
      <c r="D234" s="160">
        <f>((((562.2+250)*1.03)/1.03)*1.02)/1.02</f>
        <v>812.2</v>
      </c>
      <c r="E234" s="165" t="s">
        <v>1046</v>
      </c>
      <c r="F234" s="166">
        <v>42892</v>
      </c>
    </row>
    <row r="235" spans="1:6" ht="15" customHeight="1" x14ac:dyDescent="0.3">
      <c r="A235" s="169" t="s">
        <v>520</v>
      </c>
      <c r="B235" s="156" t="s">
        <v>1050</v>
      </c>
      <c r="C235" s="163" t="s">
        <v>241</v>
      </c>
      <c r="D235" s="160">
        <f>((((562.2+100)*1.03)/1.03)*1.02)/1.02</f>
        <v>662.2</v>
      </c>
      <c r="E235" s="165" t="s">
        <v>1046</v>
      </c>
      <c r="F235" s="166">
        <v>42892</v>
      </c>
    </row>
    <row r="236" spans="1:6" ht="15" customHeight="1" x14ac:dyDescent="0.3">
      <c r="A236" s="169" t="s">
        <v>521</v>
      </c>
      <c r="B236" s="156" t="s">
        <v>1051</v>
      </c>
      <c r="C236" s="163" t="s">
        <v>241</v>
      </c>
      <c r="D236" s="160">
        <f>((((1096.5+200)*1.03)/1.03)*1.02)/1.02</f>
        <v>1296.5</v>
      </c>
      <c r="E236" s="165" t="s">
        <v>1046</v>
      </c>
      <c r="F236" s="166">
        <v>42892</v>
      </c>
    </row>
    <row r="237" spans="1:6" ht="15" customHeight="1" x14ac:dyDescent="0.3">
      <c r="A237" s="169" t="s">
        <v>522</v>
      </c>
      <c r="B237" s="156" t="s">
        <v>1052</v>
      </c>
      <c r="C237" s="163" t="s">
        <v>241</v>
      </c>
      <c r="D237" s="160">
        <f>((((1612.5+200)*1.03)/1.03)*1.02)/1.02</f>
        <v>1812.5</v>
      </c>
      <c r="E237" s="165" t="s">
        <v>1046</v>
      </c>
      <c r="F237" s="166">
        <v>42892</v>
      </c>
    </row>
    <row r="238" spans="1:6" ht="15" customHeight="1" x14ac:dyDescent="0.3">
      <c r="A238" s="169" t="s">
        <v>523</v>
      </c>
      <c r="B238" s="156" t="s">
        <v>1053</v>
      </c>
      <c r="C238" s="163" t="s">
        <v>241</v>
      </c>
      <c r="D238" s="160">
        <f>((((1709.5+200)*1.03)/1.03)*1.02)/1.02</f>
        <v>1909.5</v>
      </c>
      <c r="E238" s="165" t="s">
        <v>1046</v>
      </c>
      <c r="F238" s="166">
        <v>42892</v>
      </c>
    </row>
    <row r="239" spans="1:6" ht="15" customHeight="1" x14ac:dyDescent="0.3">
      <c r="A239" s="169" t="s">
        <v>524</v>
      </c>
      <c r="B239" s="156" t="s">
        <v>1054</v>
      </c>
      <c r="C239" s="163" t="s">
        <v>241</v>
      </c>
      <c r="D239" s="160">
        <f>((((1773.75+200)*1.03)/1.03)*1.02)/1.02</f>
        <v>1973.75</v>
      </c>
      <c r="E239" s="165" t="s">
        <v>1046</v>
      </c>
      <c r="F239" s="166">
        <v>42892</v>
      </c>
    </row>
    <row r="240" spans="1:6" ht="15" customHeight="1" x14ac:dyDescent="0.3">
      <c r="A240" s="169" t="s">
        <v>525</v>
      </c>
      <c r="B240" s="156" t="s">
        <v>1055</v>
      </c>
      <c r="C240" s="163" t="s">
        <v>241</v>
      </c>
      <c r="D240" s="160">
        <f>((((((2.9*2.58)*250)+200)*1.03)/1.03)*1.02)/1.02</f>
        <v>2070.5</v>
      </c>
      <c r="E240" s="165" t="s">
        <v>1046</v>
      </c>
      <c r="F240" s="166">
        <v>42892</v>
      </c>
    </row>
    <row r="241" spans="1:6" ht="15" customHeight="1" x14ac:dyDescent="0.3">
      <c r="A241" s="169" t="s">
        <v>526</v>
      </c>
      <c r="B241" s="156" t="s">
        <v>1056</v>
      </c>
      <c r="C241" s="163" t="s">
        <v>241</v>
      </c>
      <c r="D241" s="160">
        <v>22.9</v>
      </c>
      <c r="E241" s="165" t="s">
        <v>1109</v>
      </c>
      <c r="F241" s="166">
        <v>42935</v>
      </c>
    </row>
    <row r="242" spans="1:6" ht="15" customHeight="1" x14ac:dyDescent="0.3">
      <c r="A242" s="169" t="s">
        <v>527</v>
      </c>
      <c r="B242" s="156" t="s">
        <v>1057</v>
      </c>
      <c r="C242" s="163" t="s">
        <v>241</v>
      </c>
      <c r="D242" s="160">
        <f>((((137.57+149.32)*1.03)/1.03)*1.02)/1.02</f>
        <v>286.89</v>
      </c>
      <c r="E242" s="165" t="s">
        <v>1058</v>
      </c>
      <c r="F242" s="166">
        <v>42892</v>
      </c>
    </row>
    <row r="243" spans="1:6" ht="15" customHeight="1" x14ac:dyDescent="0.3">
      <c r="A243" s="169" t="s">
        <v>528</v>
      </c>
      <c r="B243" s="156" t="s">
        <v>1059</v>
      </c>
      <c r="C243" s="163" t="s">
        <v>241</v>
      </c>
      <c r="D243" s="160">
        <v>38.93</v>
      </c>
      <c r="E243" s="165" t="s">
        <v>1058</v>
      </c>
      <c r="F243" s="166">
        <v>42892</v>
      </c>
    </row>
    <row r="244" spans="1:6" ht="15" customHeight="1" x14ac:dyDescent="0.3">
      <c r="A244" s="169" t="s">
        <v>529</v>
      </c>
      <c r="B244" s="156" t="s">
        <v>1060</v>
      </c>
      <c r="C244" s="163" t="s">
        <v>241</v>
      </c>
      <c r="D244" s="160">
        <v>121.9</v>
      </c>
      <c r="E244" s="165" t="s">
        <v>1061</v>
      </c>
      <c r="F244" s="166">
        <v>42892</v>
      </c>
    </row>
    <row r="245" spans="1:6" ht="15" customHeight="1" x14ac:dyDescent="0.3">
      <c r="A245" s="169" t="s">
        <v>530</v>
      </c>
      <c r="B245" s="156" t="s">
        <v>1062</v>
      </c>
      <c r="C245" s="163" t="s">
        <v>241</v>
      </c>
      <c r="D245" s="160">
        <v>155.1</v>
      </c>
      <c r="E245" s="165" t="s">
        <v>1061</v>
      </c>
      <c r="F245" s="166">
        <v>42892</v>
      </c>
    </row>
    <row r="246" spans="1:6" ht="15" customHeight="1" x14ac:dyDescent="0.3">
      <c r="A246" s="169" t="s">
        <v>531</v>
      </c>
      <c r="B246" s="156" t="s">
        <v>1063</v>
      </c>
      <c r="C246" s="163" t="s">
        <v>241</v>
      </c>
      <c r="D246" s="160">
        <v>110</v>
      </c>
      <c r="E246" s="165" t="s">
        <v>405</v>
      </c>
      <c r="F246" s="166">
        <v>42892</v>
      </c>
    </row>
    <row r="247" spans="1:6" ht="15" customHeight="1" x14ac:dyDescent="0.3">
      <c r="A247" s="169" t="s">
        <v>532</v>
      </c>
      <c r="B247" s="156" t="s">
        <v>1064</v>
      </c>
      <c r="C247" s="163" t="s">
        <v>241</v>
      </c>
      <c r="D247" s="160">
        <v>110</v>
      </c>
      <c r="E247" s="165" t="s">
        <v>405</v>
      </c>
      <c r="F247" s="166">
        <v>42892</v>
      </c>
    </row>
    <row r="248" spans="1:6" ht="15" customHeight="1" x14ac:dyDescent="0.3">
      <c r="A248" s="169" t="s">
        <v>533</v>
      </c>
      <c r="B248" s="156" t="s">
        <v>1065</v>
      </c>
      <c r="C248" s="163" t="s">
        <v>241</v>
      </c>
      <c r="D248" s="160">
        <v>16.2</v>
      </c>
      <c r="E248" s="165" t="s">
        <v>1058</v>
      </c>
      <c r="F248" s="166">
        <v>42892</v>
      </c>
    </row>
    <row r="249" spans="1:6" ht="15" customHeight="1" x14ac:dyDescent="0.3">
      <c r="A249" s="169" t="s">
        <v>534</v>
      </c>
      <c r="B249" s="190" t="s">
        <v>1066</v>
      </c>
      <c r="C249" s="163" t="s">
        <v>241</v>
      </c>
      <c r="D249" s="160">
        <v>81.91</v>
      </c>
      <c r="E249" s="165" t="s">
        <v>1058</v>
      </c>
      <c r="F249" s="166">
        <v>42892</v>
      </c>
    </row>
    <row r="250" spans="1:6" ht="15" customHeight="1" x14ac:dyDescent="0.3">
      <c r="A250" s="169" t="s">
        <v>535</v>
      </c>
      <c r="B250" s="190" t="s">
        <v>1067</v>
      </c>
      <c r="C250" s="163" t="s">
        <v>241</v>
      </c>
      <c r="D250" s="160">
        <v>80.22</v>
      </c>
      <c r="E250" s="165" t="s">
        <v>1058</v>
      </c>
      <c r="F250" s="166">
        <v>42892</v>
      </c>
    </row>
    <row r="251" spans="1:6" ht="15" customHeight="1" x14ac:dyDescent="0.3">
      <c r="A251" s="169" t="s">
        <v>536</v>
      </c>
      <c r="B251" s="156" t="s">
        <v>1068</v>
      </c>
      <c r="C251" s="163" t="s">
        <v>241</v>
      </c>
      <c r="D251" s="160">
        <v>258.87</v>
      </c>
      <c r="E251" s="165" t="s">
        <v>1058</v>
      </c>
      <c r="F251" s="166">
        <v>42892</v>
      </c>
    </row>
    <row r="252" spans="1:6" ht="15" customHeight="1" x14ac:dyDescent="0.3">
      <c r="A252" s="169" t="s">
        <v>537</v>
      </c>
      <c r="B252" s="156" t="s">
        <v>1069</v>
      </c>
      <c r="C252" s="163" t="s">
        <v>241</v>
      </c>
      <c r="D252" s="160">
        <v>139</v>
      </c>
      <c r="E252" s="165" t="s">
        <v>1061</v>
      </c>
      <c r="F252" s="166">
        <v>42892</v>
      </c>
    </row>
    <row r="253" spans="1:6" ht="15" customHeight="1" x14ac:dyDescent="0.3">
      <c r="A253" s="169" t="s">
        <v>538</v>
      </c>
      <c r="B253" s="156" t="s">
        <v>7376</v>
      </c>
      <c r="C253" s="163" t="s">
        <v>241</v>
      </c>
      <c r="D253" s="160">
        <v>60.01</v>
      </c>
      <c r="E253" s="165" t="s">
        <v>1058</v>
      </c>
      <c r="F253" s="166">
        <v>42892</v>
      </c>
    </row>
    <row r="254" spans="1:6" ht="15" customHeight="1" x14ac:dyDescent="0.3">
      <c r="A254" s="169" t="s">
        <v>539</v>
      </c>
      <c r="B254" s="156" t="s">
        <v>1070</v>
      </c>
      <c r="C254" s="163" t="s">
        <v>241</v>
      </c>
      <c r="D254" s="160">
        <v>60.01</v>
      </c>
      <c r="E254" s="165" t="s">
        <v>405</v>
      </c>
      <c r="F254" s="166">
        <v>42892</v>
      </c>
    </row>
    <row r="255" spans="1:6" ht="15" customHeight="1" x14ac:dyDescent="0.3">
      <c r="A255" s="169" t="s">
        <v>540</v>
      </c>
      <c r="B255" s="156" t="s">
        <v>1071</v>
      </c>
      <c r="C255" s="163" t="s">
        <v>241</v>
      </c>
      <c r="D255" s="160">
        <v>450.07</v>
      </c>
      <c r="E255" s="165" t="s">
        <v>1058</v>
      </c>
      <c r="F255" s="166">
        <v>42892</v>
      </c>
    </row>
    <row r="256" spans="1:6" ht="15" customHeight="1" x14ac:dyDescent="0.3">
      <c r="A256" s="169" t="s">
        <v>541</v>
      </c>
      <c r="B256" s="156" t="s">
        <v>1072</v>
      </c>
      <c r="C256" s="163" t="s">
        <v>241</v>
      </c>
      <c r="D256" s="160">
        <f>((((31.72+42.33)*1.03)/1.03)*1.02)/1.02</f>
        <v>74.05</v>
      </c>
      <c r="E256" s="165" t="s">
        <v>1058</v>
      </c>
      <c r="F256" s="166">
        <v>42892</v>
      </c>
    </row>
    <row r="257" spans="1:6" ht="15" customHeight="1" x14ac:dyDescent="0.3">
      <c r="A257" s="169" t="s">
        <v>542</v>
      </c>
      <c r="B257" s="156" t="s">
        <v>1073</v>
      </c>
      <c r="C257" s="163" t="s">
        <v>241</v>
      </c>
      <c r="D257" s="160">
        <f>((((160.24+116.52)*1.03)/1.03)*1.02)/1.02</f>
        <v>276.76</v>
      </c>
      <c r="E257" s="165" t="s">
        <v>1058</v>
      </c>
      <c r="F257" s="166">
        <v>42892</v>
      </c>
    </row>
    <row r="258" spans="1:6" ht="15" customHeight="1" x14ac:dyDescent="0.3">
      <c r="A258" s="169" t="s">
        <v>543</v>
      </c>
      <c r="B258" s="156" t="s">
        <v>1074</v>
      </c>
      <c r="C258" s="163" t="s">
        <v>241</v>
      </c>
      <c r="D258" s="160">
        <v>536.96</v>
      </c>
      <c r="E258" s="165" t="s">
        <v>405</v>
      </c>
      <c r="F258" s="166">
        <v>42892</v>
      </c>
    </row>
    <row r="259" spans="1:6" ht="15" customHeight="1" x14ac:dyDescent="0.3">
      <c r="A259" s="169" t="s">
        <v>544</v>
      </c>
      <c r="B259" s="156" t="s">
        <v>1075</v>
      </c>
      <c r="C259" s="163" t="s">
        <v>241</v>
      </c>
      <c r="D259" s="160">
        <v>256.44</v>
      </c>
      <c r="E259" s="165" t="s">
        <v>1058</v>
      </c>
      <c r="F259" s="166">
        <v>42892</v>
      </c>
    </row>
    <row r="260" spans="1:6" ht="15" customHeight="1" x14ac:dyDescent="0.3">
      <c r="A260" s="169" t="s">
        <v>545</v>
      </c>
      <c r="B260" s="156" t="s">
        <v>1076</v>
      </c>
      <c r="C260" s="163" t="s">
        <v>241</v>
      </c>
      <c r="D260" s="160">
        <v>338.33</v>
      </c>
      <c r="E260" s="165" t="s">
        <v>1058</v>
      </c>
      <c r="F260" s="166">
        <v>42892</v>
      </c>
    </row>
    <row r="261" spans="1:6" ht="15" customHeight="1" x14ac:dyDescent="0.3">
      <c r="A261" s="169" t="s">
        <v>546</v>
      </c>
      <c r="B261" s="156" t="s">
        <v>1077</v>
      </c>
      <c r="C261" s="163" t="s">
        <v>241</v>
      </c>
      <c r="D261" s="160">
        <v>60.01</v>
      </c>
      <c r="E261" s="165" t="s">
        <v>1058</v>
      </c>
      <c r="F261" s="166">
        <v>42892</v>
      </c>
    </row>
    <row r="262" spans="1:6" ht="15" customHeight="1" x14ac:dyDescent="0.3">
      <c r="A262" s="169" t="s">
        <v>547</v>
      </c>
      <c r="B262" s="156" t="s">
        <v>1078</v>
      </c>
      <c r="C262" s="163" t="s">
        <v>241</v>
      </c>
      <c r="D262" s="160">
        <v>240.43</v>
      </c>
      <c r="E262" s="165" t="s">
        <v>1058</v>
      </c>
      <c r="F262" s="166">
        <v>42892</v>
      </c>
    </row>
    <row r="263" spans="1:6" ht="15" customHeight="1" x14ac:dyDescent="0.3">
      <c r="A263" s="169" t="s">
        <v>548</v>
      </c>
      <c r="B263" s="156" t="s">
        <v>1079</v>
      </c>
      <c r="C263" s="163" t="s">
        <v>73</v>
      </c>
      <c r="D263" s="160">
        <f>((((0.1*500)*1.03)/1.03)*1.02)/1.02</f>
        <v>50</v>
      </c>
      <c r="E263" s="165" t="s">
        <v>405</v>
      </c>
      <c r="F263" s="166">
        <v>42892</v>
      </c>
    </row>
    <row r="264" spans="1:6" ht="15" customHeight="1" x14ac:dyDescent="0.3">
      <c r="A264" s="169" t="s">
        <v>549</v>
      </c>
      <c r="B264" s="156" t="s">
        <v>1080</v>
      </c>
      <c r="C264" s="163" t="s">
        <v>241</v>
      </c>
      <c r="D264" s="160">
        <f>((((397.6*0.85)*1.03)/1.03)*1.02)/1.02</f>
        <v>337.96000000000004</v>
      </c>
      <c r="E264" s="165" t="s">
        <v>1029</v>
      </c>
      <c r="F264" s="166">
        <v>42892</v>
      </c>
    </row>
    <row r="265" spans="1:6" ht="15" customHeight="1" x14ac:dyDescent="0.3">
      <c r="A265" s="169" t="s">
        <v>550</v>
      </c>
      <c r="B265" s="156" t="s">
        <v>1081</v>
      </c>
      <c r="C265" s="163" t="s">
        <v>241</v>
      </c>
      <c r="D265" s="160">
        <f>((((469.6*0.85)*1.03)/1.03)*1.02)/1.02</f>
        <v>399.16</v>
      </c>
      <c r="E265" s="165" t="s">
        <v>1029</v>
      </c>
      <c r="F265" s="166">
        <v>42892</v>
      </c>
    </row>
    <row r="266" spans="1:6" ht="15" customHeight="1" x14ac:dyDescent="0.3">
      <c r="A266" s="169" t="s">
        <v>551</v>
      </c>
      <c r="B266" s="156" t="s">
        <v>1082</v>
      </c>
      <c r="C266" s="163" t="s">
        <v>73</v>
      </c>
      <c r="D266" s="160">
        <f>(((((230+140)*0.85)*1.03)/1.03)*1.02)/1.02</f>
        <v>314.5</v>
      </c>
      <c r="E266" s="165" t="s">
        <v>1029</v>
      </c>
      <c r="F266" s="166">
        <v>42892</v>
      </c>
    </row>
    <row r="267" spans="1:6" ht="15" customHeight="1" x14ac:dyDescent="0.3">
      <c r="A267" s="169" t="s">
        <v>552</v>
      </c>
      <c r="B267" s="156" t="s">
        <v>1083</v>
      </c>
      <c r="C267" s="163" t="s">
        <v>241</v>
      </c>
      <c r="D267" s="160">
        <v>7944</v>
      </c>
      <c r="E267" s="165" t="s">
        <v>1084</v>
      </c>
      <c r="F267" s="166">
        <v>42892</v>
      </c>
    </row>
    <row r="268" spans="1:6" ht="15" customHeight="1" x14ac:dyDescent="0.3">
      <c r="A268" s="169" t="s">
        <v>553</v>
      </c>
      <c r="B268" s="156" t="s">
        <v>1085</v>
      </c>
      <c r="C268" s="163" t="s">
        <v>74</v>
      </c>
      <c r="D268" s="160">
        <v>280</v>
      </c>
      <c r="E268" s="165" t="s">
        <v>405</v>
      </c>
      <c r="F268" s="166">
        <v>42892</v>
      </c>
    </row>
    <row r="269" spans="1:6" ht="15" customHeight="1" x14ac:dyDescent="0.3">
      <c r="A269" s="169" t="s">
        <v>554</v>
      </c>
      <c r="B269" s="156" t="s">
        <v>1086</v>
      </c>
      <c r="C269" s="163" t="s">
        <v>241</v>
      </c>
      <c r="D269" s="160">
        <v>456</v>
      </c>
      <c r="E269" s="165" t="s">
        <v>1003</v>
      </c>
      <c r="F269" s="166">
        <v>42892</v>
      </c>
    </row>
    <row r="270" spans="1:6" ht="15" customHeight="1" x14ac:dyDescent="0.3">
      <c r="A270" s="169" t="s">
        <v>555</v>
      </c>
      <c r="B270" s="156" t="s">
        <v>1087</v>
      </c>
      <c r="C270" s="163" t="s">
        <v>29</v>
      </c>
      <c r="D270" s="160">
        <v>25670</v>
      </c>
      <c r="E270" s="165" t="s">
        <v>1088</v>
      </c>
      <c r="F270" s="166">
        <v>42892</v>
      </c>
    </row>
    <row r="271" spans="1:6" ht="15" customHeight="1" x14ac:dyDescent="0.3">
      <c r="A271" s="169" t="s">
        <v>556</v>
      </c>
      <c r="B271" s="156" t="s">
        <v>1089</v>
      </c>
      <c r="C271" s="163" t="s">
        <v>29</v>
      </c>
      <c r="D271" s="160">
        <v>6800</v>
      </c>
      <c r="E271" s="165" t="s">
        <v>405</v>
      </c>
      <c r="F271" s="166">
        <v>42892</v>
      </c>
    </row>
    <row r="272" spans="1:6" ht="15" customHeight="1" x14ac:dyDescent="0.3">
      <c r="A272" s="169" t="s">
        <v>557</v>
      </c>
      <c r="B272" s="156" t="s">
        <v>93</v>
      </c>
      <c r="C272" s="163" t="s">
        <v>2034</v>
      </c>
      <c r="D272" s="160">
        <v>300</v>
      </c>
      <c r="E272" s="165" t="s">
        <v>3610</v>
      </c>
      <c r="F272" s="166">
        <v>44210</v>
      </c>
    </row>
    <row r="273" spans="1:7" ht="15" customHeight="1" x14ac:dyDescent="0.3">
      <c r="A273" s="169" t="s">
        <v>558</v>
      </c>
      <c r="B273" s="156" t="s">
        <v>1090</v>
      </c>
      <c r="C273" s="163" t="s">
        <v>241</v>
      </c>
      <c r="D273" s="160">
        <v>35537.125</v>
      </c>
      <c r="E273" s="165" t="s">
        <v>1091</v>
      </c>
      <c r="F273" s="166">
        <v>42892</v>
      </c>
    </row>
    <row r="274" spans="1:7" ht="15" customHeight="1" x14ac:dyDescent="0.3">
      <c r="A274" s="169" t="s">
        <v>559</v>
      </c>
      <c r="B274" s="156" t="s">
        <v>1092</v>
      </c>
      <c r="C274" s="163" t="s">
        <v>241</v>
      </c>
      <c r="D274" s="160">
        <v>27666.25</v>
      </c>
      <c r="E274" s="165" t="s">
        <v>1093</v>
      </c>
      <c r="F274" s="166">
        <v>42892</v>
      </c>
    </row>
    <row r="275" spans="1:7" ht="15" customHeight="1" x14ac:dyDescent="0.3">
      <c r="A275" s="169" t="s">
        <v>560</v>
      </c>
      <c r="B275" s="156" t="s">
        <v>1094</v>
      </c>
      <c r="C275" s="163" t="s">
        <v>241</v>
      </c>
      <c r="D275" s="160">
        <v>7500</v>
      </c>
      <c r="E275" s="165" t="s">
        <v>1095</v>
      </c>
      <c r="F275" s="166">
        <v>42892</v>
      </c>
    </row>
    <row r="276" spans="1:7" ht="15" customHeight="1" x14ac:dyDescent="0.3">
      <c r="A276" s="169" t="s">
        <v>561</v>
      </c>
      <c r="B276" s="156" t="s">
        <v>1096</v>
      </c>
      <c r="C276" s="163" t="s">
        <v>29</v>
      </c>
      <c r="D276" s="160">
        <v>450</v>
      </c>
      <c r="E276" s="165" t="s">
        <v>405</v>
      </c>
      <c r="F276" s="166">
        <v>42936</v>
      </c>
      <c r="G276" s="164"/>
    </row>
    <row r="277" spans="1:7" ht="15" customHeight="1" x14ac:dyDescent="0.3">
      <c r="A277" s="169" t="s">
        <v>562</v>
      </c>
      <c r="B277" s="156" t="s">
        <v>1097</v>
      </c>
      <c r="C277" s="163" t="s">
        <v>73</v>
      </c>
      <c r="D277" s="160">
        <f>((((2875/115)*1.03)/1.03)*1.02)/1.02</f>
        <v>25</v>
      </c>
      <c r="E277" s="165" t="s">
        <v>946</v>
      </c>
      <c r="F277" s="166">
        <v>42892</v>
      </c>
    </row>
    <row r="278" spans="1:7" ht="15" customHeight="1" x14ac:dyDescent="0.3">
      <c r="A278" s="169" t="s">
        <v>563</v>
      </c>
      <c r="B278" s="156" t="s">
        <v>1098</v>
      </c>
      <c r="C278" s="163" t="s">
        <v>73</v>
      </c>
      <c r="D278" s="160">
        <v>231.85</v>
      </c>
      <c r="E278" s="165" t="s">
        <v>1099</v>
      </c>
      <c r="F278" s="166">
        <v>42892</v>
      </c>
    </row>
    <row r="279" spans="1:7" ht="15" customHeight="1" x14ac:dyDescent="0.3">
      <c r="A279" s="169" t="s">
        <v>564</v>
      </c>
      <c r="B279" s="156" t="s">
        <v>1100</v>
      </c>
      <c r="C279" s="163" t="s">
        <v>73</v>
      </c>
      <c r="D279" s="160">
        <v>471.79</v>
      </c>
      <c r="E279" s="165" t="s">
        <v>1101</v>
      </c>
      <c r="F279" s="166">
        <v>42892</v>
      </c>
    </row>
    <row r="280" spans="1:7" ht="15" customHeight="1" x14ac:dyDescent="0.3">
      <c r="A280" s="169" t="s">
        <v>565</v>
      </c>
      <c r="B280" s="156" t="s">
        <v>1102</v>
      </c>
      <c r="C280" s="163" t="s">
        <v>29</v>
      </c>
      <c r="D280" s="160">
        <f>((((2950238.5-(2950238.5*0.04))*1.03)/1.03)*1.02)/1.02</f>
        <v>2832228.96</v>
      </c>
      <c r="E280" s="165" t="s">
        <v>1103</v>
      </c>
      <c r="F280" s="166">
        <v>42892</v>
      </c>
    </row>
    <row r="281" spans="1:7" ht="15" customHeight="1" x14ac:dyDescent="0.3">
      <c r="A281" s="169" t="s">
        <v>566</v>
      </c>
      <c r="B281" s="156" t="s">
        <v>1104</v>
      </c>
      <c r="C281" s="163" t="s">
        <v>29</v>
      </c>
      <c r="D281" s="160">
        <f>((((24517.09-(24517.09*0.04))*1.03)/1.03)*1.02)/1.02</f>
        <v>23536.4064</v>
      </c>
      <c r="E281" s="165" t="s">
        <v>1103</v>
      </c>
      <c r="F281" s="166">
        <v>42892</v>
      </c>
    </row>
    <row r="282" spans="1:7" ht="15" customHeight="1" x14ac:dyDescent="0.3">
      <c r="A282" s="169" t="s">
        <v>567</v>
      </c>
      <c r="B282" s="156" t="s">
        <v>1105</v>
      </c>
      <c r="C282" s="163" t="s">
        <v>29</v>
      </c>
      <c r="D282" s="160">
        <f>((((41132.64-(41132.648*0.04))*1.03)/1.03)*1.02)/1.02</f>
        <v>39487.334080000001</v>
      </c>
      <c r="E282" s="165" t="s">
        <v>1103</v>
      </c>
      <c r="F282" s="166">
        <v>42892</v>
      </c>
    </row>
    <row r="283" spans="1:7" ht="15" customHeight="1" x14ac:dyDescent="0.3">
      <c r="A283" s="169" t="s">
        <v>568</v>
      </c>
      <c r="B283" s="156" t="s">
        <v>1106</v>
      </c>
      <c r="C283" s="163" t="s">
        <v>29</v>
      </c>
      <c r="D283" s="160">
        <f>((((1174113.08-(1174113.08*0.04))*1.03)/1.03)*1.02)/1.02</f>
        <v>1127148.5568000001</v>
      </c>
      <c r="E283" s="165" t="s">
        <v>1103</v>
      </c>
      <c r="F283" s="166">
        <v>42892</v>
      </c>
    </row>
    <row r="284" spans="1:7" ht="15" customHeight="1" x14ac:dyDescent="0.3">
      <c r="A284" s="169" t="s">
        <v>569</v>
      </c>
      <c r="B284" s="156" t="s">
        <v>1107</v>
      </c>
      <c r="C284" s="163" t="s">
        <v>29</v>
      </c>
      <c r="D284" s="160">
        <f>((((357616.03-(357616.03*0.04))*1.03)/1.03)*1.02)/1.02</f>
        <v>343311.38880000002</v>
      </c>
      <c r="E284" s="165" t="s">
        <v>1103</v>
      </c>
      <c r="F284" s="166">
        <v>42892</v>
      </c>
    </row>
    <row r="285" spans="1:7" ht="15" customHeight="1" x14ac:dyDescent="0.3">
      <c r="A285" s="169" t="s">
        <v>570</v>
      </c>
      <c r="B285" s="156" t="s">
        <v>1108</v>
      </c>
      <c r="C285" s="163" t="s">
        <v>241</v>
      </c>
      <c r="D285" s="160">
        <v>123</v>
      </c>
      <c r="E285" s="165" t="s">
        <v>1109</v>
      </c>
      <c r="F285" s="166">
        <v>42892</v>
      </c>
    </row>
    <row r="286" spans="1:7" ht="15" customHeight="1" x14ac:dyDescent="0.3">
      <c r="A286" s="169" t="s">
        <v>571</v>
      </c>
      <c r="B286" s="156" t="s">
        <v>1110</v>
      </c>
      <c r="C286" s="163" t="s">
        <v>241</v>
      </c>
      <c r="D286" s="160">
        <v>123</v>
      </c>
      <c r="E286" s="165" t="s">
        <v>1109</v>
      </c>
      <c r="F286" s="166">
        <v>42892</v>
      </c>
    </row>
    <row r="287" spans="1:7" ht="15" customHeight="1" x14ac:dyDescent="0.3">
      <c r="A287" s="169" t="s">
        <v>572</v>
      </c>
      <c r="B287" s="156" t="s">
        <v>1111</v>
      </c>
      <c r="C287" s="163" t="s">
        <v>241</v>
      </c>
      <c r="D287" s="160">
        <v>19.8</v>
      </c>
      <c r="E287" s="165" t="s">
        <v>1109</v>
      </c>
      <c r="F287" s="166">
        <v>42892</v>
      </c>
    </row>
    <row r="288" spans="1:7" ht="15" customHeight="1" x14ac:dyDescent="0.3">
      <c r="A288" s="169" t="s">
        <v>573</v>
      </c>
      <c r="B288" s="156" t="s">
        <v>1112</v>
      </c>
      <c r="C288" s="163" t="s">
        <v>241</v>
      </c>
      <c r="D288" s="160">
        <v>185</v>
      </c>
      <c r="E288" s="165" t="s">
        <v>1109</v>
      </c>
      <c r="F288" s="166">
        <v>42892</v>
      </c>
    </row>
    <row r="289" spans="1:6" ht="15" customHeight="1" x14ac:dyDescent="0.3">
      <c r="A289" s="169" t="s">
        <v>574</v>
      </c>
      <c r="B289" s="156" t="s">
        <v>1113</v>
      </c>
      <c r="C289" s="163" t="s">
        <v>241</v>
      </c>
      <c r="D289" s="160">
        <v>138</v>
      </c>
      <c r="E289" s="165" t="s">
        <v>1109</v>
      </c>
      <c r="F289" s="166">
        <v>42892</v>
      </c>
    </row>
    <row r="290" spans="1:6" ht="15" customHeight="1" x14ac:dyDescent="0.3">
      <c r="A290" s="169" t="s">
        <v>575</v>
      </c>
      <c r="B290" s="156" t="s">
        <v>1114</v>
      </c>
      <c r="C290" s="163" t="s">
        <v>241</v>
      </c>
      <c r="D290" s="160">
        <v>46</v>
      </c>
      <c r="E290" s="165" t="s">
        <v>1109</v>
      </c>
      <c r="F290" s="166">
        <v>42892</v>
      </c>
    </row>
    <row r="291" spans="1:6" ht="15" customHeight="1" x14ac:dyDescent="0.3">
      <c r="A291" s="169" t="s">
        <v>576</v>
      </c>
      <c r="B291" s="156" t="s">
        <v>1115</v>
      </c>
      <c r="C291" s="163" t="s">
        <v>29</v>
      </c>
      <c r="D291" s="160">
        <v>31170</v>
      </c>
      <c r="E291" s="165" t="s">
        <v>1012</v>
      </c>
      <c r="F291" s="166">
        <v>42892</v>
      </c>
    </row>
    <row r="292" spans="1:6" ht="15" customHeight="1" x14ac:dyDescent="0.3">
      <c r="A292" s="169" t="s">
        <v>577</v>
      </c>
      <c r="B292" s="156" t="s">
        <v>1116</v>
      </c>
      <c r="C292" s="163" t="s">
        <v>241</v>
      </c>
      <c r="D292" s="160">
        <v>2890</v>
      </c>
      <c r="E292" s="165" t="s">
        <v>1117</v>
      </c>
      <c r="F292" s="166">
        <v>42892</v>
      </c>
    </row>
    <row r="293" spans="1:6" ht="15" customHeight="1" x14ac:dyDescent="0.3">
      <c r="A293" s="169" t="s">
        <v>578</v>
      </c>
      <c r="B293" s="156" t="s">
        <v>1118</v>
      </c>
      <c r="C293" s="163" t="s">
        <v>241</v>
      </c>
      <c r="D293" s="160">
        <v>2160</v>
      </c>
      <c r="E293" s="165" t="s">
        <v>1117</v>
      </c>
      <c r="F293" s="166">
        <v>42892</v>
      </c>
    </row>
    <row r="294" spans="1:6" ht="15" customHeight="1" x14ac:dyDescent="0.3">
      <c r="A294" s="169" t="s">
        <v>579</v>
      </c>
      <c r="B294" s="156" t="s">
        <v>7815</v>
      </c>
      <c r="C294" s="163" t="s">
        <v>241</v>
      </c>
      <c r="D294" s="160">
        <v>5200</v>
      </c>
      <c r="E294" s="165" t="s">
        <v>7382</v>
      </c>
      <c r="F294" s="166">
        <v>42892</v>
      </c>
    </row>
    <row r="295" spans="1:6" ht="15" customHeight="1" x14ac:dyDescent="0.3">
      <c r="A295" s="169" t="s">
        <v>580</v>
      </c>
      <c r="B295" s="156" t="s">
        <v>1119</v>
      </c>
      <c r="C295" s="163" t="s">
        <v>241</v>
      </c>
      <c r="D295" s="160">
        <v>1300</v>
      </c>
      <c r="E295" s="165" t="s">
        <v>7382</v>
      </c>
      <c r="F295" s="166">
        <v>42892</v>
      </c>
    </row>
    <row r="296" spans="1:6" ht="15" customHeight="1" x14ac:dyDescent="0.3">
      <c r="A296" s="169" t="s">
        <v>581</v>
      </c>
      <c r="B296" s="156" t="s">
        <v>1120</v>
      </c>
      <c r="C296" s="163" t="s">
        <v>29</v>
      </c>
      <c r="D296" s="160">
        <v>373000</v>
      </c>
      <c r="E296" s="165" t="s">
        <v>1121</v>
      </c>
      <c r="F296" s="166">
        <v>42892</v>
      </c>
    </row>
    <row r="297" spans="1:6" ht="15" customHeight="1" x14ac:dyDescent="0.3">
      <c r="A297" s="169" t="s">
        <v>582</v>
      </c>
      <c r="B297" s="156" t="s">
        <v>1122</v>
      </c>
      <c r="C297" s="163" t="s">
        <v>29</v>
      </c>
      <c r="D297" s="160">
        <v>16200</v>
      </c>
      <c r="E297" s="165" t="s">
        <v>1123</v>
      </c>
      <c r="F297" s="166">
        <v>42892</v>
      </c>
    </row>
    <row r="298" spans="1:6" ht="15" customHeight="1" x14ac:dyDescent="0.3">
      <c r="A298" s="169" t="s">
        <v>583</v>
      </c>
      <c r="B298" s="156" t="s">
        <v>1124</v>
      </c>
      <c r="C298" s="163" t="s">
        <v>29</v>
      </c>
      <c r="D298" s="160">
        <v>27060</v>
      </c>
      <c r="E298" s="165" t="s">
        <v>1123</v>
      </c>
      <c r="F298" s="166">
        <v>42892</v>
      </c>
    </row>
    <row r="299" spans="1:6" ht="15" customHeight="1" x14ac:dyDescent="0.3">
      <c r="A299" s="169" t="s">
        <v>584</v>
      </c>
      <c r="B299" s="156" t="s">
        <v>1125</v>
      </c>
      <c r="C299" s="163" t="s">
        <v>29</v>
      </c>
      <c r="D299" s="160">
        <v>22360</v>
      </c>
      <c r="E299" s="165" t="s">
        <v>1123</v>
      </c>
      <c r="F299" s="166">
        <v>42892</v>
      </c>
    </row>
    <row r="300" spans="1:6" ht="15" customHeight="1" x14ac:dyDescent="0.3">
      <c r="A300" s="169" t="s">
        <v>585</v>
      </c>
      <c r="B300" s="156" t="s">
        <v>1126</v>
      </c>
      <c r="C300" s="163" t="s">
        <v>29</v>
      </c>
      <c r="D300" s="160">
        <v>4920</v>
      </c>
      <c r="E300" s="165" t="s">
        <v>1123</v>
      </c>
      <c r="F300" s="166">
        <v>42892</v>
      </c>
    </row>
    <row r="301" spans="1:6" ht="15" customHeight="1" x14ac:dyDescent="0.3">
      <c r="A301" s="169" t="s">
        <v>586</v>
      </c>
      <c r="B301" s="156" t="s">
        <v>1127</v>
      </c>
      <c r="C301" s="163" t="s">
        <v>29</v>
      </c>
      <c r="D301" s="160">
        <v>88540</v>
      </c>
      <c r="E301" s="165" t="s">
        <v>1123</v>
      </c>
      <c r="F301" s="166">
        <v>42892</v>
      </c>
    </row>
    <row r="302" spans="1:6" ht="15" customHeight="1" x14ac:dyDescent="0.3">
      <c r="A302" s="169" t="s">
        <v>587</v>
      </c>
      <c r="B302" s="156" t="s">
        <v>1128</v>
      </c>
      <c r="C302" s="163" t="s">
        <v>37</v>
      </c>
      <c r="D302" s="160">
        <v>4400</v>
      </c>
      <c r="E302" s="165" t="s">
        <v>1129</v>
      </c>
      <c r="F302" s="166">
        <v>42892</v>
      </c>
    </row>
    <row r="303" spans="1:6" ht="15" customHeight="1" x14ac:dyDescent="0.3">
      <c r="A303" s="169" t="s">
        <v>588</v>
      </c>
      <c r="B303" s="156" t="s">
        <v>1130</v>
      </c>
      <c r="C303" s="163" t="s">
        <v>241</v>
      </c>
      <c r="D303" s="160">
        <v>900</v>
      </c>
      <c r="E303" s="165" t="s">
        <v>405</v>
      </c>
      <c r="F303" s="166">
        <v>42892</v>
      </c>
    </row>
    <row r="304" spans="1:6" ht="15" customHeight="1" x14ac:dyDescent="0.3">
      <c r="A304" s="169" t="s">
        <v>589</v>
      </c>
      <c r="B304" s="156" t="s">
        <v>1131</v>
      </c>
      <c r="C304" s="163" t="s">
        <v>73</v>
      </c>
      <c r="D304" s="160">
        <v>24</v>
      </c>
      <c r="E304" s="165" t="s">
        <v>405</v>
      </c>
      <c r="F304" s="166">
        <v>42892</v>
      </c>
    </row>
    <row r="305" spans="1:6" ht="15" customHeight="1" x14ac:dyDescent="0.3">
      <c r="A305" s="169" t="s">
        <v>590</v>
      </c>
      <c r="B305" s="156" t="s">
        <v>3548</v>
      </c>
      <c r="C305" s="163" t="s">
        <v>29</v>
      </c>
      <c r="D305" s="160">
        <v>3000</v>
      </c>
      <c r="E305" s="165" t="s">
        <v>405</v>
      </c>
      <c r="F305" s="166">
        <v>43040</v>
      </c>
    </row>
    <row r="306" spans="1:6" ht="15" customHeight="1" x14ac:dyDescent="0.3">
      <c r="A306" s="169" t="s">
        <v>591</v>
      </c>
      <c r="B306" s="156" t="s">
        <v>1133</v>
      </c>
      <c r="C306" s="163" t="s">
        <v>29</v>
      </c>
      <c r="D306" s="160">
        <f>(((((532061.66+152017.62)*0.9)*1.03)/1.03)*1.02)/1.02</f>
        <v>615671.35200000007</v>
      </c>
      <c r="E306" s="165" t="s">
        <v>1134</v>
      </c>
      <c r="F306" s="166">
        <v>42892</v>
      </c>
    </row>
    <row r="307" spans="1:6" ht="15" customHeight="1" x14ac:dyDescent="0.3">
      <c r="A307" s="169" t="s">
        <v>592</v>
      </c>
      <c r="B307" s="156" t="s">
        <v>1135</v>
      </c>
      <c r="C307" s="163" t="s">
        <v>29</v>
      </c>
      <c r="D307" s="160">
        <v>1</v>
      </c>
      <c r="E307" s="165" t="s">
        <v>1136</v>
      </c>
      <c r="F307" s="166">
        <v>42892</v>
      </c>
    </row>
    <row r="308" spans="1:6" ht="15" customHeight="1" x14ac:dyDescent="0.3">
      <c r="A308" s="169" t="s">
        <v>593</v>
      </c>
      <c r="B308" s="156" t="s">
        <v>1137</v>
      </c>
      <c r="C308" s="163" t="s">
        <v>29</v>
      </c>
      <c r="D308" s="160">
        <f>((((76008.81*0.9)*1.03)/1.03)*1.02)/1.02</f>
        <v>68407.929000000004</v>
      </c>
      <c r="E308" s="165" t="s">
        <v>1134</v>
      </c>
      <c r="F308" s="166">
        <v>42892</v>
      </c>
    </row>
    <row r="309" spans="1:6" ht="15" customHeight="1" x14ac:dyDescent="0.3">
      <c r="A309" s="169" t="s">
        <v>594</v>
      </c>
      <c r="B309" s="156" t="s">
        <v>1138</v>
      </c>
      <c r="C309" s="163" t="s">
        <v>29</v>
      </c>
      <c r="D309" s="160">
        <f>((((57006.61*0.9)*1.03)/1.03)*1.02)/1.02</f>
        <v>51305.949000000001</v>
      </c>
      <c r="E309" s="165" t="s">
        <v>1134</v>
      </c>
      <c r="F309" s="166">
        <v>42892</v>
      </c>
    </row>
    <row r="310" spans="1:6" ht="15" customHeight="1" x14ac:dyDescent="0.3">
      <c r="A310" s="169" t="s">
        <v>595</v>
      </c>
      <c r="B310" s="156" t="s">
        <v>1139</v>
      </c>
      <c r="C310" s="163" t="s">
        <v>29</v>
      </c>
      <c r="D310" s="160">
        <v>1140000</v>
      </c>
      <c r="E310" s="165" t="s">
        <v>1136</v>
      </c>
      <c r="F310" s="166">
        <v>42892</v>
      </c>
    </row>
    <row r="311" spans="1:6" ht="15" customHeight="1" x14ac:dyDescent="0.3">
      <c r="A311" s="169" t="s">
        <v>596</v>
      </c>
      <c r="B311" s="156" t="s">
        <v>1140</v>
      </c>
      <c r="C311" s="163" t="s">
        <v>29</v>
      </c>
      <c r="D311" s="160">
        <v>151598</v>
      </c>
      <c r="E311" s="165" t="s">
        <v>1141</v>
      </c>
      <c r="F311" s="166">
        <v>42892</v>
      </c>
    </row>
    <row r="312" spans="1:6" ht="15" customHeight="1" x14ac:dyDescent="0.3">
      <c r="A312" s="169" t="s">
        <v>597</v>
      </c>
      <c r="B312" s="156" t="s">
        <v>1142</v>
      </c>
      <c r="C312" s="163" t="s">
        <v>29</v>
      </c>
      <c r="D312" s="160">
        <v>526280.78</v>
      </c>
      <c r="E312" s="165" t="s">
        <v>1143</v>
      </c>
      <c r="F312" s="166">
        <v>42893</v>
      </c>
    </row>
    <row r="313" spans="1:6" ht="15" customHeight="1" x14ac:dyDescent="0.3">
      <c r="A313" s="169" t="s">
        <v>598</v>
      </c>
      <c r="B313" s="156" t="s">
        <v>1144</v>
      </c>
      <c r="C313" s="163" t="s">
        <v>29</v>
      </c>
      <c r="D313" s="160">
        <f>((((4699215.34*0.02)*1.03)/1.03)*1.02)/1.02</f>
        <v>93984.306800000006</v>
      </c>
      <c r="E313" s="165" t="s">
        <v>405</v>
      </c>
      <c r="F313" s="166">
        <v>42924</v>
      </c>
    </row>
    <row r="314" spans="1:6" ht="15" customHeight="1" x14ac:dyDescent="0.3">
      <c r="A314" s="169" t="s">
        <v>599</v>
      </c>
      <c r="B314" s="156" t="s">
        <v>1145</v>
      </c>
      <c r="C314" s="163" t="s">
        <v>241</v>
      </c>
      <c r="D314" s="160">
        <v>2119.06</v>
      </c>
      <c r="E314" s="165" t="s">
        <v>1338</v>
      </c>
      <c r="F314" s="166">
        <v>43046</v>
      </c>
    </row>
    <row r="315" spans="1:6" ht="15" customHeight="1" x14ac:dyDescent="0.3">
      <c r="A315" s="169" t="s">
        <v>600</v>
      </c>
      <c r="B315" s="156" t="s">
        <v>1146</v>
      </c>
      <c r="C315" s="163" t="s">
        <v>74</v>
      </c>
      <c r="D315" s="160">
        <v>35</v>
      </c>
      <c r="E315" s="165" t="s">
        <v>405</v>
      </c>
      <c r="F315" s="166">
        <v>42924</v>
      </c>
    </row>
    <row r="316" spans="1:6" ht="15" customHeight="1" x14ac:dyDescent="0.3">
      <c r="A316" s="169" t="s">
        <v>601</v>
      </c>
      <c r="B316" s="156" t="s">
        <v>1147</v>
      </c>
      <c r="C316" s="163" t="s">
        <v>29</v>
      </c>
      <c r="D316" s="160">
        <v>1779441.25</v>
      </c>
      <c r="E316" s="165" t="s">
        <v>1148</v>
      </c>
      <c r="F316" s="166">
        <v>42897</v>
      </c>
    </row>
    <row r="317" spans="1:6" ht="15" customHeight="1" x14ac:dyDescent="0.3">
      <c r="A317" s="169" t="s">
        <v>602</v>
      </c>
      <c r="B317" s="156" t="s">
        <v>1149</v>
      </c>
      <c r="C317" s="163" t="s">
        <v>29</v>
      </c>
      <c r="D317" s="160">
        <v>375336.64</v>
      </c>
      <c r="E317" s="165" t="s">
        <v>1148</v>
      </c>
      <c r="F317" s="166">
        <v>42897</v>
      </c>
    </row>
    <row r="318" spans="1:6" ht="15" customHeight="1" x14ac:dyDescent="0.3">
      <c r="A318" s="169" t="s">
        <v>603</v>
      </c>
      <c r="B318" s="156" t="s">
        <v>1150</v>
      </c>
      <c r="C318" s="163" t="s">
        <v>29</v>
      </c>
      <c r="D318" s="160">
        <v>1724538.06</v>
      </c>
      <c r="E318" s="165" t="s">
        <v>1148</v>
      </c>
      <c r="F318" s="166">
        <v>42897</v>
      </c>
    </row>
    <row r="319" spans="1:6" ht="15" customHeight="1" x14ac:dyDescent="0.3">
      <c r="A319" s="169" t="s">
        <v>604</v>
      </c>
      <c r="B319" s="156" t="s">
        <v>1151</v>
      </c>
      <c r="C319" s="163" t="s">
        <v>29</v>
      </c>
      <c r="D319" s="160">
        <v>511209.7</v>
      </c>
      <c r="E319" s="165" t="s">
        <v>1148</v>
      </c>
      <c r="F319" s="166">
        <v>42897</v>
      </c>
    </row>
    <row r="320" spans="1:6" ht="15" customHeight="1" x14ac:dyDescent="0.3">
      <c r="A320" s="169" t="s">
        <v>605</v>
      </c>
      <c r="B320" s="156" t="s">
        <v>1152</v>
      </c>
      <c r="C320" s="163" t="s">
        <v>29</v>
      </c>
      <c r="D320" s="160">
        <f>((((47505.51*0.9)*1.03)/1.03)*1.02)/1.02</f>
        <v>42754.959000000003</v>
      </c>
      <c r="E320" s="165" t="s">
        <v>1134</v>
      </c>
      <c r="F320" s="166">
        <v>42892</v>
      </c>
    </row>
    <row r="321" spans="1:6" ht="15" customHeight="1" x14ac:dyDescent="0.3">
      <c r="A321" s="169" t="s">
        <v>606</v>
      </c>
      <c r="B321" s="156" t="s">
        <v>1153</v>
      </c>
      <c r="C321" s="163" t="s">
        <v>29</v>
      </c>
      <c r="D321" s="160">
        <f>((((85509.91*0.9)*1.03)/1.03)*1.02)/1.02</f>
        <v>76958.919000000009</v>
      </c>
      <c r="E321" s="165" t="s">
        <v>1134</v>
      </c>
      <c r="F321" s="166">
        <v>42892</v>
      </c>
    </row>
    <row r="322" spans="1:6" ht="15" customHeight="1" x14ac:dyDescent="0.3">
      <c r="A322" s="169" t="s">
        <v>607</v>
      </c>
      <c r="B322" s="156" t="s">
        <v>1154</v>
      </c>
      <c r="C322" s="163" t="s">
        <v>73</v>
      </c>
      <c r="D322" s="160">
        <v>330</v>
      </c>
      <c r="E322" s="165" t="s">
        <v>1099</v>
      </c>
      <c r="F322" s="166">
        <v>42898</v>
      </c>
    </row>
    <row r="323" spans="1:6" ht="15" customHeight="1" x14ac:dyDescent="0.3">
      <c r="A323" s="169" t="s">
        <v>608</v>
      </c>
      <c r="B323" s="156" t="s">
        <v>1156</v>
      </c>
      <c r="C323" s="163" t="s">
        <v>241</v>
      </c>
      <c r="D323" s="160">
        <v>3500</v>
      </c>
      <c r="E323" s="165" t="s">
        <v>1002</v>
      </c>
      <c r="F323" s="166">
        <v>42898</v>
      </c>
    </row>
    <row r="324" spans="1:6" ht="15" customHeight="1" x14ac:dyDescent="0.3">
      <c r="A324" s="169" t="s">
        <v>609</v>
      </c>
      <c r="B324" s="156" t="s">
        <v>1157</v>
      </c>
      <c r="C324" s="163" t="s">
        <v>241</v>
      </c>
      <c r="D324" s="160">
        <v>402</v>
      </c>
      <c r="E324" s="165" t="s">
        <v>1002</v>
      </c>
      <c r="F324" s="166">
        <v>42898</v>
      </c>
    </row>
    <row r="325" spans="1:6" ht="15" customHeight="1" x14ac:dyDescent="0.3">
      <c r="A325" s="169" t="s">
        <v>610</v>
      </c>
      <c r="B325" s="156" t="s">
        <v>1158</v>
      </c>
      <c r="C325" s="163" t="s">
        <v>241</v>
      </c>
      <c r="D325" s="160">
        <v>5000</v>
      </c>
      <c r="E325" s="165" t="s">
        <v>1002</v>
      </c>
      <c r="F325" s="166">
        <v>42898</v>
      </c>
    </row>
    <row r="326" spans="1:6" ht="15" customHeight="1" x14ac:dyDescent="0.3">
      <c r="A326" s="169" t="s">
        <v>611</v>
      </c>
      <c r="B326" s="156" t="s">
        <v>7538</v>
      </c>
      <c r="C326" s="163" t="s">
        <v>29</v>
      </c>
      <c r="D326" s="160">
        <v>1</v>
      </c>
      <c r="E326" s="165" t="s">
        <v>1002</v>
      </c>
      <c r="F326" s="166">
        <v>42898</v>
      </c>
    </row>
    <row r="327" spans="1:6" ht="15" customHeight="1" x14ac:dyDescent="0.3">
      <c r="A327" s="169" t="s">
        <v>612</v>
      </c>
      <c r="B327" s="156" t="s">
        <v>1161</v>
      </c>
      <c r="C327" s="163" t="s">
        <v>73</v>
      </c>
      <c r="D327" s="160">
        <v>130</v>
      </c>
      <c r="E327" s="165" t="s">
        <v>405</v>
      </c>
      <c r="F327" s="166">
        <v>42902</v>
      </c>
    </row>
    <row r="328" spans="1:6" ht="15" customHeight="1" x14ac:dyDescent="0.3">
      <c r="A328" s="169" t="s">
        <v>613</v>
      </c>
      <c r="B328" s="156" t="s">
        <v>1162</v>
      </c>
      <c r="C328" s="163" t="s">
        <v>73</v>
      </c>
      <c r="D328" s="160">
        <v>145</v>
      </c>
      <c r="E328" s="165" t="s">
        <v>405</v>
      </c>
      <c r="F328" s="166">
        <v>42902</v>
      </c>
    </row>
    <row r="329" spans="1:6" ht="15" customHeight="1" x14ac:dyDescent="0.3">
      <c r="A329" s="169" t="s">
        <v>614</v>
      </c>
      <c r="B329" s="156" t="s">
        <v>1328</v>
      </c>
      <c r="C329" s="163" t="s">
        <v>73</v>
      </c>
      <c r="D329" s="160">
        <v>280</v>
      </c>
      <c r="E329" s="165" t="s">
        <v>405</v>
      </c>
      <c r="F329" s="166">
        <v>43045</v>
      </c>
    </row>
    <row r="330" spans="1:6" ht="15" customHeight="1" x14ac:dyDescent="0.3">
      <c r="A330" s="169" t="s">
        <v>615</v>
      </c>
      <c r="B330" s="156" t="s">
        <v>1163</v>
      </c>
      <c r="C330" s="163" t="s">
        <v>73</v>
      </c>
      <c r="D330" s="160">
        <v>120</v>
      </c>
      <c r="E330" s="165" t="s">
        <v>405</v>
      </c>
      <c r="F330" s="166">
        <v>42902</v>
      </c>
    </row>
    <row r="331" spans="1:6" ht="15" customHeight="1" x14ac:dyDescent="0.3">
      <c r="A331" s="169" t="s">
        <v>616</v>
      </c>
      <c r="B331" s="156" t="s">
        <v>1164</v>
      </c>
      <c r="C331" s="163" t="s">
        <v>74</v>
      </c>
      <c r="D331" s="160">
        <v>20</v>
      </c>
      <c r="E331" s="165" t="s">
        <v>405</v>
      </c>
      <c r="F331" s="166">
        <v>42902</v>
      </c>
    </row>
    <row r="332" spans="1:6" ht="15" customHeight="1" x14ac:dyDescent="0.3">
      <c r="A332" s="169" t="s">
        <v>617</v>
      </c>
      <c r="B332" s="156" t="s">
        <v>2988</v>
      </c>
      <c r="C332" s="163" t="s">
        <v>73</v>
      </c>
      <c r="D332" s="160">
        <v>120</v>
      </c>
      <c r="E332" s="165" t="s">
        <v>405</v>
      </c>
      <c r="F332" s="166">
        <v>43753</v>
      </c>
    </row>
    <row r="333" spans="1:6" ht="15" customHeight="1" x14ac:dyDescent="0.3">
      <c r="A333" s="169" t="s">
        <v>618</v>
      </c>
      <c r="B333" s="156" t="s">
        <v>1165</v>
      </c>
      <c r="C333" s="163" t="s">
        <v>73</v>
      </c>
      <c r="D333" s="160">
        <v>60</v>
      </c>
      <c r="E333" s="165" t="s">
        <v>405</v>
      </c>
      <c r="F333" s="166">
        <v>42902</v>
      </c>
    </row>
    <row r="334" spans="1:6" ht="15" customHeight="1" x14ac:dyDescent="0.3">
      <c r="A334" s="169" t="s">
        <v>619</v>
      </c>
      <c r="B334" s="156" t="s">
        <v>2983</v>
      </c>
      <c r="C334" s="163" t="s">
        <v>2984</v>
      </c>
      <c r="D334" s="160">
        <f>((((93.583*1.3)*1.03)/1.03)*1.02)/1.02</f>
        <v>121.6579</v>
      </c>
      <c r="E334" s="165" t="s">
        <v>2982</v>
      </c>
      <c r="F334" s="166">
        <v>43755</v>
      </c>
    </row>
    <row r="335" spans="1:6" ht="15" customHeight="1" x14ac:dyDescent="0.3">
      <c r="A335" s="169" t="s">
        <v>620</v>
      </c>
      <c r="B335" s="156" t="s">
        <v>1166</v>
      </c>
      <c r="C335" s="163" t="s">
        <v>73</v>
      </c>
      <c r="D335" s="160">
        <v>25</v>
      </c>
      <c r="E335" s="165" t="s">
        <v>405</v>
      </c>
      <c r="F335" s="166">
        <v>42902</v>
      </c>
    </row>
    <row r="336" spans="1:6" ht="15" customHeight="1" x14ac:dyDescent="0.3">
      <c r="A336" s="169" t="s">
        <v>621</v>
      </c>
      <c r="B336" s="156" t="s">
        <v>1167</v>
      </c>
      <c r="C336" s="163" t="s">
        <v>73</v>
      </c>
      <c r="D336" s="160">
        <f>((((40+5)*1.03)/1.03)*1.02)/1.02</f>
        <v>45</v>
      </c>
      <c r="E336" s="165" t="s">
        <v>1231</v>
      </c>
      <c r="F336" s="166">
        <v>42936</v>
      </c>
    </row>
    <row r="337" spans="1:6" ht="15" customHeight="1" x14ac:dyDescent="0.3">
      <c r="A337" s="169" t="s">
        <v>622</v>
      </c>
      <c r="B337" s="156" t="s">
        <v>1168</v>
      </c>
      <c r="C337" s="163" t="s">
        <v>73</v>
      </c>
      <c r="D337" s="160">
        <f>((((40+5)*1.03)/1.03)*1.02)/1.02</f>
        <v>45</v>
      </c>
      <c r="E337" s="165" t="s">
        <v>1231</v>
      </c>
      <c r="F337" s="166">
        <v>42936</v>
      </c>
    </row>
    <row r="338" spans="1:6" ht="15" customHeight="1" x14ac:dyDescent="0.3">
      <c r="A338" s="169" t="s">
        <v>623</v>
      </c>
      <c r="B338" s="156" t="s">
        <v>1169</v>
      </c>
      <c r="C338" s="163" t="s">
        <v>73</v>
      </c>
      <c r="D338" s="160">
        <v>350</v>
      </c>
      <c r="E338" s="165" t="s">
        <v>405</v>
      </c>
      <c r="F338" s="166">
        <v>42902</v>
      </c>
    </row>
    <row r="339" spans="1:6" ht="15" customHeight="1" x14ac:dyDescent="0.3">
      <c r="A339" s="169" t="s">
        <v>624</v>
      </c>
      <c r="B339" s="156" t="s">
        <v>1170</v>
      </c>
      <c r="C339" s="163" t="s">
        <v>73</v>
      </c>
      <c r="D339" s="160">
        <v>600</v>
      </c>
      <c r="E339" s="165" t="s">
        <v>405</v>
      </c>
      <c r="F339" s="166">
        <v>42902</v>
      </c>
    </row>
    <row r="340" spans="1:6" ht="15" customHeight="1" x14ac:dyDescent="0.3">
      <c r="A340" s="169" t="s">
        <v>625</v>
      </c>
      <c r="B340" s="156" t="s">
        <v>1171</v>
      </c>
      <c r="C340" s="163" t="s">
        <v>241</v>
      </c>
      <c r="D340" s="160">
        <v>2000</v>
      </c>
      <c r="E340" s="165" t="s">
        <v>405</v>
      </c>
      <c r="F340" s="166">
        <v>42902</v>
      </c>
    </row>
    <row r="341" spans="1:6" ht="15" customHeight="1" x14ac:dyDescent="0.3">
      <c r="A341" s="169" t="s">
        <v>626</v>
      </c>
      <c r="B341" s="156" t="s">
        <v>1172</v>
      </c>
      <c r="C341" s="163" t="s">
        <v>241</v>
      </c>
      <c r="D341" s="160">
        <v>499</v>
      </c>
      <c r="E341" s="165" t="s">
        <v>405</v>
      </c>
      <c r="F341" s="166">
        <v>42902</v>
      </c>
    </row>
    <row r="342" spans="1:6" ht="15" customHeight="1" x14ac:dyDescent="0.3">
      <c r="A342" s="169" t="s">
        <v>627</v>
      </c>
      <c r="B342" s="156" t="s">
        <v>1173</v>
      </c>
      <c r="C342" s="163" t="s">
        <v>241</v>
      </c>
      <c r="D342" s="160">
        <v>269</v>
      </c>
      <c r="E342" s="165" t="s">
        <v>405</v>
      </c>
      <c r="F342" s="166">
        <v>42902</v>
      </c>
    </row>
    <row r="343" spans="1:6" ht="15" customHeight="1" x14ac:dyDescent="0.3">
      <c r="A343" s="169" t="s">
        <v>628</v>
      </c>
      <c r="B343" s="156" t="s">
        <v>1174</v>
      </c>
      <c r="C343" s="163" t="s">
        <v>73</v>
      </c>
      <c r="D343" s="160">
        <v>35</v>
      </c>
      <c r="E343" s="165" t="s">
        <v>405</v>
      </c>
      <c r="F343" s="166">
        <v>42902</v>
      </c>
    </row>
    <row r="344" spans="1:6" ht="15" customHeight="1" x14ac:dyDescent="0.3">
      <c r="A344" s="169" t="s">
        <v>629</v>
      </c>
      <c r="B344" s="156" t="s">
        <v>1177</v>
      </c>
      <c r="C344" s="163" t="s">
        <v>73</v>
      </c>
      <c r="D344" s="160">
        <v>120</v>
      </c>
      <c r="E344" s="165" t="s">
        <v>405</v>
      </c>
      <c r="F344" s="166">
        <v>42902</v>
      </c>
    </row>
    <row r="345" spans="1:6" ht="15" customHeight="1" x14ac:dyDescent="0.3">
      <c r="A345" s="169" t="s">
        <v>630</v>
      </c>
      <c r="B345" s="156" t="s">
        <v>1178</v>
      </c>
      <c r="C345" s="163" t="s">
        <v>73</v>
      </c>
      <c r="D345" s="160">
        <v>50</v>
      </c>
      <c r="E345" s="165" t="s">
        <v>405</v>
      </c>
      <c r="F345" s="166">
        <v>42902</v>
      </c>
    </row>
    <row r="346" spans="1:6" ht="15" customHeight="1" x14ac:dyDescent="0.3">
      <c r="A346" s="169" t="s">
        <v>631</v>
      </c>
      <c r="B346" s="156" t="s">
        <v>1179</v>
      </c>
      <c r="C346" s="163" t="s">
        <v>241</v>
      </c>
      <c r="D346" s="160">
        <f>((((12079.97+12764.15)*1.03)/1.03)*1.02)/1.02</f>
        <v>24844.12</v>
      </c>
      <c r="E346" s="165" t="s">
        <v>1180</v>
      </c>
      <c r="F346" s="166">
        <v>42908</v>
      </c>
    </row>
    <row r="347" spans="1:6" ht="15" customHeight="1" x14ac:dyDescent="0.3">
      <c r="A347" s="169" t="s">
        <v>632</v>
      </c>
      <c r="B347" s="156" t="s">
        <v>1181</v>
      </c>
      <c r="C347" s="163" t="s">
        <v>89</v>
      </c>
      <c r="D347" s="160">
        <v>0</v>
      </c>
      <c r="E347" s="165" t="s">
        <v>1182</v>
      </c>
      <c r="F347" s="166">
        <v>42908</v>
      </c>
    </row>
    <row r="348" spans="1:6" ht="15" customHeight="1" x14ac:dyDescent="0.3">
      <c r="A348" s="169" t="s">
        <v>633</v>
      </c>
      <c r="B348" s="156" t="s">
        <v>3054</v>
      </c>
      <c r="C348" s="163" t="s">
        <v>72</v>
      </c>
      <c r="D348" s="160">
        <f>((((242*1.3)*1.03)/1.03)*1.02)/1.02</f>
        <v>314.60000000000002</v>
      </c>
      <c r="E348" s="165" t="s">
        <v>3043</v>
      </c>
      <c r="F348" s="166">
        <v>43754</v>
      </c>
    </row>
    <row r="349" spans="1:6" ht="15" customHeight="1" x14ac:dyDescent="0.3">
      <c r="A349" s="169" t="s">
        <v>634</v>
      </c>
      <c r="B349" s="156" t="s">
        <v>1183</v>
      </c>
      <c r="C349" s="163" t="s">
        <v>241</v>
      </c>
      <c r="D349" s="160">
        <v>40</v>
      </c>
      <c r="E349" s="165" t="s">
        <v>1184</v>
      </c>
      <c r="F349" s="166">
        <v>42935</v>
      </c>
    </row>
    <row r="350" spans="1:6" ht="15" customHeight="1" x14ac:dyDescent="0.3">
      <c r="A350" s="169" t="s">
        <v>635</v>
      </c>
      <c r="B350" s="156" t="s">
        <v>1185</v>
      </c>
      <c r="C350" s="163" t="s">
        <v>72</v>
      </c>
      <c r="D350" s="160">
        <v>1600</v>
      </c>
      <c r="E350" s="165" t="s">
        <v>405</v>
      </c>
      <c r="F350" s="166">
        <v>42935</v>
      </c>
    </row>
    <row r="351" spans="1:6" ht="15" customHeight="1" x14ac:dyDescent="0.3">
      <c r="A351" s="169" t="s">
        <v>636</v>
      </c>
      <c r="B351" s="156" t="s">
        <v>5426</v>
      </c>
      <c r="C351" s="163" t="s">
        <v>29</v>
      </c>
      <c r="D351" s="160">
        <v>7814.62</v>
      </c>
      <c r="E351" s="165" t="s">
        <v>1199</v>
      </c>
      <c r="F351" s="166">
        <v>42935</v>
      </c>
    </row>
    <row r="352" spans="1:6" ht="15" customHeight="1" x14ac:dyDescent="0.3">
      <c r="A352" s="169" t="s">
        <v>637</v>
      </c>
      <c r="B352" s="156" t="s">
        <v>7885</v>
      </c>
      <c r="C352" s="163" t="s">
        <v>241</v>
      </c>
      <c r="D352" s="160">
        <v>12000</v>
      </c>
      <c r="E352" s="165" t="s">
        <v>7382</v>
      </c>
      <c r="F352" s="166">
        <v>42937</v>
      </c>
    </row>
    <row r="353" spans="1:6" ht="15" customHeight="1" x14ac:dyDescent="0.3">
      <c r="A353" s="169" t="s">
        <v>638</v>
      </c>
      <c r="B353" s="156" t="s">
        <v>7886</v>
      </c>
      <c r="C353" s="163" t="s">
        <v>73</v>
      </c>
      <c r="D353" s="160">
        <v>15000</v>
      </c>
      <c r="E353" s="165" t="s">
        <v>7382</v>
      </c>
      <c r="F353" s="166">
        <v>42935</v>
      </c>
    </row>
    <row r="354" spans="1:6" ht="15" customHeight="1" x14ac:dyDescent="0.3">
      <c r="A354" s="169" t="s">
        <v>639</v>
      </c>
      <c r="B354" s="156" t="s">
        <v>1188</v>
      </c>
      <c r="C354" s="163" t="s">
        <v>241</v>
      </c>
      <c r="D354" s="160">
        <f>((((13.8+2)*1.03)/1.03)*1.02)/1.02</f>
        <v>15.799999999999999</v>
      </c>
      <c r="E354" s="165" t="s">
        <v>1203</v>
      </c>
      <c r="F354" s="166">
        <v>42935</v>
      </c>
    </row>
    <row r="355" spans="1:6" ht="15" customHeight="1" x14ac:dyDescent="0.3">
      <c r="A355" s="169" t="s">
        <v>640</v>
      </c>
      <c r="B355" s="156" t="s">
        <v>1189</v>
      </c>
      <c r="C355" s="163" t="s">
        <v>89</v>
      </c>
      <c r="D355" s="160">
        <v>14.9</v>
      </c>
      <c r="E355" s="165" t="s">
        <v>405</v>
      </c>
      <c r="F355" s="166">
        <v>42935</v>
      </c>
    </row>
    <row r="356" spans="1:6" ht="15" customHeight="1" x14ac:dyDescent="0.3">
      <c r="A356" s="169" t="s">
        <v>641</v>
      </c>
      <c r="B356" s="156" t="s">
        <v>1190</v>
      </c>
      <c r="C356" s="163" t="s">
        <v>73</v>
      </c>
      <c r="D356" s="160">
        <v>36</v>
      </c>
      <c r="E356" s="165" t="s">
        <v>944</v>
      </c>
      <c r="F356" s="166">
        <v>42937</v>
      </c>
    </row>
    <row r="357" spans="1:6" ht="15" customHeight="1" x14ac:dyDescent="0.3">
      <c r="A357" s="169" t="s">
        <v>642</v>
      </c>
      <c r="B357" s="156" t="s">
        <v>1191</v>
      </c>
      <c r="C357" s="163" t="s">
        <v>73</v>
      </c>
      <c r="D357" s="160">
        <v>62.400000000000006</v>
      </c>
      <c r="E357" s="165" t="s">
        <v>1196</v>
      </c>
      <c r="F357" s="166">
        <v>42935</v>
      </c>
    </row>
    <row r="358" spans="1:6" ht="15" customHeight="1" x14ac:dyDescent="0.3">
      <c r="A358" s="169" t="s">
        <v>643</v>
      </c>
      <c r="B358" s="156" t="s">
        <v>1192</v>
      </c>
      <c r="C358" s="163" t="s">
        <v>241</v>
      </c>
      <c r="D358" s="160">
        <v>56.8</v>
      </c>
      <c r="E358" s="165" t="s">
        <v>1196</v>
      </c>
      <c r="F358" s="166">
        <v>42935</v>
      </c>
    </row>
    <row r="359" spans="1:6" ht="15" customHeight="1" x14ac:dyDescent="0.3">
      <c r="A359" s="169" t="s">
        <v>644</v>
      </c>
      <c r="B359" s="156" t="s">
        <v>1193</v>
      </c>
      <c r="C359" s="163" t="s">
        <v>74</v>
      </c>
      <c r="D359" s="160">
        <v>25.6</v>
      </c>
      <c r="E359" s="165" t="s">
        <v>1196</v>
      </c>
      <c r="F359" s="166">
        <v>42935</v>
      </c>
    </row>
    <row r="360" spans="1:6" ht="15" customHeight="1" x14ac:dyDescent="0.3">
      <c r="A360" s="169" t="s">
        <v>645</v>
      </c>
      <c r="B360" s="156" t="s">
        <v>1194</v>
      </c>
      <c r="C360" s="163" t="s">
        <v>241</v>
      </c>
      <c r="D360" s="160">
        <v>47.4</v>
      </c>
      <c r="E360" s="165" t="s">
        <v>1196</v>
      </c>
      <c r="F360" s="166">
        <v>42935</v>
      </c>
    </row>
    <row r="361" spans="1:6" ht="15" customHeight="1" x14ac:dyDescent="0.3">
      <c r="A361" s="169" t="s">
        <v>646</v>
      </c>
      <c r="B361" s="156" t="s">
        <v>1195</v>
      </c>
      <c r="C361" s="163" t="s">
        <v>241</v>
      </c>
      <c r="D361" s="160">
        <v>74.25</v>
      </c>
      <c r="E361" s="165" t="s">
        <v>1196</v>
      </c>
      <c r="F361" s="166">
        <v>42935</v>
      </c>
    </row>
    <row r="362" spans="1:6" ht="15" customHeight="1" x14ac:dyDescent="0.3">
      <c r="A362" s="169" t="s">
        <v>647</v>
      </c>
      <c r="B362" s="156" t="s">
        <v>1197</v>
      </c>
      <c r="C362" s="163" t="s">
        <v>29</v>
      </c>
      <c r="D362" s="160">
        <v>950</v>
      </c>
      <c r="E362" s="165" t="s">
        <v>1196</v>
      </c>
      <c r="F362" s="166">
        <v>42935</v>
      </c>
    </row>
    <row r="363" spans="1:6" ht="15" customHeight="1" x14ac:dyDescent="0.3">
      <c r="A363" s="169" t="s">
        <v>648</v>
      </c>
      <c r="B363" s="156" t="s">
        <v>1198</v>
      </c>
      <c r="C363" s="163" t="s">
        <v>241</v>
      </c>
      <c r="D363" s="160">
        <v>25.49</v>
      </c>
      <c r="E363" s="165" t="s">
        <v>405</v>
      </c>
      <c r="F363" s="166">
        <v>42935</v>
      </c>
    </row>
    <row r="364" spans="1:6" ht="15" customHeight="1" x14ac:dyDescent="0.3">
      <c r="A364" s="169" t="s">
        <v>649</v>
      </c>
      <c r="B364" s="156" t="s">
        <v>1212</v>
      </c>
      <c r="C364" s="163" t="s">
        <v>74</v>
      </c>
      <c r="D364" s="160">
        <f>((((60+(2200/75))*1.03)/1.03)*1.02)/1.02</f>
        <v>89.333333333333329</v>
      </c>
      <c r="E364" s="165" t="s">
        <v>1232</v>
      </c>
      <c r="F364" s="166">
        <v>42935</v>
      </c>
    </row>
    <row r="365" spans="1:6" ht="15" customHeight="1" x14ac:dyDescent="0.3">
      <c r="A365" s="169" t="s">
        <v>650</v>
      </c>
      <c r="B365" s="156" t="s">
        <v>1233</v>
      </c>
      <c r="C365" s="163" t="s">
        <v>74</v>
      </c>
      <c r="D365" s="160">
        <f>((((60+(2200/75))*1.03)/1.03)*1.02)/1.02</f>
        <v>89.333333333333329</v>
      </c>
      <c r="E365" s="165" t="s">
        <v>1232</v>
      </c>
      <c r="F365" s="166">
        <v>42935</v>
      </c>
    </row>
    <row r="366" spans="1:6" ht="15" customHeight="1" x14ac:dyDescent="0.3">
      <c r="A366" s="169" t="s">
        <v>651</v>
      </c>
      <c r="B366" s="156" t="s">
        <v>1234</v>
      </c>
      <c r="C366" s="163" t="s">
        <v>74</v>
      </c>
      <c r="D366" s="160">
        <f>((((60+(2200/75))*1.03)/1.03)*1.02)/1.02</f>
        <v>89.333333333333329</v>
      </c>
      <c r="E366" s="165" t="s">
        <v>1232</v>
      </c>
      <c r="F366" s="166">
        <v>42935</v>
      </c>
    </row>
    <row r="367" spans="1:6" ht="15" customHeight="1" x14ac:dyDescent="0.3">
      <c r="A367" s="169" t="s">
        <v>652</v>
      </c>
      <c r="B367" s="156" t="s">
        <v>1202</v>
      </c>
      <c r="C367" s="163" t="s">
        <v>73</v>
      </c>
      <c r="D367" s="160">
        <f>((((ROUNDUP(169.9/3,0))*1.03)/1.03)*1.02)/1.02</f>
        <v>57</v>
      </c>
      <c r="E367" s="165" t="s">
        <v>1184</v>
      </c>
      <c r="F367" s="166">
        <v>42935</v>
      </c>
    </row>
    <row r="368" spans="1:6" ht="15" customHeight="1" x14ac:dyDescent="0.3">
      <c r="A368" s="169" t="s">
        <v>653</v>
      </c>
      <c r="B368" s="156" t="s">
        <v>1200</v>
      </c>
      <c r="C368" s="163" t="s">
        <v>73</v>
      </c>
      <c r="D368" s="160">
        <v>45</v>
      </c>
      <c r="E368" s="165" t="s">
        <v>1230</v>
      </c>
      <c r="F368" s="166">
        <v>42935</v>
      </c>
    </row>
    <row r="369" spans="1:6" ht="15" customHeight="1" x14ac:dyDescent="0.3">
      <c r="A369" s="169" t="s">
        <v>654</v>
      </c>
      <c r="B369" s="156" t="s">
        <v>1206</v>
      </c>
      <c r="C369" s="163" t="s">
        <v>73</v>
      </c>
      <c r="D369" s="160">
        <v>435</v>
      </c>
      <c r="E369" s="165" t="s">
        <v>1201</v>
      </c>
      <c r="F369" s="166">
        <v>42935</v>
      </c>
    </row>
    <row r="370" spans="1:6" ht="15" customHeight="1" x14ac:dyDescent="0.3">
      <c r="A370" s="169" t="s">
        <v>655</v>
      </c>
      <c r="B370" s="156" t="s">
        <v>8393</v>
      </c>
      <c r="C370" s="163" t="s">
        <v>241</v>
      </c>
      <c r="D370" s="160">
        <v>120</v>
      </c>
      <c r="E370" s="165" t="s">
        <v>5460</v>
      </c>
      <c r="F370" s="166">
        <v>45792</v>
      </c>
    </row>
    <row r="371" spans="1:6" ht="15" customHeight="1" x14ac:dyDescent="0.3">
      <c r="A371" s="169" t="s">
        <v>656</v>
      </c>
      <c r="B371" s="156" t="s">
        <v>1207</v>
      </c>
      <c r="C371" s="163" t="s">
        <v>241</v>
      </c>
      <c r="D371" s="160">
        <f>((((4750*0.85)*1.03)/1.03)*1.02)/1.02</f>
        <v>4037.5</v>
      </c>
      <c r="E371" s="165" t="s">
        <v>1254</v>
      </c>
      <c r="F371" s="166">
        <v>42935</v>
      </c>
    </row>
    <row r="372" spans="1:6" ht="15" customHeight="1" x14ac:dyDescent="0.3">
      <c r="A372" s="169" t="s">
        <v>657</v>
      </c>
      <c r="B372" s="156" t="s">
        <v>1227</v>
      </c>
      <c r="C372" s="163" t="s">
        <v>241</v>
      </c>
      <c r="D372" s="160">
        <f>((((2130*0.93)*1.03)/1.03)*1.02)/1.02</f>
        <v>1980.9</v>
      </c>
      <c r="E372" s="165" t="s">
        <v>1256</v>
      </c>
      <c r="F372" s="166">
        <v>42937</v>
      </c>
    </row>
    <row r="373" spans="1:6" ht="15" customHeight="1" x14ac:dyDescent="0.3">
      <c r="A373" s="169" t="s">
        <v>658</v>
      </c>
      <c r="B373" s="156" t="s">
        <v>1208</v>
      </c>
      <c r="C373" s="163" t="s">
        <v>241</v>
      </c>
      <c r="D373" s="160">
        <v>260</v>
      </c>
      <c r="E373" s="165" t="s">
        <v>405</v>
      </c>
      <c r="F373" s="166">
        <v>43040</v>
      </c>
    </row>
    <row r="374" spans="1:6" ht="15" customHeight="1" x14ac:dyDescent="0.3">
      <c r="A374" s="169" t="s">
        <v>659</v>
      </c>
      <c r="B374" s="156" t="s">
        <v>1209</v>
      </c>
      <c r="C374" s="163" t="s">
        <v>241</v>
      </c>
      <c r="D374" s="160">
        <v>3500</v>
      </c>
      <c r="E374" s="165" t="s">
        <v>405</v>
      </c>
      <c r="F374" s="166">
        <v>42935</v>
      </c>
    </row>
    <row r="375" spans="1:6" ht="15" customHeight="1" x14ac:dyDescent="0.3">
      <c r="A375" s="169" t="s">
        <v>660</v>
      </c>
      <c r="B375" s="156" t="s">
        <v>1210</v>
      </c>
      <c r="C375" s="163" t="s">
        <v>29</v>
      </c>
      <c r="D375" s="160">
        <v>1500</v>
      </c>
      <c r="E375" s="165" t="s">
        <v>405</v>
      </c>
      <c r="F375" s="166">
        <v>42935</v>
      </c>
    </row>
    <row r="376" spans="1:6" ht="15" customHeight="1" x14ac:dyDescent="0.3">
      <c r="A376" s="169" t="s">
        <v>661</v>
      </c>
      <c r="B376" s="156" t="s">
        <v>1211</v>
      </c>
      <c r="C376" s="163" t="s">
        <v>73</v>
      </c>
      <c r="D376" s="160">
        <v>35</v>
      </c>
      <c r="E376" s="165" t="s">
        <v>405</v>
      </c>
      <c r="F376" s="166">
        <v>42935</v>
      </c>
    </row>
    <row r="377" spans="1:6" ht="15" customHeight="1" x14ac:dyDescent="0.3">
      <c r="A377" s="169" t="s">
        <v>662</v>
      </c>
      <c r="B377" s="156" t="s">
        <v>1213</v>
      </c>
      <c r="C377" s="163" t="s">
        <v>241</v>
      </c>
      <c r="D377" s="160">
        <v>459.9</v>
      </c>
      <c r="E377" s="165" t="s">
        <v>1184</v>
      </c>
      <c r="F377" s="166">
        <v>42935</v>
      </c>
    </row>
    <row r="378" spans="1:6" ht="15" customHeight="1" x14ac:dyDescent="0.3">
      <c r="A378" s="169" t="s">
        <v>663</v>
      </c>
      <c r="B378" s="156" t="s">
        <v>1214</v>
      </c>
      <c r="C378" s="163" t="s">
        <v>241</v>
      </c>
      <c r="D378" s="160">
        <v>265.89999999999998</v>
      </c>
      <c r="E378" s="165" t="s">
        <v>963</v>
      </c>
      <c r="F378" s="166">
        <v>42935</v>
      </c>
    </row>
    <row r="379" spans="1:6" ht="15" customHeight="1" x14ac:dyDescent="0.3">
      <c r="A379" s="169" t="s">
        <v>664</v>
      </c>
      <c r="B379" s="156" t="s">
        <v>1215</v>
      </c>
      <c r="C379" s="163" t="s">
        <v>241</v>
      </c>
      <c r="D379" s="160">
        <v>708</v>
      </c>
      <c r="E379" s="165" t="s">
        <v>1058</v>
      </c>
      <c r="F379" s="166">
        <v>42935</v>
      </c>
    </row>
    <row r="380" spans="1:6" ht="15" customHeight="1" x14ac:dyDescent="0.3">
      <c r="A380" s="169" t="s">
        <v>665</v>
      </c>
      <c r="B380" s="156" t="s">
        <v>1216</v>
      </c>
      <c r="C380" s="163" t="s">
        <v>241</v>
      </c>
      <c r="D380" s="160">
        <v>278.16000000000003</v>
      </c>
      <c r="E380" s="165" t="s">
        <v>1257</v>
      </c>
      <c r="F380" s="166">
        <v>42937</v>
      </c>
    </row>
    <row r="381" spans="1:6" ht="15" customHeight="1" x14ac:dyDescent="0.3">
      <c r="A381" s="169" t="s">
        <v>666</v>
      </c>
      <c r="B381" s="156" t="s">
        <v>1217</v>
      </c>
      <c r="C381" s="163" t="s">
        <v>241</v>
      </c>
      <c r="D381" s="160">
        <v>361.9</v>
      </c>
      <c r="E381" s="165" t="s">
        <v>963</v>
      </c>
      <c r="F381" s="166">
        <v>42935</v>
      </c>
    </row>
    <row r="382" spans="1:6" ht="15" customHeight="1" x14ac:dyDescent="0.3">
      <c r="A382" s="169" t="s">
        <v>667</v>
      </c>
      <c r="B382" s="156" t="s">
        <v>1218</v>
      </c>
      <c r="C382" s="163" t="s">
        <v>241</v>
      </c>
      <c r="D382" s="160">
        <v>85</v>
      </c>
      <c r="E382" s="165" t="s">
        <v>963</v>
      </c>
      <c r="F382" s="166">
        <v>42935</v>
      </c>
    </row>
    <row r="383" spans="1:6" ht="15" customHeight="1" x14ac:dyDescent="0.3">
      <c r="A383" s="169" t="s">
        <v>668</v>
      </c>
      <c r="B383" s="156" t="s">
        <v>1219</v>
      </c>
      <c r="C383" s="163" t="s">
        <v>241</v>
      </c>
      <c r="D383" s="160">
        <v>92.9</v>
      </c>
      <c r="E383" s="165" t="s">
        <v>963</v>
      </c>
      <c r="F383" s="166">
        <v>42935</v>
      </c>
    </row>
    <row r="384" spans="1:6" ht="15" customHeight="1" x14ac:dyDescent="0.3">
      <c r="A384" s="169" t="s">
        <v>669</v>
      </c>
      <c r="B384" s="156" t="s">
        <v>1221</v>
      </c>
      <c r="C384" s="163" t="s">
        <v>241</v>
      </c>
      <c r="D384" s="160">
        <v>94.91</v>
      </c>
      <c r="E384" s="165" t="s">
        <v>1220</v>
      </c>
      <c r="F384" s="166">
        <v>42935</v>
      </c>
    </row>
    <row r="385" spans="1:6" ht="15" customHeight="1" x14ac:dyDescent="0.3">
      <c r="A385" s="169" t="s">
        <v>670</v>
      </c>
      <c r="B385" s="156" t="s">
        <v>1222</v>
      </c>
      <c r="C385" s="163" t="s">
        <v>241</v>
      </c>
      <c r="D385" s="160">
        <v>216.9</v>
      </c>
      <c r="E385" s="165" t="s">
        <v>1184</v>
      </c>
      <c r="F385" s="166">
        <v>42935</v>
      </c>
    </row>
    <row r="386" spans="1:6" ht="15" customHeight="1" x14ac:dyDescent="0.3">
      <c r="A386" s="169" t="s">
        <v>671</v>
      </c>
      <c r="B386" s="156" t="s">
        <v>1223</v>
      </c>
      <c r="C386" s="163" t="s">
        <v>241</v>
      </c>
      <c r="D386" s="160">
        <v>39.9</v>
      </c>
      <c r="E386" s="165" t="s">
        <v>963</v>
      </c>
      <c r="F386" s="166">
        <v>42935</v>
      </c>
    </row>
    <row r="387" spans="1:6" ht="15" customHeight="1" x14ac:dyDescent="0.3">
      <c r="A387" s="169" t="s">
        <v>672</v>
      </c>
      <c r="B387" s="156" t="s">
        <v>1224</v>
      </c>
      <c r="C387" s="163" t="s">
        <v>241</v>
      </c>
      <c r="D387" s="160">
        <v>142.9</v>
      </c>
      <c r="E387" s="165" t="s">
        <v>1184</v>
      </c>
      <c r="F387" s="166">
        <v>42935</v>
      </c>
    </row>
    <row r="388" spans="1:6" ht="15" customHeight="1" x14ac:dyDescent="0.3">
      <c r="A388" s="169" t="s">
        <v>673</v>
      </c>
      <c r="B388" s="156" t="s">
        <v>1225</v>
      </c>
      <c r="C388" s="163" t="s">
        <v>241</v>
      </c>
      <c r="D388" s="160">
        <v>19.899999999999999</v>
      </c>
      <c r="E388" s="165" t="s">
        <v>963</v>
      </c>
      <c r="F388" s="166">
        <v>42935</v>
      </c>
    </row>
    <row r="389" spans="1:6" ht="15" customHeight="1" x14ac:dyDescent="0.3">
      <c r="A389" s="169" t="s">
        <v>674</v>
      </c>
      <c r="B389" s="156" t="s">
        <v>1226</v>
      </c>
      <c r="C389" s="163" t="s">
        <v>241</v>
      </c>
      <c r="D389" s="160">
        <v>37.9</v>
      </c>
      <c r="E389" s="165" t="s">
        <v>963</v>
      </c>
      <c r="F389" s="166">
        <v>42935</v>
      </c>
    </row>
    <row r="390" spans="1:6" ht="15" customHeight="1" x14ac:dyDescent="0.3">
      <c r="A390" s="169" t="s">
        <v>675</v>
      </c>
      <c r="B390" s="156" t="s">
        <v>1259</v>
      </c>
      <c r="C390" s="163" t="s">
        <v>241</v>
      </c>
      <c r="D390" s="160">
        <v>17.47</v>
      </c>
      <c r="E390" s="165" t="s">
        <v>1257</v>
      </c>
      <c r="F390" s="166">
        <v>42937</v>
      </c>
    </row>
    <row r="391" spans="1:6" ht="15" customHeight="1" x14ac:dyDescent="0.3">
      <c r="A391" s="169" t="s">
        <v>676</v>
      </c>
      <c r="B391" s="156" t="s">
        <v>1295</v>
      </c>
      <c r="C391" s="163" t="s">
        <v>37</v>
      </c>
      <c r="D391" s="160">
        <f>((((307*2)*1.03)/1.03)*1.02)/1.02</f>
        <v>614</v>
      </c>
      <c r="E391" s="165" t="s">
        <v>405</v>
      </c>
      <c r="F391" s="166">
        <v>43040</v>
      </c>
    </row>
    <row r="392" spans="1:6" ht="15" customHeight="1" x14ac:dyDescent="0.3">
      <c r="A392" s="169" t="s">
        <v>677</v>
      </c>
      <c r="B392" s="190" t="s">
        <v>7679</v>
      </c>
      <c r="C392" s="163" t="s">
        <v>7680</v>
      </c>
      <c r="D392" s="160">
        <v>10</v>
      </c>
      <c r="E392" s="165" t="s">
        <v>944</v>
      </c>
      <c r="F392" s="166">
        <v>43040</v>
      </c>
    </row>
    <row r="393" spans="1:6" ht="15" customHeight="1" x14ac:dyDescent="0.3">
      <c r="A393" s="169" t="s">
        <v>678</v>
      </c>
      <c r="B393" s="156" t="s">
        <v>1314</v>
      </c>
      <c r="C393" s="163" t="s">
        <v>73</v>
      </c>
      <c r="D393" s="160">
        <v>47.9</v>
      </c>
      <c r="E393" s="165" t="s">
        <v>1323</v>
      </c>
      <c r="F393" s="166">
        <v>43045</v>
      </c>
    </row>
    <row r="394" spans="1:6" ht="15" customHeight="1" x14ac:dyDescent="0.3">
      <c r="A394" s="169" t="s">
        <v>679</v>
      </c>
      <c r="B394" s="156" t="s">
        <v>1324</v>
      </c>
      <c r="C394" s="163" t="s">
        <v>73</v>
      </c>
      <c r="D394" s="160">
        <v>47.9</v>
      </c>
      <c r="E394" s="165" t="s">
        <v>1323</v>
      </c>
      <c r="F394" s="166">
        <v>43045</v>
      </c>
    </row>
    <row r="395" spans="1:6" ht="15" customHeight="1" x14ac:dyDescent="0.3">
      <c r="A395" s="169" t="s">
        <v>680</v>
      </c>
      <c r="B395" s="156" t="s">
        <v>4463</v>
      </c>
      <c r="C395" s="163" t="s">
        <v>73</v>
      </c>
      <c r="D395" s="160">
        <v>300</v>
      </c>
      <c r="E395" s="165" t="s">
        <v>3816</v>
      </c>
      <c r="F395" s="166">
        <v>44208</v>
      </c>
    </row>
    <row r="396" spans="1:6" ht="15" customHeight="1" x14ac:dyDescent="0.3">
      <c r="A396" s="169" t="s">
        <v>681</v>
      </c>
      <c r="B396" s="156" t="s">
        <v>1299</v>
      </c>
      <c r="C396" s="163" t="s">
        <v>73</v>
      </c>
      <c r="D396" s="160">
        <v>220</v>
      </c>
      <c r="E396" s="165" t="s">
        <v>405</v>
      </c>
      <c r="F396" s="166">
        <v>43040</v>
      </c>
    </row>
    <row r="397" spans="1:6" ht="15" customHeight="1" x14ac:dyDescent="0.3">
      <c r="A397" s="169" t="s">
        <v>682</v>
      </c>
      <c r="B397" s="156" t="s">
        <v>1315</v>
      </c>
      <c r="C397" s="163" t="s">
        <v>74</v>
      </c>
      <c r="D397" s="160">
        <v>17.899999999999999</v>
      </c>
      <c r="E397" s="165" t="s">
        <v>1323</v>
      </c>
      <c r="F397" s="166">
        <v>43045</v>
      </c>
    </row>
    <row r="398" spans="1:6" ht="15" customHeight="1" x14ac:dyDescent="0.3">
      <c r="A398" s="169" t="s">
        <v>683</v>
      </c>
      <c r="B398" s="156" t="s">
        <v>1316</v>
      </c>
      <c r="C398" s="163" t="s">
        <v>74</v>
      </c>
      <c r="D398" s="160">
        <v>17.899999999999999</v>
      </c>
      <c r="E398" s="165" t="s">
        <v>1323</v>
      </c>
      <c r="F398" s="166">
        <v>43045</v>
      </c>
    </row>
    <row r="399" spans="1:6" ht="15" customHeight="1" x14ac:dyDescent="0.3">
      <c r="A399" s="169" t="s">
        <v>684</v>
      </c>
      <c r="B399" s="156" t="s">
        <v>1301</v>
      </c>
      <c r="C399" s="163" t="s">
        <v>74</v>
      </c>
      <c r="D399" s="160">
        <v>30</v>
      </c>
      <c r="E399" s="165" t="s">
        <v>405</v>
      </c>
      <c r="F399" s="166">
        <v>43040</v>
      </c>
    </row>
    <row r="400" spans="1:6" ht="15" customHeight="1" x14ac:dyDescent="0.3">
      <c r="A400" s="169" t="s">
        <v>685</v>
      </c>
      <c r="B400" s="156" t="s">
        <v>1302</v>
      </c>
      <c r="C400" s="163" t="s">
        <v>74</v>
      </c>
      <c r="D400" s="160">
        <v>30</v>
      </c>
      <c r="E400" s="165" t="s">
        <v>405</v>
      </c>
      <c r="F400" s="166">
        <v>43040</v>
      </c>
    </row>
    <row r="401" spans="1:6" ht="15" customHeight="1" x14ac:dyDescent="0.3">
      <c r="A401" s="169" t="s">
        <v>686</v>
      </c>
      <c r="B401" s="156" t="s">
        <v>1303</v>
      </c>
      <c r="C401" s="163" t="s">
        <v>74</v>
      </c>
      <c r="D401" s="160">
        <v>300</v>
      </c>
      <c r="E401" s="165" t="s">
        <v>405</v>
      </c>
      <c r="F401" s="166">
        <v>43040</v>
      </c>
    </row>
    <row r="402" spans="1:6" ht="15" customHeight="1" x14ac:dyDescent="0.3">
      <c r="A402" s="169" t="s">
        <v>687</v>
      </c>
      <c r="B402" s="156" t="s">
        <v>1371</v>
      </c>
      <c r="C402" s="163" t="s">
        <v>74</v>
      </c>
      <c r="D402" s="160">
        <v>100</v>
      </c>
      <c r="E402" s="165" t="s">
        <v>405</v>
      </c>
      <c r="F402" s="166">
        <v>43040</v>
      </c>
    </row>
    <row r="403" spans="1:6" ht="15" customHeight="1" x14ac:dyDescent="0.3">
      <c r="A403" s="169" t="s">
        <v>688</v>
      </c>
      <c r="B403" s="156" t="s">
        <v>1304</v>
      </c>
      <c r="C403" s="163" t="s">
        <v>241</v>
      </c>
      <c r="D403" s="160">
        <v>2500</v>
      </c>
      <c r="E403" s="165" t="s">
        <v>405</v>
      </c>
      <c r="F403" s="166">
        <v>43040</v>
      </c>
    </row>
    <row r="404" spans="1:6" ht="15" customHeight="1" x14ac:dyDescent="0.3">
      <c r="A404" s="169" t="s">
        <v>689</v>
      </c>
      <c r="B404" s="156" t="s">
        <v>1305</v>
      </c>
      <c r="C404" s="163" t="s">
        <v>74</v>
      </c>
      <c r="D404" s="160">
        <v>100</v>
      </c>
      <c r="E404" s="165" t="s">
        <v>405</v>
      </c>
      <c r="F404" s="166">
        <v>43040</v>
      </c>
    </row>
    <row r="405" spans="1:6" ht="15" customHeight="1" x14ac:dyDescent="0.3">
      <c r="A405" s="169" t="s">
        <v>690</v>
      </c>
      <c r="B405" s="190" t="s">
        <v>2977</v>
      </c>
      <c r="C405" s="163" t="s">
        <v>2978</v>
      </c>
      <c r="D405" s="160">
        <v>45</v>
      </c>
      <c r="E405" s="165" t="s">
        <v>1919</v>
      </c>
      <c r="F405" s="166">
        <v>43753</v>
      </c>
    </row>
    <row r="406" spans="1:6" ht="15" customHeight="1" x14ac:dyDescent="0.3">
      <c r="A406" s="169" t="s">
        <v>691</v>
      </c>
      <c r="B406" s="156" t="s">
        <v>1306</v>
      </c>
      <c r="C406" s="163" t="s">
        <v>241</v>
      </c>
      <c r="D406" s="160">
        <v>750</v>
      </c>
      <c r="E406" s="165" t="s">
        <v>405</v>
      </c>
      <c r="F406" s="166">
        <v>43040</v>
      </c>
    </row>
    <row r="407" spans="1:6" ht="15" customHeight="1" x14ac:dyDescent="0.3">
      <c r="A407" s="169" t="s">
        <v>692</v>
      </c>
      <c r="B407" s="156" t="s">
        <v>2950</v>
      </c>
      <c r="C407" s="163" t="s">
        <v>241</v>
      </c>
      <c r="D407" s="160">
        <v>1000</v>
      </c>
      <c r="E407" s="165" t="s">
        <v>405</v>
      </c>
      <c r="F407" s="166">
        <v>43713</v>
      </c>
    </row>
    <row r="408" spans="1:6" ht="15" customHeight="1" x14ac:dyDescent="0.3">
      <c r="A408" s="169" t="s">
        <v>693</v>
      </c>
      <c r="B408" s="190" t="s">
        <v>4530</v>
      </c>
      <c r="C408" s="163" t="s">
        <v>2268</v>
      </c>
      <c r="D408" s="160">
        <f>((((322.9+250+230)*1.03)/1.03)*1.02)/1.02</f>
        <v>802.9</v>
      </c>
      <c r="E408" s="165" t="s">
        <v>3111</v>
      </c>
      <c r="F408" s="166">
        <v>43760</v>
      </c>
    </row>
    <row r="409" spans="1:6" ht="15" customHeight="1" x14ac:dyDescent="0.3">
      <c r="A409" s="169" t="s">
        <v>694</v>
      </c>
      <c r="B409" s="156" t="s">
        <v>3004</v>
      </c>
      <c r="C409" s="163" t="s">
        <v>3003</v>
      </c>
      <c r="D409" s="160">
        <f>((((55620)*1.03)/1.03)*1.02)/1.02</f>
        <v>55620</v>
      </c>
      <c r="E409" s="165" t="s">
        <v>3066</v>
      </c>
      <c r="F409" s="166">
        <v>43756</v>
      </c>
    </row>
    <row r="410" spans="1:6" ht="15" customHeight="1" x14ac:dyDescent="0.3">
      <c r="A410" s="169" t="s">
        <v>695</v>
      </c>
      <c r="B410" s="156" t="s">
        <v>3083</v>
      </c>
      <c r="C410" s="163" t="s">
        <v>3003</v>
      </c>
      <c r="D410" s="160">
        <v>88570</v>
      </c>
      <c r="E410" s="165" t="s">
        <v>1109</v>
      </c>
      <c r="F410" s="166">
        <v>43756</v>
      </c>
    </row>
    <row r="411" spans="1:6" ht="15" customHeight="1" x14ac:dyDescent="0.3">
      <c r="A411" s="169" t="s">
        <v>696</v>
      </c>
      <c r="B411" s="156" t="s">
        <v>1367</v>
      </c>
      <c r="C411" s="163" t="s">
        <v>73</v>
      </c>
      <c r="D411" s="160">
        <v>324</v>
      </c>
      <c r="E411" s="165" t="s">
        <v>1318</v>
      </c>
      <c r="F411" s="166">
        <v>43045</v>
      </c>
    </row>
    <row r="412" spans="1:6" ht="15" customHeight="1" x14ac:dyDescent="0.3">
      <c r="A412" s="169" t="s">
        <v>697</v>
      </c>
      <c r="B412" s="156" t="s">
        <v>1307</v>
      </c>
      <c r="C412" s="163" t="s">
        <v>73</v>
      </c>
      <c r="D412" s="160">
        <v>500.13000000000005</v>
      </c>
      <c r="E412" s="165" t="s">
        <v>1327</v>
      </c>
      <c r="F412" s="166">
        <v>43045</v>
      </c>
    </row>
    <row r="413" spans="1:6" ht="15" customHeight="1" x14ac:dyDescent="0.3">
      <c r="A413" s="169" t="s">
        <v>698</v>
      </c>
      <c r="B413" s="156" t="s">
        <v>3017</v>
      </c>
      <c r="C413" s="163" t="s">
        <v>3016</v>
      </c>
      <c r="D413" s="160">
        <v>51970</v>
      </c>
      <c r="E413" s="165" t="s">
        <v>3077</v>
      </c>
      <c r="F413" s="166">
        <v>43753</v>
      </c>
    </row>
    <row r="414" spans="1:6" ht="15" customHeight="1" x14ac:dyDescent="0.3">
      <c r="A414" s="169" t="s">
        <v>699</v>
      </c>
      <c r="B414" s="156" t="s">
        <v>7639</v>
      </c>
      <c r="C414" s="163" t="s">
        <v>73</v>
      </c>
      <c r="D414" s="160">
        <v>37.9</v>
      </c>
      <c r="E414" s="165" t="s">
        <v>405</v>
      </c>
      <c r="F414" s="166">
        <v>43040</v>
      </c>
    </row>
    <row r="415" spans="1:6" ht="15" customHeight="1" x14ac:dyDescent="0.3">
      <c r="A415" s="169" t="s">
        <v>700</v>
      </c>
      <c r="B415" s="156" t="s">
        <v>1322</v>
      </c>
      <c r="C415" s="163" t="s">
        <v>73</v>
      </c>
      <c r="D415" s="160">
        <f>((((120+235+60)*1.03)/1.03)*1.02)/1.02</f>
        <v>415</v>
      </c>
      <c r="E415" s="165" t="s">
        <v>1344</v>
      </c>
      <c r="F415" s="166">
        <v>43040</v>
      </c>
    </row>
    <row r="416" spans="1:6" ht="15" customHeight="1" x14ac:dyDescent="0.3">
      <c r="A416" s="169" t="s">
        <v>701</v>
      </c>
      <c r="B416" s="156" t="s">
        <v>1317</v>
      </c>
      <c r="C416" s="163" t="s">
        <v>73</v>
      </c>
      <c r="D416" s="160">
        <v>77.900000000000006</v>
      </c>
      <c r="E416" s="165" t="s">
        <v>1323</v>
      </c>
      <c r="F416" s="166">
        <v>43045</v>
      </c>
    </row>
    <row r="417" spans="1:6" ht="15" customHeight="1" x14ac:dyDescent="0.3">
      <c r="A417" s="169" t="s">
        <v>702</v>
      </c>
      <c r="B417" s="156" t="s">
        <v>1308</v>
      </c>
      <c r="C417" s="163" t="s">
        <v>73</v>
      </c>
      <c r="D417" s="160">
        <v>300</v>
      </c>
      <c r="E417" s="165" t="s">
        <v>405</v>
      </c>
      <c r="F417" s="166">
        <v>43040</v>
      </c>
    </row>
    <row r="418" spans="1:6" ht="15" customHeight="1" x14ac:dyDescent="0.3">
      <c r="A418" s="169" t="s">
        <v>703</v>
      </c>
      <c r="B418" s="156" t="s">
        <v>1337</v>
      </c>
      <c r="C418" s="163" t="s">
        <v>29</v>
      </c>
      <c r="D418" s="160">
        <v>78688.009999999995</v>
      </c>
      <c r="E418" s="165" t="s">
        <v>1313</v>
      </c>
      <c r="F418" s="166">
        <v>43040</v>
      </c>
    </row>
    <row r="419" spans="1:6" ht="15" customHeight="1" x14ac:dyDescent="0.3">
      <c r="A419" s="169" t="s">
        <v>704</v>
      </c>
      <c r="B419" s="156" t="s">
        <v>1319</v>
      </c>
      <c r="C419" s="163" t="s">
        <v>29</v>
      </c>
      <c r="D419" s="160">
        <v>5170</v>
      </c>
      <c r="E419" s="165" t="s">
        <v>1320</v>
      </c>
      <c r="F419" s="166">
        <v>43045</v>
      </c>
    </row>
    <row r="420" spans="1:6" ht="15" customHeight="1" x14ac:dyDescent="0.3">
      <c r="A420" s="169" t="s">
        <v>705</v>
      </c>
      <c r="B420" s="156" t="s">
        <v>1321</v>
      </c>
      <c r="C420" s="163" t="s">
        <v>73</v>
      </c>
      <c r="D420" s="160">
        <v>150</v>
      </c>
      <c r="E420" s="165" t="s">
        <v>1343</v>
      </c>
      <c r="F420" s="166">
        <v>43045</v>
      </c>
    </row>
    <row r="421" spans="1:6" ht="15" customHeight="1" x14ac:dyDescent="0.3">
      <c r="A421" s="169" t="s">
        <v>706</v>
      </c>
      <c r="B421" s="156" t="s">
        <v>1334</v>
      </c>
      <c r="C421" s="163" t="s">
        <v>241</v>
      </c>
      <c r="D421" s="160">
        <f>((((123460/2)*1.03)/1.03)*1.02)/1.02</f>
        <v>61730</v>
      </c>
      <c r="E421" s="165" t="s">
        <v>1349</v>
      </c>
      <c r="F421" s="166">
        <v>43046</v>
      </c>
    </row>
    <row r="422" spans="1:6" ht="15" customHeight="1" x14ac:dyDescent="0.3">
      <c r="A422" s="169" t="s">
        <v>707</v>
      </c>
      <c r="B422" s="156" t="s">
        <v>8348</v>
      </c>
      <c r="C422" s="163" t="s">
        <v>29</v>
      </c>
      <c r="D422" s="160">
        <v>1</v>
      </c>
      <c r="E422" s="165" t="s">
        <v>1335</v>
      </c>
      <c r="F422" s="166">
        <v>43045</v>
      </c>
    </row>
    <row r="423" spans="1:6" ht="15" customHeight="1" x14ac:dyDescent="0.3">
      <c r="A423" s="169" t="s">
        <v>708</v>
      </c>
      <c r="B423" s="156" t="s">
        <v>1325</v>
      </c>
      <c r="C423" s="163" t="s">
        <v>29</v>
      </c>
      <c r="D423" s="160">
        <f>((((33000*0.9)*1.03)/1.03)*1.02)/1.02</f>
        <v>29700</v>
      </c>
      <c r="E423" s="165" t="s">
        <v>1335</v>
      </c>
      <c r="F423" s="166">
        <v>43046</v>
      </c>
    </row>
    <row r="424" spans="1:6" ht="15" customHeight="1" x14ac:dyDescent="0.3">
      <c r="A424" s="169" t="s">
        <v>709</v>
      </c>
      <c r="B424" s="156" t="s">
        <v>1336</v>
      </c>
      <c r="C424" s="163" t="s">
        <v>29</v>
      </c>
      <c r="D424" s="160">
        <v>168055.41</v>
      </c>
      <c r="E424" s="165" t="s">
        <v>1313</v>
      </c>
      <c r="F424" s="166">
        <v>43046</v>
      </c>
    </row>
    <row r="425" spans="1:6" ht="15" customHeight="1" x14ac:dyDescent="0.3">
      <c r="A425" s="169" t="s">
        <v>710</v>
      </c>
      <c r="B425" s="156" t="s">
        <v>2972</v>
      </c>
      <c r="C425" s="163" t="s">
        <v>73</v>
      </c>
      <c r="D425" s="160">
        <v>91</v>
      </c>
      <c r="E425" s="165" t="s">
        <v>2970</v>
      </c>
      <c r="F425" s="166">
        <v>43753</v>
      </c>
    </row>
    <row r="426" spans="1:6" ht="15" customHeight="1" x14ac:dyDescent="0.3">
      <c r="A426" s="169" t="s">
        <v>711</v>
      </c>
      <c r="B426" s="156" t="s">
        <v>1368</v>
      </c>
      <c r="C426" s="163" t="s">
        <v>73</v>
      </c>
      <c r="D426" s="160">
        <f>((((120)*1.03)/1.03)*1.02)/1.02</f>
        <v>120</v>
      </c>
      <c r="E426" s="165" t="s">
        <v>1343</v>
      </c>
      <c r="F426" s="166">
        <v>43040</v>
      </c>
    </row>
    <row r="427" spans="1:6" ht="15" customHeight="1" x14ac:dyDescent="0.3">
      <c r="A427" s="169" t="s">
        <v>712</v>
      </c>
      <c r="B427" s="156" t="s">
        <v>1373</v>
      </c>
      <c r="C427" s="163" t="s">
        <v>74</v>
      </c>
      <c r="D427" s="160">
        <v>3.22</v>
      </c>
      <c r="E427" s="165" t="s">
        <v>1374</v>
      </c>
      <c r="F427" s="166">
        <v>43073</v>
      </c>
    </row>
    <row r="428" spans="1:6" ht="15" customHeight="1" x14ac:dyDescent="0.3">
      <c r="A428" s="169" t="s">
        <v>713</v>
      </c>
      <c r="B428" s="156" t="s">
        <v>1375</v>
      </c>
      <c r="C428" s="163" t="s">
        <v>1376</v>
      </c>
      <c r="D428" s="160">
        <v>3.5</v>
      </c>
      <c r="E428" s="165" t="s">
        <v>1374</v>
      </c>
      <c r="F428" s="166">
        <v>43073</v>
      </c>
    </row>
    <row r="429" spans="1:6" ht="15" customHeight="1" x14ac:dyDescent="0.3">
      <c r="A429" s="169" t="s">
        <v>714</v>
      </c>
      <c r="B429" s="156" t="s">
        <v>1377</v>
      </c>
      <c r="C429" s="163" t="s">
        <v>1376</v>
      </c>
      <c r="D429" s="160">
        <v>6</v>
      </c>
      <c r="E429" s="165" t="s">
        <v>1374</v>
      </c>
      <c r="F429" s="166">
        <v>43073</v>
      </c>
    </row>
    <row r="430" spans="1:6" ht="15" customHeight="1" x14ac:dyDescent="0.3">
      <c r="A430" s="169" t="s">
        <v>715</v>
      </c>
      <c r="B430" s="156" t="s">
        <v>1378</v>
      </c>
      <c r="C430" s="163" t="s">
        <v>1376</v>
      </c>
      <c r="D430" s="160">
        <v>2.75</v>
      </c>
      <c r="E430" s="165" t="s">
        <v>1374</v>
      </c>
      <c r="F430" s="166">
        <v>43073</v>
      </c>
    </row>
    <row r="431" spans="1:6" ht="15" customHeight="1" x14ac:dyDescent="0.3">
      <c r="A431" s="169" t="s">
        <v>716</v>
      </c>
      <c r="B431" s="156" t="s">
        <v>1379</v>
      </c>
      <c r="C431" s="163" t="s">
        <v>1376</v>
      </c>
      <c r="D431" s="160">
        <v>4.45</v>
      </c>
      <c r="E431" s="165" t="s">
        <v>1374</v>
      </c>
      <c r="F431" s="166">
        <v>43073</v>
      </c>
    </row>
    <row r="432" spans="1:6" ht="15" customHeight="1" x14ac:dyDescent="0.3">
      <c r="A432" s="169" t="s">
        <v>717</v>
      </c>
      <c r="B432" s="156" t="s">
        <v>1380</v>
      </c>
      <c r="C432" s="163" t="s">
        <v>1376</v>
      </c>
      <c r="D432" s="160">
        <v>100</v>
      </c>
      <c r="E432" s="165" t="s">
        <v>1381</v>
      </c>
      <c r="F432" s="166">
        <v>43147</v>
      </c>
    </row>
    <row r="433" spans="1:7" ht="15" customHeight="1" x14ac:dyDescent="0.3">
      <c r="A433" s="169" t="s">
        <v>718</v>
      </c>
      <c r="B433" s="156" t="s">
        <v>1382</v>
      </c>
      <c r="C433" s="163" t="s">
        <v>1376</v>
      </c>
      <c r="D433" s="160">
        <f>((((71/150)*1.03)/1.03)*1.02)/1.02</f>
        <v>0.47333333333333333</v>
      </c>
      <c r="E433" s="165" t="s">
        <v>3550</v>
      </c>
      <c r="F433" s="166">
        <v>44118</v>
      </c>
    </row>
    <row r="434" spans="1:7" ht="15" customHeight="1" x14ac:dyDescent="0.3">
      <c r="A434" s="169" t="s">
        <v>719</v>
      </c>
      <c r="B434" s="156" t="s">
        <v>1383</v>
      </c>
      <c r="C434" s="163" t="s">
        <v>1376</v>
      </c>
      <c r="D434" s="160">
        <v>27</v>
      </c>
      <c r="E434" s="165" t="s">
        <v>3550</v>
      </c>
      <c r="F434" s="166">
        <v>44118</v>
      </c>
    </row>
    <row r="435" spans="1:7" ht="15" customHeight="1" x14ac:dyDescent="0.3">
      <c r="A435" s="169" t="s">
        <v>720</v>
      </c>
      <c r="B435" s="156" t="s">
        <v>1384</v>
      </c>
      <c r="C435" s="163" t="s">
        <v>1376</v>
      </c>
      <c r="D435" s="160">
        <v>9.73</v>
      </c>
      <c r="E435" s="165" t="s">
        <v>3550</v>
      </c>
      <c r="F435" s="166">
        <v>44118</v>
      </c>
    </row>
    <row r="436" spans="1:7" ht="15" customHeight="1" x14ac:dyDescent="0.3">
      <c r="A436" s="169" t="s">
        <v>721</v>
      </c>
      <c r="B436" s="156" t="s">
        <v>1385</v>
      </c>
      <c r="C436" s="163" t="s">
        <v>1376</v>
      </c>
      <c r="D436" s="160">
        <v>46.2</v>
      </c>
      <c r="E436" s="165" t="s">
        <v>3550</v>
      </c>
      <c r="F436" s="166">
        <v>44118</v>
      </c>
    </row>
    <row r="437" spans="1:7" ht="15" customHeight="1" x14ac:dyDescent="0.3">
      <c r="A437" s="169" t="s">
        <v>722</v>
      </c>
      <c r="B437" s="156" t="s">
        <v>3551</v>
      </c>
      <c r="C437" s="163" t="s">
        <v>1389</v>
      </c>
      <c r="D437" s="160">
        <v>350</v>
      </c>
      <c r="E437" s="165" t="s">
        <v>3550</v>
      </c>
      <c r="F437" s="166">
        <v>44118</v>
      </c>
    </row>
    <row r="438" spans="1:7" ht="15" customHeight="1" x14ac:dyDescent="0.3">
      <c r="A438" s="169" t="s">
        <v>723</v>
      </c>
      <c r="B438" s="156" t="s">
        <v>1386</v>
      </c>
      <c r="C438" s="163" t="s">
        <v>1376</v>
      </c>
      <c r="D438" s="160">
        <v>7.74</v>
      </c>
      <c r="E438" s="165" t="s">
        <v>3550</v>
      </c>
      <c r="F438" s="166">
        <v>44118</v>
      </c>
    </row>
    <row r="439" spans="1:7" ht="15" customHeight="1" x14ac:dyDescent="0.3">
      <c r="A439" s="169" t="s">
        <v>724</v>
      </c>
      <c r="B439" s="156" t="s">
        <v>1387</v>
      </c>
      <c r="C439" s="163" t="s">
        <v>1376</v>
      </c>
      <c r="D439" s="160">
        <v>2</v>
      </c>
      <c r="E439" s="165" t="s">
        <v>3550</v>
      </c>
      <c r="F439" s="166">
        <v>44118</v>
      </c>
    </row>
    <row r="440" spans="1:7" ht="15" customHeight="1" x14ac:dyDescent="0.3">
      <c r="A440" s="169" t="s">
        <v>725</v>
      </c>
      <c r="B440" s="156" t="s">
        <v>1388</v>
      </c>
      <c r="C440" s="163" t="s">
        <v>1389</v>
      </c>
      <c r="D440" s="160">
        <v>87</v>
      </c>
      <c r="E440" s="165" t="s">
        <v>3550</v>
      </c>
      <c r="F440" s="166">
        <v>43073</v>
      </c>
    </row>
    <row r="441" spans="1:7" ht="15" customHeight="1" x14ac:dyDescent="0.3">
      <c r="A441" s="169" t="s">
        <v>726</v>
      </c>
      <c r="B441" s="156" t="s">
        <v>1390</v>
      </c>
      <c r="C441" s="163" t="s">
        <v>37</v>
      </c>
      <c r="D441" s="160">
        <v>80</v>
      </c>
      <c r="E441" s="165" t="s">
        <v>886</v>
      </c>
      <c r="F441" s="166">
        <v>44389</v>
      </c>
    </row>
    <row r="442" spans="1:7" ht="15" customHeight="1" x14ac:dyDescent="0.3">
      <c r="A442" s="169" t="s">
        <v>727</v>
      </c>
      <c r="B442" s="156" t="s">
        <v>5133</v>
      </c>
      <c r="C442" s="163" t="s">
        <v>37</v>
      </c>
      <c r="D442" s="160">
        <v>125</v>
      </c>
      <c r="E442" s="165" t="s">
        <v>886</v>
      </c>
      <c r="F442" s="166">
        <v>44256</v>
      </c>
    </row>
    <row r="443" spans="1:7" ht="15" customHeight="1" x14ac:dyDescent="0.3">
      <c r="A443" s="169" t="s">
        <v>728</v>
      </c>
      <c r="B443" s="156" t="s">
        <v>1395</v>
      </c>
      <c r="C443" s="163" t="s">
        <v>37</v>
      </c>
      <c r="D443" s="160">
        <v>480</v>
      </c>
      <c r="E443" s="165" t="s">
        <v>886</v>
      </c>
      <c r="F443" s="166">
        <v>44256</v>
      </c>
    </row>
    <row r="444" spans="1:7" ht="15" customHeight="1" x14ac:dyDescent="0.3">
      <c r="A444" s="169" t="s">
        <v>729</v>
      </c>
      <c r="B444" s="156" t="s">
        <v>1391</v>
      </c>
      <c r="C444" s="163" t="s">
        <v>37</v>
      </c>
      <c r="D444" s="160">
        <v>105</v>
      </c>
      <c r="E444" s="165" t="s">
        <v>886</v>
      </c>
      <c r="F444" s="166">
        <v>44119</v>
      </c>
    </row>
    <row r="445" spans="1:7" ht="15" customHeight="1" x14ac:dyDescent="0.3">
      <c r="A445" s="169" t="s">
        <v>730</v>
      </c>
      <c r="B445" s="156" t="s">
        <v>1393</v>
      </c>
      <c r="C445" s="163" t="s">
        <v>37</v>
      </c>
      <c r="D445" s="160">
        <v>125</v>
      </c>
      <c r="E445" s="165" t="s">
        <v>886</v>
      </c>
      <c r="F445" s="166">
        <v>44119</v>
      </c>
    </row>
    <row r="446" spans="1:7" ht="15" customHeight="1" x14ac:dyDescent="0.3">
      <c r="A446" s="169" t="s">
        <v>731</v>
      </c>
      <c r="B446" s="156" t="s">
        <v>1396</v>
      </c>
      <c r="C446" s="163" t="s">
        <v>37</v>
      </c>
      <c r="D446" s="160">
        <v>812</v>
      </c>
      <c r="E446" s="165" t="s">
        <v>1392</v>
      </c>
      <c r="F446" s="166">
        <v>43073</v>
      </c>
    </row>
    <row r="447" spans="1:7" ht="15" customHeight="1" x14ac:dyDescent="0.3">
      <c r="A447" s="169" t="s">
        <v>732</v>
      </c>
      <c r="B447" s="156" t="s">
        <v>7635</v>
      </c>
      <c r="C447" s="163" t="s">
        <v>1376</v>
      </c>
      <c r="D447" s="160">
        <v>320</v>
      </c>
      <c r="E447" s="165"/>
      <c r="F447" s="166">
        <v>45352</v>
      </c>
      <c r="G447" s="166"/>
    </row>
    <row r="448" spans="1:7" ht="15" customHeight="1" x14ac:dyDescent="0.3">
      <c r="A448" s="169" t="s">
        <v>733</v>
      </c>
      <c r="B448" s="156" t="s">
        <v>1404</v>
      </c>
      <c r="C448" s="163" t="s">
        <v>73</v>
      </c>
      <c r="D448" s="160">
        <f>((((0.6*19.44)*1.03)/1.03)*1.02)/1.02</f>
        <v>11.664</v>
      </c>
      <c r="E448" s="165" t="s">
        <v>1326</v>
      </c>
      <c r="F448" s="166">
        <v>43123</v>
      </c>
    </row>
    <row r="449" spans="1:6" ht="15" customHeight="1" x14ac:dyDescent="0.3">
      <c r="A449" s="169" t="s">
        <v>734</v>
      </c>
      <c r="B449" s="156" t="s">
        <v>1405</v>
      </c>
      <c r="C449" s="163" t="s">
        <v>73</v>
      </c>
      <c r="D449" s="160">
        <f>((((0.4*19.44)*1.03)/1.03)*1.02)/1.02</f>
        <v>7.7759999999999998</v>
      </c>
      <c r="E449" s="165" t="s">
        <v>1326</v>
      </c>
      <c r="F449" s="166">
        <v>43123</v>
      </c>
    </row>
    <row r="450" spans="1:6" ht="15" customHeight="1" x14ac:dyDescent="0.3">
      <c r="A450" s="169" t="s">
        <v>735</v>
      </c>
      <c r="B450" s="156" t="s">
        <v>1410</v>
      </c>
      <c r="C450" s="163" t="s">
        <v>73</v>
      </c>
      <c r="D450" s="160">
        <f>((((0.6*76.97)*1.03)/1.03)*1.02)/1.02</f>
        <v>46.181999999999995</v>
      </c>
      <c r="E450" s="165" t="s">
        <v>1326</v>
      </c>
      <c r="F450" s="166">
        <v>43123</v>
      </c>
    </row>
    <row r="451" spans="1:6" ht="15" customHeight="1" x14ac:dyDescent="0.3">
      <c r="A451" s="169" t="s">
        <v>736</v>
      </c>
      <c r="B451" s="156" t="s">
        <v>1411</v>
      </c>
      <c r="C451" s="163" t="s">
        <v>73</v>
      </c>
      <c r="D451" s="160">
        <f>((((0.4*76.97)*1.03)/1.03)*1.02)/1.02</f>
        <v>30.788</v>
      </c>
      <c r="E451" s="165" t="s">
        <v>1326</v>
      </c>
      <c r="F451" s="166">
        <v>43123</v>
      </c>
    </row>
    <row r="452" spans="1:6" ht="15" customHeight="1" x14ac:dyDescent="0.3">
      <c r="A452" s="169" t="s">
        <v>737</v>
      </c>
      <c r="B452" s="156" t="s">
        <v>1407</v>
      </c>
      <c r="C452" s="163" t="s">
        <v>73</v>
      </c>
      <c r="D452" s="160">
        <f>((((0.6*13)*1.03)/1.03)*1.02)/1.02</f>
        <v>7.8000000000000007</v>
      </c>
      <c r="E452" s="165" t="s">
        <v>1326</v>
      </c>
      <c r="F452" s="166">
        <v>43123</v>
      </c>
    </row>
    <row r="453" spans="1:6" ht="15" customHeight="1" x14ac:dyDescent="0.3">
      <c r="A453" s="169" t="s">
        <v>738</v>
      </c>
      <c r="B453" s="156" t="s">
        <v>1406</v>
      </c>
      <c r="C453" s="163" t="s">
        <v>73</v>
      </c>
      <c r="D453" s="160">
        <f>((((0.4*13)*1.03)/1.03)*1.02)/1.02</f>
        <v>5.2</v>
      </c>
      <c r="E453" s="165" t="s">
        <v>1326</v>
      </c>
      <c r="F453" s="166">
        <v>43123</v>
      </c>
    </row>
    <row r="454" spans="1:6" ht="15" customHeight="1" x14ac:dyDescent="0.3">
      <c r="A454" s="169" t="s">
        <v>739</v>
      </c>
      <c r="B454" s="156" t="s">
        <v>1408</v>
      </c>
      <c r="C454" s="163" t="s">
        <v>73</v>
      </c>
      <c r="D454" s="160">
        <f>((((0.6*1200)*1.03)/1.03)*1.02)/1.02</f>
        <v>720</v>
      </c>
      <c r="E454" s="165" t="s">
        <v>1326</v>
      </c>
      <c r="F454" s="166">
        <v>43073</v>
      </c>
    </row>
    <row r="455" spans="1:6" ht="15" customHeight="1" x14ac:dyDescent="0.3">
      <c r="A455" s="169" t="s">
        <v>740</v>
      </c>
      <c r="B455" s="156" t="s">
        <v>1409</v>
      </c>
      <c r="C455" s="163" t="s">
        <v>73</v>
      </c>
      <c r="D455" s="160">
        <f>((((0.4*1200)*1.03)/1.03)*1.02)/1.02</f>
        <v>480</v>
      </c>
      <c r="E455" s="165" t="s">
        <v>1326</v>
      </c>
      <c r="F455" s="166">
        <v>43073</v>
      </c>
    </row>
    <row r="456" spans="1:6" ht="15" customHeight="1" x14ac:dyDescent="0.3">
      <c r="A456" s="169" t="s">
        <v>741</v>
      </c>
      <c r="B456" s="156" t="s">
        <v>1403</v>
      </c>
      <c r="C456" s="163" t="s">
        <v>73</v>
      </c>
      <c r="D456" s="160">
        <v>30</v>
      </c>
      <c r="E456" s="165" t="s">
        <v>2945</v>
      </c>
      <c r="F456" s="166">
        <v>43711</v>
      </c>
    </row>
    <row r="457" spans="1:6" ht="15" customHeight="1" x14ac:dyDescent="0.3">
      <c r="A457" s="169" t="s">
        <v>742</v>
      </c>
      <c r="B457" s="156" t="s">
        <v>4125</v>
      </c>
      <c r="C457" s="163" t="s">
        <v>73</v>
      </c>
      <c r="D457" s="160">
        <v>25</v>
      </c>
      <c r="E457" s="165" t="s">
        <v>3578</v>
      </c>
      <c r="F457" s="166">
        <v>44210</v>
      </c>
    </row>
    <row r="458" spans="1:6" ht="15" customHeight="1" x14ac:dyDescent="0.3">
      <c r="A458" s="169" t="s">
        <v>743</v>
      </c>
      <c r="B458" s="156" t="s">
        <v>4126</v>
      </c>
      <c r="C458" s="163" t="s">
        <v>73</v>
      </c>
      <c r="D458" s="160">
        <v>30</v>
      </c>
      <c r="E458" s="165" t="s">
        <v>3578</v>
      </c>
      <c r="F458" s="166">
        <v>44210</v>
      </c>
    </row>
    <row r="459" spans="1:6" ht="15" customHeight="1" x14ac:dyDescent="0.3">
      <c r="A459" s="169" t="s">
        <v>744</v>
      </c>
      <c r="B459" s="156" t="s">
        <v>1412</v>
      </c>
      <c r="C459" s="163" t="s">
        <v>73</v>
      </c>
      <c r="D459" s="160">
        <v>35</v>
      </c>
      <c r="E459" s="165" t="s">
        <v>2945</v>
      </c>
      <c r="F459" s="166">
        <v>44113</v>
      </c>
    </row>
    <row r="460" spans="1:6" ht="15" customHeight="1" x14ac:dyDescent="0.3">
      <c r="A460" s="169" t="s">
        <v>745</v>
      </c>
      <c r="B460" s="156" t="s">
        <v>1413</v>
      </c>
      <c r="C460" s="163" t="s">
        <v>73</v>
      </c>
      <c r="D460" s="160">
        <v>30</v>
      </c>
      <c r="E460" s="165" t="s">
        <v>2945</v>
      </c>
      <c r="F460" s="166">
        <v>43711</v>
      </c>
    </row>
    <row r="461" spans="1:6" ht="15" customHeight="1" x14ac:dyDescent="0.3">
      <c r="A461" s="169" t="s">
        <v>746</v>
      </c>
      <c r="B461" s="156" t="s">
        <v>901</v>
      </c>
      <c r="C461" s="163" t="s">
        <v>73</v>
      </c>
      <c r="D461" s="160">
        <v>20</v>
      </c>
      <c r="E461" s="165" t="s">
        <v>3578</v>
      </c>
      <c r="F461" s="166">
        <v>44210</v>
      </c>
    </row>
    <row r="462" spans="1:6" ht="15" customHeight="1" x14ac:dyDescent="0.3">
      <c r="A462" s="169" t="s">
        <v>747</v>
      </c>
      <c r="B462" s="156" t="s">
        <v>1417</v>
      </c>
      <c r="C462" s="163" t="s">
        <v>1376</v>
      </c>
      <c r="D462" s="160">
        <v>37</v>
      </c>
      <c r="E462" s="165" t="s">
        <v>2185</v>
      </c>
      <c r="F462" s="166">
        <v>44188</v>
      </c>
    </row>
    <row r="463" spans="1:6" ht="15" customHeight="1" x14ac:dyDescent="0.3">
      <c r="A463" s="169" t="s">
        <v>748</v>
      </c>
      <c r="B463" s="156" t="s">
        <v>5001</v>
      </c>
      <c r="C463" s="163" t="s">
        <v>73</v>
      </c>
      <c r="D463" s="160">
        <v>65</v>
      </c>
      <c r="E463" s="165" t="s">
        <v>4123</v>
      </c>
      <c r="F463" s="166">
        <v>44188</v>
      </c>
    </row>
    <row r="464" spans="1:6" ht="15" customHeight="1" x14ac:dyDescent="0.3">
      <c r="A464" s="169" t="s">
        <v>749</v>
      </c>
      <c r="B464" s="156" t="s">
        <v>1418</v>
      </c>
      <c r="C464" s="163" t="s">
        <v>73</v>
      </c>
      <c r="D464" s="160">
        <f>((((57/2)*1.03)/1.03)*1.02)/1.02</f>
        <v>28.5</v>
      </c>
      <c r="E464" s="165" t="s">
        <v>3076</v>
      </c>
      <c r="F464" s="166">
        <v>43753</v>
      </c>
    </row>
    <row r="465" spans="1:6" ht="15" customHeight="1" x14ac:dyDescent="0.3">
      <c r="A465" s="169" t="s">
        <v>750</v>
      </c>
      <c r="B465" s="156" t="s">
        <v>5000</v>
      </c>
      <c r="C465" s="163" t="s">
        <v>74</v>
      </c>
      <c r="D465" s="160">
        <v>35</v>
      </c>
      <c r="E465" s="165" t="s">
        <v>4123</v>
      </c>
      <c r="F465" s="166">
        <v>44188</v>
      </c>
    </row>
    <row r="466" spans="1:6" ht="15" customHeight="1" x14ac:dyDescent="0.3">
      <c r="A466" s="169" t="s">
        <v>751</v>
      </c>
      <c r="B466" s="156" t="s">
        <v>1420</v>
      </c>
      <c r="C466" s="163" t="s">
        <v>74</v>
      </c>
      <c r="D466" s="160">
        <f>((((0.7*29)*1.03)/1.03)*1.02)/1.02</f>
        <v>20.299999999999997</v>
      </c>
      <c r="E466" s="165" t="s">
        <v>1419</v>
      </c>
      <c r="F466" s="166">
        <v>43069</v>
      </c>
    </row>
    <row r="467" spans="1:6" ht="15" customHeight="1" x14ac:dyDescent="0.3">
      <c r="A467" s="169" t="s">
        <v>752</v>
      </c>
      <c r="B467" s="156" t="s">
        <v>3120</v>
      </c>
      <c r="C467" s="163" t="s">
        <v>29</v>
      </c>
      <c r="D467" s="160">
        <v>6000</v>
      </c>
      <c r="E467" s="165" t="s">
        <v>405</v>
      </c>
      <c r="F467" s="166">
        <v>43756</v>
      </c>
    </row>
    <row r="468" spans="1:6" ht="15" customHeight="1" x14ac:dyDescent="0.3">
      <c r="A468" s="169" t="s">
        <v>753</v>
      </c>
      <c r="B468" s="156" t="s">
        <v>1426</v>
      </c>
      <c r="C468" s="163" t="s">
        <v>73</v>
      </c>
      <c r="D468" s="160">
        <v>20</v>
      </c>
      <c r="E468" s="165" t="s">
        <v>1419</v>
      </c>
      <c r="F468" s="166">
        <v>43069</v>
      </c>
    </row>
    <row r="469" spans="1:6" ht="15" customHeight="1" x14ac:dyDescent="0.3">
      <c r="A469" s="169" t="s">
        <v>754</v>
      </c>
      <c r="B469" s="156" t="s">
        <v>1427</v>
      </c>
      <c r="C469" s="163" t="s">
        <v>73</v>
      </c>
      <c r="D469" s="160">
        <v>135.35</v>
      </c>
      <c r="E469" s="165" t="s">
        <v>947</v>
      </c>
      <c r="F469" s="166">
        <v>43066</v>
      </c>
    </row>
    <row r="470" spans="1:6" ht="15" customHeight="1" x14ac:dyDescent="0.3">
      <c r="A470" s="169" t="s">
        <v>755</v>
      </c>
      <c r="B470" s="156" t="s">
        <v>1428</v>
      </c>
      <c r="C470" s="163" t="s">
        <v>73</v>
      </c>
      <c r="D470" s="160">
        <v>61.05</v>
      </c>
      <c r="E470" s="165" t="s">
        <v>1414</v>
      </c>
      <c r="F470" s="166">
        <v>43069</v>
      </c>
    </row>
    <row r="471" spans="1:6" ht="15" customHeight="1" x14ac:dyDescent="0.3">
      <c r="A471" s="169" t="s">
        <v>756</v>
      </c>
      <c r="B471" s="156" t="s">
        <v>1429</v>
      </c>
      <c r="C471" s="163" t="s">
        <v>73</v>
      </c>
      <c r="D471" s="160">
        <v>83.43</v>
      </c>
      <c r="E471" s="165" t="s">
        <v>1024</v>
      </c>
      <c r="F471" s="166">
        <v>43069</v>
      </c>
    </row>
    <row r="472" spans="1:6" ht="15" customHeight="1" x14ac:dyDescent="0.3">
      <c r="A472" s="169" t="s">
        <v>757</v>
      </c>
      <c r="B472" s="156" t="s">
        <v>1430</v>
      </c>
      <c r="C472" s="163" t="s">
        <v>73</v>
      </c>
      <c r="D472" s="160">
        <v>50.88</v>
      </c>
      <c r="E472" s="165" t="s">
        <v>1414</v>
      </c>
      <c r="F472" s="166">
        <v>43069</v>
      </c>
    </row>
    <row r="473" spans="1:6" ht="15" customHeight="1" x14ac:dyDescent="0.3">
      <c r="A473" s="169" t="s">
        <v>758</v>
      </c>
      <c r="B473" s="156" t="s">
        <v>5672</v>
      </c>
      <c r="C473" s="163" t="s">
        <v>73</v>
      </c>
      <c r="D473" s="160">
        <v>37.08</v>
      </c>
      <c r="E473" s="165" t="s">
        <v>947</v>
      </c>
      <c r="F473" s="166">
        <v>43066</v>
      </c>
    </row>
    <row r="474" spans="1:6" ht="15" customHeight="1" x14ac:dyDescent="0.3">
      <c r="A474" s="169" t="s">
        <v>759</v>
      </c>
      <c r="B474" s="156" t="s">
        <v>1431</v>
      </c>
      <c r="C474" s="163" t="s">
        <v>73</v>
      </c>
      <c r="D474" s="160">
        <v>50.88</v>
      </c>
      <c r="E474" s="165" t="s">
        <v>1414</v>
      </c>
      <c r="F474" s="166">
        <v>43069</v>
      </c>
    </row>
    <row r="475" spans="1:6" ht="15" customHeight="1" x14ac:dyDescent="0.3">
      <c r="A475" s="169" t="s">
        <v>760</v>
      </c>
      <c r="B475" s="156" t="s">
        <v>1432</v>
      </c>
      <c r="C475" s="163" t="s">
        <v>73</v>
      </c>
      <c r="D475" s="160">
        <v>32.299999999999997</v>
      </c>
      <c r="E475" s="165" t="s">
        <v>1024</v>
      </c>
      <c r="F475" s="166">
        <v>43069</v>
      </c>
    </row>
    <row r="476" spans="1:6" ht="15" customHeight="1" x14ac:dyDescent="0.3">
      <c r="A476" s="169" t="s">
        <v>761</v>
      </c>
      <c r="B476" s="156" t="s">
        <v>1433</v>
      </c>
      <c r="C476" s="163" t="s">
        <v>73</v>
      </c>
      <c r="D476" s="160">
        <v>50.88</v>
      </c>
      <c r="E476" s="165" t="s">
        <v>1414</v>
      </c>
      <c r="F476" s="166">
        <v>43069</v>
      </c>
    </row>
    <row r="477" spans="1:6" ht="15" customHeight="1" x14ac:dyDescent="0.3">
      <c r="A477" s="169" t="s">
        <v>762</v>
      </c>
      <c r="B477" s="156" t="s">
        <v>1434</v>
      </c>
      <c r="C477" s="163" t="s">
        <v>73</v>
      </c>
      <c r="D477" s="160">
        <v>126.00000000000001</v>
      </c>
      <c r="E477" s="165" t="s">
        <v>1437</v>
      </c>
      <c r="F477" s="166">
        <v>43069</v>
      </c>
    </row>
    <row r="478" spans="1:6" ht="15" customHeight="1" x14ac:dyDescent="0.3">
      <c r="A478" s="169" t="s">
        <v>763</v>
      </c>
      <c r="B478" s="156" t="s">
        <v>1435</v>
      </c>
      <c r="C478" s="163" t="s">
        <v>73</v>
      </c>
      <c r="D478" s="160">
        <v>61.05</v>
      </c>
      <c r="E478" s="165" t="s">
        <v>1414</v>
      </c>
      <c r="F478" s="166">
        <v>43069</v>
      </c>
    </row>
    <row r="479" spans="1:6" ht="15" customHeight="1" x14ac:dyDescent="0.3">
      <c r="A479" s="169" t="s">
        <v>764</v>
      </c>
      <c r="B479" s="156" t="s">
        <v>1436</v>
      </c>
      <c r="C479" s="163" t="s">
        <v>29</v>
      </c>
      <c r="D479" s="160">
        <v>454.66</v>
      </c>
      <c r="E479" s="165" t="s">
        <v>947</v>
      </c>
      <c r="F479" s="166">
        <v>43066</v>
      </c>
    </row>
    <row r="480" spans="1:6" ht="15" customHeight="1" x14ac:dyDescent="0.3">
      <c r="A480" s="169" t="s">
        <v>765</v>
      </c>
      <c r="B480" s="156" t="s">
        <v>1439</v>
      </c>
      <c r="C480" s="163" t="s">
        <v>73</v>
      </c>
      <c r="D480" s="160">
        <v>600</v>
      </c>
      <c r="E480" s="165" t="s">
        <v>1441</v>
      </c>
      <c r="F480" s="166">
        <v>43070</v>
      </c>
    </row>
    <row r="481" spans="1:6" ht="15" customHeight="1" x14ac:dyDescent="0.3">
      <c r="A481" s="169" t="s">
        <v>766</v>
      </c>
      <c r="B481" s="156" t="s">
        <v>1440</v>
      </c>
      <c r="C481" s="163" t="s">
        <v>73</v>
      </c>
      <c r="D481" s="160">
        <v>180</v>
      </c>
      <c r="E481" s="165" t="s">
        <v>1441</v>
      </c>
      <c r="F481" s="166">
        <v>43070</v>
      </c>
    </row>
    <row r="482" spans="1:6" ht="15" customHeight="1" x14ac:dyDescent="0.3">
      <c r="A482" s="169" t="s">
        <v>767</v>
      </c>
      <c r="B482" s="156" t="s">
        <v>1442</v>
      </c>
      <c r="C482" s="163" t="s">
        <v>73</v>
      </c>
      <c r="D482" s="160">
        <v>77</v>
      </c>
      <c r="E482" s="165" t="s">
        <v>1444</v>
      </c>
      <c r="F482" s="166">
        <v>43073</v>
      </c>
    </row>
    <row r="483" spans="1:6" ht="15" customHeight="1" x14ac:dyDescent="0.3">
      <c r="A483" s="169" t="s">
        <v>768</v>
      </c>
      <c r="B483" s="156" t="s">
        <v>1443</v>
      </c>
      <c r="C483" s="163" t="s">
        <v>73</v>
      </c>
      <c r="D483" s="160">
        <v>70</v>
      </c>
      <c r="E483" s="165" t="s">
        <v>1444</v>
      </c>
      <c r="F483" s="166">
        <v>43073</v>
      </c>
    </row>
    <row r="484" spans="1:6" ht="15" customHeight="1" x14ac:dyDescent="0.3">
      <c r="A484" s="169" t="s">
        <v>769</v>
      </c>
      <c r="B484" s="156" t="s">
        <v>1445</v>
      </c>
      <c r="C484" s="163" t="s">
        <v>936</v>
      </c>
      <c r="D484" s="160">
        <v>23.9</v>
      </c>
      <c r="E484" s="165" t="s">
        <v>1184</v>
      </c>
      <c r="F484" s="166">
        <v>43074</v>
      </c>
    </row>
    <row r="485" spans="1:6" ht="15" customHeight="1" x14ac:dyDescent="0.3">
      <c r="A485" s="169" t="s">
        <v>770</v>
      </c>
      <c r="B485" s="156" t="s">
        <v>1446</v>
      </c>
      <c r="C485" s="163" t="s">
        <v>74</v>
      </c>
      <c r="D485" s="160">
        <v>37.46</v>
      </c>
      <c r="E485" s="165" t="s">
        <v>1184</v>
      </c>
      <c r="F485" s="166">
        <v>43073</v>
      </c>
    </row>
    <row r="486" spans="1:6" ht="15" customHeight="1" x14ac:dyDescent="0.3">
      <c r="A486" s="169" t="s">
        <v>771</v>
      </c>
      <c r="B486" s="156" t="s">
        <v>2536</v>
      </c>
      <c r="C486" s="163" t="s">
        <v>74</v>
      </c>
      <c r="D486" s="160">
        <v>12</v>
      </c>
      <c r="E486" s="165" t="s">
        <v>2530</v>
      </c>
      <c r="F486" s="166">
        <v>43073</v>
      </c>
    </row>
    <row r="487" spans="1:6" ht="15" customHeight="1" x14ac:dyDescent="0.3">
      <c r="A487" s="169" t="s">
        <v>772</v>
      </c>
      <c r="B487" s="156" t="s">
        <v>2217</v>
      </c>
      <c r="C487" s="163" t="s">
        <v>936</v>
      </c>
      <c r="D487" s="160">
        <v>19.87</v>
      </c>
      <c r="E487" s="165" t="s">
        <v>1438</v>
      </c>
      <c r="F487" s="166">
        <v>43195</v>
      </c>
    </row>
    <row r="488" spans="1:6" ht="15" customHeight="1" x14ac:dyDescent="0.3">
      <c r="A488" s="169" t="s">
        <v>773</v>
      </c>
      <c r="B488" s="156" t="s">
        <v>4459</v>
      </c>
      <c r="C488" s="163" t="s">
        <v>4458</v>
      </c>
      <c r="D488" s="160">
        <v>22.17</v>
      </c>
      <c r="E488" s="165" t="s">
        <v>5792</v>
      </c>
      <c r="F488" s="166">
        <v>44473</v>
      </c>
    </row>
    <row r="489" spans="1:6" ht="15" customHeight="1" x14ac:dyDescent="0.3">
      <c r="A489" s="169" t="s">
        <v>774</v>
      </c>
      <c r="B489" s="156" t="s">
        <v>1448</v>
      </c>
      <c r="C489" s="163" t="s">
        <v>73</v>
      </c>
      <c r="D489" s="160">
        <v>149.9</v>
      </c>
      <c r="E489" s="165" t="s">
        <v>1024</v>
      </c>
      <c r="F489" s="166">
        <v>43073</v>
      </c>
    </row>
    <row r="490" spans="1:6" ht="15" customHeight="1" x14ac:dyDescent="0.3">
      <c r="A490" s="169" t="s">
        <v>775</v>
      </c>
      <c r="B490" s="156" t="s">
        <v>2985</v>
      </c>
      <c r="C490" s="163" t="s">
        <v>73</v>
      </c>
      <c r="D490" s="160">
        <v>120</v>
      </c>
      <c r="E490" s="165" t="s">
        <v>1414</v>
      </c>
      <c r="F490" s="166">
        <v>43069</v>
      </c>
    </row>
    <row r="491" spans="1:6" ht="15" customHeight="1" x14ac:dyDescent="0.3">
      <c r="A491" s="169" t="s">
        <v>776</v>
      </c>
      <c r="B491" s="156" t="s">
        <v>1449</v>
      </c>
      <c r="C491" s="163" t="s">
        <v>73</v>
      </c>
      <c r="D491" s="160">
        <f>((((171.9)*1.03)/1.03)*1.02)/1.02</f>
        <v>171.9</v>
      </c>
      <c r="E491" s="165" t="s">
        <v>1024</v>
      </c>
      <c r="F491" s="166">
        <v>43073</v>
      </c>
    </row>
    <row r="492" spans="1:6" ht="15" customHeight="1" x14ac:dyDescent="0.3">
      <c r="A492" s="169" t="s">
        <v>777</v>
      </c>
      <c r="B492" s="156" t="s">
        <v>1450</v>
      </c>
      <c r="C492" s="163" t="s">
        <v>73</v>
      </c>
      <c r="D492" s="160">
        <v>79.52</v>
      </c>
      <c r="E492" s="165" t="s">
        <v>1414</v>
      </c>
      <c r="F492" s="166">
        <v>43069</v>
      </c>
    </row>
    <row r="493" spans="1:6" ht="15" customHeight="1" x14ac:dyDescent="0.3">
      <c r="A493" s="169" t="s">
        <v>778</v>
      </c>
      <c r="B493" s="156" t="s">
        <v>1451</v>
      </c>
      <c r="C493" s="163" t="s">
        <v>73</v>
      </c>
      <c r="D493" s="160">
        <f>((((189.9)*1.03)/1.03)*1.02)/1.02</f>
        <v>189.9</v>
      </c>
      <c r="E493" s="165" t="s">
        <v>1024</v>
      </c>
      <c r="F493" s="166">
        <v>43073</v>
      </c>
    </row>
    <row r="494" spans="1:6" ht="15" customHeight="1" x14ac:dyDescent="0.3">
      <c r="A494" s="169" t="s">
        <v>779</v>
      </c>
      <c r="B494" s="156" t="s">
        <v>1452</v>
      </c>
      <c r="C494" s="163" t="s">
        <v>73</v>
      </c>
      <c r="D494" s="160">
        <v>79.52</v>
      </c>
      <c r="E494" s="165" t="s">
        <v>1414</v>
      </c>
      <c r="F494" s="166">
        <v>43069</v>
      </c>
    </row>
    <row r="495" spans="1:6" ht="15" customHeight="1" x14ac:dyDescent="0.3">
      <c r="A495" s="169" t="s">
        <v>780</v>
      </c>
      <c r="B495" s="156" t="s">
        <v>1453</v>
      </c>
      <c r="C495" s="163" t="s">
        <v>73</v>
      </c>
      <c r="D495" s="160">
        <v>130.79</v>
      </c>
      <c r="E495" s="165" t="s">
        <v>1459</v>
      </c>
      <c r="F495" s="166">
        <v>43073</v>
      </c>
    </row>
    <row r="496" spans="1:6" ht="15" customHeight="1" x14ac:dyDescent="0.3">
      <c r="A496" s="169" t="s">
        <v>781</v>
      </c>
      <c r="B496" s="156" t="s">
        <v>1454</v>
      </c>
      <c r="C496" s="163" t="s">
        <v>73</v>
      </c>
      <c r="D496" s="160">
        <v>35</v>
      </c>
      <c r="E496" s="165" t="s">
        <v>2788</v>
      </c>
      <c r="F496" s="166">
        <v>43663</v>
      </c>
    </row>
    <row r="497" spans="1:6" ht="15" customHeight="1" x14ac:dyDescent="0.3">
      <c r="A497" s="169" t="s">
        <v>782</v>
      </c>
      <c r="B497" s="156" t="s">
        <v>2986</v>
      </c>
      <c r="C497" s="163" t="s">
        <v>2984</v>
      </c>
      <c r="D497" s="160">
        <f>((((180*1.3)*1.03)/1.03)*1.02)/1.02</f>
        <v>234</v>
      </c>
      <c r="E497" s="165" t="s">
        <v>2982</v>
      </c>
      <c r="F497" s="166">
        <v>43753</v>
      </c>
    </row>
    <row r="498" spans="1:6" ht="15" customHeight="1" x14ac:dyDescent="0.3">
      <c r="A498" s="169" t="s">
        <v>783</v>
      </c>
      <c r="B498" s="156" t="s">
        <v>1455</v>
      </c>
      <c r="C498" s="163" t="s">
        <v>73</v>
      </c>
      <c r="D498" s="160">
        <v>61.05</v>
      </c>
      <c r="E498" s="165" t="s">
        <v>1414</v>
      </c>
      <c r="F498" s="166">
        <v>43069</v>
      </c>
    </row>
    <row r="499" spans="1:6" ht="15" customHeight="1" x14ac:dyDescent="0.3">
      <c r="A499" s="169" t="s">
        <v>784</v>
      </c>
      <c r="B499" s="156" t="s">
        <v>1456</v>
      </c>
      <c r="C499" s="163" t="s">
        <v>73</v>
      </c>
      <c r="D499" s="160">
        <f>((((219.9)*1.03)/1.03)*1.02)/1.02</f>
        <v>219.9</v>
      </c>
      <c r="E499" s="165" t="s">
        <v>1024</v>
      </c>
      <c r="F499" s="166">
        <v>43073</v>
      </c>
    </row>
    <row r="500" spans="1:6" ht="15" customHeight="1" x14ac:dyDescent="0.3">
      <c r="A500" s="169" t="s">
        <v>785</v>
      </c>
      <c r="B500" s="156" t="s">
        <v>2987</v>
      </c>
      <c r="C500" s="163" t="s">
        <v>73</v>
      </c>
      <c r="D500" s="160">
        <v>120</v>
      </c>
      <c r="E500" s="165" t="s">
        <v>405</v>
      </c>
      <c r="F500" s="166">
        <v>43753</v>
      </c>
    </row>
    <row r="501" spans="1:6" ht="15" customHeight="1" x14ac:dyDescent="0.3">
      <c r="A501" s="169" t="s">
        <v>786</v>
      </c>
      <c r="B501" s="156" t="s">
        <v>1457</v>
      </c>
      <c r="C501" s="163" t="s">
        <v>73</v>
      </c>
      <c r="D501" s="160">
        <f>((((185.9)*1.03)/1.03)*1.02)/1.02</f>
        <v>185.9</v>
      </c>
      <c r="E501" s="165" t="s">
        <v>1024</v>
      </c>
      <c r="F501" s="166">
        <v>43073</v>
      </c>
    </row>
    <row r="502" spans="1:6" ht="15" customHeight="1" x14ac:dyDescent="0.3">
      <c r="A502" s="169" t="s">
        <v>787</v>
      </c>
      <c r="B502" s="156" t="s">
        <v>1458</v>
      </c>
      <c r="C502" s="163" t="s">
        <v>73</v>
      </c>
      <c r="D502" s="160">
        <v>79.52</v>
      </c>
      <c r="E502" s="165" t="s">
        <v>1414</v>
      </c>
      <c r="F502" s="166">
        <v>43073</v>
      </c>
    </row>
    <row r="503" spans="1:6" ht="15" customHeight="1" x14ac:dyDescent="0.3">
      <c r="A503" s="169" t="s">
        <v>788</v>
      </c>
      <c r="B503" s="156" t="s">
        <v>1460</v>
      </c>
      <c r="C503" s="163" t="s">
        <v>29</v>
      </c>
      <c r="D503" s="160">
        <v>11000</v>
      </c>
      <c r="E503" s="165" t="s">
        <v>1024</v>
      </c>
      <c r="F503" s="166">
        <v>43073</v>
      </c>
    </row>
    <row r="504" spans="1:6" ht="15" customHeight="1" x14ac:dyDescent="0.3">
      <c r="A504" s="169" t="s">
        <v>789</v>
      </c>
      <c r="B504" s="156" t="s">
        <v>2786</v>
      </c>
      <c r="C504" s="163" t="s">
        <v>29</v>
      </c>
      <c r="D504" s="160">
        <v>10000</v>
      </c>
      <c r="E504" s="165" t="s">
        <v>405</v>
      </c>
      <c r="F504" s="166">
        <v>43663</v>
      </c>
    </row>
    <row r="505" spans="1:6" ht="15" customHeight="1" x14ac:dyDescent="0.3">
      <c r="A505" s="169" t="s">
        <v>790</v>
      </c>
      <c r="B505" s="156" t="s">
        <v>1462</v>
      </c>
      <c r="C505" s="163" t="s">
        <v>29</v>
      </c>
      <c r="D505" s="160">
        <v>1812</v>
      </c>
      <c r="E505" s="165" t="s">
        <v>1441</v>
      </c>
      <c r="F505" s="166">
        <v>43070</v>
      </c>
    </row>
    <row r="506" spans="1:6" ht="15" customHeight="1" x14ac:dyDescent="0.3">
      <c r="A506" s="169" t="s">
        <v>791</v>
      </c>
      <c r="B506" s="156" t="s">
        <v>2790</v>
      </c>
      <c r="C506" s="163" t="s">
        <v>2773</v>
      </c>
      <c r="D506" s="160">
        <v>129</v>
      </c>
      <c r="E506" s="165" t="s">
        <v>2789</v>
      </c>
      <c r="F506" s="166">
        <v>43663</v>
      </c>
    </row>
    <row r="507" spans="1:6" ht="15" customHeight="1" x14ac:dyDescent="0.3">
      <c r="A507" s="169" t="s">
        <v>792</v>
      </c>
      <c r="B507" s="156" t="s">
        <v>1465</v>
      </c>
      <c r="C507" s="163" t="s">
        <v>29</v>
      </c>
      <c r="D507" s="160">
        <v>2211</v>
      </c>
      <c r="E507" s="165" t="s">
        <v>1441</v>
      </c>
      <c r="F507" s="166">
        <v>43070</v>
      </c>
    </row>
    <row r="508" spans="1:6" ht="15" customHeight="1" x14ac:dyDescent="0.3">
      <c r="A508" s="169" t="s">
        <v>793</v>
      </c>
      <c r="B508" s="156" t="s">
        <v>1464</v>
      </c>
      <c r="C508" s="163" t="s">
        <v>29</v>
      </c>
      <c r="D508" s="160">
        <v>495</v>
      </c>
      <c r="E508" s="165" t="s">
        <v>1441</v>
      </c>
      <c r="F508" s="166">
        <v>43070</v>
      </c>
    </row>
    <row r="509" spans="1:6" ht="15" customHeight="1" x14ac:dyDescent="0.3">
      <c r="A509" s="169" t="s">
        <v>794</v>
      </c>
      <c r="B509" s="156" t="s">
        <v>1466</v>
      </c>
      <c r="C509" s="163" t="s">
        <v>29</v>
      </c>
      <c r="D509" s="160">
        <v>1683</v>
      </c>
      <c r="E509" s="165" t="s">
        <v>1441</v>
      </c>
      <c r="F509" s="166">
        <v>43070</v>
      </c>
    </row>
    <row r="510" spans="1:6" ht="15" customHeight="1" x14ac:dyDescent="0.3">
      <c r="A510" s="169" t="s">
        <v>795</v>
      </c>
      <c r="B510" s="156" t="s">
        <v>1472</v>
      </c>
      <c r="C510" s="163" t="s">
        <v>29</v>
      </c>
      <c r="D510" s="160">
        <v>198</v>
      </c>
      <c r="E510" s="165" t="s">
        <v>1441</v>
      </c>
      <c r="F510" s="166">
        <v>43070</v>
      </c>
    </row>
    <row r="511" spans="1:6" ht="15" customHeight="1" x14ac:dyDescent="0.3">
      <c r="A511" s="169" t="s">
        <v>796</v>
      </c>
      <c r="B511" s="156" t="s">
        <v>1468</v>
      </c>
      <c r="C511" s="163" t="s">
        <v>29</v>
      </c>
      <c r="D511" s="160">
        <f>((((1300+990)*1.03)/1.03)*1.02)/1.02</f>
        <v>2290</v>
      </c>
      <c r="E511" s="165" t="s">
        <v>1441</v>
      </c>
      <c r="F511" s="166">
        <v>43070</v>
      </c>
    </row>
    <row r="512" spans="1:6" ht="15" customHeight="1" x14ac:dyDescent="0.3">
      <c r="A512" s="169" t="s">
        <v>797</v>
      </c>
      <c r="B512" s="156" t="s">
        <v>1469</v>
      </c>
      <c r="C512" s="163" t="s">
        <v>29</v>
      </c>
      <c r="D512" s="160">
        <v>3816</v>
      </c>
      <c r="E512" s="165" t="s">
        <v>1441</v>
      </c>
      <c r="F512" s="166">
        <v>43070</v>
      </c>
    </row>
    <row r="513" spans="1:6" ht="15" customHeight="1" x14ac:dyDescent="0.3">
      <c r="A513" s="169" t="s">
        <v>798</v>
      </c>
      <c r="B513" s="156" t="s">
        <v>1470</v>
      </c>
      <c r="C513" s="163" t="s">
        <v>29</v>
      </c>
      <c r="D513" s="160">
        <v>584</v>
      </c>
      <c r="E513" s="165" t="s">
        <v>1441</v>
      </c>
      <c r="F513" s="166">
        <v>43070</v>
      </c>
    </row>
    <row r="514" spans="1:6" ht="15" customHeight="1" x14ac:dyDescent="0.3">
      <c r="A514" s="169" t="s">
        <v>799</v>
      </c>
      <c r="B514" s="156" t="s">
        <v>1471</v>
      </c>
      <c r="C514" s="163" t="s">
        <v>29</v>
      </c>
      <c r="D514" s="160">
        <v>634</v>
      </c>
      <c r="E514" s="165" t="s">
        <v>1441</v>
      </c>
      <c r="F514" s="166">
        <v>43070</v>
      </c>
    </row>
    <row r="515" spans="1:6" ht="15" customHeight="1" x14ac:dyDescent="0.3">
      <c r="A515" s="169" t="s">
        <v>800</v>
      </c>
      <c r="B515" s="156" t="s">
        <v>1473</v>
      </c>
      <c r="C515" s="163" t="s">
        <v>29</v>
      </c>
      <c r="D515" s="160">
        <v>185</v>
      </c>
      <c r="E515" s="165" t="s">
        <v>1441</v>
      </c>
      <c r="F515" s="166">
        <v>43070</v>
      </c>
    </row>
    <row r="516" spans="1:6" ht="15" customHeight="1" x14ac:dyDescent="0.3">
      <c r="A516" s="169" t="s">
        <v>801</v>
      </c>
      <c r="B516" s="156" t="s">
        <v>1474</v>
      </c>
      <c r="C516" s="163" t="s">
        <v>29</v>
      </c>
      <c r="D516" s="160">
        <v>1300</v>
      </c>
      <c r="E516" s="165" t="s">
        <v>1441</v>
      </c>
      <c r="F516" s="166">
        <v>43070</v>
      </c>
    </row>
    <row r="517" spans="1:6" ht="15" customHeight="1" x14ac:dyDescent="0.3">
      <c r="A517" s="169" t="s">
        <v>802</v>
      </c>
      <c r="B517" s="156" t="s">
        <v>1652</v>
      </c>
      <c r="C517" s="163" t="s">
        <v>29</v>
      </c>
      <c r="D517" s="160">
        <v>1389</v>
      </c>
      <c r="E517" s="165" t="s">
        <v>1441</v>
      </c>
      <c r="F517" s="166">
        <v>43070</v>
      </c>
    </row>
    <row r="518" spans="1:6" ht="15" customHeight="1" x14ac:dyDescent="0.3">
      <c r="A518" s="169" t="s">
        <v>803</v>
      </c>
      <c r="B518" s="156" t="s">
        <v>1475</v>
      </c>
      <c r="C518" s="163" t="s">
        <v>29</v>
      </c>
      <c r="D518" s="160">
        <v>212</v>
      </c>
      <c r="E518" s="165" t="s">
        <v>1441</v>
      </c>
      <c r="F518" s="166">
        <v>43070</v>
      </c>
    </row>
    <row r="519" spans="1:6" ht="15" customHeight="1" x14ac:dyDescent="0.3">
      <c r="A519" s="169" t="s">
        <v>804</v>
      </c>
      <c r="B519" s="156" t="s">
        <v>1476</v>
      </c>
      <c r="C519" s="163" t="s">
        <v>29</v>
      </c>
      <c r="D519" s="160">
        <v>800</v>
      </c>
      <c r="E519" s="165" t="s">
        <v>1441</v>
      </c>
      <c r="F519" s="166">
        <v>43070</v>
      </c>
    </row>
    <row r="520" spans="1:6" ht="15" customHeight="1" x14ac:dyDescent="0.3">
      <c r="A520" s="169" t="s">
        <v>805</v>
      </c>
      <c r="B520" s="156" t="s">
        <v>1651</v>
      </c>
      <c r="C520" s="163" t="s">
        <v>74</v>
      </c>
      <c r="D520" s="160">
        <v>25.05</v>
      </c>
      <c r="E520" s="165" t="s">
        <v>1441</v>
      </c>
      <c r="F520" s="166">
        <v>43070</v>
      </c>
    </row>
    <row r="521" spans="1:6" ht="15" customHeight="1" x14ac:dyDescent="0.3">
      <c r="A521" s="169" t="s">
        <v>806</v>
      </c>
      <c r="B521" s="156" t="s">
        <v>1478</v>
      </c>
      <c r="C521" s="163" t="s">
        <v>29</v>
      </c>
      <c r="D521" s="160">
        <v>325</v>
      </c>
      <c r="E521" s="165" t="s">
        <v>1441</v>
      </c>
      <c r="F521" s="166">
        <v>43070</v>
      </c>
    </row>
    <row r="522" spans="1:6" ht="15" customHeight="1" x14ac:dyDescent="0.3">
      <c r="A522" s="169" t="s">
        <v>807</v>
      </c>
      <c r="B522" s="156" t="s">
        <v>1479</v>
      </c>
      <c r="C522" s="163" t="s">
        <v>29</v>
      </c>
      <c r="D522" s="160">
        <v>200</v>
      </c>
      <c r="E522" s="165" t="s">
        <v>1441</v>
      </c>
      <c r="F522" s="166">
        <v>43070</v>
      </c>
    </row>
    <row r="523" spans="1:6" ht="15" customHeight="1" x14ac:dyDescent="0.3">
      <c r="A523" s="169" t="s">
        <v>808</v>
      </c>
      <c r="B523" s="156" t="s">
        <v>1481</v>
      </c>
      <c r="C523" s="163" t="s">
        <v>29</v>
      </c>
      <c r="D523" s="160">
        <v>161</v>
      </c>
      <c r="E523" s="165" t="s">
        <v>1441</v>
      </c>
      <c r="F523" s="166">
        <v>43070</v>
      </c>
    </row>
    <row r="524" spans="1:6" ht="15" customHeight="1" x14ac:dyDescent="0.3">
      <c r="A524" s="169" t="s">
        <v>809</v>
      </c>
      <c r="B524" s="156" t="s">
        <v>1483</v>
      </c>
      <c r="C524" s="163" t="s">
        <v>29</v>
      </c>
      <c r="D524" s="160">
        <v>2462</v>
      </c>
      <c r="E524" s="165" t="s">
        <v>1441</v>
      </c>
      <c r="F524" s="166">
        <v>43070</v>
      </c>
    </row>
    <row r="525" spans="1:6" ht="15" customHeight="1" x14ac:dyDescent="0.3">
      <c r="A525" s="169" t="s">
        <v>810</v>
      </c>
      <c r="B525" s="156" t="s">
        <v>1484</v>
      </c>
      <c r="C525" s="163" t="s">
        <v>29</v>
      </c>
      <c r="D525" s="160">
        <v>515</v>
      </c>
      <c r="E525" s="165" t="s">
        <v>1441</v>
      </c>
      <c r="F525" s="166">
        <v>43070</v>
      </c>
    </row>
    <row r="526" spans="1:6" ht="15" customHeight="1" x14ac:dyDescent="0.3">
      <c r="A526" s="169" t="s">
        <v>811</v>
      </c>
      <c r="B526" s="156" t="s">
        <v>1485</v>
      </c>
      <c r="C526" s="163" t="s">
        <v>29</v>
      </c>
      <c r="D526" s="160">
        <v>871</v>
      </c>
      <c r="E526" s="165" t="s">
        <v>1441</v>
      </c>
      <c r="F526" s="166">
        <v>43070</v>
      </c>
    </row>
    <row r="527" spans="1:6" ht="15" customHeight="1" x14ac:dyDescent="0.3">
      <c r="A527" s="169" t="s">
        <v>812</v>
      </c>
      <c r="B527" s="156" t="s">
        <v>1486</v>
      </c>
      <c r="C527" s="163" t="s">
        <v>29</v>
      </c>
      <c r="D527" s="160">
        <v>1000</v>
      </c>
      <c r="E527" s="165" t="s">
        <v>1441</v>
      </c>
      <c r="F527" s="166">
        <v>43070</v>
      </c>
    </row>
    <row r="528" spans="1:6" ht="15" customHeight="1" x14ac:dyDescent="0.3">
      <c r="A528" s="169" t="s">
        <v>813</v>
      </c>
      <c r="B528" s="156" t="s">
        <v>1489</v>
      </c>
      <c r="C528" s="163" t="s">
        <v>29</v>
      </c>
      <c r="D528" s="160">
        <v>2743</v>
      </c>
      <c r="E528" s="165" t="s">
        <v>1441</v>
      </c>
      <c r="F528" s="166">
        <v>43070</v>
      </c>
    </row>
    <row r="529" spans="1:6" ht="15" customHeight="1" x14ac:dyDescent="0.3">
      <c r="A529" s="169" t="s">
        <v>814</v>
      </c>
      <c r="B529" s="156" t="s">
        <v>1490</v>
      </c>
      <c r="C529" s="163" t="s">
        <v>29</v>
      </c>
      <c r="D529" s="160">
        <v>651</v>
      </c>
      <c r="E529" s="165" t="s">
        <v>1441</v>
      </c>
      <c r="F529" s="166">
        <v>43070</v>
      </c>
    </row>
    <row r="530" spans="1:6" ht="15" customHeight="1" x14ac:dyDescent="0.3">
      <c r="A530" s="169" t="s">
        <v>815</v>
      </c>
      <c r="B530" s="156" t="s">
        <v>1491</v>
      </c>
      <c r="C530" s="163" t="s">
        <v>29</v>
      </c>
      <c r="D530" s="160">
        <v>713</v>
      </c>
      <c r="E530" s="165" t="s">
        <v>1441</v>
      </c>
      <c r="F530" s="166">
        <v>43070</v>
      </c>
    </row>
    <row r="531" spans="1:6" ht="15" customHeight="1" x14ac:dyDescent="0.3">
      <c r="A531" s="169" t="s">
        <v>816</v>
      </c>
      <c r="B531" s="156" t="s">
        <v>1492</v>
      </c>
      <c r="C531" s="163" t="s">
        <v>29</v>
      </c>
      <c r="D531" s="160">
        <v>1000</v>
      </c>
      <c r="E531" s="165" t="s">
        <v>1441</v>
      </c>
      <c r="F531" s="166">
        <v>43070</v>
      </c>
    </row>
    <row r="532" spans="1:6" ht="15" customHeight="1" x14ac:dyDescent="0.3">
      <c r="A532" s="169" t="s">
        <v>817</v>
      </c>
      <c r="B532" s="156" t="s">
        <v>1495</v>
      </c>
      <c r="C532" s="163" t="s">
        <v>29</v>
      </c>
      <c r="D532" s="160">
        <v>2661</v>
      </c>
      <c r="E532" s="165" t="s">
        <v>1441</v>
      </c>
      <c r="F532" s="166">
        <v>43070</v>
      </c>
    </row>
    <row r="533" spans="1:6" ht="15" customHeight="1" x14ac:dyDescent="0.3">
      <c r="A533" s="169" t="s">
        <v>818</v>
      </c>
      <c r="B533" s="156" t="s">
        <v>1496</v>
      </c>
      <c r="C533" s="163" t="s">
        <v>29</v>
      </c>
      <c r="D533" s="160">
        <v>633</v>
      </c>
      <c r="E533" s="165" t="s">
        <v>1441</v>
      </c>
      <c r="F533" s="166">
        <v>43070</v>
      </c>
    </row>
    <row r="534" spans="1:6" ht="15" customHeight="1" x14ac:dyDescent="0.3">
      <c r="A534" s="169" t="s">
        <v>819</v>
      </c>
      <c r="B534" s="156" t="s">
        <v>1497</v>
      </c>
      <c r="C534" s="163" t="s">
        <v>29</v>
      </c>
      <c r="D534" s="160">
        <v>1000</v>
      </c>
      <c r="E534" s="165" t="s">
        <v>1441</v>
      </c>
      <c r="F534" s="166">
        <v>43070</v>
      </c>
    </row>
    <row r="535" spans="1:6" ht="15" customHeight="1" x14ac:dyDescent="0.3">
      <c r="A535" s="169" t="s">
        <v>820</v>
      </c>
      <c r="B535" s="156" t="s">
        <v>1500</v>
      </c>
      <c r="C535" s="163" t="s">
        <v>29</v>
      </c>
      <c r="D535" s="160">
        <v>2338</v>
      </c>
      <c r="E535" s="165" t="s">
        <v>1441</v>
      </c>
      <c r="F535" s="166">
        <v>43070</v>
      </c>
    </row>
    <row r="536" spans="1:6" ht="15" customHeight="1" x14ac:dyDescent="0.3">
      <c r="A536" s="169" t="s">
        <v>821</v>
      </c>
      <c r="B536" s="156" t="s">
        <v>1496</v>
      </c>
      <c r="C536" s="163" t="s">
        <v>29</v>
      </c>
      <c r="D536" s="160">
        <v>564</v>
      </c>
      <c r="E536" s="165" t="s">
        <v>1441</v>
      </c>
      <c r="F536" s="166">
        <v>43070</v>
      </c>
    </row>
    <row r="537" spans="1:6" ht="15" customHeight="1" x14ac:dyDescent="0.3">
      <c r="A537" s="169" t="s">
        <v>822</v>
      </c>
      <c r="B537" s="156" t="s">
        <v>1501</v>
      </c>
      <c r="C537" s="163" t="s">
        <v>29</v>
      </c>
      <c r="D537" s="160">
        <v>483</v>
      </c>
      <c r="E537" s="165" t="s">
        <v>1441</v>
      </c>
      <c r="F537" s="166">
        <v>43070</v>
      </c>
    </row>
    <row r="538" spans="1:6" ht="15" customHeight="1" x14ac:dyDescent="0.3">
      <c r="A538" s="169" t="s">
        <v>823</v>
      </c>
      <c r="B538" s="156" t="s">
        <v>1499</v>
      </c>
      <c r="C538" s="163" t="s">
        <v>29</v>
      </c>
      <c r="D538" s="160">
        <v>1000</v>
      </c>
      <c r="E538" s="165" t="s">
        <v>1441</v>
      </c>
      <c r="F538" s="166">
        <v>43070</v>
      </c>
    </row>
    <row r="539" spans="1:6" ht="15" customHeight="1" x14ac:dyDescent="0.3">
      <c r="A539" s="169" t="s">
        <v>824</v>
      </c>
      <c r="B539" s="156" t="s">
        <v>1503</v>
      </c>
      <c r="C539" s="163" t="s">
        <v>29</v>
      </c>
      <c r="D539" s="160">
        <v>881</v>
      </c>
      <c r="E539" s="165" t="s">
        <v>1441</v>
      </c>
      <c r="F539" s="166">
        <v>43070</v>
      </c>
    </row>
    <row r="540" spans="1:6" ht="15" customHeight="1" x14ac:dyDescent="0.3">
      <c r="A540" s="169" t="s">
        <v>825</v>
      </c>
      <c r="B540" s="156" t="s">
        <v>1504</v>
      </c>
      <c r="C540" s="163" t="s">
        <v>29</v>
      </c>
      <c r="D540" s="160">
        <v>1656</v>
      </c>
      <c r="E540" s="165" t="s">
        <v>1441</v>
      </c>
      <c r="F540" s="166">
        <v>43070</v>
      </c>
    </row>
    <row r="541" spans="1:6" ht="15" customHeight="1" x14ac:dyDescent="0.3">
      <c r="A541" s="169" t="s">
        <v>826</v>
      </c>
      <c r="B541" s="156" t="s">
        <v>1505</v>
      </c>
      <c r="C541" s="163" t="s">
        <v>29</v>
      </c>
      <c r="D541" s="160">
        <v>223</v>
      </c>
      <c r="E541" s="165" t="s">
        <v>1441</v>
      </c>
      <c r="F541" s="166">
        <v>43070</v>
      </c>
    </row>
    <row r="542" spans="1:6" ht="15" customHeight="1" x14ac:dyDescent="0.3">
      <c r="A542" s="169" t="s">
        <v>827</v>
      </c>
      <c r="B542" s="156" t="s">
        <v>1506</v>
      </c>
      <c r="C542" s="163" t="s">
        <v>29</v>
      </c>
      <c r="D542" s="160">
        <v>1300</v>
      </c>
      <c r="E542" s="165" t="s">
        <v>1441</v>
      </c>
      <c r="F542" s="166">
        <v>43070</v>
      </c>
    </row>
    <row r="543" spans="1:6" ht="15" customHeight="1" x14ac:dyDescent="0.3">
      <c r="A543" s="169" t="s">
        <v>828</v>
      </c>
      <c r="B543" s="156" t="s">
        <v>1515</v>
      </c>
      <c r="C543" s="163" t="s">
        <v>1376</v>
      </c>
      <c r="D543" s="160">
        <v>370</v>
      </c>
      <c r="E543" s="165" t="s">
        <v>1514</v>
      </c>
      <c r="F543" s="166">
        <v>43073</v>
      </c>
    </row>
    <row r="544" spans="1:6" ht="15" customHeight="1" x14ac:dyDescent="0.3">
      <c r="A544" s="169" t="s">
        <v>829</v>
      </c>
      <c r="B544" s="156" t="s">
        <v>1516</v>
      </c>
      <c r="C544" s="163" t="s">
        <v>1376</v>
      </c>
      <c r="D544" s="160">
        <v>100</v>
      </c>
      <c r="E544" s="165" t="s">
        <v>1514</v>
      </c>
      <c r="F544" s="166">
        <v>43075</v>
      </c>
    </row>
    <row r="545" spans="1:6" ht="15" customHeight="1" x14ac:dyDescent="0.3">
      <c r="A545" s="169" t="s">
        <v>830</v>
      </c>
      <c r="B545" s="156" t="s">
        <v>1517</v>
      </c>
      <c r="C545" s="163" t="s">
        <v>29</v>
      </c>
      <c r="D545" s="160">
        <v>150</v>
      </c>
      <c r="E545" s="165" t="s">
        <v>1514</v>
      </c>
      <c r="F545" s="166">
        <v>43073</v>
      </c>
    </row>
    <row r="546" spans="1:6" s="525" customFormat="1" ht="15" customHeight="1" x14ac:dyDescent="0.3">
      <c r="A546" s="523" t="s">
        <v>831</v>
      </c>
      <c r="B546" s="524" t="s">
        <v>3130</v>
      </c>
      <c r="C546" s="522" t="s">
        <v>73</v>
      </c>
      <c r="D546" s="160">
        <v>50</v>
      </c>
      <c r="E546" s="517" t="s">
        <v>3131</v>
      </c>
      <c r="F546" s="518">
        <v>43760</v>
      </c>
    </row>
    <row r="547" spans="1:6" ht="15" customHeight="1" x14ac:dyDescent="0.3">
      <c r="A547" s="169" t="s">
        <v>832</v>
      </c>
      <c r="B547" s="156" t="s">
        <v>1518</v>
      </c>
      <c r="C547" s="163" t="s">
        <v>73</v>
      </c>
      <c r="D547" s="160">
        <v>45</v>
      </c>
      <c r="E547" s="165" t="s">
        <v>1523</v>
      </c>
      <c r="F547" s="166">
        <v>43069</v>
      </c>
    </row>
    <row r="548" spans="1:6" ht="15" customHeight="1" x14ac:dyDescent="0.3">
      <c r="A548" s="169" t="s">
        <v>833</v>
      </c>
      <c r="B548" s="156" t="s">
        <v>1519</v>
      </c>
      <c r="C548" s="163" t="s">
        <v>73</v>
      </c>
      <c r="D548" s="160">
        <v>45</v>
      </c>
      <c r="E548" s="165" t="s">
        <v>1523</v>
      </c>
      <c r="F548" s="166">
        <v>43069</v>
      </c>
    </row>
    <row r="549" spans="1:6" ht="15" customHeight="1" x14ac:dyDescent="0.3">
      <c r="A549" s="169" t="s">
        <v>834</v>
      </c>
      <c r="B549" s="156" t="s">
        <v>1521</v>
      </c>
      <c r="C549" s="163" t="s">
        <v>73</v>
      </c>
      <c r="D549" s="160">
        <v>45</v>
      </c>
      <c r="E549" s="165" t="s">
        <v>1523</v>
      </c>
      <c r="F549" s="166">
        <v>43069</v>
      </c>
    </row>
    <row r="550" spans="1:6" ht="15" customHeight="1" x14ac:dyDescent="0.3">
      <c r="A550" s="169" t="s">
        <v>835</v>
      </c>
      <c r="B550" s="156" t="s">
        <v>1522</v>
      </c>
      <c r="C550" s="163" t="s">
        <v>73</v>
      </c>
      <c r="D550" s="160">
        <v>45</v>
      </c>
      <c r="E550" s="165" t="s">
        <v>1523</v>
      </c>
      <c r="F550" s="166">
        <v>43069</v>
      </c>
    </row>
    <row r="551" spans="1:6" ht="15" customHeight="1" x14ac:dyDescent="0.3">
      <c r="A551" s="169" t="s">
        <v>836</v>
      </c>
      <c r="B551" s="156" t="s">
        <v>1520</v>
      </c>
      <c r="C551" s="163" t="s">
        <v>73</v>
      </c>
      <c r="D551" s="160">
        <v>35</v>
      </c>
      <c r="E551" s="165" t="s">
        <v>1523</v>
      </c>
      <c r="F551" s="166">
        <v>43069</v>
      </c>
    </row>
    <row r="552" spans="1:6" ht="15" customHeight="1" x14ac:dyDescent="0.3">
      <c r="A552" s="169" t="s">
        <v>837</v>
      </c>
      <c r="B552" s="156" t="s">
        <v>1524</v>
      </c>
      <c r="C552" s="163" t="s">
        <v>2268</v>
      </c>
      <c r="D552" s="160">
        <f>((((106/2)*1.03)/1.03)*1.02)/1.02</f>
        <v>53</v>
      </c>
      <c r="E552" s="468" t="s">
        <v>3129</v>
      </c>
      <c r="F552" s="469">
        <v>43760</v>
      </c>
    </row>
    <row r="553" spans="1:6" ht="15" customHeight="1" x14ac:dyDescent="0.3">
      <c r="A553" s="169" t="s">
        <v>838</v>
      </c>
      <c r="B553" s="156" t="s">
        <v>1530</v>
      </c>
      <c r="C553" s="163" t="s">
        <v>29</v>
      </c>
      <c r="D553" s="160">
        <v>1185.8399999999999</v>
      </c>
      <c r="E553" s="165" t="s">
        <v>1531</v>
      </c>
      <c r="F553" s="166">
        <v>43075</v>
      </c>
    </row>
    <row r="554" spans="1:6" ht="15" customHeight="1" x14ac:dyDescent="0.3">
      <c r="A554" s="169" t="s">
        <v>839</v>
      </c>
      <c r="B554" s="156" t="s">
        <v>1532</v>
      </c>
      <c r="C554" s="163" t="s">
        <v>1376</v>
      </c>
      <c r="D554" s="160">
        <v>500</v>
      </c>
      <c r="E554" s="165" t="s">
        <v>1444</v>
      </c>
      <c r="F554" s="166">
        <v>43073</v>
      </c>
    </row>
    <row r="555" spans="1:6" ht="15" customHeight="1" x14ac:dyDescent="0.3">
      <c r="A555" s="169" t="s">
        <v>840</v>
      </c>
      <c r="B555" s="156" t="s">
        <v>1536</v>
      </c>
      <c r="C555" s="163" t="s">
        <v>1541</v>
      </c>
      <c r="D555" s="160">
        <v>153.5</v>
      </c>
      <c r="E555" s="165" t="s">
        <v>1540</v>
      </c>
      <c r="F555" s="166">
        <v>43087</v>
      </c>
    </row>
    <row r="556" spans="1:6" ht="15" customHeight="1" x14ac:dyDescent="0.3">
      <c r="A556" s="169" t="s">
        <v>841</v>
      </c>
      <c r="B556" s="156" t="s">
        <v>1542</v>
      </c>
      <c r="C556" s="163" t="s">
        <v>1788</v>
      </c>
      <c r="D556" s="160">
        <v>88.96</v>
      </c>
      <c r="E556" s="165" t="s">
        <v>3064</v>
      </c>
      <c r="F556" s="166">
        <v>43755</v>
      </c>
    </row>
    <row r="557" spans="1:6" ht="15" customHeight="1" x14ac:dyDescent="0.3">
      <c r="A557" s="169" t="s">
        <v>842</v>
      </c>
      <c r="B557" s="156" t="s">
        <v>1537</v>
      </c>
      <c r="C557" s="163" t="s">
        <v>1541</v>
      </c>
      <c r="D557" s="160">
        <v>293</v>
      </c>
      <c r="E557" s="165" t="s">
        <v>1540</v>
      </c>
      <c r="F557" s="166">
        <v>43087</v>
      </c>
    </row>
    <row r="558" spans="1:6" ht="15" customHeight="1" x14ac:dyDescent="0.3">
      <c r="A558" s="169" t="s">
        <v>843</v>
      </c>
      <c r="B558" s="156" t="s">
        <v>1538</v>
      </c>
      <c r="C558" s="163" t="s">
        <v>1533</v>
      </c>
      <c r="D558" s="160">
        <v>46.9</v>
      </c>
      <c r="E558" s="165" t="s">
        <v>1184</v>
      </c>
      <c r="F558" s="166">
        <v>43074</v>
      </c>
    </row>
    <row r="559" spans="1:6" ht="15" customHeight="1" x14ac:dyDescent="0.3">
      <c r="A559" s="169" t="s">
        <v>844</v>
      </c>
      <c r="B559" s="156" t="s">
        <v>1539</v>
      </c>
      <c r="C559" s="163" t="s">
        <v>1533</v>
      </c>
      <c r="D559" s="160">
        <v>199</v>
      </c>
      <c r="E559" s="165" t="s">
        <v>1184</v>
      </c>
      <c r="F559" s="166">
        <v>43074</v>
      </c>
    </row>
    <row r="560" spans="1:6" ht="15" customHeight="1" x14ac:dyDescent="0.3">
      <c r="A560" s="169" t="s">
        <v>845</v>
      </c>
      <c r="B560" s="156" t="s">
        <v>1534</v>
      </c>
      <c r="C560" s="163" t="s">
        <v>1535</v>
      </c>
      <c r="D560" s="160">
        <v>160.9</v>
      </c>
      <c r="E560" s="165" t="s">
        <v>1184</v>
      </c>
      <c r="F560" s="166">
        <v>43074</v>
      </c>
    </row>
    <row r="561" spans="1:6" ht="15" customHeight="1" x14ac:dyDescent="0.3">
      <c r="A561" s="169" t="s">
        <v>846</v>
      </c>
      <c r="B561" s="156" t="s">
        <v>1543</v>
      </c>
      <c r="C561" s="163" t="s">
        <v>1544</v>
      </c>
      <c r="D561" s="160">
        <v>24.99</v>
      </c>
      <c r="E561" s="165" t="s">
        <v>963</v>
      </c>
      <c r="F561" s="166">
        <v>43075</v>
      </c>
    </row>
    <row r="562" spans="1:6" ht="15" customHeight="1" x14ac:dyDescent="0.3">
      <c r="A562" s="169" t="s">
        <v>847</v>
      </c>
      <c r="B562" s="156" t="s">
        <v>1559</v>
      </c>
      <c r="C562" s="163" t="s">
        <v>1376</v>
      </c>
      <c r="D562" s="160">
        <v>749.67</v>
      </c>
      <c r="E562" s="165" t="s">
        <v>1058</v>
      </c>
      <c r="F562" s="166">
        <v>43067</v>
      </c>
    </row>
    <row r="563" spans="1:6" ht="15" customHeight="1" x14ac:dyDescent="0.3">
      <c r="A563" s="169" t="s">
        <v>848</v>
      </c>
      <c r="B563" s="156" t="s">
        <v>1560</v>
      </c>
      <c r="C563" s="163" t="s">
        <v>1376</v>
      </c>
      <c r="D563" s="160">
        <v>266.5</v>
      </c>
      <c r="E563" s="165" t="s">
        <v>1058</v>
      </c>
      <c r="F563" s="166">
        <v>43070</v>
      </c>
    </row>
    <row r="564" spans="1:6" ht="15" customHeight="1" x14ac:dyDescent="0.3">
      <c r="A564" s="169" t="s">
        <v>849</v>
      </c>
      <c r="B564" s="156" t="s">
        <v>1561</v>
      </c>
      <c r="C564" s="163" t="s">
        <v>1376</v>
      </c>
      <c r="D564" s="160">
        <v>285.64999999999998</v>
      </c>
      <c r="E564" s="165" t="s">
        <v>1058</v>
      </c>
      <c r="F564" s="166">
        <v>43070</v>
      </c>
    </row>
    <row r="565" spans="1:6" ht="15" customHeight="1" x14ac:dyDescent="0.3">
      <c r="A565" s="169" t="s">
        <v>850</v>
      </c>
      <c r="B565" s="156" t="s">
        <v>1562</v>
      </c>
      <c r="C565" s="163" t="s">
        <v>1376</v>
      </c>
      <c r="D565" s="160">
        <v>226.05</v>
      </c>
      <c r="E565" s="165" t="s">
        <v>1058</v>
      </c>
      <c r="F565" s="166">
        <v>43070</v>
      </c>
    </row>
    <row r="566" spans="1:6" ht="15" customHeight="1" x14ac:dyDescent="0.3">
      <c r="A566" s="169" t="s">
        <v>851</v>
      </c>
      <c r="B566" s="156" t="s">
        <v>1569</v>
      </c>
      <c r="C566" s="163" t="s">
        <v>1376</v>
      </c>
      <c r="D566" s="160">
        <v>120.82</v>
      </c>
      <c r="E566" s="165" t="s">
        <v>1058</v>
      </c>
      <c r="F566" s="166">
        <v>43070</v>
      </c>
    </row>
    <row r="567" spans="1:6" ht="15" customHeight="1" x14ac:dyDescent="0.3">
      <c r="A567" s="169" t="s">
        <v>852</v>
      </c>
      <c r="B567" s="156" t="s">
        <v>1570</v>
      </c>
      <c r="C567" s="163" t="s">
        <v>1376</v>
      </c>
      <c r="D567" s="160">
        <v>72.400000000000006</v>
      </c>
      <c r="E567" s="165" t="s">
        <v>1058</v>
      </c>
      <c r="F567" s="166">
        <v>43070</v>
      </c>
    </row>
    <row r="568" spans="1:6" ht="15" customHeight="1" x14ac:dyDescent="0.3">
      <c r="A568" s="169" t="s">
        <v>853</v>
      </c>
      <c r="B568" s="156" t="s">
        <v>1563</v>
      </c>
      <c r="C568" s="163" t="s">
        <v>1376</v>
      </c>
      <c r="D568" s="160">
        <v>16.57</v>
      </c>
      <c r="E568" s="165" t="s">
        <v>1058</v>
      </c>
      <c r="F568" s="166">
        <v>43070</v>
      </c>
    </row>
    <row r="569" spans="1:6" ht="15" customHeight="1" x14ac:dyDescent="0.3">
      <c r="A569" s="169" t="s">
        <v>854</v>
      </c>
      <c r="B569" s="156" t="s">
        <v>1564</v>
      </c>
      <c r="C569" s="163" t="s">
        <v>1376</v>
      </c>
      <c r="D569" s="160">
        <v>75.59</v>
      </c>
      <c r="E569" s="165" t="s">
        <v>1818</v>
      </c>
      <c r="F569" s="166">
        <v>43070</v>
      </c>
    </row>
    <row r="570" spans="1:6" ht="15" customHeight="1" x14ac:dyDescent="0.3">
      <c r="A570" s="169" t="s">
        <v>855</v>
      </c>
      <c r="B570" s="156" t="s">
        <v>1056</v>
      </c>
      <c r="C570" s="163" t="s">
        <v>1376</v>
      </c>
      <c r="D570" s="160">
        <v>19.79</v>
      </c>
      <c r="E570" s="165" t="s">
        <v>1058</v>
      </c>
      <c r="F570" s="166">
        <v>43070</v>
      </c>
    </row>
    <row r="571" spans="1:6" ht="15" customHeight="1" x14ac:dyDescent="0.3">
      <c r="A571" s="169" t="s">
        <v>856</v>
      </c>
      <c r="B571" s="156" t="s">
        <v>1565</v>
      </c>
      <c r="C571" s="163" t="s">
        <v>1376</v>
      </c>
      <c r="D571" s="160">
        <v>16.2</v>
      </c>
      <c r="E571" s="165" t="s">
        <v>1058</v>
      </c>
      <c r="F571" s="166">
        <v>43070</v>
      </c>
    </row>
    <row r="572" spans="1:6" ht="15" customHeight="1" x14ac:dyDescent="0.3">
      <c r="A572" s="169" t="s">
        <v>857</v>
      </c>
      <c r="B572" s="156" t="s">
        <v>1566</v>
      </c>
      <c r="C572" s="163" t="s">
        <v>1376</v>
      </c>
      <c r="D572" s="160">
        <v>2343.92</v>
      </c>
      <c r="E572" s="165" t="s">
        <v>1567</v>
      </c>
      <c r="F572" s="166">
        <v>43070</v>
      </c>
    </row>
    <row r="573" spans="1:6" ht="15" customHeight="1" x14ac:dyDescent="0.3">
      <c r="A573" s="169" t="s">
        <v>858</v>
      </c>
      <c r="B573" s="156" t="s">
        <v>1568</v>
      </c>
      <c r="C573" s="163" t="s">
        <v>1376</v>
      </c>
      <c r="D573" s="160">
        <v>1270.3699999999999</v>
      </c>
      <c r="E573" s="165" t="s">
        <v>1567</v>
      </c>
      <c r="F573" s="166">
        <v>43070</v>
      </c>
    </row>
    <row r="574" spans="1:6" ht="15" customHeight="1" x14ac:dyDescent="0.3">
      <c r="A574" s="169" t="s">
        <v>859</v>
      </c>
      <c r="B574" s="156" t="s">
        <v>1571</v>
      </c>
      <c r="C574" s="163" t="s">
        <v>1376</v>
      </c>
      <c r="D574" s="160">
        <v>170.05</v>
      </c>
      <c r="E574" s="165" t="s">
        <v>1058</v>
      </c>
      <c r="F574" s="166">
        <v>43070</v>
      </c>
    </row>
    <row r="575" spans="1:6" ht="15" customHeight="1" x14ac:dyDescent="0.3">
      <c r="A575" s="169" t="s">
        <v>860</v>
      </c>
      <c r="B575" s="156" t="s">
        <v>1572</v>
      </c>
      <c r="C575" s="163" t="s">
        <v>1376</v>
      </c>
      <c r="D575" s="160">
        <v>77.63</v>
      </c>
      <c r="E575" s="165" t="s">
        <v>1058</v>
      </c>
      <c r="F575" s="166">
        <v>43070</v>
      </c>
    </row>
    <row r="576" spans="1:6" ht="15" customHeight="1" x14ac:dyDescent="0.3">
      <c r="A576" s="169" t="s">
        <v>861</v>
      </c>
      <c r="B576" s="156" t="s">
        <v>1573</v>
      </c>
      <c r="C576" s="163" t="s">
        <v>1376</v>
      </c>
      <c r="D576" s="160">
        <v>396.08</v>
      </c>
      <c r="E576" s="165" t="s">
        <v>1567</v>
      </c>
      <c r="F576" s="166">
        <v>43070</v>
      </c>
    </row>
    <row r="577" spans="1:6" ht="15" customHeight="1" x14ac:dyDescent="0.3">
      <c r="A577" s="169" t="s">
        <v>862</v>
      </c>
      <c r="B577" s="156" t="s">
        <v>1574</v>
      </c>
      <c r="C577" s="163" t="s">
        <v>1376</v>
      </c>
      <c r="D577" s="160">
        <v>236.38</v>
      </c>
      <c r="E577" s="165" t="s">
        <v>1058</v>
      </c>
      <c r="F577" s="166">
        <v>43070</v>
      </c>
    </row>
    <row r="578" spans="1:6" ht="15" customHeight="1" x14ac:dyDescent="0.3">
      <c r="A578" s="169" t="s">
        <v>863</v>
      </c>
      <c r="B578" s="156" t="s">
        <v>1575</v>
      </c>
      <c r="C578" s="163" t="s">
        <v>1376</v>
      </c>
      <c r="D578" s="160">
        <v>300.31</v>
      </c>
      <c r="E578" s="165" t="s">
        <v>1058</v>
      </c>
      <c r="F578" s="166">
        <v>43070</v>
      </c>
    </row>
    <row r="579" spans="1:6" ht="15" customHeight="1" x14ac:dyDescent="0.3">
      <c r="A579" s="169" t="s">
        <v>864</v>
      </c>
      <c r="B579" s="156" t="s">
        <v>1577</v>
      </c>
      <c r="C579" s="163" t="s">
        <v>1376</v>
      </c>
      <c r="D579" s="160">
        <v>476.08</v>
      </c>
      <c r="E579" s="165" t="s">
        <v>1058</v>
      </c>
      <c r="F579" s="166">
        <v>43070</v>
      </c>
    </row>
    <row r="580" spans="1:6" ht="15" customHeight="1" x14ac:dyDescent="0.3">
      <c r="A580" s="169" t="s">
        <v>865</v>
      </c>
      <c r="B580" s="156" t="s">
        <v>1576</v>
      </c>
      <c r="C580" s="163" t="s">
        <v>1376</v>
      </c>
      <c r="D580" s="160">
        <v>309.69</v>
      </c>
      <c r="E580" s="165" t="s">
        <v>1058</v>
      </c>
      <c r="F580" s="166">
        <v>43070</v>
      </c>
    </row>
    <row r="581" spans="1:6" ht="15" customHeight="1" x14ac:dyDescent="0.3">
      <c r="A581" s="169" t="s">
        <v>866</v>
      </c>
      <c r="B581" s="156" t="s">
        <v>1578</v>
      </c>
      <c r="C581" s="163" t="s">
        <v>1376</v>
      </c>
      <c r="D581" s="160">
        <v>219.73</v>
      </c>
      <c r="E581" s="165" t="s">
        <v>1058</v>
      </c>
      <c r="F581" s="166">
        <v>43070</v>
      </c>
    </row>
    <row r="582" spans="1:6" ht="15" customHeight="1" x14ac:dyDescent="0.3">
      <c r="A582" s="169" t="s">
        <v>867</v>
      </c>
      <c r="B582" s="156" t="s">
        <v>1579</v>
      </c>
      <c r="C582" s="163" t="s">
        <v>1376</v>
      </c>
      <c r="D582" s="160">
        <v>95.7</v>
      </c>
      <c r="E582" s="165" t="s">
        <v>1438</v>
      </c>
      <c r="F582" s="166">
        <v>43070</v>
      </c>
    </row>
    <row r="583" spans="1:6" ht="15" customHeight="1" x14ac:dyDescent="0.3">
      <c r="A583" s="169" t="s">
        <v>868</v>
      </c>
      <c r="B583" s="156" t="s">
        <v>1580</v>
      </c>
      <c r="C583" s="163" t="s">
        <v>1376</v>
      </c>
      <c r="D583" s="160">
        <v>449.67</v>
      </c>
      <c r="E583" s="165" t="s">
        <v>1058</v>
      </c>
      <c r="F583" s="166">
        <v>43070</v>
      </c>
    </row>
    <row r="584" spans="1:6" ht="15" customHeight="1" x14ac:dyDescent="0.3">
      <c r="A584" s="169" t="s">
        <v>869</v>
      </c>
      <c r="B584" s="156" t="s">
        <v>1581</v>
      </c>
      <c r="C584" s="163" t="s">
        <v>1376</v>
      </c>
      <c r="D584" s="160">
        <v>843.05</v>
      </c>
      <c r="E584" s="165" t="s">
        <v>1058</v>
      </c>
      <c r="F584" s="166">
        <v>43070</v>
      </c>
    </row>
    <row r="585" spans="1:6" ht="15" customHeight="1" x14ac:dyDescent="0.3">
      <c r="A585" s="169" t="s">
        <v>870</v>
      </c>
      <c r="B585" s="156" t="s">
        <v>1582</v>
      </c>
      <c r="C585" s="163" t="s">
        <v>1376</v>
      </c>
      <c r="D585" s="160">
        <v>924.44</v>
      </c>
      <c r="E585" s="165" t="s">
        <v>1058</v>
      </c>
      <c r="F585" s="166">
        <v>43070</v>
      </c>
    </row>
    <row r="586" spans="1:6" ht="15" customHeight="1" x14ac:dyDescent="0.3">
      <c r="A586" s="169" t="s">
        <v>871</v>
      </c>
      <c r="B586" s="156" t="s">
        <v>1583</v>
      </c>
      <c r="C586" s="163" t="s">
        <v>1376</v>
      </c>
      <c r="D586" s="160">
        <v>50.86</v>
      </c>
      <c r="E586" s="165" t="s">
        <v>1058</v>
      </c>
      <c r="F586" s="166">
        <v>43070</v>
      </c>
    </row>
    <row r="587" spans="1:6" ht="15" customHeight="1" x14ac:dyDescent="0.3">
      <c r="A587" s="169" t="s">
        <v>872</v>
      </c>
      <c r="B587" s="156" t="s">
        <v>1584</v>
      </c>
      <c r="C587" s="163" t="s">
        <v>1376</v>
      </c>
      <c r="D587" s="160">
        <v>36.18</v>
      </c>
      <c r="E587" s="165" t="s">
        <v>1818</v>
      </c>
      <c r="F587" s="166">
        <v>43070</v>
      </c>
    </row>
    <row r="588" spans="1:6" ht="15" customHeight="1" x14ac:dyDescent="0.3">
      <c r="A588" s="169" t="s">
        <v>873</v>
      </c>
      <c r="B588" s="156" t="s">
        <v>1585</v>
      </c>
      <c r="C588" s="163" t="s">
        <v>1376</v>
      </c>
      <c r="D588" s="160">
        <v>173.9</v>
      </c>
      <c r="E588" s="165" t="s">
        <v>1184</v>
      </c>
      <c r="F588" s="166">
        <v>43075</v>
      </c>
    </row>
    <row r="589" spans="1:6" ht="15" customHeight="1" x14ac:dyDescent="0.3">
      <c r="A589" s="169" t="s">
        <v>874</v>
      </c>
      <c r="B589" s="156" t="s">
        <v>1586</v>
      </c>
      <c r="C589" s="163" t="s">
        <v>1376</v>
      </c>
      <c r="D589" s="160">
        <v>5.98</v>
      </c>
      <c r="E589" s="165" t="s">
        <v>1587</v>
      </c>
      <c r="F589" s="166">
        <v>43075</v>
      </c>
    </row>
    <row r="590" spans="1:6" ht="15" customHeight="1" x14ac:dyDescent="0.3">
      <c r="A590" s="169" t="s">
        <v>1588</v>
      </c>
      <c r="B590" s="156" t="s">
        <v>1589</v>
      </c>
      <c r="C590" s="163" t="s">
        <v>1590</v>
      </c>
      <c r="D590" s="160">
        <v>143.9</v>
      </c>
      <c r="E590" s="165" t="s">
        <v>1024</v>
      </c>
      <c r="F590" s="166">
        <v>43075</v>
      </c>
    </row>
    <row r="591" spans="1:6" ht="15" customHeight="1" x14ac:dyDescent="0.3">
      <c r="A591" s="169" t="s">
        <v>1591</v>
      </c>
      <c r="B591" s="156" t="s">
        <v>2276</v>
      </c>
      <c r="C591" s="163" t="s">
        <v>72</v>
      </c>
      <c r="D591" s="160">
        <v>65</v>
      </c>
      <c r="E591" s="165" t="s">
        <v>2208</v>
      </c>
      <c r="F591" s="166">
        <v>43075</v>
      </c>
    </row>
    <row r="592" spans="1:6" ht="15" customHeight="1" x14ac:dyDescent="0.3">
      <c r="A592" s="169" t="s">
        <v>1600</v>
      </c>
      <c r="B592" s="156" t="s">
        <v>1601</v>
      </c>
      <c r="C592" s="163" t="s">
        <v>1376</v>
      </c>
      <c r="D592" s="160">
        <v>2700</v>
      </c>
      <c r="E592" s="165" t="s">
        <v>1602</v>
      </c>
      <c r="F592" s="166">
        <v>43075</v>
      </c>
    </row>
    <row r="593" spans="1:6" ht="15" customHeight="1" x14ac:dyDescent="0.3">
      <c r="A593" s="169" t="s">
        <v>1607</v>
      </c>
      <c r="B593" s="156" t="s">
        <v>1603</v>
      </c>
      <c r="C593" s="163" t="s">
        <v>29</v>
      </c>
      <c r="D593" s="160">
        <f>((((8680+500)*1.03)/1.03)*1.02)/1.02</f>
        <v>9180</v>
      </c>
      <c r="E593" s="165" t="s">
        <v>1611</v>
      </c>
      <c r="F593" s="166">
        <v>43076</v>
      </c>
    </row>
    <row r="594" spans="1:6" ht="15" customHeight="1" x14ac:dyDescent="0.3">
      <c r="A594" s="169" t="s">
        <v>1608</v>
      </c>
      <c r="B594" s="156" t="s">
        <v>1604</v>
      </c>
      <c r="C594" s="163" t="s">
        <v>29</v>
      </c>
      <c r="D594" s="160">
        <v>2300</v>
      </c>
      <c r="E594" s="165" t="s">
        <v>1611</v>
      </c>
      <c r="F594" s="166">
        <v>43076</v>
      </c>
    </row>
    <row r="595" spans="1:6" ht="15" customHeight="1" x14ac:dyDescent="0.3">
      <c r="A595" s="169" t="s">
        <v>1609</v>
      </c>
      <c r="B595" s="156" t="s">
        <v>1605</v>
      </c>
      <c r="C595" s="163" t="s">
        <v>29</v>
      </c>
      <c r="D595" s="160">
        <v>5370</v>
      </c>
      <c r="E595" s="165" t="s">
        <v>1611</v>
      </c>
      <c r="F595" s="166">
        <v>43076</v>
      </c>
    </row>
    <row r="596" spans="1:6" ht="15" customHeight="1" x14ac:dyDescent="0.3">
      <c r="A596" s="169" t="s">
        <v>1610</v>
      </c>
      <c r="B596" s="156" t="s">
        <v>1606</v>
      </c>
      <c r="C596" s="163" t="s">
        <v>29</v>
      </c>
      <c r="D596" s="160">
        <v>1300</v>
      </c>
      <c r="E596" s="165" t="s">
        <v>1611</v>
      </c>
      <c r="F596" s="166">
        <v>43076</v>
      </c>
    </row>
    <row r="597" spans="1:6" ht="15" customHeight="1" x14ac:dyDescent="0.3">
      <c r="A597" s="169" t="s">
        <v>1619</v>
      </c>
      <c r="B597" s="156" t="s">
        <v>1613</v>
      </c>
      <c r="C597" s="163" t="s">
        <v>29</v>
      </c>
      <c r="D597" s="160">
        <v>1660</v>
      </c>
      <c r="E597" s="165" t="s">
        <v>1441</v>
      </c>
      <c r="F597" s="166">
        <v>43076</v>
      </c>
    </row>
    <row r="598" spans="1:6" ht="15" customHeight="1" x14ac:dyDescent="0.3">
      <c r="A598" s="169" t="s">
        <v>1620</v>
      </c>
      <c r="B598" s="156" t="s">
        <v>1614</v>
      </c>
      <c r="C598" s="163" t="s">
        <v>29</v>
      </c>
      <c r="D598" s="160">
        <v>348</v>
      </c>
      <c r="E598" s="165" t="s">
        <v>1441</v>
      </c>
      <c r="F598" s="166">
        <v>43076</v>
      </c>
    </row>
    <row r="599" spans="1:6" ht="15" customHeight="1" x14ac:dyDescent="0.3">
      <c r="A599" s="169" t="s">
        <v>1621</v>
      </c>
      <c r="B599" s="156" t="s">
        <v>1615</v>
      </c>
      <c r="C599" s="163" t="s">
        <v>29</v>
      </c>
      <c r="D599" s="160">
        <v>393</v>
      </c>
      <c r="E599" s="165" t="s">
        <v>1441</v>
      </c>
      <c r="F599" s="166">
        <v>43076</v>
      </c>
    </row>
    <row r="600" spans="1:6" ht="15" customHeight="1" x14ac:dyDescent="0.3">
      <c r="A600" s="169" t="s">
        <v>1622</v>
      </c>
      <c r="B600" s="156" t="s">
        <v>1616</v>
      </c>
      <c r="C600" s="163" t="s">
        <v>29</v>
      </c>
      <c r="D600" s="160">
        <v>2410</v>
      </c>
      <c r="E600" s="165" t="s">
        <v>1441</v>
      </c>
      <c r="F600" s="166">
        <v>43076</v>
      </c>
    </row>
    <row r="601" spans="1:6" ht="15" customHeight="1" x14ac:dyDescent="0.3">
      <c r="A601" s="169" t="s">
        <v>1623</v>
      </c>
      <c r="B601" s="156" t="s">
        <v>1617</v>
      </c>
      <c r="C601" s="163" t="s">
        <v>29</v>
      </c>
      <c r="D601" s="160">
        <v>4009.0000000000005</v>
      </c>
      <c r="E601" s="165" t="s">
        <v>1441</v>
      </c>
      <c r="F601" s="166">
        <v>43076</v>
      </c>
    </row>
    <row r="602" spans="1:6" ht="15" customHeight="1" x14ac:dyDescent="0.3">
      <c r="A602" s="169" t="s">
        <v>1624</v>
      </c>
      <c r="B602" s="156" t="s">
        <v>1618</v>
      </c>
      <c r="C602" s="163" t="s">
        <v>29</v>
      </c>
      <c r="D602" s="160">
        <v>2840</v>
      </c>
      <c r="E602" s="165" t="s">
        <v>1441</v>
      </c>
      <c r="F602" s="166">
        <v>43076</v>
      </c>
    </row>
    <row r="603" spans="1:6" ht="15" customHeight="1" x14ac:dyDescent="0.3">
      <c r="A603" s="169" t="s">
        <v>1628</v>
      </c>
      <c r="B603" s="156" t="s">
        <v>1625</v>
      </c>
      <c r="C603" s="163" t="s">
        <v>29</v>
      </c>
      <c r="D603" s="160">
        <v>1518</v>
      </c>
      <c r="E603" s="165" t="s">
        <v>1441</v>
      </c>
      <c r="F603" s="166">
        <v>43076</v>
      </c>
    </row>
    <row r="604" spans="1:6" ht="15" customHeight="1" x14ac:dyDescent="0.3">
      <c r="A604" s="169" t="s">
        <v>1629</v>
      </c>
      <c r="B604" s="156" t="s">
        <v>1626</v>
      </c>
      <c r="C604" s="163" t="s">
        <v>29</v>
      </c>
      <c r="D604" s="160">
        <v>300</v>
      </c>
      <c r="E604" s="165" t="s">
        <v>1441</v>
      </c>
      <c r="F604" s="166">
        <v>43076</v>
      </c>
    </row>
    <row r="605" spans="1:6" ht="15" customHeight="1" x14ac:dyDescent="0.3">
      <c r="A605" s="169" t="s">
        <v>1630</v>
      </c>
      <c r="B605" s="156" t="s">
        <v>1627</v>
      </c>
      <c r="C605" s="163" t="s">
        <v>29</v>
      </c>
      <c r="D605" s="160">
        <v>600</v>
      </c>
      <c r="E605" s="165" t="s">
        <v>1441</v>
      </c>
      <c r="F605" s="166">
        <v>43076</v>
      </c>
    </row>
    <row r="606" spans="1:6" ht="15" customHeight="1" x14ac:dyDescent="0.3">
      <c r="A606" s="169" t="s">
        <v>1633</v>
      </c>
      <c r="B606" s="156" t="s">
        <v>1631</v>
      </c>
      <c r="C606" s="163" t="s">
        <v>29</v>
      </c>
      <c r="D606" s="160">
        <v>2050</v>
      </c>
      <c r="E606" s="165" t="s">
        <v>1441</v>
      </c>
      <c r="F606" s="166">
        <v>43076</v>
      </c>
    </row>
    <row r="607" spans="1:6" ht="15" customHeight="1" x14ac:dyDescent="0.3">
      <c r="A607" s="169" t="s">
        <v>1634</v>
      </c>
      <c r="B607" s="156" t="s">
        <v>1632</v>
      </c>
      <c r="C607" s="163" t="s">
        <v>29</v>
      </c>
      <c r="D607" s="160">
        <v>421</v>
      </c>
      <c r="E607" s="165" t="s">
        <v>1441</v>
      </c>
      <c r="F607" s="166">
        <v>43076</v>
      </c>
    </row>
    <row r="608" spans="1:6" ht="15" customHeight="1" x14ac:dyDescent="0.3">
      <c r="A608" s="169" t="s">
        <v>1635</v>
      </c>
      <c r="B608" s="156" t="s">
        <v>1615</v>
      </c>
      <c r="C608" s="163" t="s">
        <v>29</v>
      </c>
      <c r="D608" s="160">
        <v>393</v>
      </c>
      <c r="E608" s="165" t="s">
        <v>1441</v>
      </c>
      <c r="F608" s="166">
        <v>43076</v>
      </c>
    </row>
    <row r="609" spans="1:6" ht="15" customHeight="1" x14ac:dyDescent="0.3">
      <c r="A609" s="169" t="s">
        <v>1636</v>
      </c>
      <c r="B609" s="156" t="s">
        <v>1637</v>
      </c>
      <c r="C609" s="163" t="s">
        <v>29</v>
      </c>
      <c r="D609" s="160">
        <v>4758</v>
      </c>
      <c r="E609" s="165" t="s">
        <v>1441</v>
      </c>
      <c r="F609" s="166">
        <v>43076</v>
      </c>
    </row>
    <row r="610" spans="1:6" ht="15" customHeight="1" x14ac:dyDescent="0.3">
      <c r="A610" s="169" t="s">
        <v>1639</v>
      </c>
      <c r="B610" s="156" t="s">
        <v>1638</v>
      </c>
      <c r="C610" s="163" t="s">
        <v>29</v>
      </c>
      <c r="D610" s="160">
        <v>2340</v>
      </c>
      <c r="E610" s="165" t="s">
        <v>1441</v>
      </c>
      <c r="F610" s="166">
        <v>43076</v>
      </c>
    </row>
    <row r="611" spans="1:6" ht="15" customHeight="1" x14ac:dyDescent="0.3">
      <c r="A611" s="169" t="s">
        <v>1641</v>
      </c>
      <c r="B611" s="156" t="s">
        <v>1645</v>
      </c>
      <c r="C611" s="163" t="s">
        <v>29</v>
      </c>
      <c r="D611" s="160">
        <v>1171</v>
      </c>
      <c r="E611" s="165" t="s">
        <v>1441</v>
      </c>
      <c r="F611" s="166">
        <v>43076</v>
      </c>
    </row>
    <row r="612" spans="1:6" ht="15" customHeight="1" x14ac:dyDescent="0.3">
      <c r="A612" s="169" t="s">
        <v>1642</v>
      </c>
      <c r="B612" s="156" t="s">
        <v>1646</v>
      </c>
      <c r="C612" s="163" t="s">
        <v>29</v>
      </c>
      <c r="D612" s="160">
        <v>262</v>
      </c>
      <c r="E612" s="165" t="s">
        <v>1441</v>
      </c>
      <c r="F612" s="166">
        <v>43076</v>
      </c>
    </row>
    <row r="613" spans="1:6" ht="15" customHeight="1" x14ac:dyDescent="0.3">
      <c r="A613" s="169" t="s">
        <v>1643</v>
      </c>
      <c r="B613" s="156" t="s">
        <v>1644</v>
      </c>
      <c r="C613" s="163" t="s">
        <v>29</v>
      </c>
      <c r="D613" s="160">
        <v>1800</v>
      </c>
      <c r="E613" s="165" t="s">
        <v>1441</v>
      </c>
      <c r="F613" s="166">
        <v>43076</v>
      </c>
    </row>
    <row r="614" spans="1:6" ht="15" customHeight="1" x14ac:dyDescent="0.3">
      <c r="A614" s="169" t="s">
        <v>1648</v>
      </c>
      <c r="B614" s="156" t="s">
        <v>1647</v>
      </c>
      <c r="C614" s="163" t="s">
        <v>29</v>
      </c>
      <c r="D614" s="160">
        <v>400</v>
      </c>
      <c r="E614" s="165" t="s">
        <v>1649</v>
      </c>
      <c r="F614" s="166">
        <v>43076</v>
      </c>
    </row>
    <row r="615" spans="1:6" ht="24.75" customHeight="1" x14ac:dyDescent="0.3">
      <c r="A615" s="169" t="s">
        <v>1665</v>
      </c>
      <c r="B615" s="190" t="s">
        <v>1653</v>
      </c>
      <c r="C615" s="163" t="s">
        <v>29</v>
      </c>
      <c r="D615" s="160">
        <v>70308</v>
      </c>
      <c r="E615" s="165" t="s">
        <v>1602</v>
      </c>
      <c r="F615" s="166">
        <v>43076</v>
      </c>
    </row>
    <row r="616" spans="1:6" ht="15" customHeight="1" x14ac:dyDescent="0.3">
      <c r="A616" s="169" t="s">
        <v>1666</v>
      </c>
      <c r="B616" s="156" t="s">
        <v>1662</v>
      </c>
      <c r="C616" s="163" t="s">
        <v>29</v>
      </c>
      <c r="D616" s="160">
        <v>11718</v>
      </c>
      <c r="E616" s="165" t="s">
        <v>1602</v>
      </c>
      <c r="F616" s="166">
        <v>43076</v>
      </c>
    </row>
    <row r="617" spans="1:6" ht="15" customHeight="1" x14ac:dyDescent="0.3">
      <c r="A617" s="169" t="s">
        <v>1667</v>
      </c>
      <c r="B617" s="156" t="s">
        <v>1654</v>
      </c>
      <c r="C617" s="163" t="s">
        <v>29</v>
      </c>
      <c r="D617" s="160">
        <v>35154</v>
      </c>
      <c r="E617" s="165" t="s">
        <v>1602</v>
      </c>
      <c r="F617" s="166">
        <v>43076</v>
      </c>
    </row>
    <row r="618" spans="1:6" ht="15" customHeight="1" x14ac:dyDescent="0.3">
      <c r="A618" s="169" t="s">
        <v>1668</v>
      </c>
      <c r="B618" s="156" t="s">
        <v>1655</v>
      </c>
      <c r="C618" s="163" t="s">
        <v>29</v>
      </c>
      <c r="D618" s="160">
        <v>5022</v>
      </c>
      <c r="E618" s="165" t="s">
        <v>1602</v>
      </c>
      <c r="F618" s="166">
        <v>43076</v>
      </c>
    </row>
    <row r="619" spans="1:6" ht="31.5" customHeight="1" x14ac:dyDescent="0.3">
      <c r="A619" s="169" t="s">
        <v>1669</v>
      </c>
      <c r="B619" s="190" t="s">
        <v>1656</v>
      </c>
      <c r="C619" s="163" t="s">
        <v>29</v>
      </c>
      <c r="D619" s="160">
        <v>45198</v>
      </c>
      <c r="E619" s="165" t="s">
        <v>1602</v>
      </c>
      <c r="F619" s="166">
        <v>43076</v>
      </c>
    </row>
    <row r="620" spans="1:6" ht="24.75" customHeight="1" x14ac:dyDescent="0.3">
      <c r="A620" s="169" t="s">
        <v>1670</v>
      </c>
      <c r="B620" s="190" t="s">
        <v>1657</v>
      </c>
      <c r="C620" s="163" t="s">
        <v>29</v>
      </c>
      <c r="D620" s="160">
        <v>4000</v>
      </c>
      <c r="E620" s="165" t="s">
        <v>1602</v>
      </c>
      <c r="F620" s="166">
        <v>43076</v>
      </c>
    </row>
    <row r="621" spans="1:6" ht="15" customHeight="1" x14ac:dyDescent="0.3">
      <c r="A621" s="169" t="s">
        <v>1671</v>
      </c>
      <c r="B621" s="156" t="s">
        <v>1663</v>
      </c>
      <c r="C621" s="163" t="s">
        <v>29</v>
      </c>
      <c r="D621" s="160">
        <v>24552</v>
      </c>
      <c r="E621" s="165" t="s">
        <v>1602</v>
      </c>
      <c r="F621" s="166">
        <v>43076</v>
      </c>
    </row>
    <row r="622" spans="1:6" ht="24.75" customHeight="1" x14ac:dyDescent="0.3">
      <c r="A622" s="169" t="s">
        <v>1672</v>
      </c>
      <c r="B622" s="190" t="s">
        <v>1658</v>
      </c>
      <c r="C622" s="163" t="s">
        <v>29</v>
      </c>
      <c r="D622" s="160">
        <v>85932</v>
      </c>
      <c r="E622" s="165" t="s">
        <v>1602</v>
      </c>
      <c r="F622" s="166">
        <v>43076</v>
      </c>
    </row>
    <row r="623" spans="1:6" ht="15" customHeight="1" x14ac:dyDescent="0.3">
      <c r="A623" s="169" t="s">
        <v>1673</v>
      </c>
      <c r="B623" s="156" t="s">
        <v>1664</v>
      </c>
      <c r="C623" s="163" t="s">
        <v>29</v>
      </c>
      <c r="D623" s="160">
        <v>21483</v>
      </c>
      <c r="E623" s="165" t="s">
        <v>1602</v>
      </c>
      <c r="F623" s="166">
        <v>43076</v>
      </c>
    </row>
    <row r="624" spans="1:6" ht="15" customHeight="1" x14ac:dyDescent="0.3">
      <c r="A624" s="169" t="s">
        <v>1674</v>
      </c>
      <c r="B624" s="156" t="s">
        <v>1659</v>
      </c>
      <c r="C624" s="163" t="s">
        <v>29</v>
      </c>
      <c r="D624" s="160">
        <v>35805</v>
      </c>
      <c r="E624" s="165" t="s">
        <v>1602</v>
      </c>
      <c r="F624" s="166">
        <v>43076</v>
      </c>
    </row>
    <row r="625" spans="1:6" ht="15" customHeight="1" x14ac:dyDescent="0.3">
      <c r="A625" s="169" t="s">
        <v>1675</v>
      </c>
      <c r="B625" s="156" t="s">
        <v>1660</v>
      </c>
      <c r="C625" s="163" t="s">
        <v>29</v>
      </c>
      <c r="D625" s="160">
        <v>24552</v>
      </c>
      <c r="E625" s="165" t="s">
        <v>1602</v>
      </c>
      <c r="F625" s="166">
        <v>43076</v>
      </c>
    </row>
    <row r="626" spans="1:6" ht="29.25" customHeight="1" x14ac:dyDescent="0.3">
      <c r="A626" s="169" t="s">
        <v>1676</v>
      </c>
      <c r="B626" s="190" t="s">
        <v>1678</v>
      </c>
      <c r="C626" s="163" t="s">
        <v>29</v>
      </c>
      <c r="D626" s="160">
        <v>12276</v>
      </c>
      <c r="E626" s="165" t="s">
        <v>1602</v>
      </c>
      <c r="F626" s="166">
        <v>43076</v>
      </c>
    </row>
    <row r="627" spans="1:6" ht="24.75" customHeight="1" x14ac:dyDescent="0.3">
      <c r="A627" s="169" t="s">
        <v>1677</v>
      </c>
      <c r="B627" s="190" t="s">
        <v>1661</v>
      </c>
      <c r="C627" s="163" t="s">
        <v>29</v>
      </c>
      <c r="D627" s="160">
        <v>1500</v>
      </c>
      <c r="E627" s="165" t="s">
        <v>1602</v>
      </c>
      <c r="F627" s="166">
        <v>43076</v>
      </c>
    </row>
    <row r="628" spans="1:6" ht="15" customHeight="1" x14ac:dyDescent="0.3">
      <c r="A628" s="169" t="s">
        <v>1692</v>
      </c>
      <c r="B628" s="190" t="s">
        <v>1681</v>
      </c>
      <c r="C628" s="163" t="s">
        <v>29</v>
      </c>
      <c r="D628" s="160">
        <v>10462.5</v>
      </c>
      <c r="E628" s="165" t="s">
        <v>1602</v>
      </c>
      <c r="F628" s="166">
        <v>43076</v>
      </c>
    </row>
    <row r="629" spans="1:6" ht="15" customHeight="1" x14ac:dyDescent="0.3">
      <c r="A629" s="169" t="s">
        <v>1693</v>
      </c>
      <c r="B629" s="190" t="s">
        <v>1687</v>
      </c>
      <c r="C629" s="163" t="s">
        <v>29</v>
      </c>
      <c r="D629" s="160">
        <v>8370</v>
      </c>
      <c r="E629" s="165" t="s">
        <v>1602</v>
      </c>
      <c r="F629" s="166">
        <v>43076</v>
      </c>
    </row>
    <row r="630" spans="1:6" ht="15" customHeight="1" x14ac:dyDescent="0.3">
      <c r="A630" s="169" t="s">
        <v>1694</v>
      </c>
      <c r="B630" s="190" t="s">
        <v>1682</v>
      </c>
      <c r="C630" s="163" t="s">
        <v>29</v>
      </c>
      <c r="D630" s="160">
        <v>4185</v>
      </c>
      <c r="E630" s="165" t="s">
        <v>1602</v>
      </c>
      <c r="F630" s="166">
        <v>43076</v>
      </c>
    </row>
    <row r="631" spans="1:6" ht="15" customHeight="1" x14ac:dyDescent="0.3">
      <c r="A631" s="169" t="s">
        <v>1695</v>
      </c>
      <c r="B631" s="190" t="s">
        <v>1683</v>
      </c>
      <c r="C631" s="163" t="s">
        <v>29</v>
      </c>
      <c r="D631" s="160">
        <v>16740</v>
      </c>
      <c r="E631" s="165" t="s">
        <v>1602</v>
      </c>
      <c r="F631" s="166">
        <v>43076</v>
      </c>
    </row>
    <row r="632" spans="1:6" ht="15" customHeight="1" x14ac:dyDescent="0.3">
      <c r="A632" s="169" t="s">
        <v>1696</v>
      </c>
      <c r="B632" s="190" t="s">
        <v>1684</v>
      </c>
      <c r="C632" s="163" t="s">
        <v>29</v>
      </c>
      <c r="D632" s="160">
        <v>2092.5</v>
      </c>
      <c r="E632" s="165" t="s">
        <v>1602</v>
      </c>
      <c r="F632" s="166">
        <v>43076</v>
      </c>
    </row>
    <row r="633" spans="1:6" ht="15" customHeight="1" x14ac:dyDescent="0.3">
      <c r="A633" s="169" t="s">
        <v>1697</v>
      </c>
      <c r="B633" s="190" t="s">
        <v>1685</v>
      </c>
      <c r="C633" s="163" t="s">
        <v>29</v>
      </c>
      <c r="D633" s="160">
        <v>17902.5</v>
      </c>
      <c r="E633" s="165" t="s">
        <v>1602</v>
      </c>
      <c r="F633" s="166">
        <v>43076</v>
      </c>
    </row>
    <row r="634" spans="1:6" ht="15" customHeight="1" x14ac:dyDescent="0.3">
      <c r="A634" s="169" t="s">
        <v>1698</v>
      </c>
      <c r="B634" s="190" t="s">
        <v>1686</v>
      </c>
      <c r="C634" s="163" t="s">
        <v>29</v>
      </c>
      <c r="D634" s="160">
        <v>10230</v>
      </c>
      <c r="E634" s="165" t="s">
        <v>1602</v>
      </c>
      <c r="F634" s="166">
        <v>43076</v>
      </c>
    </row>
    <row r="635" spans="1:6" ht="15" customHeight="1" x14ac:dyDescent="0.3">
      <c r="A635" s="169" t="s">
        <v>1699</v>
      </c>
      <c r="B635" s="190" t="s">
        <v>1688</v>
      </c>
      <c r="C635" s="163" t="s">
        <v>29</v>
      </c>
      <c r="D635" s="160">
        <v>2557.5</v>
      </c>
      <c r="E635" s="165" t="s">
        <v>1602</v>
      </c>
      <c r="F635" s="166">
        <v>43076</v>
      </c>
    </row>
    <row r="636" spans="1:6" ht="15" customHeight="1" x14ac:dyDescent="0.3">
      <c r="A636" s="169" t="s">
        <v>1700</v>
      </c>
      <c r="B636" s="190" t="s">
        <v>1689</v>
      </c>
      <c r="C636" s="163" t="s">
        <v>29</v>
      </c>
      <c r="D636" s="160">
        <v>2557.5</v>
      </c>
      <c r="E636" s="165" t="s">
        <v>1602</v>
      </c>
      <c r="F636" s="166">
        <v>43076</v>
      </c>
    </row>
    <row r="637" spans="1:6" ht="15" customHeight="1" x14ac:dyDescent="0.3">
      <c r="A637" s="169" t="s">
        <v>1701</v>
      </c>
      <c r="B637" s="190" t="s">
        <v>1690</v>
      </c>
      <c r="C637" s="163" t="s">
        <v>29</v>
      </c>
      <c r="D637" s="160">
        <v>15345</v>
      </c>
      <c r="E637" s="165" t="s">
        <v>1602</v>
      </c>
      <c r="F637" s="166">
        <v>43076</v>
      </c>
    </row>
    <row r="638" spans="1:6" ht="15" customHeight="1" x14ac:dyDescent="0.3">
      <c r="A638" s="169" t="s">
        <v>1702</v>
      </c>
      <c r="B638" s="190" t="s">
        <v>1691</v>
      </c>
      <c r="C638" s="163" t="s">
        <v>29</v>
      </c>
      <c r="D638" s="160">
        <v>2557.5</v>
      </c>
      <c r="E638" s="165" t="s">
        <v>1602</v>
      </c>
      <c r="F638" s="166">
        <v>43076</v>
      </c>
    </row>
    <row r="639" spans="1:6" ht="15" customHeight="1" x14ac:dyDescent="0.3">
      <c r="A639" s="169" t="s">
        <v>1703</v>
      </c>
      <c r="B639" s="190" t="s">
        <v>5673</v>
      </c>
      <c r="C639" s="163" t="s">
        <v>73</v>
      </c>
      <c r="D639" s="160">
        <v>35</v>
      </c>
      <c r="E639" s="165" t="s">
        <v>3578</v>
      </c>
      <c r="F639" s="166">
        <v>44427</v>
      </c>
    </row>
    <row r="640" spans="1:6" ht="15" customHeight="1" x14ac:dyDescent="0.3">
      <c r="A640" s="169" t="s">
        <v>1704</v>
      </c>
      <c r="B640" s="190" t="s">
        <v>1705</v>
      </c>
      <c r="C640" s="163" t="s">
        <v>29</v>
      </c>
      <c r="D640" s="160">
        <v>485</v>
      </c>
      <c r="E640" s="165" t="s">
        <v>1441</v>
      </c>
    </row>
    <row r="641" spans="1:6" ht="15" customHeight="1" x14ac:dyDescent="0.3">
      <c r="A641" s="169" t="s">
        <v>1709</v>
      </c>
      <c r="B641" s="190" t="s">
        <v>1706</v>
      </c>
      <c r="C641" s="163" t="s">
        <v>29</v>
      </c>
      <c r="D641" s="160">
        <v>400</v>
      </c>
      <c r="E641" s="165" t="s">
        <v>1441</v>
      </c>
    </row>
    <row r="642" spans="1:6" ht="15" customHeight="1" x14ac:dyDescent="0.3">
      <c r="A642" s="169" t="s">
        <v>1710</v>
      </c>
      <c r="B642" s="190" t="s">
        <v>1707</v>
      </c>
      <c r="C642" s="163" t="s">
        <v>29</v>
      </c>
      <c r="D642" s="160">
        <v>875</v>
      </c>
      <c r="E642" s="165" t="s">
        <v>1441</v>
      </c>
    </row>
    <row r="643" spans="1:6" ht="15" customHeight="1" x14ac:dyDescent="0.3">
      <c r="A643" s="169" t="s">
        <v>1711</v>
      </c>
      <c r="B643" s="190" t="s">
        <v>1708</v>
      </c>
      <c r="C643" s="163" t="s">
        <v>29</v>
      </c>
      <c r="D643" s="160">
        <v>400</v>
      </c>
      <c r="E643" s="165" t="s">
        <v>1441</v>
      </c>
    </row>
    <row r="644" spans="1:6" ht="15" customHeight="1" x14ac:dyDescent="0.3">
      <c r="A644" s="169" t="s">
        <v>1713</v>
      </c>
      <c r="B644" s="190" t="s">
        <v>1712</v>
      </c>
      <c r="C644" s="163" t="s">
        <v>29</v>
      </c>
      <c r="D644" s="160">
        <v>0</v>
      </c>
      <c r="E644" s="165" t="s">
        <v>1441</v>
      </c>
    </row>
    <row r="645" spans="1:6" ht="15" customHeight="1" x14ac:dyDescent="0.3">
      <c r="A645" s="169" t="s">
        <v>1714</v>
      </c>
      <c r="B645" s="190" t="s">
        <v>1718</v>
      </c>
      <c r="C645" s="163" t="s">
        <v>1376</v>
      </c>
      <c r="D645" s="160">
        <v>55</v>
      </c>
      <c r="E645" s="165" t="s">
        <v>1438</v>
      </c>
      <c r="F645" s="166">
        <v>43077</v>
      </c>
    </row>
    <row r="646" spans="1:6" ht="15" customHeight="1" x14ac:dyDescent="0.3">
      <c r="A646" s="169" t="s">
        <v>1715</v>
      </c>
      <c r="B646" s="190" t="s">
        <v>1719</v>
      </c>
      <c r="C646" s="163" t="s">
        <v>1376</v>
      </c>
      <c r="D646" s="160">
        <v>179.99</v>
      </c>
      <c r="E646" s="165" t="s">
        <v>963</v>
      </c>
      <c r="F646" s="166">
        <v>43077</v>
      </c>
    </row>
    <row r="647" spans="1:6" ht="15" customHeight="1" x14ac:dyDescent="0.3">
      <c r="A647" s="169" t="s">
        <v>1716</v>
      </c>
      <c r="B647" s="190" t="s">
        <v>1720</v>
      </c>
      <c r="C647" s="163" t="s">
        <v>1376</v>
      </c>
      <c r="D647" s="160">
        <v>273.89999999999998</v>
      </c>
      <c r="E647" s="165" t="s">
        <v>963</v>
      </c>
      <c r="F647" s="166">
        <v>43077</v>
      </c>
    </row>
    <row r="648" spans="1:6" ht="15" customHeight="1" x14ac:dyDescent="0.3">
      <c r="A648" s="169" t="s">
        <v>1717</v>
      </c>
      <c r="B648" s="190" t="s">
        <v>1721</v>
      </c>
      <c r="C648" s="163" t="s">
        <v>1376</v>
      </c>
      <c r="D648" s="160">
        <v>98.9</v>
      </c>
      <c r="E648" s="165" t="s">
        <v>963</v>
      </c>
      <c r="F648" s="166">
        <v>43077</v>
      </c>
    </row>
    <row r="649" spans="1:6" ht="15" customHeight="1" x14ac:dyDescent="0.3">
      <c r="A649" s="169" t="s">
        <v>1722</v>
      </c>
      <c r="B649" s="190" t="s">
        <v>1723</v>
      </c>
      <c r="C649" s="163" t="s">
        <v>1376</v>
      </c>
      <c r="D649" s="160">
        <v>66.06</v>
      </c>
      <c r="E649" s="165" t="s">
        <v>1818</v>
      </c>
      <c r="F649" s="166">
        <v>43077</v>
      </c>
    </row>
    <row r="650" spans="1:6" ht="15" customHeight="1" x14ac:dyDescent="0.3">
      <c r="A650" s="169" t="s">
        <v>1724</v>
      </c>
      <c r="B650" s="190" t="s">
        <v>8635</v>
      </c>
      <c r="C650" s="163" t="s">
        <v>73</v>
      </c>
      <c r="D650" s="160">
        <v>132</v>
      </c>
      <c r="E650" s="165" t="s">
        <v>8636</v>
      </c>
      <c r="F650" s="166">
        <v>43080</v>
      </c>
    </row>
    <row r="651" spans="1:6" ht="15" customHeight="1" x14ac:dyDescent="0.3">
      <c r="A651" s="169" t="s">
        <v>1725</v>
      </c>
      <c r="B651" s="190" t="s">
        <v>8637</v>
      </c>
      <c r="C651" s="163" t="s">
        <v>73</v>
      </c>
      <c r="D651" s="160">
        <v>223</v>
      </c>
      <c r="E651" s="165" t="s">
        <v>8636</v>
      </c>
      <c r="F651" s="166">
        <v>43080</v>
      </c>
    </row>
    <row r="652" spans="1:6" ht="15" customHeight="1" x14ac:dyDescent="0.3">
      <c r="A652" s="169" t="s">
        <v>1727</v>
      </c>
      <c r="B652" s="190" t="s">
        <v>8638</v>
      </c>
      <c r="C652" s="163" t="s">
        <v>73</v>
      </c>
      <c r="D652" s="160">
        <v>158</v>
      </c>
      <c r="E652" s="165" t="s">
        <v>8636</v>
      </c>
      <c r="F652" s="166">
        <v>44308</v>
      </c>
    </row>
    <row r="653" spans="1:6" ht="15" customHeight="1" x14ac:dyDescent="0.3">
      <c r="A653" s="169" t="s">
        <v>1728</v>
      </c>
      <c r="B653" s="190" t="s">
        <v>8639</v>
      </c>
      <c r="C653" s="163" t="s">
        <v>73</v>
      </c>
      <c r="D653" s="160">
        <v>148</v>
      </c>
      <c r="E653" s="165" t="s">
        <v>8636</v>
      </c>
      <c r="F653" s="166">
        <v>44785</v>
      </c>
    </row>
    <row r="654" spans="1:6" ht="15" customHeight="1" x14ac:dyDescent="0.3">
      <c r="A654" s="169" t="s">
        <v>1729</v>
      </c>
      <c r="B654" s="190" t="s">
        <v>8640</v>
      </c>
      <c r="C654" s="163" t="s">
        <v>73</v>
      </c>
      <c r="D654" s="160">
        <v>242</v>
      </c>
      <c r="E654" s="165" t="s">
        <v>8636</v>
      </c>
      <c r="F654" s="166">
        <v>44785</v>
      </c>
    </row>
    <row r="655" spans="1:6" ht="15" customHeight="1" x14ac:dyDescent="0.3">
      <c r="A655" s="169" t="s">
        <v>1730</v>
      </c>
      <c r="B655" s="190" t="s">
        <v>8641</v>
      </c>
      <c r="C655" s="163" t="s">
        <v>73</v>
      </c>
      <c r="D655" s="160">
        <v>115</v>
      </c>
      <c r="E655" s="165" t="s">
        <v>8636</v>
      </c>
      <c r="F655" s="166">
        <v>43082</v>
      </c>
    </row>
    <row r="656" spans="1:6" ht="15" customHeight="1" x14ac:dyDescent="0.3">
      <c r="A656" s="169" t="s">
        <v>1731</v>
      </c>
      <c r="B656" s="190" t="s">
        <v>8642</v>
      </c>
      <c r="C656" s="163" t="s">
        <v>73</v>
      </c>
      <c r="D656" s="160">
        <v>108</v>
      </c>
      <c r="E656" s="165" t="s">
        <v>8636</v>
      </c>
      <c r="F656" s="166">
        <v>43082</v>
      </c>
    </row>
    <row r="657" spans="1:6" ht="15" customHeight="1" x14ac:dyDescent="0.3">
      <c r="A657" s="169" t="s">
        <v>1734</v>
      </c>
      <c r="B657" s="190" t="s">
        <v>8643</v>
      </c>
      <c r="C657" s="163" t="s">
        <v>73</v>
      </c>
      <c r="D657" s="160">
        <v>189</v>
      </c>
      <c r="E657" s="165" t="s">
        <v>8636</v>
      </c>
      <c r="F657" s="166">
        <v>43082</v>
      </c>
    </row>
    <row r="658" spans="1:6" ht="15" customHeight="1" x14ac:dyDescent="0.3">
      <c r="A658" s="169" t="s">
        <v>1735</v>
      </c>
      <c r="B658" s="190" t="s">
        <v>1733</v>
      </c>
      <c r="C658" s="163" t="s">
        <v>29</v>
      </c>
      <c r="D658" s="160">
        <f>((((0.5*3000)*1.03)/1.03)*1.02)/1.02</f>
        <v>1500</v>
      </c>
      <c r="E658" s="165" t="s">
        <v>1732</v>
      </c>
      <c r="F658" s="166">
        <v>43082</v>
      </c>
    </row>
    <row r="659" spans="1:6" ht="24.75" customHeight="1" x14ac:dyDescent="0.3">
      <c r="A659" s="169" t="s">
        <v>1736</v>
      </c>
      <c r="B659" s="190" t="s">
        <v>1653</v>
      </c>
      <c r="C659" s="163" t="s">
        <v>29</v>
      </c>
      <c r="D659" s="160">
        <f>((((0.3*7000)*1.03)/1.03)*1.02)/1.02</f>
        <v>2100</v>
      </c>
      <c r="E659" s="165" t="s">
        <v>1732</v>
      </c>
      <c r="F659" s="166">
        <v>43082</v>
      </c>
    </row>
    <row r="660" spans="1:6" ht="15" customHeight="1" x14ac:dyDescent="0.3">
      <c r="A660" s="169" t="s">
        <v>1737</v>
      </c>
      <c r="B660" s="190" t="s">
        <v>1745</v>
      </c>
      <c r="C660" s="163" t="s">
        <v>29</v>
      </c>
      <c r="D660" s="160">
        <f>((((0.2*7000)*1.03)/1.03)*1.02)/1.02</f>
        <v>1400</v>
      </c>
      <c r="E660" s="165" t="s">
        <v>1732</v>
      </c>
      <c r="F660" s="166">
        <v>43082</v>
      </c>
    </row>
    <row r="661" spans="1:6" ht="15" customHeight="1" x14ac:dyDescent="0.3">
      <c r="A661" s="169" t="s">
        <v>1738</v>
      </c>
      <c r="B661" s="190" t="s">
        <v>2928</v>
      </c>
      <c r="C661" s="163" t="s">
        <v>29</v>
      </c>
      <c r="D661" s="160">
        <v>3500</v>
      </c>
      <c r="E661" s="165" t="s">
        <v>405</v>
      </c>
      <c r="F661" s="166">
        <v>43697</v>
      </c>
    </row>
    <row r="662" spans="1:6" ht="15" customHeight="1" x14ac:dyDescent="0.3">
      <c r="A662" s="169" t="s">
        <v>1739</v>
      </c>
      <c r="B662" s="190" t="s">
        <v>1663</v>
      </c>
      <c r="C662" s="163" t="s">
        <v>29</v>
      </c>
      <c r="D662" s="160">
        <f>((((0.1*7000)*1.03)/1.03)*1.02)/1.02</f>
        <v>700</v>
      </c>
      <c r="E662" s="165" t="s">
        <v>1732</v>
      </c>
      <c r="F662" s="166">
        <v>43082</v>
      </c>
    </row>
    <row r="663" spans="1:6" ht="24.75" customHeight="1" x14ac:dyDescent="0.3">
      <c r="A663" s="169" t="s">
        <v>1740</v>
      </c>
      <c r="B663" s="190" t="s">
        <v>1658</v>
      </c>
      <c r="C663" s="163" t="s">
        <v>29</v>
      </c>
      <c r="D663" s="160">
        <f>((((0.2*7000)*1.03)/1.03)*1.02)/1.02</f>
        <v>1400</v>
      </c>
      <c r="E663" s="165" t="s">
        <v>1732</v>
      </c>
      <c r="F663" s="166">
        <v>43082</v>
      </c>
    </row>
    <row r="664" spans="1:6" ht="15" customHeight="1" x14ac:dyDescent="0.3">
      <c r="A664" s="169" t="s">
        <v>1741</v>
      </c>
      <c r="B664" s="190" t="s">
        <v>1743</v>
      </c>
      <c r="C664" s="163" t="s">
        <v>29</v>
      </c>
      <c r="D664" s="160">
        <f>((((0.15*7000)*1.03)/1.03)*1.02)/1.02</f>
        <v>1050</v>
      </c>
      <c r="E664" s="165" t="s">
        <v>1732</v>
      </c>
      <c r="F664" s="166">
        <v>43082</v>
      </c>
    </row>
    <row r="665" spans="1:6" ht="24.75" customHeight="1" x14ac:dyDescent="0.3">
      <c r="A665" s="169" t="s">
        <v>1742</v>
      </c>
      <c r="B665" s="190" t="s">
        <v>1744</v>
      </c>
      <c r="C665" s="163" t="s">
        <v>29</v>
      </c>
      <c r="D665" s="160">
        <f>((((0.05*7000)*1.03)/1.03)*1.02)/1.02</f>
        <v>350</v>
      </c>
      <c r="E665" s="165" t="s">
        <v>1732</v>
      </c>
      <c r="F665" s="166">
        <v>43082</v>
      </c>
    </row>
    <row r="666" spans="1:6" ht="15" customHeight="1" x14ac:dyDescent="0.3">
      <c r="A666" s="169" t="s">
        <v>1750</v>
      </c>
      <c r="B666" s="190" t="s">
        <v>1746</v>
      </c>
      <c r="C666" s="163" t="s">
        <v>73</v>
      </c>
      <c r="D666" s="160">
        <v>395</v>
      </c>
      <c r="E666" s="165" t="s">
        <v>1772</v>
      </c>
      <c r="F666" s="166">
        <v>43087</v>
      </c>
    </row>
    <row r="667" spans="1:6" ht="15" customHeight="1" x14ac:dyDescent="0.3">
      <c r="A667" s="169" t="s">
        <v>1751</v>
      </c>
      <c r="B667" s="190" t="s">
        <v>1747</v>
      </c>
      <c r="C667" s="163" t="s">
        <v>29</v>
      </c>
      <c r="D667" s="160">
        <v>15612</v>
      </c>
      <c r="E667" s="165" t="s">
        <v>1441</v>
      </c>
      <c r="F667" s="166">
        <v>43098</v>
      </c>
    </row>
    <row r="668" spans="1:6" ht="15" customHeight="1" x14ac:dyDescent="0.3">
      <c r="A668" s="169" t="s">
        <v>1752</v>
      </c>
      <c r="B668" s="190" t="s">
        <v>1748</v>
      </c>
      <c r="C668" s="163" t="s">
        <v>29</v>
      </c>
      <c r="D668" s="160">
        <v>3120</v>
      </c>
      <c r="E668" s="165" t="s">
        <v>1441</v>
      </c>
      <c r="F668" s="166">
        <v>43098</v>
      </c>
    </row>
    <row r="669" spans="1:6" ht="15" customHeight="1" x14ac:dyDescent="0.3">
      <c r="A669" s="169" t="s">
        <v>1753</v>
      </c>
      <c r="B669" s="190" t="s">
        <v>1749</v>
      </c>
      <c r="C669" s="163" t="s">
        <v>73</v>
      </c>
      <c r="D669" s="160">
        <v>72</v>
      </c>
      <c r="E669" s="165" t="s">
        <v>1772</v>
      </c>
      <c r="F669" s="166">
        <v>43087</v>
      </c>
    </row>
    <row r="670" spans="1:6" ht="15" customHeight="1" x14ac:dyDescent="0.3">
      <c r="A670" s="169" t="s">
        <v>1754</v>
      </c>
      <c r="B670" s="190" t="s">
        <v>1757</v>
      </c>
      <c r="C670" s="163" t="s">
        <v>73</v>
      </c>
      <c r="D670" s="160">
        <v>150.47999999999999</v>
      </c>
      <c r="E670" s="165" t="s">
        <v>1459</v>
      </c>
      <c r="F670" s="166">
        <v>43102</v>
      </c>
    </row>
    <row r="671" spans="1:6" ht="15" customHeight="1" x14ac:dyDescent="0.3">
      <c r="A671" s="169" t="s">
        <v>1755</v>
      </c>
      <c r="B671" s="190" t="s">
        <v>1758</v>
      </c>
      <c r="C671" s="163" t="s">
        <v>73</v>
      </c>
      <c r="D671" s="160">
        <v>12</v>
      </c>
      <c r="E671" s="165" t="s">
        <v>1463</v>
      </c>
      <c r="F671" s="166">
        <v>43103</v>
      </c>
    </row>
    <row r="672" spans="1:6" ht="15" customHeight="1" x14ac:dyDescent="0.3">
      <c r="A672" s="169" t="s">
        <v>1765</v>
      </c>
      <c r="B672" s="190" t="s">
        <v>1759</v>
      </c>
      <c r="C672" s="163" t="s">
        <v>1541</v>
      </c>
      <c r="D672" s="160">
        <v>354.84</v>
      </c>
      <c r="E672" s="165" t="s">
        <v>1787</v>
      </c>
      <c r="F672" s="166">
        <v>43087</v>
      </c>
    </row>
    <row r="673" spans="1:6" ht="15" customHeight="1" x14ac:dyDescent="0.3">
      <c r="A673" s="169" t="s">
        <v>1766</v>
      </c>
      <c r="B673" s="190" t="s">
        <v>1760</v>
      </c>
      <c r="C673" s="163" t="s">
        <v>73</v>
      </c>
      <c r="D673" s="160">
        <v>45</v>
      </c>
      <c r="E673" s="165" t="s">
        <v>1523</v>
      </c>
      <c r="F673" s="166">
        <v>43087</v>
      </c>
    </row>
    <row r="674" spans="1:6" ht="15" customHeight="1" x14ac:dyDescent="0.3">
      <c r="A674" s="169" t="s">
        <v>1767</v>
      </c>
      <c r="B674" s="190" t="s">
        <v>1761</v>
      </c>
      <c r="C674" s="163" t="s">
        <v>1789</v>
      </c>
      <c r="D674" s="160">
        <v>113.87</v>
      </c>
      <c r="E674" s="165" t="s">
        <v>1787</v>
      </c>
      <c r="F674" s="166">
        <v>43087</v>
      </c>
    </row>
    <row r="675" spans="1:6" ht="15" customHeight="1" x14ac:dyDescent="0.3">
      <c r="A675" s="169" t="s">
        <v>1768</v>
      </c>
      <c r="B675" s="190" t="s">
        <v>1762</v>
      </c>
      <c r="C675" s="163" t="s">
        <v>73</v>
      </c>
      <c r="D675" s="160">
        <v>35</v>
      </c>
      <c r="E675" s="165" t="s">
        <v>1523</v>
      </c>
      <c r="F675" s="166">
        <v>43087</v>
      </c>
    </row>
    <row r="676" spans="1:6" ht="15" customHeight="1" x14ac:dyDescent="0.3">
      <c r="A676" s="169" t="s">
        <v>1769</v>
      </c>
      <c r="B676" s="190" t="s">
        <v>1763</v>
      </c>
      <c r="C676" s="163" t="s">
        <v>73</v>
      </c>
      <c r="D676" s="160">
        <v>204</v>
      </c>
      <c r="E676" s="165" t="s">
        <v>1772</v>
      </c>
      <c r="F676" s="166">
        <v>43087</v>
      </c>
    </row>
    <row r="677" spans="1:6" ht="15" customHeight="1" x14ac:dyDescent="0.3">
      <c r="A677" s="169" t="s">
        <v>1770</v>
      </c>
      <c r="B677" s="190" t="s">
        <v>1764</v>
      </c>
      <c r="C677" s="163" t="s">
        <v>73</v>
      </c>
      <c r="D677" s="160">
        <v>35</v>
      </c>
      <c r="E677" s="165" t="s">
        <v>1523</v>
      </c>
      <c r="F677" s="166">
        <v>43087</v>
      </c>
    </row>
    <row r="678" spans="1:6" ht="15" customHeight="1" x14ac:dyDescent="0.3">
      <c r="A678" s="169" t="s">
        <v>1780</v>
      </c>
      <c r="B678" s="190" t="s">
        <v>1773</v>
      </c>
      <c r="C678" s="163" t="s">
        <v>1376</v>
      </c>
      <c r="D678" s="160">
        <v>576.61</v>
      </c>
      <c r="E678" s="165" t="s">
        <v>1818</v>
      </c>
      <c r="F678" s="166">
        <v>43087</v>
      </c>
    </row>
    <row r="679" spans="1:6" ht="15" customHeight="1" x14ac:dyDescent="0.3">
      <c r="A679" s="169" t="s">
        <v>1781</v>
      </c>
      <c r="B679" s="190" t="s">
        <v>1777</v>
      </c>
      <c r="C679" s="163" t="s">
        <v>1376</v>
      </c>
      <c r="D679" s="160">
        <v>549.9</v>
      </c>
      <c r="E679" s="165" t="s">
        <v>1438</v>
      </c>
      <c r="F679" s="166">
        <v>43087</v>
      </c>
    </row>
    <row r="680" spans="1:6" ht="15" customHeight="1" x14ac:dyDescent="0.3">
      <c r="A680" s="169" t="s">
        <v>1782</v>
      </c>
      <c r="B680" s="190" t="s">
        <v>1774</v>
      </c>
      <c r="C680" s="163" t="s">
        <v>1376</v>
      </c>
      <c r="D680" s="160">
        <v>674.93</v>
      </c>
      <c r="E680" s="165" t="s">
        <v>1818</v>
      </c>
      <c r="F680" s="166">
        <v>43087</v>
      </c>
    </row>
    <row r="681" spans="1:6" ht="15" customHeight="1" x14ac:dyDescent="0.3">
      <c r="A681" s="169" t="s">
        <v>1783</v>
      </c>
      <c r="B681" s="190" t="s">
        <v>1775</v>
      </c>
      <c r="C681" s="163" t="s">
        <v>1376</v>
      </c>
      <c r="D681" s="160">
        <v>834.39</v>
      </c>
      <c r="E681" s="165" t="s">
        <v>1818</v>
      </c>
      <c r="F681" s="166">
        <v>43087</v>
      </c>
    </row>
    <row r="682" spans="1:6" ht="15" customHeight="1" x14ac:dyDescent="0.3">
      <c r="A682" s="169" t="s">
        <v>1784</v>
      </c>
      <c r="B682" s="190" t="s">
        <v>1776</v>
      </c>
      <c r="C682" s="163" t="s">
        <v>1376</v>
      </c>
      <c r="D682" s="160">
        <v>745.68</v>
      </c>
      <c r="E682" s="165" t="s">
        <v>963</v>
      </c>
      <c r="F682" s="166">
        <v>43087</v>
      </c>
    </row>
    <row r="683" spans="1:6" ht="15" customHeight="1" x14ac:dyDescent="0.3">
      <c r="A683" s="169" t="s">
        <v>1785</v>
      </c>
      <c r="B683" s="190" t="s">
        <v>1778</v>
      </c>
      <c r="C683" s="163" t="s">
        <v>1376</v>
      </c>
      <c r="D683" s="160">
        <v>239.84</v>
      </c>
      <c r="E683" s="165" t="s">
        <v>1818</v>
      </c>
      <c r="F683" s="166">
        <v>43087</v>
      </c>
    </row>
    <row r="684" spans="1:6" ht="15" customHeight="1" x14ac:dyDescent="0.3">
      <c r="A684" s="169" t="s">
        <v>1786</v>
      </c>
      <c r="B684" s="190" t="s">
        <v>1779</v>
      </c>
      <c r="C684" s="163" t="s">
        <v>1376</v>
      </c>
      <c r="D684" s="160">
        <v>259.89999999999998</v>
      </c>
      <c r="E684" s="165" t="s">
        <v>1184</v>
      </c>
      <c r="F684" s="166">
        <v>43087</v>
      </c>
    </row>
    <row r="685" spans="1:6" ht="15" customHeight="1" x14ac:dyDescent="0.3">
      <c r="A685" s="169" t="s">
        <v>1791</v>
      </c>
      <c r="B685" s="190" t="s">
        <v>1792</v>
      </c>
      <c r="C685" s="163" t="s">
        <v>29</v>
      </c>
      <c r="D685" s="160">
        <v>3042</v>
      </c>
      <c r="E685" s="165" t="s">
        <v>1790</v>
      </c>
      <c r="F685" s="166">
        <v>43087</v>
      </c>
    </row>
    <row r="686" spans="1:6" ht="15" customHeight="1" x14ac:dyDescent="0.3">
      <c r="A686" s="169" t="s">
        <v>1794</v>
      </c>
      <c r="B686" s="190" t="s">
        <v>1793</v>
      </c>
      <c r="C686" s="163" t="s">
        <v>29</v>
      </c>
      <c r="D686" s="160">
        <v>359.77</v>
      </c>
      <c r="E686" s="165" t="s">
        <v>1772</v>
      </c>
      <c r="F686" s="166">
        <v>43087</v>
      </c>
    </row>
    <row r="687" spans="1:6" ht="15" customHeight="1" x14ac:dyDescent="0.3">
      <c r="A687" s="169" t="s">
        <v>1797</v>
      </c>
      <c r="B687" s="190" t="s">
        <v>1795</v>
      </c>
      <c r="C687" s="163" t="s">
        <v>29</v>
      </c>
      <c r="D687" s="160">
        <v>914</v>
      </c>
      <c r="E687" s="165" t="s">
        <v>1441</v>
      </c>
      <c r="F687" s="166">
        <v>43098</v>
      </c>
    </row>
    <row r="688" spans="1:6" ht="15" customHeight="1" x14ac:dyDescent="0.3">
      <c r="A688" s="169" t="s">
        <v>1798</v>
      </c>
      <c r="B688" s="190" t="s">
        <v>1796</v>
      </c>
      <c r="C688" s="163" t="s">
        <v>29</v>
      </c>
      <c r="D688" s="160">
        <v>180</v>
      </c>
      <c r="E688" s="165" t="s">
        <v>1441</v>
      </c>
      <c r="F688" s="166">
        <v>43098</v>
      </c>
    </row>
    <row r="689" spans="1:6" ht="15" customHeight="1" x14ac:dyDescent="0.3">
      <c r="A689" s="169" t="s">
        <v>1801</v>
      </c>
      <c r="B689" s="190" t="s">
        <v>1799</v>
      </c>
      <c r="C689" s="163" t="s">
        <v>73</v>
      </c>
      <c r="D689" s="160">
        <v>45</v>
      </c>
      <c r="E689" s="165" t="s">
        <v>1419</v>
      </c>
      <c r="F689" s="166">
        <v>43095</v>
      </c>
    </row>
    <row r="690" spans="1:6" ht="15" customHeight="1" x14ac:dyDescent="0.3">
      <c r="A690" s="169" t="s">
        <v>1802</v>
      </c>
      <c r="B690" s="190" t="s">
        <v>1800</v>
      </c>
      <c r="C690" s="163" t="s">
        <v>73</v>
      </c>
      <c r="D690" s="160">
        <v>32</v>
      </c>
      <c r="E690" s="165" t="s">
        <v>1419</v>
      </c>
      <c r="F690" s="166">
        <v>43095</v>
      </c>
    </row>
    <row r="691" spans="1:6" ht="15" customHeight="1" x14ac:dyDescent="0.3">
      <c r="A691" s="169" t="s">
        <v>1806</v>
      </c>
      <c r="B691" s="190" t="s">
        <v>1804</v>
      </c>
      <c r="C691" s="163" t="s">
        <v>29</v>
      </c>
      <c r="D691" s="160">
        <v>2120</v>
      </c>
      <c r="E691" s="165" t="s">
        <v>1790</v>
      </c>
      <c r="F691" s="166">
        <v>43096</v>
      </c>
    </row>
    <row r="692" spans="1:6" ht="15" customHeight="1" x14ac:dyDescent="0.3">
      <c r="A692" s="169" t="s">
        <v>1807</v>
      </c>
      <c r="B692" s="190" t="s">
        <v>1805</v>
      </c>
      <c r="C692" s="163" t="s">
        <v>29</v>
      </c>
      <c r="D692" s="160">
        <v>1700</v>
      </c>
      <c r="E692" s="165" t="s">
        <v>1790</v>
      </c>
      <c r="F692" s="166">
        <v>43096</v>
      </c>
    </row>
    <row r="693" spans="1:6" ht="15" customHeight="1" x14ac:dyDescent="0.3">
      <c r="A693" s="169" t="s">
        <v>1811</v>
      </c>
      <c r="B693" s="190" t="s">
        <v>1810</v>
      </c>
      <c r="C693" s="163" t="s">
        <v>29</v>
      </c>
      <c r="D693" s="160">
        <v>56430</v>
      </c>
      <c r="E693" s="165" t="s">
        <v>1228</v>
      </c>
      <c r="F693" s="166">
        <v>43103</v>
      </c>
    </row>
    <row r="694" spans="1:6" ht="15" customHeight="1" x14ac:dyDescent="0.3">
      <c r="A694" s="169" t="s">
        <v>1821</v>
      </c>
      <c r="B694" s="190" t="s">
        <v>1819</v>
      </c>
      <c r="C694" s="163" t="s">
        <v>29</v>
      </c>
      <c r="D694" s="160">
        <v>167000</v>
      </c>
      <c r="E694" s="165" t="s">
        <v>1602</v>
      </c>
      <c r="F694" s="166">
        <v>43096</v>
      </c>
    </row>
    <row r="695" spans="1:6" ht="15" customHeight="1" x14ac:dyDescent="0.3">
      <c r="A695" s="169" t="s">
        <v>1822</v>
      </c>
      <c r="B695" s="190" t="s">
        <v>1820</v>
      </c>
      <c r="C695" s="163" t="s">
        <v>29</v>
      </c>
      <c r="D695" s="160">
        <v>8000</v>
      </c>
      <c r="E695" s="165" t="s">
        <v>1602</v>
      </c>
      <c r="F695" s="166">
        <v>43096</v>
      </c>
    </row>
    <row r="696" spans="1:6" ht="15" customHeight="1" x14ac:dyDescent="0.3">
      <c r="A696" s="169" t="s">
        <v>1823</v>
      </c>
      <c r="B696" s="190" t="s">
        <v>2868</v>
      </c>
      <c r="C696" s="163" t="s">
        <v>29</v>
      </c>
      <c r="D696" s="160">
        <f>((((((254+20)*20.79)+(200*(18.31+5.6)))*1.03)/1.03)*1.02)/1.02</f>
        <v>10478.459999999999</v>
      </c>
      <c r="E696" s="165" t="s">
        <v>2869</v>
      </c>
      <c r="F696" s="166">
        <v>43669</v>
      </c>
    </row>
    <row r="697" spans="1:6" ht="15" customHeight="1" x14ac:dyDescent="0.3">
      <c r="A697" s="169" t="s">
        <v>1825</v>
      </c>
      <c r="B697" s="190" t="s">
        <v>1824</v>
      </c>
      <c r="C697" s="163" t="s">
        <v>29</v>
      </c>
      <c r="D697" s="160">
        <v>34175.9</v>
      </c>
      <c r="E697" s="165" t="s">
        <v>2640</v>
      </c>
      <c r="F697" s="166">
        <v>43697</v>
      </c>
    </row>
    <row r="698" spans="1:6" ht="15" customHeight="1" x14ac:dyDescent="0.3">
      <c r="A698" s="169" t="s">
        <v>1829</v>
      </c>
      <c r="B698" s="190" t="s">
        <v>1835</v>
      </c>
      <c r="C698" s="163" t="s">
        <v>1376</v>
      </c>
      <c r="D698" s="160">
        <v>230</v>
      </c>
      <c r="E698" s="165" t="s">
        <v>1833</v>
      </c>
      <c r="F698" s="166">
        <v>43099</v>
      </c>
    </row>
    <row r="699" spans="1:6" ht="15" customHeight="1" x14ac:dyDescent="0.3">
      <c r="A699" s="169" t="s">
        <v>1830</v>
      </c>
      <c r="B699" s="190" t="s">
        <v>1842</v>
      </c>
      <c r="C699" s="163" t="s">
        <v>1376</v>
      </c>
      <c r="D699" s="160">
        <v>1268</v>
      </c>
      <c r="E699" s="165" t="s">
        <v>1834</v>
      </c>
      <c r="F699" s="166">
        <v>43103</v>
      </c>
    </row>
    <row r="700" spans="1:6" ht="15" customHeight="1" x14ac:dyDescent="0.3">
      <c r="A700" s="169" t="s">
        <v>1831</v>
      </c>
      <c r="B700" s="190" t="s">
        <v>1836</v>
      </c>
      <c r="C700" s="163" t="s">
        <v>1376</v>
      </c>
      <c r="D700" s="160">
        <v>245</v>
      </c>
      <c r="E700" s="165" t="s">
        <v>1833</v>
      </c>
      <c r="F700" s="166">
        <v>43099</v>
      </c>
    </row>
    <row r="701" spans="1:6" ht="15" customHeight="1" x14ac:dyDescent="0.3">
      <c r="A701" s="169" t="s">
        <v>1832</v>
      </c>
      <c r="B701" s="190" t="s">
        <v>1837</v>
      </c>
      <c r="C701" s="163" t="s">
        <v>1376</v>
      </c>
      <c r="D701" s="160">
        <v>335</v>
      </c>
      <c r="E701" s="165" t="s">
        <v>1833</v>
      </c>
      <c r="F701" s="166">
        <v>43099</v>
      </c>
    </row>
    <row r="702" spans="1:6" ht="15" customHeight="1" x14ac:dyDescent="0.3">
      <c r="A702" s="169" t="s">
        <v>1844</v>
      </c>
      <c r="B702" s="190" t="s">
        <v>1845</v>
      </c>
      <c r="C702" s="163" t="s">
        <v>37</v>
      </c>
      <c r="D702" s="160">
        <f>(((((24*14)+60)*1.03)/1.03)*1.02)/1.02</f>
        <v>396</v>
      </c>
      <c r="E702" s="165" t="s">
        <v>886</v>
      </c>
      <c r="F702" s="166">
        <v>43109</v>
      </c>
    </row>
    <row r="703" spans="1:6" ht="15" customHeight="1" x14ac:dyDescent="0.3">
      <c r="A703" s="169" t="s">
        <v>1847</v>
      </c>
      <c r="B703" s="190" t="s">
        <v>1846</v>
      </c>
      <c r="C703" s="163" t="s">
        <v>73</v>
      </c>
      <c r="D703" s="160">
        <v>22.33</v>
      </c>
      <c r="E703" s="165" t="s">
        <v>1848</v>
      </c>
      <c r="F703" s="166">
        <v>42745</v>
      </c>
    </row>
    <row r="704" spans="1:6" ht="15" customHeight="1" x14ac:dyDescent="0.3">
      <c r="A704" s="169" t="s">
        <v>1852</v>
      </c>
      <c r="B704" s="190" t="s">
        <v>1849</v>
      </c>
      <c r="C704" s="163" t="s">
        <v>1855</v>
      </c>
      <c r="D704" s="160">
        <v>70.52</v>
      </c>
      <c r="E704" s="165" t="s">
        <v>1856</v>
      </c>
      <c r="F704" s="166">
        <v>43110</v>
      </c>
    </row>
    <row r="705" spans="1:6" ht="15" customHeight="1" x14ac:dyDescent="0.3">
      <c r="A705" s="169" t="s">
        <v>1853</v>
      </c>
      <c r="B705" s="190" t="s">
        <v>1850</v>
      </c>
      <c r="C705" s="163" t="s">
        <v>1855</v>
      </c>
      <c r="D705" s="160">
        <v>49.31</v>
      </c>
      <c r="E705" s="165" t="s">
        <v>1856</v>
      </c>
      <c r="F705" s="166">
        <v>43110</v>
      </c>
    </row>
    <row r="706" spans="1:6" ht="15" customHeight="1" x14ac:dyDescent="0.3">
      <c r="A706" s="169" t="s">
        <v>1854</v>
      </c>
      <c r="B706" s="190" t="s">
        <v>1851</v>
      </c>
      <c r="C706" s="163" t="s">
        <v>1855</v>
      </c>
      <c r="D706" s="160">
        <v>172.35</v>
      </c>
      <c r="E706" s="165" t="s">
        <v>2185</v>
      </c>
      <c r="F706" s="166">
        <v>43755</v>
      </c>
    </row>
    <row r="707" spans="1:6" ht="15" customHeight="1" x14ac:dyDescent="0.3">
      <c r="A707" s="169" t="s">
        <v>1859</v>
      </c>
      <c r="B707" s="190" t="s">
        <v>1857</v>
      </c>
      <c r="C707" s="163" t="s">
        <v>29</v>
      </c>
      <c r="D707" s="160">
        <v>142840</v>
      </c>
      <c r="E707" s="165" t="s">
        <v>1858</v>
      </c>
      <c r="F707" s="166">
        <v>43110</v>
      </c>
    </row>
    <row r="708" spans="1:6" s="496" customFormat="1" ht="15" customHeight="1" x14ac:dyDescent="0.3">
      <c r="A708" s="495" t="s">
        <v>1861</v>
      </c>
      <c r="B708" s="497" t="s">
        <v>2989</v>
      </c>
      <c r="C708" s="470" t="s">
        <v>2984</v>
      </c>
      <c r="D708" s="160">
        <v>31.4</v>
      </c>
      <c r="E708" s="468" t="s">
        <v>3086</v>
      </c>
      <c r="F708" s="469">
        <v>43756</v>
      </c>
    </row>
    <row r="709" spans="1:6" s="496" customFormat="1" ht="15" customHeight="1" x14ac:dyDescent="0.3">
      <c r="A709" s="495" t="s">
        <v>1862</v>
      </c>
      <c r="B709" s="497" t="s">
        <v>2990</v>
      </c>
      <c r="C709" s="470" t="s">
        <v>73</v>
      </c>
      <c r="D709" s="160">
        <v>122</v>
      </c>
      <c r="E709" s="468" t="s">
        <v>3086</v>
      </c>
      <c r="F709" s="469">
        <v>43756</v>
      </c>
    </row>
    <row r="710" spans="1:6" s="496" customFormat="1" ht="15" customHeight="1" x14ac:dyDescent="0.3">
      <c r="A710" s="495" t="s">
        <v>1863</v>
      </c>
      <c r="B710" s="497" t="s">
        <v>2991</v>
      </c>
      <c r="C710" s="470" t="s">
        <v>73</v>
      </c>
      <c r="D710" s="160">
        <v>135</v>
      </c>
      <c r="E710" s="468" t="s">
        <v>2992</v>
      </c>
      <c r="F710" s="469">
        <v>43753</v>
      </c>
    </row>
    <row r="711" spans="1:6" s="496" customFormat="1" ht="15" customHeight="1" x14ac:dyDescent="0.3">
      <c r="A711" s="495" t="s">
        <v>1864</v>
      </c>
      <c r="B711" s="497" t="s">
        <v>2993</v>
      </c>
      <c r="C711" s="470" t="s">
        <v>29</v>
      </c>
      <c r="D711" s="160">
        <v>1000</v>
      </c>
      <c r="E711" s="468" t="s">
        <v>2642</v>
      </c>
      <c r="F711" s="469">
        <v>43753</v>
      </c>
    </row>
    <row r="712" spans="1:6" ht="15" customHeight="1" x14ac:dyDescent="0.3">
      <c r="A712" s="169" t="s">
        <v>1866</v>
      </c>
      <c r="B712" s="190" t="s">
        <v>1865</v>
      </c>
      <c r="C712" s="163" t="s">
        <v>73</v>
      </c>
      <c r="D712" s="160">
        <v>550</v>
      </c>
      <c r="E712" s="165" t="s">
        <v>1441</v>
      </c>
      <c r="F712" s="166">
        <v>43117</v>
      </c>
    </row>
    <row r="713" spans="1:6" ht="15" customHeight="1" x14ac:dyDescent="0.3">
      <c r="A713" s="169" t="s">
        <v>1867</v>
      </c>
      <c r="B713" s="190" t="s">
        <v>2994</v>
      </c>
      <c r="C713" s="163" t="s">
        <v>2984</v>
      </c>
      <c r="D713" s="160">
        <v>8.6999999999999993</v>
      </c>
      <c r="E713" s="165" t="s">
        <v>2995</v>
      </c>
      <c r="F713" s="166">
        <v>43753</v>
      </c>
    </row>
    <row r="714" spans="1:6" ht="15" customHeight="1" x14ac:dyDescent="0.3">
      <c r="A714" s="169" t="s">
        <v>1870</v>
      </c>
      <c r="B714" s="190" t="s">
        <v>1869</v>
      </c>
      <c r="C714" s="163" t="s">
        <v>1376</v>
      </c>
      <c r="D714" s="160">
        <v>0</v>
      </c>
      <c r="E714" s="165"/>
      <c r="F714" s="166"/>
    </row>
    <row r="715" spans="1:6" ht="15" customHeight="1" x14ac:dyDescent="0.3">
      <c r="A715" s="169" t="s">
        <v>1873</v>
      </c>
      <c r="B715" s="190" t="s">
        <v>1872</v>
      </c>
      <c r="C715" s="163" t="s">
        <v>1376</v>
      </c>
      <c r="D715" s="160">
        <v>1750</v>
      </c>
      <c r="E715" s="165" t="s">
        <v>1228</v>
      </c>
      <c r="F715" s="166">
        <v>43123</v>
      </c>
    </row>
    <row r="716" spans="1:6" ht="15" customHeight="1" x14ac:dyDescent="0.3">
      <c r="A716" s="169" t="s">
        <v>1875</v>
      </c>
      <c r="B716" s="190" t="s">
        <v>1874</v>
      </c>
      <c r="C716" s="163" t="s">
        <v>29</v>
      </c>
      <c r="D716" s="160">
        <v>1</v>
      </c>
      <c r="E716" s="165" t="s">
        <v>4967</v>
      </c>
      <c r="F716" s="166">
        <v>44272</v>
      </c>
    </row>
    <row r="717" spans="1:6" ht="15" customHeight="1" x14ac:dyDescent="0.3">
      <c r="A717" s="169" t="s">
        <v>1876</v>
      </c>
      <c r="B717" s="190" t="s">
        <v>8058</v>
      </c>
      <c r="C717" s="163" t="s">
        <v>29</v>
      </c>
      <c r="D717" s="160">
        <v>1</v>
      </c>
      <c r="E717" s="165"/>
      <c r="F717" s="166"/>
    </row>
    <row r="718" spans="1:6" ht="15" customHeight="1" x14ac:dyDescent="0.3">
      <c r="A718" s="169" t="s">
        <v>1880</v>
      </c>
      <c r="B718" s="190" t="s">
        <v>1878</v>
      </c>
      <c r="C718" s="163" t="s">
        <v>29</v>
      </c>
      <c r="D718" s="160">
        <f>((((1116.74+667.96)*1.03)/1.03)*1.02)/1.02</f>
        <v>1784.7</v>
      </c>
      <c r="E718" s="165" t="s">
        <v>1879</v>
      </c>
      <c r="F718" s="166">
        <v>43118</v>
      </c>
    </row>
    <row r="719" spans="1:6" ht="15" customHeight="1" x14ac:dyDescent="0.3">
      <c r="A719" s="169" t="s">
        <v>1882</v>
      </c>
      <c r="B719" s="190" t="s">
        <v>1881</v>
      </c>
      <c r="C719" s="163" t="s">
        <v>29</v>
      </c>
      <c r="D719" s="160">
        <v>1</v>
      </c>
      <c r="E719" s="165" t="s">
        <v>6178</v>
      </c>
      <c r="F719" s="166"/>
    </row>
    <row r="720" spans="1:6" ht="15" customHeight="1" x14ac:dyDescent="0.3">
      <c r="A720" s="169" t="s">
        <v>1883</v>
      </c>
      <c r="B720" s="190" t="s">
        <v>1132</v>
      </c>
      <c r="C720" s="163" t="s">
        <v>29</v>
      </c>
      <c r="D720" s="160">
        <v>4700</v>
      </c>
      <c r="E720" s="165" t="s">
        <v>1879</v>
      </c>
      <c r="F720" s="166"/>
    </row>
    <row r="721" spans="1:6" ht="15" customHeight="1" x14ac:dyDescent="0.3">
      <c r="A721" s="169" t="s">
        <v>1885</v>
      </c>
      <c r="B721" s="190" t="s">
        <v>1884</v>
      </c>
      <c r="C721" s="163" t="s">
        <v>29</v>
      </c>
      <c r="D721" s="160">
        <v>1</v>
      </c>
      <c r="E721" s="165" t="s">
        <v>3578</v>
      </c>
      <c r="F721" s="166">
        <v>44427</v>
      </c>
    </row>
    <row r="722" spans="1:6" ht="15" customHeight="1" x14ac:dyDescent="0.3">
      <c r="A722" s="169" t="s">
        <v>1893</v>
      </c>
      <c r="B722" s="190" t="s">
        <v>1891</v>
      </c>
      <c r="C722" s="163" t="s">
        <v>1389</v>
      </c>
      <c r="D722" s="160">
        <v>75.930000000000007</v>
      </c>
      <c r="E722" s="165" t="s">
        <v>2185</v>
      </c>
      <c r="F722" s="166"/>
    </row>
    <row r="723" spans="1:6" ht="15" customHeight="1" x14ac:dyDescent="0.3">
      <c r="A723" s="169" t="s">
        <v>1894</v>
      </c>
      <c r="B723" s="190" t="s">
        <v>1892</v>
      </c>
      <c r="C723" s="163" t="s">
        <v>1376</v>
      </c>
      <c r="D723" s="160">
        <v>35.799999999999997</v>
      </c>
      <c r="E723" s="165" t="s">
        <v>1879</v>
      </c>
      <c r="F723" s="166"/>
    </row>
    <row r="724" spans="1:6" ht="15" customHeight="1" x14ac:dyDescent="0.3">
      <c r="A724" s="169" t="s">
        <v>1896</v>
      </c>
      <c r="B724" s="190" t="s">
        <v>1895</v>
      </c>
      <c r="C724" s="163" t="s">
        <v>73</v>
      </c>
      <c r="D724" s="160">
        <v>550</v>
      </c>
      <c r="E724" s="165" t="s">
        <v>1441</v>
      </c>
      <c r="F724" s="166"/>
    </row>
    <row r="725" spans="1:6" ht="15" customHeight="1" x14ac:dyDescent="0.3">
      <c r="A725" s="169" t="s">
        <v>1899</v>
      </c>
      <c r="B725" s="190" t="s">
        <v>2556</v>
      </c>
      <c r="C725" s="163" t="s">
        <v>72</v>
      </c>
      <c r="D725" s="160">
        <v>422</v>
      </c>
      <c r="E725" s="165" t="s">
        <v>2275</v>
      </c>
      <c r="F725" s="166"/>
    </row>
    <row r="726" spans="1:6" ht="15" customHeight="1" x14ac:dyDescent="0.3">
      <c r="A726" s="169" t="s">
        <v>1900</v>
      </c>
      <c r="B726" s="190" t="s">
        <v>1417</v>
      </c>
      <c r="C726" s="163" t="s">
        <v>1376</v>
      </c>
      <c r="D726" s="160">
        <v>16</v>
      </c>
      <c r="E726" s="165"/>
      <c r="F726" s="166"/>
    </row>
    <row r="727" spans="1:6" ht="15" customHeight="1" x14ac:dyDescent="0.3">
      <c r="A727" s="169" t="s">
        <v>1901</v>
      </c>
      <c r="B727" s="190" t="s">
        <v>2555</v>
      </c>
      <c r="C727" s="163" t="s">
        <v>72</v>
      </c>
      <c r="D727" s="160">
        <v>342</v>
      </c>
      <c r="E727" s="165" t="s">
        <v>2275</v>
      </c>
      <c r="F727" s="166"/>
    </row>
    <row r="728" spans="1:6" ht="15" customHeight="1" x14ac:dyDescent="0.3">
      <c r="A728" s="169" t="s">
        <v>1904</v>
      </c>
      <c r="B728" s="190" t="s">
        <v>1171</v>
      </c>
      <c r="C728" s="163" t="s">
        <v>1376</v>
      </c>
      <c r="D728" s="160">
        <v>650</v>
      </c>
      <c r="E728" s="165" t="s">
        <v>1918</v>
      </c>
      <c r="F728" s="166">
        <v>43122</v>
      </c>
    </row>
    <row r="729" spans="1:6" ht="15" customHeight="1" x14ac:dyDescent="0.3">
      <c r="A729" s="169" t="s">
        <v>1905</v>
      </c>
      <c r="B729" s="190" t="s">
        <v>1903</v>
      </c>
      <c r="C729" s="163" t="s">
        <v>1376</v>
      </c>
      <c r="D729" s="160">
        <v>1960</v>
      </c>
      <c r="E729" s="165" t="s">
        <v>1918</v>
      </c>
      <c r="F729" s="166">
        <v>43122</v>
      </c>
    </row>
    <row r="730" spans="1:6" ht="15" customHeight="1" x14ac:dyDescent="0.3">
      <c r="A730" s="169" t="s">
        <v>1906</v>
      </c>
      <c r="B730" s="190" t="s">
        <v>3453</v>
      </c>
      <c r="C730" s="163" t="s">
        <v>29</v>
      </c>
      <c r="D730" s="160">
        <f>((((48000*1.1)*1.03)/1.03)*1.02)/1.02</f>
        <v>52800.000000000007</v>
      </c>
      <c r="E730" s="165" t="s">
        <v>3462</v>
      </c>
      <c r="F730" s="166">
        <v>43788</v>
      </c>
    </row>
    <row r="731" spans="1:6" ht="15" customHeight="1" x14ac:dyDescent="0.3">
      <c r="A731" s="169" t="s">
        <v>1907</v>
      </c>
      <c r="B731" s="190" t="s">
        <v>1908</v>
      </c>
      <c r="C731" s="163" t="s">
        <v>29</v>
      </c>
      <c r="D731" s="160">
        <v>0</v>
      </c>
      <c r="E731" s="165"/>
      <c r="F731" s="166">
        <v>43123</v>
      </c>
    </row>
    <row r="732" spans="1:6" ht="15" customHeight="1" x14ac:dyDescent="0.3">
      <c r="A732" s="169" t="s">
        <v>1910</v>
      </c>
      <c r="B732" s="190" t="s">
        <v>1909</v>
      </c>
      <c r="C732" s="163" t="s">
        <v>1376</v>
      </c>
      <c r="D732" s="160">
        <v>500</v>
      </c>
      <c r="E732" s="165" t="s">
        <v>1911</v>
      </c>
      <c r="F732" s="166">
        <v>43120</v>
      </c>
    </row>
    <row r="733" spans="1:6" ht="15" customHeight="1" x14ac:dyDescent="0.3">
      <c r="A733" s="169" t="s">
        <v>1913</v>
      </c>
      <c r="B733" s="190" t="s">
        <v>1912</v>
      </c>
      <c r="C733" s="163" t="s">
        <v>1376</v>
      </c>
      <c r="D733" s="160">
        <v>800</v>
      </c>
      <c r="E733" s="165" t="s">
        <v>1914</v>
      </c>
      <c r="F733" s="166">
        <v>43119</v>
      </c>
    </row>
    <row r="734" spans="1:6" ht="15" customHeight="1" x14ac:dyDescent="0.3">
      <c r="A734" s="169" t="s">
        <v>1915</v>
      </c>
      <c r="B734" s="190" t="s">
        <v>1917</v>
      </c>
      <c r="C734" s="163" t="s">
        <v>1916</v>
      </c>
      <c r="D734" s="160">
        <v>239.9</v>
      </c>
      <c r="E734" s="165" t="s">
        <v>1184</v>
      </c>
      <c r="F734" s="166"/>
    </row>
    <row r="735" spans="1:6" ht="15" customHeight="1" x14ac:dyDescent="0.3">
      <c r="A735" s="169" t="s">
        <v>1920</v>
      </c>
      <c r="B735" s="190" t="s">
        <v>2563</v>
      </c>
      <c r="C735" s="163" t="s">
        <v>1376</v>
      </c>
      <c r="D735" s="160">
        <v>164.66</v>
      </c>
      <c r="E735" s="165" t="s">
        <v>2562</v>
      </c>
      <c r="F735" s="166">
        <v>43122</v>
      </c>
    </row>
    <row r="736" spans="1:6" ht="15" customHeight="1" x14ac:dyDescent="0.3">
      <c r="A736" s="169" t="s">
        <v>1923</v>
      </c>
      <c r="B736" s="190" t="s">
        <v>1922</v>
      </c>
      <c r="C736" s="163" t="s">
        <v>1376</v>
      </c>
      <c r="D736" s="160">
        <v>190</v>
      </c>
      <c r="E736" s="165" t="s">
        <v>1921</v>
      </c>
      <c r="F736" s="166">
        <v>43122</v>
      </c>
    </row>
    <row r="737" spans="1:6" ht="15" customHeight="1" x14ac:dyDescent="0.3">
      <c r="A737" s="169" t="s">
        <v>1925</v>
      </c>
      <c r="B737" s="190" t="s">
        <v>1924</v>
      </c>
      <c r="C737" s="163" t="s">
        <v>1376</v>
      </c>
      <c r="D737" s="160">
        <f>((((500+450)*1.03)/1.03)*1.02)/1.02</f>
        <v>950</v>
      </c>
      <c r="E737" s="165" t="s">
        <v>1921</v>
      </c>
      <c r="F737" s="166">
        <v>43122</v>
      </c>
    </row>
    <row r="738" spans="1:6" ht="15" customHeight="1" x14ac:dyDescent="0.3">
      <c r="A738" s="169" t="s">
        <v>1926</v>
      </c>
      <c r="B738" s="190" t="s">
        <v>1928</v>
      </c>
      <c r="C738" s="163" t="s">
        <v>1376</v>
      </c>
      <c r="D738" s="160">
        <v>850</v>
      </c>
      <c r="E738" s="165" t="s">
        <v>1921</v>
      </c>
      <c r="F738" s="166">
        <v>43122</v>
      </c>
    </row>
    <row r="739" spans="1:6" ht="15" customHeight="1" x14ac:dyDescent="0.3">
      <c r="A739" s="169" t="s">
        <v>1927</v>
      </c>
      <c r="B739" s="190" t="s">
        <v>1929</v>
      </c>
      <c r="C739" s="163" t="s">
        <v>1376</v>
      </c>
      <c r="D739" s="160">
        <v>610</v>
      </c>
      <c r="E739" s="165" t="s">
        <v>1921</v>
      </c>
      <c r="F739" s="166">
        <v>43122</v>
      </c>
    </row>
    <row r="740" spans="1:6" ht="15" customHeight="1" x14ac:dyDescent="0.3">
      <c r="A740" s="169" t="s">
        <v>1931</v>
      </c>
      <c r="B740" s="190" t="s">
        <v>1930</v>
      </c>
      <c r="C740" s="163" t="s">
        <v>1376</v>
      </c>
      <c r="D740" s="160">
        <f>((((1350*2)*1.03)/1.03)*1.02)/1.02</f>
        <v>2700</v>
      </c>
      <c r="E740" s="165" t="s">
        <v>1921</v>
      </c>
      <c r="F740" s="166">
        <v>43122</v>
      </c>
    </row>
    <row r="741" spans="1:6" ht="15" customHeight="1" x14ac:dyDescent="0.3">
      <c r="A741" s="169" t="s">
        <v>1933</v>
      </c>
      <c r="B741" s="190" t="s">
        <v>1932</v>
      </c>
      <c r="C741" s="163" t="s">
        <v>29</v>
      </c>
      <c r="D741" s="160">
        <v>100</v>
      </c>
      <c r="E741" s="165" t="s">
        <v>886</v>
      </c>
      <c r="F741" s="166">
        <v>43172</v>
      </c>
    </row>
    <row r="742" spans="1:6" ht="15" customHeight="1" x14ac:dyDescent="0.3">
      <c r="A742" s="169" t="s">
        <v>1935</v>
      </c>
      <c r="B742" s="190" t="s">
        <v>1934</v>
      </c>
      <c r="C742" s="163" t="s">
        <v>1376</v>
      </c>
      <c r="D742" s="160">
        <v>608.70000000000005</v>
      </c>
      <c r="E742" s="165" t="s">
        <v>1326</v>
      </c>
      <c r="F742" s="166">
        <v>43123</v>
      </c>
    </row>
    <row r="743" spans="1:6" ht="15" customHeight="1" x14ac:dyDescent="0.3">
      <c r="A743" s="169" t="s">
        <v>1937</v>
      </c>
      <c r="B743" s="190" t="s">
        <v>1936</v>
      </c>
      <c r="C743" s="163" t="s">
        <v>2268</v>
      </c>
      <c r="D743" s="160">
        <v>140</v>
      </c>
      <c r="E743" s="165" t="s">
        <v>1972</v>
      </c>
      <c r="F743" s="166">
        <v>43124</v>
      </c>
    </row>
    <row r="744" spans="1:6" ht="15" customHeight="1" x14ac:dyDescent="0.3">
      <c r="A744" s="169" t="s">
        <v>1945</v>
      </c>
      <c r="B744" s="190" t="s">
        <v>1943</v>
      </c>
      <c r="C744" s="163" t="s">
        <v>29</v>
      </c>
      <c r="D744" s="160">
        <v>0</v>
      </c>
      <c r="E744" s="165"/>
      <c r="F744" s="166"/>
    </row>
    <row r="745" spans="1:6" ht="15" customHeight="1" x14ac:dyDescent="0.3">
      <c r="A745" s="169" t="s">
        <v>1946</v>
      </c>
      <c r="B745" s="190" t="s">
        <v>1944</v>
      </c>
      <c r="C745" s="163" t="s">
        <v>29</v>
      </c>
      <c r="D745" s="160">
        <v>11688.62</v>
      </c>
      <c r="E745" s="165"/>
      <c r="F745" s="166"/>
    </row>
    <row r="746" spans="1:6" ht="15" customHeight="1" x14ac:dyDescent="0.3">
      <c r="A746" s="169" t="s">
        <v>1948</v>
      </c>
      <c r="B746" s="190" t="s">
        <v>1947</v>
      </c>
      <c r="C746" s="163" t="s">
        <v>1376</v>
      </c>
      <c r="D746" s="160">
        <v>680</v>
      </c>
      <c r="E746" s="165" t="s">
        <v>1921</v>
      </c>
      <c r="F746" s="166">
        <v>43123</v>
      </c>
    </row>
    <row r="747" spans="1:6" ht="15" customHeight="1" x14ac:dyDescent="0.3">
      <c r="A747" s="169" t="s">
        <v>1950</v>
      </c>
      <c r="B747" s="190" t="s">
        <v>1949</v>
      </c>
      <c r="C747" s="163" t="s">
        <v>1376</v>
      </c>
      <c r="D747" s="160">
        <f>(((((5256*2)*0.95)*1.03)/1.03)*1.02)/1.02</f>
        <v>9986.4</v>
      </c>
      <c r="E747" s="165" t="s">
        <v>1921</v>
      </c>
      <c r="F747" s="166">
        <v>43123</v>
      </c>
    </row>
    <row r="748" spans="1:6" ht="15" customHeight="1" x14ac:dyDescent="0.3">
      <c r="A748" s="169" t="s">
        <v>1953</v>
      </c>
      <c r="B748" s="190" t="s">
        <v>1954</v>
      </c>
      <c r="C748" s="163" t="s">
        <v>1376</v>
      </c>
      <c r="D748" s="160">
        <v>1490</v>
      </c>
      <c r="E748" s="165" t="s">
        <v>1952</v>
      </c>
      <c r="F748" s="166">
        <v>43123</v>
      </c>
    </row>
    <row r="749" spans="1:6" ht="15" customHeight="1" x14ac:dyDescent="0.3">
      <c r="A749" s="169" t="s">
        <v>1956</v>
      </c>
      <c r="B749" s="190" t="s">
        <v>1955</v>
      </c>
      <c r="C749" s="163" t="s">
        <v>1376</v>
      </c>
      <c r="D749" s="160">
        <v>300</v>
      </c>
      <c r="E749" s="165" t="s">
        <v>1952</v>
      </c>
      <c r="F749" s="166">
        <v>43123</v>
      </c>
    </row>
    <row r="750" spans="1:6" ht="15" customHeight="1" x14ac:dyDescent="0.3">
      <c r="A750" s="169" t="s">
        <v>1959</v>
      </c>
      <c r="B750" s="190" t="s">
        <v>1957</v>
      </c>
      <c r="C750" s="163" t="s">
        <v>74</v>
      </c>
      <c r="D750" s="160">
        <v>960</v>
      </c>
      <c r="E750" s="165" t="s">
        <v>1952</v>
      </c>
      <c r="F750" s="166">
        <v>43123</v>
      </c>
    </row>
    <row r="751" spans="1:6" ht="15" customHeight="1" x14ac:dyDescent="0.3">
      <c r="A751" s="169" t="s">
        <v>1960</v>
      </c>
      <c r="B751" s="190" t="s">
        <v>1958</v>
      </c>
      <c r="C751" s="163" t="s">
        <v>74</v>
      </c>
      <c r="D751" s="160">
        <v>96.875</v>
      </c>
      <c r="E751" s="165" t="s">
        <v>1952</v>
      </c>
      <c r="F751" s="166">
        <v>43123</v>
      </c>
    </row>
    <row r="752" spans="1:6" ht="15" customHeight="1" x14ac:dyDescent="0.3">
      <c r="A752" s="169" t="s">
        <v>1961</v>
      </c>
      <c r="B752" s="190" t="s">
        <v>3245</v>
      </c>
      <c r="C752" s="163" t="s">
        <v>73</v>
      </c>
      <c r="D752" s="160">
        <f>((((39/2)*1.03)/1.03)*1.02)/1.02</f>
        <v>19.5</v>
      </c>
      <c r="E752" s="517" t="s">
        <v>2623</v>
      </c>
      <c r="F752" s="518">
        <v>43782</v>
      </c>
    </row>
    <row r="753" spans="1:6" ht="15" customHeight="1" x14ac:dyDescent="0.3">
      <c r="A753" s="169" t="s">
        <v>1965</v>
      </c>
      <c r="B753" s="190" t="s">
        <v>1963</v>
      </c>
      <c r="C753" s="163" t="s">
        <v>73</v>
      </c>
      <c r="D753" s="160">
        <v>5.65</v>
      </c>
      <c r="E753" s="165" t="s">
        <v>1964</v>
      </c>
      <c r="F753" s="166"/>
    </row>
    <row r="754" spans="1:6" ht="15" customHeight="1" x14ac:dyDescent="0.3">
      <c r="A754" s="169" t="s">
        <v>1967</v>
      </c>
      <c r="B754" s="190" t="s">
        <v>1966</v>
      </c>
      <c r="C754" s="163" t="s">
        <v>29</v>
      </c>
      <c r="D754" s="160">
        <v>6000</v>
      </c>
      <c r="E754" s="165" t="s">
        <v>1952</v>
      </c>
      <c r="F754" s="166">
        <v>43124</v>
      </c>
    </row>
    <row r="755" spans="1:6" ht="15" customHeight="1" x14ac:dyDescent="0.3">
      <c r="A755" s="169" t="s">
        <v>1970</v>
      </c>
      <c r="B755" s="190" t="s">
        <v>1968</v>
      </c>
      <c r="C755" s="163" t="s">
        <v>37</v>
      </c>
      <c r="D755" s="160">
        <v>1600</v>
      </c>
      <c r="E755" s="165" t="s">
        <v>1129</v>
      </c>
      <c r="F755" s="166">
        <v>43120</v>
      </c>
    </row>
    <row r="756" spans="1:6" ht="15" customHeight="1" x14ac:dyDescent="0.3">
      <c r="A756" s="169" t="s">
        <v>1971</v>
      </c>
      <c r="B756" s="190" t="s">
        <v>1969</v>
      </c>
      <c r="C756" s="163" t="s">
        <v>29</v>
      </c>
      <c r="D756" s="160">
        <v>700</v>
      </c>
      <c r="E756" s="165" t="s">
        <v>1129</v>
      </c>
      <c r="F756" s="166">
        <v>43120</v>
      </c>
    </row>
    <row r="757" spans="1:6" ht="15" customHeight="1" x14ac:dyDescent="0.3">
      <c r="A757" s="169" t="s">
        <v>1975</v>
      </c>
      <c r="B757" s="190" t="s">
        <v>1973</v>
      </c>
      <c r="C757" s="163" t="s">
        <v>73</v>
      </c>
      <c r="D757" s="160">
        <v>36.799999999999997</v>
      </c>
      <c r="E757" s="165" t="s">
        <v>1974</v>
      </c>
      <c r="F757" s="166"/>
    </row>
    <row r="758" spans="1:6" ht="15" customHeight="1" x14ac:dyDescent="0.3">
      <c r="A758" s="169" t="s">
        <v>1976</v>
      </c>
      <c r="B758" s="190" t="s">
        <v>1977</v>
      </c>
      <c r="C758" s="163" t="s">
        <v>29</v>
      </c>
      <c r="D758" s="160">
        <f>((((15602.4+21155.4+(8*2*7799.82)+(4*7799.82)+(16*2*3601.5)+(8*3601.5))*1.03)/1.03)*1.02)/1.02</f>
        <v>336814.19999999995</v>
      </c>
      <c r="E758" s="165" t="s">
        <v>1974</v>
      </c>
      <c r="F758" s="166"/>
    </row>
    <row r="759" spans="1:6" ht="15" customHeight="1" x14ac:dyDescent="0.3">
      <c r="A759" s="169" t="s">
        <v>1978</v>
      </c>
      <c r="B759" s="190" t="s">
        <v>1979</v>
      </c>
      <c r="C759" s="163" t="s">
        <v>1376</v>
      </c>
      <c r="D759" s="160">
        <v>219.9</v>
      </c>
      <c r="E759" s="165" t="s">
        <v>1184</v>
      </c>
      <c r="F759" s="166">
        <v>43130</v>
      </c>
    </row>
    <row r="760" spans="1:6" ht="15" customHeight="1" x14ac:dyDescent="0.3">
      <c r="A760" s="169" t="s">
        <v>1987</v>
      </c>
      <c r="B760" s="190" t="s">
        <v>1980</v>
      </c>
      <c r="C760" s="163" t="s">
        <v>37</v>
      </c>
      <c r="D760" s="160">
        <v>1490</v>
      </c>
      <c r="E760" s="165" t="s">
        <v>2002</v>
      </c>
      <c r="F760" s="166">
        <v>43130</v>
      </c>
    </row>
    <row r="761" spans="1:6" ht="15" customHeight="1" x14ac:dyDescent="0.3">
      <c r="A761" s="169" t="s">
        <v>1988</v>
      </c>
      <c r="B761" s="190" t="s">
        <v>1394</v>
      </c>
      <c r="C761" s="163" t="s">
        <v>37</v>
      </c>
      <c r="D761" s="160">
        <v>490</v>
      </c>
      <c r="E761" s="165" t="s">
        <v>2002</v>
      </c>
      <c r="F761" s="166">
        <v>43752</v>
      </c>
    </row>
    <row r="762" spans="1:6" ht="15" customHeight="1" x14ac:dyDescent="0.3">
      <c r="A762" s="169" t="s">
        <v>1989</v>
      </c>
      <c r="B762" s="190" t="s">
        <v>1981</v>
      </c>
      <c r="C762" s="163" t="s">
        <v>37</v>
      </c>
      <c r="D762" s="160">
        <v>490</v>
      </c>
      <c r="E762" s="165" t="s">
        <v>2002</v>
      </c>
      <c r="F762" s="166">
        <v>43130</v>
      </c>
    </row>
    <row r="763" spans="1:6" ht="15" customHeight="1" x14ac:dyDescent="0.3">
      <c r="A763" s="169" t="s">
        <v>1990</v>
      </c>
      <c r="B763" s="190" t="s">
        <v>1982</v>
      </c>
      <c r="C763" s="163" t="s">
        <v>37</v>
      </c>
      <c r="D763" s="160">
        <v>2100</v>
      </c>
      <c r="E763" s="165" t="s">
        <v>2002</v>
      </c>
      <c r="F763" s="166">
        <v>43130</v>
      </c>
    </row>
    <row r="764" spans="1:6" ht="15" customHeight="1" x14ac:dyDescent="0.3">
      <c r="A764" s="169" t="s">
        <v>1991</v>
      </c>
      <c r="B764" s="190" t="s">
        <v>1983</v>
      </c>
      <c r="C764" s="163" t="s">
        <v>37</v>
      </c>
      <c r="D764" s="160">
        <v>98</v>
      </c>
      <c r="E764" s="165" t="s">
        <v>2002</v>
      </c>
      <c r="F764" s="166">
        <v>43130</v>
      </c>
    </row>
    <row r="765" spans="1:6" ht="15" customHeight="1" x14ac:dyDescent="0.3">
      <c r="A765" s="169" t="s">
        <v>1992</v>
      </c>
      <c r="B765" s="190" t="s">
        <v>6310</v>
      </c>
      <c r="C765" s="163" t="s">
        <v>37</v>
      </c>
      <c r="D765" s="160">
        <v>24000</v>
      </c>
      <c r="E765" s="165" t="s">
        <v>883</v>
      </c>
      <c r="F765" s="166">
        <v>43130</v>
      </c>
    </row>
    <row r="766" spans="1:6" ht="15" customHeight="1" x14ac:dyDescent="0.3">
      <c r="A766" s="169" t="s">
        <v>1993</v>
      </c>
      <c r="B766" s="190" t="s">
        <v>1998</v>
      </c>
      <c r="C766" s="163" t="s">
        <v>37</v>
      </c>
      <c r="D766" s="160">
        <v>600</v>
      </c>
      <c r="E766" s="165" t="s">
        <v>2001</v>
      </c>
      <c r="F766" s="166">
        <v>43130</v>
      </c>
    </row>
    <row r="767" spans="1:6" ht="15" customHeight="1" x14ac:dyDescent="0.3">
      <c r="A767" s="169" t="s">
        <v>1994</v>
      </c>
      <c r="B767" s="190" t="s">
        <v>1984</v>
      </c>
      <c r="C767" s="163" t="s">
        <v>37</v>
      </c>
      <c r="D767" s="160">
        <v>350</v>
      </c>
      <c r="E767" s="165" t="s">
        <v>2002</v>
      </c>
      <c r="F767" s="166">
        <v>43130</v>
      </c>
    </row>
    <row r="768" spans="1:6" ht="15" customHeight="1" x14ac:dyDescent="0.3">
      <c r="A768" s="169" t="s">
        <v>1995</v>
      </c>
      <c r="B768" s="190" t="s">
        <v>1985</v>
      </c>
      <c r="C768" s="163" t="s">
        <v>1376</v>
      </c>
      <c r="D768" s="160">
        <v>260</v>
      </c>
      <c r="E768" s="165" t="s">
        <v>2002</v>
      </c>
      <c r="F768" s="166">
        <v>43130</v>
      </c>
    </row>
    <row r="769" spans="1:6" ht="15" customHeight="1" x14ac:dyDescent="0.3">
      <c r="A769" s="169" t="s">
        <v>1996</v>
      </c>
      <c r="B769" s="190" t="s">
        <v>1986</v>
      </c>
      <c r="C769" s="163" t="s">
        <v>37</v>
      </c>
      <c r="D769" s="160">
        <v>8300</v>
      </c>
      <c r="E769" s="165" t="s">
        <v>1999</v>
      </c>
      <c r="F769" s="166">
        <v>43130</v>
      </c>
    </row>
    <row r="770" spans="1:6" ht="15" customHeight="1" x14ac:dyDescent="0.3">
      <c r="A770" s="169" t="s">
        <v>1997</v>
      </c>
      <c r="B770" s="190" t="s">
        <v>2005</v>
      </c>
      <c r="C770" s="163" t="s">
        <v>37</v>
      </c>
      <c r="D770" s="160">
        <v>620</v>
      </c>
      <c r="E770" s="165" t="s">
        <v>1911</v>
      </c>
      <c r="F770" s="166">
        <v>43117</v>
      </c>
    </row>
    <row r="771" spans="1:6" ht="15" customHeight="1" x14ac:dyDescent="0.3">
      <c r="A771" s="169" t="s">
        <v>2007</v>
      </c>
      <c r="B771" s="190" t="s">
        <v>2006</v>
      </c>
      <c r="C771" s="163" t="s">
        <v>37</v>
      </c>
      <c r="D771" s="160">
        <v>700</v>
      </c>
      <c r="E771" s="165" t="s">
        <v>2079</v>
      </c>
      <c r="F771" s="166">
        <v>43117</v>
      </c>
    </row>
    <row r="772" spans="1:6" ht="15" customHeight="1" x14ac:dyDescent="0.3">
      <c r="A772" s="169" t="s">
        <v>2009</v>
      </c>
      <c r="B772" s="190" t="s">
        <v>2008</v>
      </c>
      <c r="C772" s="163" t="s">
        <v>29</v>
      </c>
      <c r="D772" s="160">
        <v>1</v>
      </c>
      <c r="E772" s="165"/>
      <c r="F772" s="166"/>
    </row>
    <row r="773" spans="1:6" ht="15" customHeight="1" x14ac:dyDescent="0.3">
      <c r="A773" s="169" t="s">
        <v>2012</v>
      </c>
      <c r="B773" s="190" t="s">
        <v>2010</v>
      </c>
      <c r="C773" s="163" t="s">
        <v>2011</v>
      </c>
      <c r="D773" s="160">
        <v>3.25</v>
      </c>
      <c r="E773" s="165"/>
      <c r="F773" s="166"/>
    </row>
    <row r="774" spans="1:6" ht="15" customHeight="1" x14ac:dyDescent="0.3">
      <c r="A774" s="169" t="s">
        <v>2014</v>
      </c>
      <c r="B774" s="190" t="s">
        <v>2013</v>
      </c>
      <c r="C774" s="163" t="s">
        <v>37</v>
      </c>
      <c r="D774" s="160">
        <v>495</v>
      </c>
      <c r="E774" s="165" t="s">
        <v>886</v>
      </c>
      <c r="F774" s="166">
        <v>43753</v>
      </c>
    </row>
    <row r="775" spans="1:6" ht="15" customHeight="1" x14ac:dyDescent="0.3">
      <c r="A775" s="169" t="s">
        <v>2016</v>
      </c>
      <c r="B775" s="190" t="s">
        <v>2015</v>
      </c>
      <c r="C775" s="163" t="s">
        <v>1376</v>
      </c>
      <c r="D775" s="160">
        <v>1300</v>
      </c>
      <c r="E775" s="165" t="s">
        <v>1964</v>
      </c>
      <c r="F775" s="166"/>
    </row>
    <row r="776" spans="1:6" ht="15" customHeight="1" x14ac:dyDescent="0.3">
      <c r="A776" s="169" t="s">
        <v>2018</v>
      </c>
      <c r="B776" s="190" t="s">
        <v>2017</v>
      </c>
      <c r="C776" s="163" t="s">
        <v>29</v>
      </c>
      <c r="D776" s="160">
        <v>0</v>
      </c>
      <c r="E776" s="165"/>
      <c r="F776" s="166"/>
    </row>
    <row r="777" spans="1:6" ht="15" customHeight="1" x14ac:dyDescent="0.3">
      <c r="A777" s="169" t="s">
        <v>2025</v>
      </c>
      <c r="B777" s="190" t="s">
        <v>2024</v>
      </c>
      <c r="C777" s="163" t="s">
        <v>37</v>
      </c>
      <c r="D777" s="160">
        <f>((((85+75)*1.03)/1.03)*1.02)/1.02</f>
        <v>160</v>
      </c>
      <c r="E777" s="165" t="s">
        <v>886</v>
      </c>
      <c r="F777" s="166">
        <v>44119</v>
      </c>
    </row>
    <row r="778" spans="1:6" ht="15" customHeight="1" x14ac:dyDescent="0.3">
      <c r="A778" s="169" t="s">
        <v>2027</v>
      </c>
      <c r="B778" s="190" t="s">
        <v>2026</v>
      </c>
      <c r="C778" s="163" t="s">
        <v>37</v>
      </c>
      <c r="D778" s="160">
        <v>400</v>
      </c>
      <c r="E778" s="165" t="s">
        <v>886</v>
      </c>
      <c r="F778" s="166"/>
    </row>
    <row r="779" spans="1:6" ht="15" customHeight="1" x14ac:dyDescent="0.3">
      <c r="A779" s="169" t="s">
        <v>2032</v>
      </c>
      <c r="B779" s="190" t="s">
        <v>2030</v>
      </c>
      <c r="C779" s="163" t="s">
        <v>2031</v>
      </c>
      <c r="D779" s="160">
        <f>((((1600*1.0756)*1.03)/1.03)*1.02)/1.02</f>
        <v>1720.9599999999998</v>
      </c>
      <c r="E779" s="165" t="s">
        <v>7253</v>
      </c>
      <c r="F779" s="166">
        <v>44759</v>
      </c>
    </row>
    <row r="780" spans="1:6" ht="15" customHeight="1" x14ac:dyDescent="0.3">
      <c r="A780" s="169" t="s">
        <v>2033</v>
      </c>
      <c r="B780" s="190" t="s">
        <v>2036</v>
      </c>
      <c r="C780" s="163" t="s">
        <v>2034</v>
      </c>
      <c r="D780" s="160">
        <v>1000</v>
      </c>
      <c r="E780" s="165" t="s">
        <v>2035</v>
      </c>
      <c r="F780" s="166">
        <v>43150</v>
      </c>
    </row>
    <row r="781" spans="1:6" ht="15" customHeight="1" x14ac:dyDescent="0.3">
      <c r="A781" s="169" t="s">
        <v>2039</v>
      </c>
      <c r="B781" s="190" t="s">
        <v>2040</v>
      </c>
      <c r="C781" s="163" t="s">
        <v>1376</v>
      </c>
      <c r="D781" s="160">
        <v>134</v>
      </c>
      <c r="E781" s="165" t="s">
        <v>2041</v>
      </c>
      <c r="F781" s="166"/>
    </row>
    <row r="782" spans="1:6" ht="15" customHeight="1" x14ac:dyDescent="0.3">
      <c r="A782" s="169" t="s">
        <v>2043</v>
      </c>
      <c r="B782" s="190" t="s">
        <v>2042</v>
      </c>
      <c r="C782" s="163" t="s">
        <v>37</v>
      </c>
      <c r="D782" s="160">
        <v>16000</v>
      </c>
      <c r="E782" s="165" t="s">
        <v>2000</v>
      </c>
      <c r="F782" s="166">
        <v>43171</v>
      </c>
    </row>
    <row r="783" spans="1:6" ht="15" customHeight="1" x14ac:dyDescent="0.3">
      <c r="A783" s="169" t="s">
        <v>2044</v>
      </c>
      <c r="B783" s="190" t="s">
        <v>2045</v>
      </c>
      <c r="C783" s="163" t="s">
        <v>37</v>
      </c>
      <c r="D783" s="160">
        <v>230</v>
      </c>
      <c r="E783" s="165" t="s">
        <v>886</v>
      </c>
      <c r="F783" s="166">
        <v>44119</v>
      </c>
    </row>
    <row r="784" spans="1:6" ht="15" customHeight="1" x14ac:dyDescent="0.3">
      <c r="A784" s="169" t="s">
        <v>2047</v>
      </c>
      <c r="B784" s="190" t="s">
        <v>2046</v>
      </c>
      <c r="C784" s="163" t="s">
        <v>37</v>
      </c>
      <c r="D784" s="160">
        <f>((((4.8*20)*1.03)/1.03)*1.02)/1.02</f>
        <v>96</v>
      </c>
      <c r="E784" s="165" t="s">
        <v>886</v>
      </c>
      <c r="F784" s="166">
        <v>43175</v>
      </c>
    </row>
    <row r="785" spans="1:6" ht="15" customHeight="1" x14ac:dyDescent="0.3">
      <c r="A785" s="169" t="s">
        <v>2049</v>
      </c>
      <c r="B785" s="190" t="s">
        <v>2048</v>
      </c>
      <c r="C785" s="163" t="s">
        <v>37</v>
      </c>
      <c r="D785" s="160">
        <v>105</v>
      </c>
      <c r="E785" s="165" t="s">
        <v>886</v>
      </c>
      <c r="F785" s="166">
        <v>44119</v>
      </c>
    </row>
    <row r="786" spans="1:6" ht="15" customHeight="1" x14ac:dyDescent="0.3">
      <c r="A786" s="169" t="s">
        <v>2050</v>
      </c>
      <c r="B786" s="156" t="s">
        <v>3053</v>
      </c>
      <c r="C786" s="163" t="s">
        <v>2051</v>
      </c>
      <c r="D786" s="160">
        <v>124.50000000000001</v>
      </c>
      <c r="E786" s="165" t="s">
        <v>1184</v>
      </c>
      <c r="F786" s="166"/>
    </row>
    <row r="787" spans="1:6" ht="15" customHeight="1" x14ac:dyDescent="0.3">
      <c r="A787" s="169" t="s">
        <v>2054</v>
      </c>
      <c r="B787" s="190" t="s">
        <v>2052</v>
      </c>
      <c r="C787" s="163" t="s">
        <v>73</v>
      </c>
      <c r="D787" s="160">
        <v>3.5</v>
      </c>
      <c r="E787" s="165" t="s">
        <v>3050</v>
      </c>
      <c r="F787" s="166">
        <v>43755</v>
      </c>
    </row>
    <row r="788" spans="1:6" ht="15" customHeight="1" x14ac:dyDescent="0.3">
      <c r="A788" s="169" t="s">
        <v>2055</v>
      </c>
      <c r="B788" s="190" t="s">
        <v>2053</v>
      </c>
      <c r="C788" s="163" t="s">
        <v>73</v>
      </c>
      <c r="D788" s="160">
        <v>18</v>
      </c>
      <c r="E788" s="165" t="s">
        <v>3050</v>
      </c>
      <c r="F788" s="166">
        <v>43755</v>
      </c>
    </row>
    <row r="789" spans="1:6" ht="15" customHeight="1" x14ac:dyDescent="0.3">
      <c r="A789" s="169" t="s">
        <v>2057</v>
      </c>
      <c r="B789" s="190" t="s">
        <v>2561</v>
      </c>
      <c r="C789" s="163" t="s">
        <v>37</v>
      </c>
      <c r="D789" s="160">
        <v>115.52</v>
      </c>
      <c r="E789" s="165" t="s">
        <v>2562</v>
      </c>
      <c r="F789" s="166">
        <v>43172</v>
      </c>
    </row>
    <row r="790" spans="1:6" ht="15" customHeight="1" x14ac:dyDescent="0.3">
      <c r="A790" s="169" t="s">
        <v>2060</v>
      </c>
      <c r="B790" s="190" t="s">
        <v>2059</v>
      </c>
      <c r="C790" s="163" t="s">
        <v>1376</v>
      </c>
      <c r="D790" s="160">
        <v>3800</v>
      </c>
      <c r="E790" s="165"/>
      <c r="F790" s="166"/>
    </row>
    <row r="791" spans="1:6" ht="15" customHeight="1" x14ac:dyDescent="0.3">
      <c r="A791" s="169" t="s">
        <v>2062</v>
      </c>
      <c r="B791" s="190" t="s">
        <v>2061</v>
      </c>
      <c r="C791" s="163" t="s">
        <v>1376</v>
      </c>
      <c r="D791" s="160">
        <v>780</v>
      </c>
      <c r="E791" s="165"/>
      <c r="F791" s="166"/>
    </row>
    <row r="792" spans="1:6" ht="15" customHeight="1" x14ac:dyDescent="0.3">
      <c r="A792" s="169" t="s">
        <v>2070</v>
      </c>
      <c r="B792" s="190" t="s">
        <v>2066</v>
      </c>
      <c r="C792" s="163" t="s">
        <v>1376</v>
      </c>
      <c r="D792" s="160">
        <v>1200</v>
      </c>
      <c r="E792" s="165"/>
      <c r="F792" s="166"/>
    </row>
    <row r="793" spans="1:6" ht="15" customHeight="1" x14ac:dyDescent="0.3">
      <c r="A793" s="169" t="s">
        <v>2071</v>
      </c>
      <c r="B793" s="190" t="s">
        <v>2064</v>
      </c>
      <c r="C793" s="163" t="s">
        <v>1376</v>
      </c>
      <c r="D793" s="160">
        <v>300</v>
      </c>
      <c r="E793" s="165"/>
      <c r="F793" s="166"/>
    </row>
    <row r="794" spans="1:6" ht="15" customHeight="1" x14ac:dyDescent="0.3">
      <c r="A794" s="169" t="s">
        <v>2072</v>
      </c>
      <c r="B794" s="190" t="s">
        <v>7300</v>
      </c>
      <c r="C794" s="163" t="s">
        <v>1376</v>
      </c>
      <c r="D794" s="160">
        <v>1500</v>
      </c>
      <c r="E794" s="165" t="s">
        <v>3543</v>
      </c>
      <c r="F794" s="166"/>
    </row>
    <row r="795" spans="1:6" ht="15" customHeight="1" x14ac:dyDescent="0.3">
      <c r="A795" s="169" t="s">
        <v>2073</v>
      </c>
      <c r="B795" s="190" t="s">
        <v>7301</v>
      </c>
      <c r="C795" s="163" t="s">
        <v>1376</v>
      </c>
      <c r="D795" s="160">
        <f>((((300*1.23)*1.03)/1.03)*1.02)/1.02</f>
        <v>369</v>
      </c>
      <c r="E795" s="165" t="s">
        <v>3543</v>
      </c>
      <c r="F795" s="166"/>
    </row>
    <row r="796" spans="1:6" ht="15" customHeight="1" x14ac:dyDescent="0.3">
      <c r="A796" s="169" t="s">
        <v>2074</v>
      </c>
      <c r="B796" s="190" t="s">
        <v>2065</v>
      </c>
      <c r="C796" s="163" t="s">
        <v>1376</v>
      </c>
      <c r="D796" s="160">
        <v>180</v>
      </c>
      <c r="E796" s="165"/>
      <c r="F796" s="166"/>
    </row>
    <row r="797" spans="1:6" ht="15" customHeight="1" x14ac:dyDescent="0.3">
      <c r="A797" s="169" t="s">
        <v>2075</v>
      </c>
      <c r="B797" s="190" t="s">
        <v>2066</v>
      </c>
      <c r="C797" s="163" t="s">
        <v>1376</v>
      </c>
      <c r="D797" s="160">
        <v>1800</v>
      </c>
      <c r="E797" s="165" t="s">
        <v>3543</v>
      </c>
      <c r="F797" s="166"/>
    </row>
    <row r="798" spans="1:6" ht="15" customHeight="1" x14ac:dyDescent="0.3">
      <c r="A798" s="169" t="s">
        <v>2076</v>
      </c>
      <c r="B798" s="190" t="s">
        <v>2067</v>
      </c>
      <c r="C798" s="163" t="s">
        <v>1376</v>
      </c>
      <c r="D798" s="160">
        <v>300</v>
      </c>
      <c r="E798" s="165"/>
      <c r="F798" s="166"/>
    </row>
    <row r="799" spans="1:6" ht="15" customHeight="1" x14ac:dyDescent="0.3">
      <c r="A799" s="169" t="s">
        <v>2077</v>
      </c>
      <c r="B799" s="190" t="s">
        <v>2068</v>
      </c>
      <c r="C799" s="163" t="s">
        <v>37</v>
      </c>
      <c r="D799" s="160">
        <v>300</v>
      </c>
      <c r="E799" s="165"/>
      <c r="F799" s="166"/>
    </row>
    <row r="800" spans="1:6" ht="15" customHeight="1" x14ac:dyDescent="0.3">
      <c r="A800" s="169" t="s">
        <v>2078</v>
      </c>
      <c r="B800" s="190" t="s">
        <v>2069</v>
      </c>
      <c r="C800" s="163" t="s">
        <v>1376</v>
      </c>
      <c r="D800" s="160">
        <v>2000</v>
      </c>
      <c r="E800" s="165"/>
      <c r="F800" s="166"/>
    </row>
    <row r="801" spans="1:6" ht="15" customHeight="1" x14ac:dyDescent="0.3">
      <c r="A801" s="169" t="s">
        <v>2080</v>
      </c>
      <c r="B801" s="156" t="s">
        <v>7674</v>
      </c>
      <c r="C801" s="163" t="s">
        <v>7673</v>
      </c>
      <c r="D801" s="160">
        <v>141.33000000000001</v>
      </c>
      <c r="E801" s="165"/>
      <c r="F801" s="166"/>
    </row>
    <row r="802" spans="1:6" ht="15" customHeight="1" x14ac:dyDescent="0.3">
      <c r="A802" s="169" t="s">
        <v>2083</v>
      </c>
      <c r="B802" s="190" t="s">
        <v>2082</v>
      </c>
      <c r="C802" s="163" t="s">
        <v>73</v>
      </c>
      <c r="D802" s="160">
        <v>13</v>
      </c>
      <c r="E802" s="165"/>
      <c r="F802" s="166"/>
    </row>
    <row r="803" spans="1:6" ht="15" customHeight="1" x14ac:dyDescent="0.3">
      <c r="A803" s="169" t="s">
        <v>2084</v>
      </c>
      <c r="B803" s="190" t="s">
        <v>3210</v>
      </c>
      <c r="C803" s="163" t="s">
        <v>73</v>
      </c>
      <c r="D803" s="160">
        <v>39</v>
      </c>
      <c r="E803" s="165" t="s">
        <v>4482</v>
      </c>
      <c r="F803" s="166">
        <v>44209</v>
      </c>
    </row>
    <row r="804" spans="1:6" ht="15" customHeight="1" x14ac:dyDescent="0.3">
      <c r="A804" s="169" t="s">
        <v>2095</v>
      </c>
      <c r="B804" s="190" t="s">
        <v>2107</v>
      </c>
      <c r="C804" s="163" t="s">
        <v>73</v>
      </c>
      <c r="D804" s="160">
        <v>169.34</v>
      </c>
      <c r="E804" s="165"/>
      <c r="F804" s="166"/>
    </row>
    <row r="805" spans="1:6" ht="15" customHeight="1" x14ac:dyDescent="0.3">
      <c r="A805" s="169" t="s">
        <v>2096</v>
      </c>
      <c r="B805" s="190" t="s">
        <v>2085</v>
      </c>
      <c r="C805" s="163" t="s">
        <v>2086</v>
      </c>
      <c r="D805" s="160">
        <v>74</v>
      </c>
      <c r="E805" s="165"/>
      <c r="F805" s="166"/>
    </row>
    <row r="806" spans="1:6" ht="15" customHeight="1" x14ac:dyDescent="0.3">
      <c r="A806" s="169" t="s">
        <v>2097</v>
      </c>
      <c r="B806" s="190" t="s">
        <v>2087</v>
      </c>
      <c r="C806" s="163" t="s">
        <v>2088</v>
      </c>
      <c r="D806" s="160">
        <v>68.88</v>
      </c>
      <c r="E806" s="165"/>
      <c r="F806" s="166"/>
    </row>
    <row r="807" spans="1:6" ht="15" customHeight="1" x14ac:dyDescent="0.3">
      <c r="A807" s="169" t="s">
        <v>2098</v>
      </c>
      <c r="B807" s="190" t="s">
        <v>2106</v>
      </c>
      <c r="C807" s="163" t="s">
        <v>73</v>
      </c>
      <c r="D807" s="160">
        <v>73.900000000000006</v>
      </c>
      <c r="E807" s="165"/>
      <c r="F807" s="166"/>
    </row>
    <row r="808" spans="1:6" ht="15" customHeight="1" x14ac:dyDescent="0.3">
      <c r="A808" s="169" t="s">
        <v>2099</v>
      </c>
      <c r="B808" s="190" t="s">
        <v>2089</v>
      </c>
      <c r="C808" s="163" t="s">
        <v>73</v>
      </c>
      <c r="D808" s="160">
        <v>67.5</v>
      </c>
      <c r="E808" s="165"/>
      <c r="F808" s="166"/>
    </row>
    <row r="809" spans="1:6" ht="15" customHeight="1" x14ac:dyDescent="0.3">
      <c r="A809" s="169" t="s">
        <v>2100</v>
      </c>
      <c r="B809" s="190" t="s">
        <v>2090</v>
      </c>
      <c r="C809" s="163" t="s">
        <v>73</v>
      </c>
      <c r="D809" s="160">
        <v>64.900000000000006</v>
      </c>
      <c r="E809" s="165"/>
      <c r="F809" s="166"/>
    </row>
    <row r="810" spans="1:6" ht="15" customHeight="1" x14ac:dyDescent="0.3">
      <c r="A810" s="169" t="s">
        <v>2101</v>
      </c>
      <c r="B810" s="190" t="s">
        <v>2091</v>
      </c>
      <c r="C810" s="163" t="s">
        <v>73</v>
      </c>
      <c r="D810" s="160">
        <v>307</v>
      </c>
      <c r="E810" s="165"/>
      <c r="F810" s="166"/>
    </row>
    <row r="811" spans="1:6" ht="15" customHeight="1" x14ac:dyDescent="0.3">
      <c r="A811" s="169" t="s">
        <v>2102</v>
      </c>
      <c r="B811" s="190" t="s">
        <v>2092</v>
      </c>
      <c r="C811" s="163" t="s">
        <v>73</v>
      </c>
      <c r="D811" s="160">
        <v>76.900000000000006</v>
      </c>
      <c r="E811" s="165"/>
      <c r="F811" s="166"/>
    </row>
    <row r="812" spans="1:6" ht="15" customHeight="1" x14ac:dyDescent="0.3">
      <c r="A812" s="169" t="s">
        <v>2103</v>
      </c>
      <c r="B812" s="190" t="s">
        <v>2093</v>
      </c>
      <c r="C812" s="163" t="s">
        <v>73</v>
      </c>
      <c r="D812" s="160">
        <v>104</v>
      </c>
      <c r="E812" s="165"/>
      <c r="F812" s="166"/>
    </row>
    <row r="813" spans="1:6" ht="15" customHeight="1" x14ac:dyDescent="0.3">
      <c r="A813" s="169" t="s">
        <v>2104</v>
      </c>
      <c r="B813" s="190" t="s">
        <v>2094</v>
      </c>
      <c r="C813" s="163" t="s">
        <v>73</v>
      </c>
      <c r="D813" s="160">
        <v>103.9</v>
      </c>
      <c r="E813" s="165"/>
      <c r="F813" s="166"/>
    </row>
    <row r="814" spans="1:6" ht="15" customHeight="1" x14ac:dyDescent="0.3">
      <c r="A814" s="662" t="s">
        <v>2105</v>
      </c>
      <c r="B814" s="619" t="s">
        <v>5681</v>
      </c>
      <c r="C814" s="614" t="s">
        <v>74</v>
      </c>
      <c r="D814" s="160">
        <f>((((3533/72)*1.03)/1.03)*1.02)/1.02</f>
        <v>49.069444444444443</v>
      </c>
      <c r="E814" s="616" t="s">
        <v>5680</v>
      </c>
      <c r="F814" s="617">
        <v>44427</v>
      </c>
    </row>
    <row r="815" spans="1:6" ht="15" customHeight="1" x14ac:dyDescent="0.3">
      <c r="A815" s="169" t="s">
        <v>2109</v>
      </c>
      <c r="B815" s="190" t="s">
        <v>3059</v>
      </c>
      <c r="C815" s="163" t="s">
        <v>1376</v>
      </c>
      <c r="D815" s="160">
        <v>4280</v>
      </c>
      <c r="E815" s="165" t="s">
        <v>3061</v>
      </c>
      <c r="F815" s="166">
        <v>43755</v>
      </c>
    </row>
    <row r="816" spans="1:6" ht="15" customHeight="1" x14ac:dyDescent="0.3">
      <c r="A816" s="169" t="s">
        <v>2126</v>
      </c>
      <c r="B816" s="190" t="s">
        <v>2116</v>
      </c>
      <c r="C816" s="163" t="s">
        <v>29</v>
      </c>
      <c r="D816" s="160">
        <v>1651.44</v>
      </c>
      <c r="E816" s="165" t="s">
        <v>2115</v>
      </c>
      <c r="F816" s="166">
        <v>43185</v>
      </c>
    </row>
    <row r="817" spans="1:6" ht="15" customHeight="1" x14ac:dyDescent="0.3">
      <c r="A817" s="169" t="s">
        <v>2127</v>
      </c>
      <c r="B817" s="190" t="s">
        <v>2119</v>
      </c>
      <c r="C817" s="163" t="s">
        <v>29</v>
      </c>
      <c r="D817" s="160">
        <v>350.86</v>
      </c>
      <c r="E817" s="165" t="s">
        <v>2115</v>
      </c>
      <c r="F817" s="166">
        <v>43185</v>
      </c>
    </row>
    <row r="818" spans="1:6" ht="15" customHeight="1" x14ac:dyDescent="0.3">
      <c r="A818" s="169" t="s">
        <v>2128</v>
      </c>
      <c r="B818" s="190" t="s">
        <v>2120</v>
      </c>
      <c r="C818" s="163" t="s">
        <v>29</v>
      </c>
      <c r="D818" s="160">
        <v>780</v>
      </c>
      <c r="E818" s="165" t="s">
        <v>2115</v>
      </c>
      <c r="F818" s="166">
        <v>43185</v>
      </c>
    </row>
    <row r="819" spans="1:6" ht="15" customHeight="1" x14ac:dyDescent="0.3">
      <c r="A819" s="169" t="s">
        <v>2129</v>
      </c>
      <c r="B819" s="190" t="s">
        <v>2117</v>
      </c>
      <c r="C819" s="163" t="s">
        <v>29</v>
      </c>
      <c r="D819" s="160">
        <v>908.62</v>
      </c>
      <c r="E819" s="165" t="s">
        <v>2115</v>
      </c>
      <c r="F819" s="166">
        <v>43185</v>
      </c>
    </row>
    <row r="820" spans="1:6" ht="15" customHeight="1" x14ac:dyDescent="0.3">
      <c r="A820" s="169" t="s">
        <v>2130</v>
      </c>
      <c r="B820" s="190" t="s">
        <v>2118</v>
      </c>
      <c r="C820" s="163" t="s">
        <v>29</v>
      </c>
      <c r="D820" s="160">
        <v>262.11</v>
      </c>
      <c r="E820" s="165" t="s">
        <v>2115</v>
      </c>
      <c r="F820" s="166">
        <v>43185</v>
      </c>
    </row>
    <row r="821" spans="1:6" ht="15" customHeight="1" x14ac:dyDescent="0.3">
      <c r="A821" s="169" t="s">
        <v>2131</v>
      </c>
      <c r="B821" s="190" t="s">
        <v>2121</v>
      </c>
      <c r="C821" s="163" t="s">
        <v>29</v>
      </c>
      <c r="D821" s="160">
        <v>739.33</v>
      </c>
      <c r="E821" s="165" t="s">
        <v>2115</v>
      </c>
      <c r="F821" s="166">
        <v>43185</v>
      </c>
    </row>
    <row r="822" spans="1:6" ht="15" customHeight="1" x14ac:dyDescent="0.3">
      <c r="A822" s="169" t="s">
        <v>2132</v>
      </c>
      <c r="B822" s="190" t="s">
        <v>2122</v>
      </c>
      <c r="C822" s="163" t="s">
        <v>29</v>
      </c>
      <c r="D822" s="160">
        <v>1534.75</v>
      </c>
      <c r="E822" s="165" t="s">
        <v>2115</v>
      </c>
      <c r="F822" s="166">
        <v>43185</v>
      </c>
    </row>
    <row r="823" spans="1:6" ht="15" customHeight="1" x14ac:dyDescent="0.3">
      <c r="A823" s="169" t="s">
        <v>2133</v>
      </c>
      <c r="B823" s="190" t="s">
        <v>2123</v>
      </c>
      <c r="C823" s="163" t="s">
        <v>29</v>
      </c>
      <c r="D823" s="160">
        <v>1249.73</v>
      </c>
      <c r="E823" s="165" t="s">
        <v>2115</v>
      </c>
      <c r="F823" s="166">
        <v>43185</v>
      </c>
    </row>
    <row r="824" spans="1:6" ht="15" customHeight="1" x14ac:dyDescent="0.3">
      <c r="A824" s="169" t="s">
        <v>2134</v>
      </c>
      <c r="B824" s="190" t="s">
        <v>2124</v>
      </c>
      <c r="C824" s="163" t="s">
        <v>29</v>
      </c>
      <c r="D824" s="160">
        <v>187.93</v>
      </c>
      <c r="E824" s="165" t="s">
        <v>2115</v>
      </c>
      <c r="F824" s="166">
        <v>43185</v>
      </c>
    </row>
    <row r="825" spans="1:6" ht="15" customHeight="1" x14ac:dyDescent="0.3">
      <c r="A825" s="169" t="s">
        <v>2135</v>
      </c>
      <c r="B825" s="190" t="s">
        <v>2125</v>
      </c>
      <c r="C825" s="163" t="s">
        <v>29</v>
      </c>
      <c r="D825" s="160">
        <v>696.88</v>
      </c>
      <c r="E825" s="165" t="s">
        <v>2115</v>
      </c>
      <c r="F825" s="166">
        <v>43185</v>
      </c>
    </row>
    <row r="826" spans="1:6" ht="15" customHeight="1" x14ac:dyDescent="0.3">
      <c r="A826" s="169" t="s">
        <v>2142</v>
      </c>
      <c r="B826" s="190" t="s">
        <v>2137</v>
      </c>
      <c r="C826" s="163" t="s">
        <v>29</v>
      </c>
      <c r="D826" s="160">
        <v>4038.2500000000005</v>
      </c>
      <c r="E826" s="165" t="s">
        <v>2141</v>
      </c>
      <c r="F826" s="166">
        <v>43185</v>
      </c>
    </row>
    <row r="827" spans="1:6" ht="15" customHeight="1" x14ac:dyDescent="0.3">
      <c r="A827" s="169" t="s">
        <v>2143</v>
      </c>
      <c r="B827" s="190" t="s">
        <v>2138</v>
      </c>
      <c r="C827" s="163" t="s">
        <v>29</v>
      </c>
      <c r="D827" s="160">
        <v>2366.48</v>
      </c>
      <c r="E827" s="165" t="s">
        <v>2141</v>
      </c>
      <c r="F827" s="166">
        <v>43185</v>
      </c>
    </row>
    <row r="828" spans="1:6" ht="15" customHeight="1" x14ac:dyDescent="0.3">
      <c r="A828" s="169" t="s">
        <v>2144</v>
      </c>
      <c r="B828" s="190" t="s">
        <v>2139</v>
      </c>
      <c r="C828" s="163" t="s">
        <v>29</v>
      </c>
      <c r="D828" s="160">
        <v>1379.45</v>
      </c>
      <c r="E828" s="165" t="s">
        <v>2141</v>
      </c>
      <c r="F828" s="166">
        <v>43185</v>
      </c>
    </row>
    <row r="829" spans="1:6" ht="15" customHeight="1" x14ac:dyDescent="0.3">
      <c r="A829" s="169" t="s">
        <v>2145</v>
      </c>
      <c r="B829" s="190" t="s">
        <v>2140</v>
      </c>
      <c r="C829" s="163" t="s">
        <v>29</v>
      </c>
      <c r="D829" s="160">
        <v>1566</v>
      </c>
      <c r="E829" s="165" t="s">
        <v>2141</v>
      </c>
      <c r="F829" s="166">
        <v>43185</v>
      </c>
    </row>
    <row r="830" spans="1:6" ht="15" customHeight="1" x14ac:dyDescent="0.3">
      <c r="A830" s="169" t="s">
        <v>2149</v>
      </c>
      <c r="B830" s="190" t="s">
        <v>2147</v>
      </c>
      <c r="C830" s="163" t="s">
        <v>29</v>
      </c>
      <c r="D830" s="160">
        <v>1364</v>
      </c>
      <c r="E830" s="165" t="s">
        <v>1790</v>
      </c>
      <c r="F830" s="166">
        <v>43185</v>
      </c>
    </row>
    <row r="831" spans="1:6" ht="15" customHeight="1" x14ac:dyDescent="0.3">
      <c r="A831" s="169" t="s">
        <v>2150</v>
      </c>
      <c r="B831" s="190" t="s">
        <v>2148</v>
      </c>
      <c r="C831" s="163" t="s">
        <v>29</v>
      </c>
      <c r="D831" s="160">
        <v>2268</v>
      </c>
      <c r="E831" s="165" t="s">
        <v>1790</v>
      </c>
      <c r="F831" s="166">
        <v>43185</v>
      </c>
    </row>
    <row r="832" spans="1:6" ht="15" customHeight="1" x14ac:dyDescent="0.3">
      <c r="A832" s="169" t="s">
        <v>2152</v>
      </c>
      <c r="B832" s="190" t="s">
        <v>2151</v>
      </c>
      <c r="C832" s="163" t="s">
        <v>29</v>
      </c>
      <c r="D832" s="160">
        <f>((((2195.97+2107.83+4132.78)*1.03)/1.03)*1.02)/1.02</f>
        <v>8436.5799999999981</v>
      </c>
      <c r="E832" s="165" t="s">
        <v>1818</v>
      </c>
      <c r="F832" s="166">
        <v>43186</v>
      </c>
    </row>
    <row r="833" spans="1:6" ht="15" customHeight="1" x14ac:dyDescent="0.3">
      <c r="A833" s="169" t="s">
        <v>2153</v>
      </c>
      <c r="B833" s="190" t="s">
        <v>3060</v>
      </c>
      <c r="C833" s="163" t="s">
        <v>1376</v>
      </c>
      <c r="D833" s="160">
        <v>7350</v>
      </c>
      <c r="E833" s="165" t="s">
        <v>3061</v>
      </c>
      <c r="F833" s="166">
        <v>43755</v>
      </c>
    </row>
    <row r="834" spans="1:6" ht="15" customHeight="1" x14ac:dyDescent="0.3">
      <c r="A834" s="169" t="s">
        <v>2154</v>
      </c>
      <c r="B834" s="190" t="s">
        <v>2966</v>
      </c>
      <c r="C834" s="163" t="s">
        <v>72</v>
      </c>
      <c r="D834" s="160">
        <v>266</v>
      </c>
      <c r="E834" s="165" t="s">
        <v>2185</v>
      </c>
      <c r="F834" s="166">
        <v>43752</v>
      </c>
    </row>
    <row r="835" spans="1:6" ht="15" customHeight="1" x14ac:dyDescent="0.3">
      <c r="A835" s="169" t="s">
        <v>2156</v>
      </c>
      <c r="B835" s="190" t="s">
        <v>2155</v>
      </c>
      <c r="C835" s="163" t="s">
        <v>29</v>
      </c>
      <c r="D835" s="160">
        <f>((((2570+1500)*1.03)/1.03)*1.02)/1.02</f>
        <v>4070.0000000000005</v>
      </c>
      <c r="E835" s="165"/>
      <c r="F835" s="166"/>
    </row>
    <row r="836" spans="1:6" ht="15" customHeight="1" x14ac:dyDescent="0.3">
      <c r="A836" s="169" t="s">
        <v>2158</v>
      </c>
      <c r="B836" s="190" t="s">
        <v>2157</v>
      </c>
      <c r="C836" s="163" t="s">
        <v>29</v>
      </c>
      <c r="D836" s="160">
        <v>7670</v>
      </c>
      <c r="E836" s="165" t="s">
        <v>1611</v>
      </c>
      <c r="F836" s="166"/>
    </row>
    <row r="837" spans="1:6" ht="15" customHeight="1" x14ac:dyDescent="0.3">
      <c r="A837" s="169" t="s">
        <v>2165</v>
      </c>
      <c r="B837" s="190" t="s">
        <v>2161</v>
      </c>
      <c r="C837" s="163" t="s">
        <v>1376</v>
      </c>
      <c r="D837" s="160">
        <f>(((((0.32*6200)/2)*1.03)/1.03)*1.02)/1.02</f>
        <v>992</v>
      </c>
      <c r="E837" s="165" t="s">
        <v>2175</v>
      </c>
      <c r="F837" s="166">
        <v>43187</v>
      </c>
    </row>
    <row r="838" spans="1:6" ht="15" customHeight="1" x14ac:dyDescent="0.3">
      <c r="A838" s="169" t="s">
        <v>2166</v>
      </c>
      <c r="B838" s="190" t="s">
        <v>2163</v>
      </c>
      <c r="C838" s="163" t="s">
        <v>1376</v>
      </c>
      <c r="D838" s="160">
        <f>((((0.4*6200)*1.03)/1.03)*1.02)/1.02</f>
        <v>2480</v>
      </c>
      <c r="E838" s="165" t="s">
        <v>2175</v>
      </c>
      <c r="F838" s="166">
        <v>43187</v>
      </c>
    </row>
    <row r="839" spans="1:6" ht="15" customHeight="1" x14ac:dyDescent="0.3">
      <c r="A839" s="169" t="s">
        <v>2167</v>
      </c>
      <c r="B839" s="190" t="s">
        <v>2162</v>
      </c>
      <c r="C839" s="163" t="s">
        <v>1376</v>
      </c>
      <c r="D839" s="160">
        <f>((((0.2*6200)*1.03)/1.03)*1.02)/1.02</f>
        <v>1240</v>
      </c>
      <c r="E839" s="165" t="s">
        <v>2175</v>
      </c>
      <c r="F839" s="166">
        <v>43187</v>
      </c>
    </row>
    <row r="840" spans="1:6" ht="15" customHeight="1" x14ac:dyDescent="0.3">
      <c r="A840" s="169" t="s">
        <v>2168</v>
      </c>
      <c r="B840" s="190" t="s">
        <v>2164</v>
      </c>
      <c r="C840" s="163" t="s">
        <v>1376</v>
      </c>
      <c r="D840" s="160">
        <f>(((((0.08*6200)/2)*1.03)/1.03)*1.02)/1.02</f>
        <v>248</v>
      </c>
      <c r="E840" s="165" t="s">
        <v>2175</v>
      </c>
      <c r="F840" s="166">
        <v>43187</v>
      </c>
    </row>
    <row r="841" spans="1:6" ht="15" customHeight="1" x14ac:dyDescent="0.3">
      <c r="A841" s="169" t="s">
        <v>2170</v>
      </c>
      <c r="B841" s="190" t="s">
        <v>3356</v>
      </c>
      <c r="C841" s="163" t="s">
        <v>29</v>
      </c>
      <c r="D841" s="160">
        <f>((((15000+(226.86*23.8))*1.03)/1.03)*1.02)/1.02</f>
        <v>20399.268</v>
      </c>
      <c r="E841" s="165" t="s">
        <v>3449</v>
      </c>
      <c r="F841" s="166">
        <v>43787</v>
      </c>
    </row>
    <row r="842" spans="1:6" ht="15" customHeight="1" x14ac:dyDescent="0.3">
      <c r="A842" s="169" t="s">
        <v>2172</v>
      </c>
      <c r="B842" s="190" t="s">
        <v>2171</v>
      </c>
      <c r="C842" s="163" t="s">
        <v>29</v>
      </c>
      <c r="D842" s="160">
        <f>((((1566+500+897+411)*1.03)/1.03)*1.02)/1.02</f>
        <v>3374</v>
      </c>
      <c r="E842" s="165" t="s">
        <v>2173</v>
      </c>
      <c r="F842" s="166">
        <v>43187</v>
      </c>
    </row>
    <row r="843" spans="1:6" ht="15" customHeight="1" x14ac:dyDescent="0.3">
      <c r="A843" s="169" t="s">
        <v>2177</v>
      </c>
      <c r="B843" s="190" t="s">
        <v>2176</v>
      </c>
      <c r="C843" s="163" t="s">
        <v>37</v>
      </c>
      <c r="D843" s="160">
        <v>500</v>
      </c>
      <c r="E843" s="165" t="s">
        <v>886</v>
      </c>
      <c r="F843" s="166">
        <v>44119</v>
      </c>
    </row>
    <row r="844" spans="1:6" ht="15" customHeight="1" x14ac:dyDescent="0.3">
      <c r="A844" s="169" t="s">
        <v>2180</v>
      </c>
      <c r="B844" s="190" t="s">
        <v>2178</v>
      </c>
      <c r="C844" s="163" t="s">
        <v>73</v>
      </c>
      <c r="D844" s="160">
        <v>50.72</v>
      </c>
      <c r="E844" s="165" t="s">
        <v>1326</v>
      </c>
      <c r="F844" s="166">
        <v>43188</v>
      </c>
    </row>
    <row r="845" spans="1:6" ht="15" customHeight="1" x14ac:dyDescent="0.3">
      <c r="A845" s="169" t="s">
        <v>2181</v>
      </c>
      <c r="B845" s="190" t="s">
        <v>2179</v>
      </c>
      <c r="C845" s="163" t="s">
        <v>72</v>
      </c>
      <c r="D845" s="160">
        <v>600</v>
      </c>
      <c r="E845" s="165"/>
      <c r="F845" s="166"/>
    </row>
    <row r="846" spans="1:6" ht="15" customHeight="1" x14ac:dyDescent="0.3">
      <c r="A846" s="169" t="s">
        <v>2192</v>
      </c>
      <c r="B846" s="190" t="s">
        <v>2186</v>
      </c>
      <c r="C846" s="163" t="s">
        <v>73</v>
      </c>
      <c r="D846" s="160">
        <v>22</v>
      </c>
      <c r="E846" s="165" t="s">
        <v>3591</v>
      </c>
      <c r="F846" s="166">
        <v>44551</v>
      </c>
    </row>
    <row r="847" spans="1:6" ht="15" customHeight="1" x14ac:dyDescent="0.3">
      <c r="A847" s="169" t="s">
        <v>2193</v>
      </c>
      <c r="B847" s="190" t="s">
        <v>4483</v>
      </c>
      <c r="C847" s="163" t="s">
        <v>73</v>
      </c>
      <c r="D847" s="160">
        <v>88</v>
      </c>
      <c r="E847" s="517" t="s">
        <v>4484</v>
      </c>
      <c r="F847" s="518">
        <v>44209</v>
      </c>
    </row>
    <row r="848" spans="1:6" ht="24.75" customHeight="1" x14ac:dyDescent="0.3">
      <c r="A848" s="169" t="s">
        <v>2194</v>
      </c>
      <c r="B848" s="190" t="s">
        <v>2187</v>
      </c>
      <c r="C848" s="163" t="s">
        <v>73</v>
      </c>
      <c r="D848" s="160">
        <v>82.67</v>
      </c>
      <c r="E848" s="165" t="s">
        <v>1326</v>
      </c>
      <c r="F848" s="166">
        <v>43188</v>
      </c>
    </row>
    <row r="849" spans="1:6" ht="15" customHeight="1" x14ac:dyDescent="0.3">
      <c r="A849" s="169" t="s">
        <v>2195</v>
      </c>
      <c r="B849" s="190" t="s">
        <v>2188</v>
      </c>
      <c r="C849" s="163" t="s">
        <v>73</v>
      </c>
      <c r="D849" s="160">
        <f>((((15*0.85)*1.03)/1.03)*1.02)/1.02</f>
        <v>12.75</v>
      </c>
      <c r="E849" s="468" t="s">
        <v>2946</v>
      </c>
      <c r="F849" s="469">
        <v>43711</v>
      </c>
    </row>
    <row r="850" spans="1:6" ht="15" customHeight="1" x14ac:dyDescent="0.3">
      <c r="A850" s="169" t="s">
        <v>2196</v>
      </c>
      <c r="B850" s="190" t="s">
        <v>2189</v>
      </c>
      <c r="C850" s="163" t="s">
        <v>73</v>
      </c>
      <c r="D850" s="160">
        <v>124.50000000000001</v>
      </c>
      <c r="E850" s="165" t="s">
        <v>1326</v>
      </c>
      <c r="F850" s="166">
        <v>43188</v>
      </c>
    </row>
    <row r="851" spans="1:6" ht="15" customHeight="1" x14ac:dyDescent="0.3">
      <c r="A851" s="169" t="s">
        <v>2197</v>
      </c>
      <c r="B851" s="190" t="s">
        <v>2190</v>
      </c>
      <c r="C851" s="163" t="s">
        <v>73</v>
      </c>
      <c r="D851" s="160">
        <v>55.72</v>
      </c>
      <c r="E851" s="165" t="s">
        <v>1326</v>
      </c>
      <c r="F851" s="166">
        <v>43188</v>
      </c>
    </row>
    <row r="852" spans="1:6" ht="15" customHeight="1" x14ac:dyDescent="0.3">
      <c r="A852" s="169" t="s">
        <v>2198</v>
      </c>
      <c r="B852" s="190" t="s">
        <v>2191</v>
      </c>
      <c r="C852" s="163" t="s">
        <v>73</v>
      </c>
      <c r="D852" s="160">
        <v>48</v>
      </c>
      <c r="E852" s="165" t="s">
        <v>1326</v>
      </c>
      <c r="F852" s="166">
        <v>43188</v>
      </c>
    </row>
    <row r="853" spans="1:6" ht="15" customHeight="1" x14ac:dyDescent="0.3">
      <c r="A853" s="169" t="s">
        <v>2210</v>
      </c>
      <c r="B853" s="190" t="s">
        <v>2209</v>
      </c>
      <c r="C853" s="163" t="s">
        <v>73</v>
      </c>
      <c r="D853" s="160">
        <v>56.9</v>
      </c>
      <c r="E853" s="165" t="s">
        <v>2944</v>
      </c>
      <c r="F853" s="166">
        <v>43188</v>
      </c>
    </row>
    <row r="854" spans="1:6" ht="15" customHeight="1" x14ac:dyDescent="0.3">
      <c r="A854" s="169" t="s">
        <v>2214</v>
      </c>
      <c r="B854" s="190" t="s">
        <v>2211</v>
      </c>
      <c r="C854" s="163" t="s">
        <v>73</v>
      </c>
      <c r="D854" s="160">
        <v>59.03</v>
      </c>
      <c r="E854" s="165" t="s">
        <v>947</v>
      </c>
      <c r="F854" s="166">
        <v>43195</v>
      </c>
    </row>
    <row r="855" spans="1:6" ht="15" customHeight="1" x14ac:dyDescent="0.3">
      <c r="A855" s="169" t="s">
        <v>2215</v>
      </c>
      <c r="B855" s="190" t="s">
        <v>2212</v>
      </c>
      <c r="C855" s="163" t="s">
        <v>73</v>
      </c>
      <c r="D855" s="160">
        <v>0</v>
      </c>
      <c r="E855" s="165"/>
      <c r="F855" s="166"/>
    </row>
    <row r="856" spans="1:6" ht="15" customHeight="1" x14ac:dyDescent="0.3">
      <c r="A856" s="169" t="s">
        <v>2216</v>
      </c>
      <c r="B856" s="190" t="s">
        <v>2213</v>
      </c>
      <c r="C856" s="163" t="s">
        <v>73</v>
      </c>
      <c r="D856" s="160">
        <v>29.83</v>
      </c>
      <c r="E856" s="165" t="s">
        <v>947</v>
      </c>
      <c r="F856" s="166">
        <v>43195</v>
      </c>
    </row>
    <row r="857" spans="1:6" ht="15" customHeight="1" x14ac:dyDescent="0.3">
      <c r="A857" s="169" t="s">
        <v>2221</v>
      </c>
      <c r="B857" s="190" t="s">
        <v>2220</v>
      </c>
      <c r="C857" s="163" t="s">
        <v>73</v>
      </c>
      <c r="D857" s="160">
        <v>0</v>
      </c>
      <c r="E857" s="165"/>
      <c r="F857" s="166"/>
    </row>
    <row r="858" spans="1:6" ht="15" customHeight="1" x14ac:dyDescent="0.3">
      <c r="A858" s="169" t="s">
        <v>2222</v>
      </c>
      <c r="B858" s="190" t="s">
        <v>2219</v>
      </c>
      <c r="C858" s="163" t="s">
        <v>73</v>
      </c>
      <c r="D858" s="160">
        <v>0</v>
      </c>
      <c r="E858" s="165"/>
      <c r="F858" s="166"/>
    </row>
    <row r="859" spans="1:6" ht="15" customHeight="1" x14ac:dyDescent="0.3">
      <c r="A859" s="169" t="s">
        <v>2224</v>
      </c>
      <c r="B859" s="190" t="s">
        <v>2223</v>
      </c>
      <c r="C859" s="163" t="s">
        <v>29</v>
      </c>
      <c r="D859" s="160">
        <v>18450</v>
      </c>
      <c r="E859" s="165" t="s">
        <v>2279</v>
      </c>
      <c r="F859" s="166">
        <v>45611</v>
      </c>
    </row>
    <row r="860" spans="1:6" ht="15" customHeight="1" x14ac:dyDescent="0.3">
      <c r="A860" s="169" t="s">
        <v>2230</v>
      </c>
      <c r="B860" s="190" t="s">
        <v>2229</v>
      </c>
      <c r="C860" s="163" t="s">
        <v>1590</v>
      </c>
      <c r="D860" s="160">
        <v>109.9</v>
      </c>
      <c r="E860" s="165" t="s">
        <v>1024</v>
      </c>
      <c r="F860" s="166">
        <v>43196</v>
      </c>
    </row>
    <row r="861" spans="1:6" ht="15" customHeight="1" x14ac:dyDescent="0.3">
      <c r="A861" s="169" t="s">
        <v>2233</v>
      </c>
      <c r="B861" s="190" t="s">
        <v>2236</v>
      </c>
      <c r="C861" s="163" t="s">
        <v>29</v>
      </c>
      <c r="D861" s="160">
        <v>11154.38</v>
      </c>
      <c r="E861" s="165"/>
      <c r="F861" s="166"/>
    </row>
    <row r="862" spans="1:6" ht="15" customHeight="1" x14ac:dyDescent="0.3">
      <c r="A862" s="169" t="s">
        <v>2234</v>
      </c>
      <c r="B862" s="190" t="s">
        <v>2231</v>
      </c>
      <c r="C862" s="163" t="s">
        <v>29</v>
      </c>
      <c r="D862" s="160">
        <v>0</v>
      </c>
      <c r="E862" s="165"/>
      <c r="F862" s="166"/>
    </row>
    <row r="863" spans="1:6" ht="15" customHeight="1" x14ac:dyDescent="0.3">
      <c r="A863" s="169" t="s">
        <v>2235</v>
      </c>
      <c r="B863" s="190" t="s">
        <v>2232</v>
      </c>
      <c r="C863" s="163" t="s">
        <v>29</v>
      </c>
      <c r="D863" s="160">
        <v>900</v>
      </c>
      <c r="E863" s="165"/>
      <c r="F863" s="166"/>
    </row>
    <row r="864" spans="1:6" ht="15" customHeight="1" x14ac:dyDescent="0.3">
      <c r="A864" s="169" t="s">
        <v>2240</v>
      </c>
      <c r="B864" s="190" t="s">
        <v>2239</v>
      </c>
      <c r="C864" s="163" t="s">
        <v>72</v>
      </c>
      <c r="D864" s="160">
        <v>80</v>
      </c>
      <c r="E864" s="165" t="s">
        <v>5460</v>
      </c>
      <c r="F864" s="166">
        <v>44788</v>
      </c>
    </row>
    <row r="865" spans="1:7" ht="15" customHeight="1" x14ac:dyDescent="0.3">
      <c r="A865" s="169" t="s">
        <v>2242</v>
      </c>
      <c r="B865" s="190" t="s">
        <v>2244</v>
      </c>
      <c r="C865" s="163" t="s">
        <v>29</v>
      </c>
      <c r="D865" s="160">
        <v>68550.52</v>
      </c>
      <c r="E865" s="165" t="s">
        <v>2264</v>
      </c>
      <c r="F865" s="166"/>
    </row>
    <row r="866" spans="1:7" ht="15" customHeight="1" x14ac:dyDescent="0.3">
      <c r="A866" s="169" t="s">
        <v>2245</v>
      </c>
      <c r="B866" s="190" t="s">
        <v>2243</v>
      </c>
      <c r="C866" s="163" t="s">
        <v>29</v>
      </c>
      <c r="D866" s="160">
        <v>2000</v>
      </c>
      <c r="E866" s="165" t="s">
        <v>2264</v>
      </c>
      <c r="F866" s="166"/>
    </row>
    <row r="867" spans="1:7" ht="15" customHeight="1" x14ac:dyDescent="0.3">
      <c r="A867" s="169" t="s">
        <v>2247</v>
      </c>
      <c r="B867" s="190" t="s">
        <v>2246</v>
      </c>
      <c r="C867" s="163" t="s">
        <v>74</v>
      </c>
      <c r="D867" s="160">
        <v>585</v>
      </c>
      <c r="E867" s="165" t="s">
        <v>1952</v>
      </c>
      <c r="F867" s="166"/>
    </row>
    <row r="868" spans="1:7" ht="15" customHeight="1" x14ac:dyDescent="0.3">
      <c r="A868" s="169" t="s">
        <v>2250</v>
      </c>
      <c r="B868" s="190" t="s">
        <v>2249</v>
      </c>
      <c r="C868" s="163" t="s">
        <v>1376</v>
      </c>
      <c r="D868" s="160">
        <v>470</v>
      </c>
      <c r="E868" s="165"/>
      <c r="F868" s="166"/>
    </row>
    <row r="869" spans="1:7" ht="15" customHeight="1" x14ac:dyDescent="0.3">
      <c r="A869" s="169" t="s">
        <v>2257</v>
      </c>
      <c r="B869" s="190" t="s">
        <v>2255</v>
      </c>
      <c r="C869" s="163" t="s">
        <v>29</v>
      </c>
      <c r="D869" s="160">
        <v>900</v>
      </c>
      <c r="E869" s="165" t="s">
        <v>2263</v>
      </c>
      <c r="F869" s="166"/>
    </row>
    <row r="870" spans="1:7" ht="15" customHeight="1" x14ac:dyDescent="0.3">
      <c r="A870" s="169" t="s">
        <v>2258</v>
      </c>
      <c r="B870" s="190" t="s">
        <v>2256</v>
      </c>
      <c r="C870" s="163" t="s">
        <v>74</v>
      </c>
      <c r="D870" s="160">
        <v>55</v>
      </c>
      <c r="E870" s="165" t="s">
        <v>2263</v>
      </c>
      <c r="F870" s="166"/>
    </row>
    <row r="871" spans="1:7" ht="15" customHeight="1" x14ac:dyDescent="0.3">
      <c r="A871" s="169" t="s">
        <v>2260</v>
      </c>
      <c r="B871" s="190" t="s">
        <v>2259</v>
      </c>
      <c r="C871" s="163" t="s">
        <v>73</v>
      </c>
      <c r="D871" s="160">
        <v>27.42</v>
      </c>
      <c r="E871" s="165"/>
      <c r="F871" s="166"/>
    </row>
    <row r="872" spans="1:7" ht="15" customHeight="1" x14ac:dyDescent="0.3">
      <c r="A872" s="169" t="s">
        <v>2262</v>
      </c>
      <c r="B872" s="190" t="s">
        <v>2967</v>
      </c>
      <c r="C872" s="163" t="s">
        <v>72</v>
      </c>
      <c r="D872" s="160">
        <v>400</v>
      </c>
      <c r="E872" s="165" t="s">
        <v>2185</v>
      </c>
      <c r="F872" s="166"/>
    </row>
    <row r="873" spans="1:7" ht="15" customHeight="1" x14ac:dyDescent="0.3">
      <c r="A873" s="169" t="s">
        <v>2266</v>
      </c>
      <c r="B873" s="190" t="s">
        <v>2265</v>
      </c>
      <c r="C873" s="163" t="s">
        <v>2267</v>
      </c>
      <c r="D873" s="160">
        <v>13</v>
      </c>
      <c r="E873" s="165" t="s">
        <v>1921</v>
      </c>
      <c r="F873" s="166">
        <v>43754</v>
      </c>
    </row>
    <row r="874" spans="1:7" ht="15" customHeight="1" x14ac:dyDescent="0.3">
      <c r="A874" s="169" t="s">
        <v>2269</v>
      </c>
      <c r="B874" s="156"/>
      <c r="C874" s="163"/>
      <c r="D874" s="160">
        <v>0</v>
      </c>
      <c r="E874" s="165"/>
      <c r="F874" s="159" t="s">
        <v>7041</v>
      </c>
      <c r="G874" s="166">
        <v>44650</v>
      </c>
    </row>
    <row r="875" spans="1:7" ht="15" customHeight="1" x14ac:dyDescent="0.3">
      <c r="A875" s="169" t="s">
        <v>2272</v>
      </c>
      <c r="B875" s="190" t="s">
        <v>2271</v>
      </c>
      <c r="C875" s="163" t="s">
        <v>2088</v>
      </c>
      <c r="D875" s="160">
        <v>23</v>
      </c>
      <c r="E875" s="165" t="s">
        <v>2273</v>
      </c>
      <c r="F875" s="166">
        <v>44746</v>
      </c>
    </row>
    <row r="876" spans="1:7" ht="15" customHeight="1" x14ac:dyDescent="0.3">
      <c r="A876" s="169" t="s">
        <v>2281</v>
      </c>
      <c r="B876" s="190" t="s">
        <v>4129</v>
      </c>
      <c r="C876" s="163" t="s">
        <v>2279</v>
      </c>
      <c r="D876" s="160">
        <v>145</v>
      </c>
      <c r="E876" s="165" t="s">
        <v>2185</v>
      </c>
      <c r="F876" s="166">
        <v>44188</v>
      </c>
    </row>
    <row r="877" spans="1:7" ht="15" customHeight="1" x14ac:dyDescent="0.3">
      <c r="A877" s="169" t="s">
        <v>2282</v>
      </c>
      <c r="B877" s="190" t="s">
        <v>8046</v>
      </c>
      <c r="C877" s="163" t="s">
        <v>2279</v>
      </c>
      <c r="D877" s="160">
        <v>578</v>
      </c>
      <c r="E877" s="165" t="s">
        <v>2280</v>
      </c>
      <c r="F877" s="166"/>
    </row>
    <row r="878" spans="1:7" ht="15" customHeight="1" x14ac:dyDescent="0.3">
      <c r="A878" s="169" t="s">
        <v>2286</v>
      </c>
      <c r="B878" s="190" t="s">
        <v>2284</v>
      </c>
      <c r="C878" s="163" t="s">
        <v>73</v>
      </c>
      <c r="D878" s="160">
        <v>61.01</v>
      </c>
      <c r="E878" s="165" t="s">
        <v>2559</v>
      </c>
      <c r="F878" s="166"/>
    </row>
    <row r="879" spans="1:7" ht="15" customHeight="1" x14ac:dyDescent="0.3">
      <c r="A879" s="169" t="s">
        <v>2287</v>
      </c>
      <c r="B879" s="190" t="s">
        <v>2285</v>
      </c>
      <c r="C879" s="163" t="s">
        <v>73</v>
      </c>
      <c r="D879" s="160">
        <v>30</v>
      </c>
      <c r="E879" s="165"/>
      <c r="F879" s="166"/>
    </row>
    <row r="880" spans="1:7" ht="15" customHeight="1" x14ac:dyDescent="0.3">
      <c r="A880" s="169" t="s">
        <v>2290</v>
      </c>
      <c r="B880" s="190" t="s">
        <v>2288</v>
      </c>
      <c r="C880" s="163" t="s">
        <v>73</v>
      </c>
      <c r="D880" s="160">
        <f>((((400/4.5)*1.03)/1.03)*1.02)/1.02</f>
        <v>88.888888888888886</v>
      </c>
      <c r="E880" s="165"/>
      <c r="F880" s="166"/>
    </row>
    <row r="881" spans="1:6" ht="15" customHeight="1" x14ac:dyDescent="0.3">
      <c r="A881" s="169" t="s">
        <v>2291</v>
      </c>
      <c r="B881" s="190" t="s">
        <v>2289</v>
      </c>
      <c r="C881" s="163" t="s">
        <v>73</v>
      </c>
      <c r="D881" s="160">
        <v>40</v>
      </c>
      <c r="E881" s="165" t="s">
        <v>2553</v>
      </c>
      <c r="F881" s="166"/>
    </row>
    <row r="882" spans="1:6" ht="15" customHeight="1" x14ac:dyDescent="0.3">
      <c r="A882" s="501" t="s">
        <v>2293</v>
      </c>
      <c r="B882" s="502" t="s">
        <v>3010</v>
      </c>
      <c r="C882" s="503" t="s">
        <v>2011</v>
      </c>
      <c r="D882" s="160">
        <v>54.5</v>
      </c>
      <c r="E882" s="504" t="s">
        <v>3008</v>
      </c>
      <c r="F882" s="505">
        <v>43754</v>
      </c>
    </row>
    <row r="883" spans="1:6" ht="15" customHeight="1" x14ac:dyDescent="0.3">
      <c r="A883" s="501" t="s">
        <v>2294</v>
      </c>
      <c r="B883" s="502" t="s">
        <v>3011</v>
      </c>
      <c r="C883" s="503" t="s">
        <v>2011</v>
      </c>
      <c r="D883" s="160">
        <v>70.849999999999994</v>
      </c>
      <c r="E883" s="504" t="s">
        <v>3008</v>
      </c>
      <c r="F883" s="505">
        <v>43754</v>
      </c>
    </row>
    <row r="884" spans="1:6" ht="15" customHeight="1" x14ac:dyDescent="0.3">
      <c r="A884" s="501" t="s">
        <v>2296</v>
      </c>
      <c r="B884" s="502" t="s">
        <v>3009</v>
      </c>
      <c r="C884" s="503" t="s">
        <v>73</v>
      </c>
      <c r="D884" s="160">
        <v>296</v>
      </c>
      <c r="E884" s="504" t="s">
        <v>3008</v>
      </c>
      <c r="F884" s="505">
        <v>43754</v>
      </c>
    </row>
    <row r="885" spans="1:6" ht="24.75" customHeight="1" x14ac:dyDescent="0.3">
      <c r="A885" s="501" t="s">
        <v>2313</v>
      </c>
      <c r="B885" s="502" t="s">
        <v>3012</v>
      </c>
      <c r="C885" s="503" t="s">
        <v>74</v>
      </c>
      <c r="D885" s="160">
        <v>43</v>
      </c>
      <c r="E885" s="504" t="s">
        <v>3008</v>
      </c>
      <c r="F885" s="505">
        <v>43754</v>
      </c>
    </row>
    <row r="886" spans="1:6" ht="15" customHeight="1" x14ac:dyDescent="0.3">
      <c r="A886" s="169" t="s">
        <v>2314</v>
      </c>
      <c r="B886" s="190" t="s">
        <v>2298</v>
      </c>
      <c r="C886" s="163" t="s">
        <v>1376</v>
      </c>
      <c r="D886" s="160">
        <v>125.26000000000002</v>
      </c>
      <c r="E886" s="165" t="s">
        <v>2297</v>
      </c>
      <c r="F886" s="166"/>
    </row>
    <row r="887" spans="1:6" ht="15" customHeight="1" x14ac:dyDescent="0.3">
      <c r="A887" s="169" t="s">
        <v>2315</v>
      </c>
      <c r="B887" s="190" t="s">
        <v>2299</v>
      </c>
      <c r="C887" s="163" t="s">
        <v>1376</v>
      </c>
      <c r="D887" s="160">
        <v>49.95</v>
      </c>
      <c r="E887" s="165" t="s">
        <v>2297</v>
      </c>
      <c r="F887" s="166"/>
    </row>
    <row r="888" spans="1:6" ht="15" customHeight="1" x14ac:dyDescent="0.3">
      <c r="A888" s="169" t="s">
        <v>2316</v>
      </c>
      <c r="B888" s="190" t="s">
        <v>2300</v>
      </c>
      <c r="C888" s="163" t="s">
        <v>1376</v>
      </c>
      <c r="D888" s="160">
        <v>450</v>
      </c>
      <c r="E888" s="165" t="s">
        <v>2297</v>
      </c>
      <c r="F888" s="166"/>
    </row>
    <row r="889" spans="1:6" ht="15" customHeight="1" x14ac:dyDescent="0.3">
      <c r="A889" s="169" t="s">
        <v>2317</v>
      </c>
      <c r="B889" s="190" t="s">
        <v>2301</v>
      </c>
      <c r="C889" s="163" t="s">
        <v>29</v>
      </c>
      <c r="D889" s="160">
        <v>40060</v>
      </c>
      <c r="E889" s="165" t="s">
        <v>2302</v>
      </c>
      <c r="F889" s="166"/>
    </row>
    <row r="890" spans="1:6" ht="15" customHeight="1" x14ac:dyDescent="0.3">
      <c r="A890" s="169" t="s">
        <v>2318</v>
      </c>
      <c r="B890" s="190" t="s">
        <v>2303</v>
      </c>
      <c r="C890" s="163" t="s">
        <v>29</v>
      </c>
      <c r="D890" s="160">
        <v>6000</v>
      </c>
      <c r="E890" s="165" t="s">
        <v>2302</v>
      </c>
      <c r="F890" s="166"/>
    </row>
    <row r="891" spans="1:6" ht="15" customHeight="1" x14ac:dyDescent="0.3">
      <c r="A891" s="169" t="s">
        <v>2319</v>
      </c>
      <c r="B891" s="190" t="s">
        <v>2304</v>
      </c>
      <c r="C891" s="163" t="s">
        <v>29</v>
      </c>
      <c r="D891" s="160">
        <v>3200</v>
      </c>
      <c r="E891" s="165" t="s">
        <v>2302</v>
      </c>
      <c r="F891" s="166"/>
    </row>
    <row r="892" spans="1:6" ht="15" customHeight="1" x14ac:dyDescent="0.3">
      <c r="A892" s="169" t="s">
        <v>2320</v>
      </c>
      <c r="B892" s="190" t="s">
        <v>2305</v>
      </c>
      <c r="C892" s="163" t="s">
        <v>29</v>
      </c>
      <c r="D892" s="160">
        <v>10000</v>
      </c>
      <c r="E892" s="165" t="s">
        <v>2302</v>
      </c>
      <c r="F892" s="166"/>
    </row>
    <row r="893" spans="1:6" ht="15" customHeight="1" x14ac:dyDescent="0.3">
      <c r="A893" s="169" t="s">
        <v>2321</v>
      </c>
      <c r="B893" s="190" t="s">
        <v>2306</v>
      </c>
      <c r="C893" s="163" t="s">
        <v>72</v>
      </c>
      <c r="D893" s="160">
        <v>35</v>
      </c>
      <c r="E893" s="165" t="s">
        <v>883</v>
      </c>
      <c r="F893" s="166">
        <v>44112</v>
      </c>
    </row>
    <row r="894" spans="1:6" ht="15" customHeight="1" x14ac:dyDescent="0.3">
      <c r="A894" s="169" t="s">
        <v>2322</v>
      </c>
      <c r="B894" s="190" t="s">
        <v>2308</v>
      </c>
      <c r="C894" s="163" t="s">
        <v>29</v>
      </c>
      <c r="D894" s="160">
        <v>2500</v>
      </c>
      <c r="E894" s="165" t="s">
        <v>2307</v>
      </c>
      <c r="F894" s="166"/>
    </row>
    <row r="895" spans="1:6" ht="15" customHeight="1" x14ac:dyDescent="0.3">
      <c r="A895" s="169" t="s">
        <v>2323</v>
      </c>
      <c r="B895" s="190" t="s">
        <v>8656</v>
      </c>
      <c r="C895" s="163" t="s">
        <v>74</v>
      </c>
      <c r="D895" s="160">
        <f>36*1.05</f>
        <v>37.800000000000004</v>
      </c>
      <c r="E895" s="165" t="s">
        <v>8654</v>
      </c>
      <c r="F895" s="166">
        <v>45611</v>
      </c>
    </row>
    <row r="896" spans="1:6" ht="15" customHeight="1" x14ac:dyDescent="0.3">
      <c r="A896" s="169" t="s">
        <v>2324</v>
      </c>
      <c r="B896" s="190" t="s">
        <v>2310</v>
      </c>
      <c r="C896" s="163" t="s">
        <v>29</v>
      </c>
      <c r="D896" s="160">
        <v>15000</v>
      </c>
      <c r="E896" s="165" t="s">
        <v>2309</v>
      </c>
      <c r="F896" s="166"/>
    </row>
    <row r="897" spans="1:7" ht="15" customHeight="1" x14ac:dyDescent="0.3">
      <c r="A897" s="169" t="s">
        <v>2325</v>
      </c>
      <c r="B897" s="190" t="s">
        <v>2311</v>
      </c>
      <c r="C897" s="163" t="s">
        <v>72</v>
      </c>
      <c r="D897" s="160">
        <v>60</v>
      </c>
      <c r="E897" s="165" t="s">
        <v>2238</v>
      </c>
      <c r="F897" s="166"/>
    </row>
    <row r="898" spans="1:7" ht="15" customHeight="1" x14ac:dyDescent="0.3">
      <c r="A898" s="169" t="s">
        <v>2326</v>
      </c>
      <c r="B898" s="190" t="s">
        <v>2312</v>
      </c>
      <c r="C898" s="163" t="s">
        <v>72</v>
      </c>
      <c r="D898" s="160">
        <v>308</v>
      </c>
      <c r="E898" s="165" t="s">
        <v>2261</v>
      </c>
      <c r="F898" s="166"/>
    </row>
    <row r="899" spans="1:7" ht="15" customHeight="1" x14ac:dyDescent="0.3">
      <c r="A899" s="169" t="s">
        <v>2331</v>
      </c>
      <c r="B899" s="190" t="s">
        <v>2327</v>
      </c>
      <c r="C899" s="163" t="s">
        <v>73</v>
      </c>
      <c r="D899" s="160">
        <v>17.8</v>
      </c>
      <c r="E899" s="165" t="s">
        <v>2328</v>
      </c>
      <c r="F899" s="166"/>
    </row>
    <row r="900" spans="1:7" ht="15" customHeight="1" x14ac:dyDescent="0.3">
      <c r="A900" s="169" t="s">
        <v>2332</v>
      </c>
      <c r="B900" s="190" t="s">
        <v>2329</v>
      </c>
      <c r="C900" s="163" t="s">
        <v>73</v>
      </c>
      <c r="D900" s="160">
        <v>16.5</v>
      </c>
      <c r="E900" s="165" t="s">
        <v>2328</v>
      </c>
      <c r="F900" s="166"/>
    </row>
    <row r="901" spans="1:7" ht="15" customHeight="1" x14ac:dyDescent="0.3">
      <c r="A901" s="169" t="s">
        <v>2333</v>
      </c>
      <c r="B901" s="190" t="s">
        <v>2330</v>
      </c>
      <c r="C901" s="163" t="s">
        <v>74</v>
      </c>
      <c r="D901" s="160">
        <v>25.54</v>
      </c>
      <c r="E901" s="165" t="s">
        <v>1879</v>
      </c>
      <c r="F901" s="166"/>
    </row>
    <row r="902" spans="1:7" ht="15" customHeight="1" x14ac:dyDescent="0.3">
      <c r="A902" s="169" t="s">
        <v>2339</v>
      </c>
      <c r="B902" s="156"/>
      <c r="C902" s="163"/>
      <c r="D902" s="160">
        <v>0</v>
      </c>
      <c r="E902" s="165"/>
      <c r="F902" s="159" t="s">
        <v>7041</v>
      </c>
      <c r="G902" s="166"/>
    </row>
    <row r="903" spans="1:7" ht="15" customHeight="1" x14ac:dyDescent="0.3">
      <c r="A903" s="169" t="s">
        <v>2340</v>
      </c>
      <c r="B903" s="190" t="s">
        <v>2334</v>
      </c>
      <c r="C903" s="163" t="s">
        <v>1376</v>
      </c>
      <c r="D903" s="160">
        <f>((((2210/19)*1.03)/1.03)*1.02)/1.02</f>
        <v>116.31578947368421</v>
      </c>
      <c r="E903" s="165" t="s">
        <v>2335</v>
      </c>
      <c r="F903" s="166"/>
    </row>
    <row r="904" spans="1:7" ht="24.75" customHeight="1" x14ac:dyDescent="0.3">
      <c r="A904" s="169" t="s">
        <v>2341</v>
      </c>
      <c r="B904" s="190" t="s">
        <v>2336</v>
      </c>
      <c r="C904" s="163" t="s">
        <v>1376</v>
      </c>
      <c r="D904" s="160">
        <v>300</v>
      </c>
      <c r="E904" s="165" t="s">
        <v>2335</v>
      </c>
      <c r="F904" s="166"/>
    </row>
    <row r="905" spans="1:7" ht="15" customHeight="1" x14ac:dyDescent="0.3">
      <c r="A905" s="169" t="s">
        <v>2342</v>
      </c>
      <c r="B905" s="190" t="s">
        <v>8033</v>
      </c>
      <c r="C905" s="163" t="s">
        <v>1376</v>
      </c>
      <c r="D905" s="160">
        <v>1050</v>
      </c>
      <c r="E905" s="165" t="s">
        <v>8034</v>
      </c>
      <c r="F905" s="166"/>
    </row>
    <row r="906" spans="1:7" ht="15" customHeight="1" x14ac:dyDescent="0.3">
      <c r="A906" s="169" t="s">
        <v>2343</v>
      </c>
      <c r="B906" s="190" t="s">
        <v>2337</v>
      </c>
      <c r="C906" s="163" t="s">
        <v>73</v>
      </c>
      <c r="D906" s="160">
        <v>72</v>
      </c>
      <c r="E906" s="165" t="s">
        <v>2338</v>
      </c>
      <c r="F906" s="166"/>
    </row>
    <row r="907" spans="1:7" ht="15" customHeight="1" x14ac:dyDescent="0.3">
      <c r="A907" s="169" t="s">
        <v>2350</v>
      </c>
      <c r="B907" s="190" t="s">
        <v>2344</v>
      </c>
      <c r="C907" s="163" t="s">
        <v>73</v>
      </c>
      <c r="D907" s="160">
        <f>((((0.49*138.59)*1.03)/1.03)*1.02)/1.02</f>
        <v>67.909099999999995</v>
      </c>
      <c r="E907" s="165" t="s">
        <v>2345</v>
      </c>
      <c r="F907" s="166"/>
    </row>
    <row r="908" spans="1:7" ht="15" customHeight="1" x14ac:dyDescent="0.3">
      <c r="A908" s="169" t="s">
        <v>2351</v>
      </c>
      <c r="B908" s="190" t="s">
        <v>2346</v>
      </c>
      <c r="C908" s="163" t="s">
        <v>73</v>
      </c>
      <c r="D908" s="160">
        <f>((((0.51*138.59)*1.03)/1.03)*1.02)/1.02</f>
        <v>70.680900000000008</v>
      </c>
      <c r="E908" s="165" t="s">
        <v>2345</v>
      </c>
      <c r="F908" s="166"/>
    </row>
    <row r="909" spans="1:7" ht="15" customHeight="1" x14ac:dyDescent="0.3">
      <c r="A909" s="169" t="s">
        <v>2352</v>
      </c>
      <c r="B909" s="190" t="s">
        <v>2347</v>
      </c>
      <c r="C909" s="163" t="s">
        <v>2088</v>
      </c>
      <c r="D909" s="160">
        <v>3</v>
      </c>
      <c r="E909" s="165"/>
      <c r="F909" s="166"/>
    </row>
    <row r="910" spans="1:7" ht="15" customHeight="1" x14ac:dyDescent="0.3">
      <c r="A910" s="169" t="s">
        <v>2353</v>
      </c>
      <c r="B910" s="190" t="s">
        <v>2348</v>
      </c>
      <c r="C910" s="163" t="s">
        <v>74</v>
      </c>
      <c r="D910" s="160">
        <f>((((0.49*136.97)*1.03)/1.03)*1.02)/1.02</f>
        <v>67.115300000000005</v>
      </c>
      <c r="E910" s="165" t="s">
        <v>2345</v>
      </c>
      <c r="F910" s="166"/>
    </row>
    <row r="911" spans="1:7" ht="15" customHeight="1" x14ac:dyDescent="0.3">
      <c r="A911" s="169" t="s">
        <v>2354</v>
      </c>
      <c r="B911" s="190" t="s">
        <v>2349</v>
      </c>
      <c r="C911" s="163" t="s">
        <v>74</v>
      </c>
      <c r="D911" s="160">
        <f>((((0.51*136.97)*1.03)/1.03)*1.02)/1.02</f>
        <v>69.854699999999994</v>
      </c>
      <c r="E911" s="165" t="s">
        <v>2345</v>
      </c>
      <c r="F911" s="166"/>
    </row>
    <row r="912" spans="1:7" ht="15" customHeight="1" x14ac:dyDescent="0.3">
      <c r="A912" s="169" t="s">
        <v>2377</v>
      </c>
      <c r="B912" s="190" t="s">
        <v>2355</v>
      </c>
      <c r="C912" s="163" t="s">
        <v>1376</v>
      </c>
      <c r="D912" s="160">
        <v>100</v>
      </c>
      <c r="E912" s="165" t="s">
        <v>4848</v>
      </c>
      <c r="F912" s="166">
        <v>44278</v>
      </c>
    </row>
    <row r="913" spans="1:6" ht="15" customHeight="1" x14ac:dyDescent="0.3">
      <c r="A913" s="169" t="s">
        <v>2378</v>
      </c>
      <c r="B913" s="190" t="s">
        <v>2357</v>
      </c>
      <c r="C913" s="163" t="s">
        <v>29</v>
      </c>
      <c r="D913" s="160">
        <v>810</v>
      </c>
      <c r="E913" s="165" t="s">
        <v>2356</v>
      </c>
      <c r="F913" s="166"/>
    </row>
    <row r="914" spans="1:6" ht="15" customHeight="1" x14ac:dyDescent="0.3">
      <c r="A914" s="169" t="s">
        <v>2379</v>
      </c>
      <c r="B914" s="190" t="s">
        <v>2358</v>
      </c>
      <c r="C914" s="163" t="s">
        <v>29</v>
      </c>
      <c r="D914" s="160">
        <v>518.5</v>
      </c>
      <c r="E914" s="165" t="s">
        <v>2359</v>
      </c>
      <c r="F914" s="166"/>
    </row>
    <row r="915" spans="1:6" ht="15" customHeight="1" x14ac:dyDescent="0.3">
      <c r="A915" s="169" t="s">
        <v>2380</v>
      </c>
      <c r="B915" s="190" t="s">
        <v>2360</v>
      </c>
      <c r="C915" s="163" t="s">
        <v>1376</v>
      </c>
      <c r="D915" s="160">
        <v>99.9</v>
      </c>
      <c r="E915" s="165" t="s">
        <v>886</v>
      </c>
      <c r="F915" s="166"/>
    </row>
    <row r="916" spans="1:6" ht="15" customHeight="1" x14ac:dyDescent="0.3">
      <c r="A916" s="169" t="s">
        <v>2381</v>
      </c>
      <c r="B916" s="190" t="s">
        <v>2361</v>
      </c>
      <c r="C916" s="163" t="s">
        <v>37</v>
      </c>
      <c r="D916" s="160">
        <v>330</v>
      </c>
      <c r="E916" s="165"/>
      <c r="F916" s="166"/>
    </row>
    <row r="917" spans="1:6" ht="15" customHeight="1" x14ac:dyDescent="0.3">
      <c r="A917" s="169" t="s">
        <v>2382</v>
      </c>
      <c r="B917" s="190" t="s">
        <v>2362</v>
      </c>
      <c r="C917" s="163" t="s">
        <v>37</v>
      </c>
      <c r="D917" s="160">
        <v>300</v>
      </c>
      <c r="E917" s="165" t="s">
        <v>1392</v>
      </c>
      <c r="F917" s="166"/>
    </row>
    <row r="918" spans="1:6" ht="15" customHeight="1" x14ac:dyDescent="0.3">
      <c r="A918" s="169" t="s">
        <v>2383</v>
      </c>
      <c r="B918" s="190" t="s">
        <v>2265</v>
      </c>
      <c r="C918" s="163" t="s">
        <v>2363</v>
      </c>
      <c r="D918" s="160">
        <v>13</v>
      </c>
      <c r="E918" s="165" t="s">
        <v>1921</v>
      </c>
      <c r="F918" s="166">
        <v>43754</v>
      </c>
    </row>
    <row r="919" spans="1:6" ht="15" customHeight="1" x14ac:dyDescent="0.3">
      <c r="A919" s="169" t="s">
        <v>2384</v>
      </c>
      <c r="B919" s="190" t="s">
        <v>2364</v>
      </c>
      <c r="C919" s="163" t="s">
        <v>72</v>
      </c>
      <c r="D919" s="160">
        <v>319.64999999999998</v>
      </c>
      <c r="E919" s="165" t="s">
        <v>6305</v>
      </c>
      <c r="F919" s="166">
        <v>44560</v>
      </c>
    </row>
    <row r="920" spans="1:6" ht="15" customHeight="1" x14ac:dyDescent="0.3">
      <c r="A920" s="169" t="s">
        <v>2385</v>
      </c>
      <c r="B920" s="190" t="s">
        <v>2365</v>
      </c>
      <c r="C920" s="163" t="s">
        <v>72</v>
      </c>
      <c r="D920" s="160">
        <v>100</v>
      </c>
      <c r="E920" s="165" t="s">
        <v>2261</v>
      </c>
      <c r="F920" s="166"/>
    </row>
    <row r="921" spans="1:6" ht="15" customHeight="1" x14ac:dyDescent="0.3">
      <c r="A921" s="169" t="s">
        <v>2386</v>
      </c>
      <c r="B921" s="190" t="s">
        <v>2366</v>
      </c>
      <c r="C921" s="163" t="s">
        <v>1916</v>
      </c>
      <c r="D921" s="160">
        <v>85.5</v>
      </c>
      <c r="E921" s="165" t="s">
        <v>2367</v>
      </c>
      <c r="F921" s="166"/>
    </row>
    <row r="922" spans="1:6" ht="15" customHeight="1" x14ac:dyDescent="0.3">
      <c r="A922" s="169" t="s">
        <v>2387</v>
      </c>
      <c r="B922" s="190" t="s">
        <v>2368</v>
      </c>
      <c r="C922" s="163" t="s">
        <v>2369</v>
      </c>
      <c r="D922" s="160">
        <v>31.689999999999998</v>
      </c>
      <c r="E922" s="165" t="s">
        <v>2356</v>
      </c>
      <c r="F922" s="166"/>
    </row>
    <row r="923" spans="1:6" ht="15" customHeight="1" x14ac:dyDescent="0.3">
      <c r="A923" s="169" t="s">
        <v>2388</v>
      </c>
      <c r="B923" s="190" t="s">
        <v>2370</v>
      </c>
      <c r="C923" s="163" t="s">
        <v>2371</v>
      </c>
      <c r="D923" s="160">
        <v>24.7</v>
      </c>
      <c r="E923" s="165" t="s">
        <v>2367</v>
      </c>
      <c r="F923" s="166"/>
    </row>
    <row r="924" spans="1:6" ht="15" customHeight="1" x14ac:dyDescent="0.3">
      <c r="A924" s="169" t="s">
        <v>2389</v>
      </c>
      <c r="B924" s="190" t="s">
        <v>2372</v>
      </c>
      <c r="C924" s="163" t="s">
        <v>2369</v>
      </c>
      <c r="D924" s="160">
        <v>118.75</v>
      </c>
      <c r="E924" s="165" t="s">
        <v>2367</v>
      </c>
      <c r="F924" s="166"/>
    </row>
    <row r="925" spans="1:6" ht="15" customHeight="1" x14ac:dyDescent="0.3">
      <c r="A925" s="169" t="s">
        <v>2390</v>
      </c>
      <c r="B925" s="190" t="s">
        <v>2373</v>
      </c>
      <c r="C925" s="163" t="s">
        <v>2374</v>
      </c>
      <c r="D925" s="160">
        <v>736</v>
      </c>
      <c r="E925" s="165" t="s">
        <v>2367</v>
      </c>
      <c r="F925" s="166"/>
    </row>
    <row r="926" spans="1:6" ht="15" customHeight="1" x14ac:dyDescent="0.3">
      <c r="A926" s="169" t="s">
        <v>2391</v>
      </c>
      <c r="B926" s="190" t="s">
        <v>2375</v>
      </c>
      <c r="C926" s="163" t="s">
        <v>72</v>
      </c>
      <c r="D926" s="160">
        <v>290</v>
      </c>
      <c r="E926" s="165" t="s">
        <v>2261</v>
      </c>
      <c r="F926" s="166"/>
    </row>
    <row r="927" spans="1:6" ht="15" customHeight="1" x14ac:dyDescent="0.3">
      <c r="A927" s="169" t="s">
        <v>2392</v>
      </c>
      <c r="B927" s="190" t="s">
        <v>2376</v>
      </c>
      <c r="C927" s="163" t="s">
        <v>2268</v>
      </c>
      <c r="D927" s="160">
        <v>37.9</v>
      </c>
      <c r="E927" s="165" t="s">
        <v>1184</v>
      </c>
      <c r="F927" s="166"/>
    </row>
    <row r="928" spans="1:6" ht="15" customHeight="1" x14ac:dyDescent="0.3">
      <c r="A928" s="169" t="s">
        <v>2393</v>
      </c>
      <c r="B928" s="190" t="s">
        <v>2396</v>
      </c>
      <c r="C928" s="163" t="s">
        <v>73</v>
      </c>
      <c r="D928" s="160">
        <f>((((13118.49/157.07)*1.03)/1.03)*1.02)/1.02</f>
        <v>83.52002291971732</v>
      </c>
      <c r="E928" s="165" t="s">
        <v>947</v>
      </c>
      <c r="F928" s="166">
        <v>43640</v>
      </c>
    </row>
    <row r="929" spans="1:6" ht="15" customHeight="1" x14ac:dyDescent="0.3">
      <c r="A929" s="169" t="s">
        <v>2394</v>
      </c>
      <c r="B929" s="190" t="s">
        <v>2397</v>
      </c>
      <c r="C929" s="163" t="s">
        <v>73</v>
      </c>
      <c r="D929" s="160">
        <v>49.75</v>
      </c>
      <c r="E929" s="165"/>
      <c r="F929" s="166"/>
    </row>
    <row r="930" spans="1:6" ht="15" customHeight="1" x14ac:dyDescent="0.3">
      <c r="A930" s="169" t="s">
        <v>2401</v>
      </c>
      <c r="B930" s="190" t="s">
        <v>2399</v>
      </c>
      <c r="C930" s="163" t="s">
        <v>1590</v>
      </c>
      <c r="D930" s="160">
        <v>26</v>
      </c>
      <c r="E930" s="165" t="s">
        <v>2622</v>
      </c>
      <c r="F930" s="166">
        <v>43640</v>
      </c>
    </row>
    <row r="931" spans="1:6" ht="15" customHeight="1" x14ac:dyDescent="0.3">
      <c r="A931" s="169" t="s">
        <v>2402</v>
      </c>
      <c r="B931" s="190" t="s">
        <v>2400</v>
      </c>
      <c r="C931" s="163" t="s">
        <v>73</v>
      </c>
      <c r="D931" s="160">
        <v>54.55</v>
      </c>
      <c r="E931" s="165" t="s">
        <v>1414</v>
      </c>
      <c r="F931" s="166"/>
    </row>
    <row r="932" spans="1:6" ht="15" customHeight="1" x14ac:dyDescent="0.3">
      <c r="A932" s="169" t="s">
        <v>2404</v>
      </c>
      <c r="B932" s="190" t="s">
        <v>2403</v>
      </c>
      <c r="C932" s="163" t="s">
        <v>73</v>
      </c>
      <c r="D932" s="160">
        <v>129</v>
      </c>
      <c r="E932" s="165" t="s">
        <v>2622</v>
      </c>
      <c r="F932" s="166">
        <v>43640</v>
      </c>
    </row>
    <row r="933" spans="1:6" ht="15" customHeight="1" x14ac:dyDescent="0.3">
      <c r="A933" s="169" t="s">
        <v>2405</v>
      </c>
      <c r="B933" s="190" t="s">
        <v>4451</v>
      </c>
      <c r="C933" s="163" t="s">
        <v>73</v>
      </c>
      <c r="D933" s="160">
        <v>35</v>
      </c>
      <c r="E933" s="165" t="s">
        <v>4450</v>
      </c>
      <c r="F933" s="166">
        <v>44208</v>
      </c>
    </row>
    <row r="934" spans="1:6" ht="15" customHeight="1" x14ac:dyDescent="0.3">
      <c r="A934" s="169" t="s">
        <v>2412</v>
      </c>
      <c r="B934" s="190" t="s">
        <v>3271</v>
      </c>
      <c r="C934" s="163" t="s">
        <v>73</v>
      </c>
      <c r="D934" s="160">
        <v>220</v>
      </c>
      <c r="E934" s="165" t="s">
        <v>3266</v>
      </c>
      <c r="F934" s="166">
        <v>43775</v>
      </c>
    </row>
    <row r="935" spans="1:6" ht="15" customHeight="1" x14ac:dyDescent="0.3">
      <c r="A935" s="169" t="s">
        <v>2413</v>
      </c>
      <c r="B935" s="190" t="s">
        <v>2411</v>
      </c>
      <c r="C935" s="163" t="s">
        <v>73</v>
      </c>
      <c r="D935" s="160">
        <v>110</v>
      </c>
      <c r="E935" s="165" t="s">
        <v>2567</v>
      </c>
      <c r="F935" s="166"/>
    </row>
    <row r="936" spans="1:6" ht="15" customHeight="1" x14ac:dyDescent="0.3">
      <c r="A936" s="169" t="s">
        <v>2415</v>
      </c>
      <c r="B936" s="190" t="s">
        <v>2537</v>
      </c>
      <c r="C936" s="163" t="s">
        <v>2268</v>
      </c>
      <c r="D936" s="160">
        <v>8.3000000000000007</v>
      </c>
      <c r="E936" s="165" t="s">
        <v>2185</v>
      </c>
      <c r="F936" s="166"/>
    </row>
    <row r="937" spans="1:6" ht="15" customHeight="1" x14ac:dyDescent="0.3">
      <c r="A937" s="169" t="s">
        <v>2418</v>
      </c>
      <c r="B937" s="190" t="s">
        <v>2417</v>
      </c>
      <c r="C937" s="163" t="s">
        <v>73</v>
      </c>
      <c r="D937" s="160">
        <v>1000</v>
      </c>
      <c r="E937" s="165"/>
      <c r="F937" s="166"/>
    </row>
    <row r="938" spans="1:6" ht="15" customHeight="1" x14ac:dyDescent="0.3">
      <c r="A938" s="169" t="s">
        <v>2420</v>
      </c>
      <c r="B938" s="190" t="s">
        <v>2422</v>
      </c>
      <c r="C938" s="163" t="s">
        <v>73</v>
      </c>
      <c r="D938" s="160">
        <v>279</v>
      </c>
      <c r="E938" s="165" t="s">
        <v>2559</v>
      </c>
      <c r="F938" s="166"/>
    </row>
    <row r="939" spans="1:6" ht="15" customHeight="1" x14ac:dyDescent="0.3">
      <c r="A939" s="169" t="s">
        <v>2421</v>
      </c>
      <c r="B939" s="190" t="s">
        <v>2424</v>
      </c>
      <c r="C939" s="163" t="s">
        <v>73</v>
      </c>
      <c r="D939" s="160">
        <v>49.75</v>
      </c>
      <c r="E939" s="165"/>
      <c r="F939" s="166"/>
    </row>
    <row r="940" spans="1:6" ht="15" customHeight="1" x14ac:dyDescent="0.3">
      <c r="A940" s="169" t="s">
        <v>2425</v>
      </c>
      <c r="B940" s="190" t="s">
        <v>2973</v>
      </c>
      <c r="C940" s="163" t="s">
        <v>73</v>
      </c>
      <c r="D940" s="160">
        <v>202.6</v>
      </c>
      <c r="E940" s="165" t="s">
        <v>2976</v>
      </c>
      <c r="F940" s="166">
        <v>43753</v>
      </c>
    </row>
    <row r="941" spans="1:6" ht="15" customHeight="1" x14ac:dyDescent="0.3">
      <c r="A941" s="169" t="s">
        <v>2426</v>
      </c>
      <c r="B941" s="190" t="s">
        <v>2974</v>
      </c>
      <c r="C941" s="163" t="s">
        <v>73</v>
      </c>
      <c r="D941" s="160">
        <v>40</v>
      </c>
      <c r="E941" s="165" t="s">
        <v>405</v>
      </c>
      <c r="F941" s="166"/>
    </row>
    <row r="942" spans="1:6" ht="15" customHeight="1" x14ac:dyDescent="0.3">
      <c r="A942" s="169" t="s">
        <v>2428</v>
      </c>
      <c r="B942" s="190" t="s">
        <v>2532</v>
      </c>
      <c r="C942" s="163" t="s">
        <v>74</v>
      </c>
      <c r="D942" s="160">
        <v>25.84</v>
      </c>
      <c r="E942" s="165" t="s">
        <v>2533</v>
      </c>
      <c r="F942" s="166"/>
    </row>
    <row r="943" spans="1:6" ht="15" customHeight="1" x14ac:dyDescent="0.3">
      <c r="A943" s="169" t="s">
        <v>2431</v>
      </c>
      <c r="B943" s="190" t="s">
        <v>2429</v>
      </c>
      <c r="C943" s="163" t="s">
        <v>74</v>
      </c>
      <c r="D943" s="160">
        <f>((((11.5*2)*1.03)/1.03)*1.02)/1.02</f>
        <v>23</v>
      </c>
      <c r="E943" s="165" t="s">
        <v>4468</v>
      </c>
      <c r="F943" s="166">
        <v>44210</v>
      </c>
    </row>
    <row r="944" spans="1:6" ht="15" customHeight="1" x14ac:dyDescent="0.3">
      <c r="A944" s="169" t="s">
        <v>2432</v>
      </c>
      <c r="B944" s="190" t="s">
        <v>2430</v>
      </c>
      <c r="C944" s="163" t="s">
        <v>74</v>
      </c>
      <c r="D944" s="160">
        <v>30</v>
      </c>
      <c r="E944" s="165" t="s">
        <v>4468</v>
      </c>
      <c r="F944" s="166">
        <v>44208</v>
      </c>
    </row>
    <row r="945" spans="1:6" ht="15" customHeight="1" x14ac:dyDescent="0.3">
      <c r="A945" s="169" t="s">
        <v>2436</v>
      </c>
      <c r="B945" s="190" t="s">
        <v>2434</v>
      </c>
      <c r="C945" s="163" t="s">
        <v>1590</v>
      </c>
      <c r="D945" s="160">
        <v>90.75</v>
      </c>
      <c r="E945" s="165" t="s">
        <v>2559</v>
      </c>
      <c r="F945" s="166"/>
    </row>
    <row r="946" spans="1:6" ht="15" customHeight="1" x14ac:dyDescent="0.3">
      <c r="A946" s="169" t="s">
        <v>2437</v>
      </c>
      <c r="B946" s="190" t="s">
        <v>2435</v>
      </c>
      <c r="C946" s="163" t="s">
        <v>74</v>
      </c>
      <c r="D946" s="160">
        <v>27.28</v>
      </c>
      <c r="E946" s="165" t="s">
        <v>1414</v>
      </c>
      <c r="F946" s="166"/>
    </row>
    <row r="947" spans="1:6" ht="15" customHeight="1" x14ac:dyDescent="0.3">
      <c r="A947" s="169" t="s">
        <v>2441</v>
      </c>
      <c r="B947" s="190" t="s">
        <v>2439</v>
      </c>
      <c r="C947" s="163" t="s">
        <v>1590</v>
      </c>
      <c r="D947" s="160">
        <v>289</v>
      </c>
      <c r="E947" s="165" t="s">
        <v>2622</v>
      </c>
      <c r="F947" s="166">
        <v>43626</v>
      </c>
    </row>
    <row r="948" spans="1:6" ht="15" customHeight="1" x14ac:dyDescent="0.3">
      <c r="A948" s="169" t="s">
        <v>2442</v>
      </c>
      <c r="B948" s="190" t="s">
        <v>2440</v>
      </c>
      <c r="C948" s="163" t="s">
        <v>73</v>
      </c>
      <c r="D948" s="160">
        <v>54.55</v>
      </c>
      <c r="E948" s="165" t="s">
        <v>1414</v>
      </c>
      <c r="F948" s="166"/>
    </row>
    <row r="949" spans="1:6" ht="15" customHeight="1" x14ac:dyDescent="0.3">
      <c r="A949" s="169" t="s">
        <v>2446</v>
      </c>
      <c r="B949" s="190" t="s">
        <v>2444</v>
      </c>
      <c r="C949" s="163" t="s">
        <v>73</v>
      </c>
      <c r="D949" s="160">
        <v>198.58</v>
      </c>
      <c r="E949" s="165" t="s">
        <v>2491</v>
      </c>
      <c r="F949" s="166"/>
    </row>
    <row r="950" spans="1:6" ht="15" customHeight="1" x14ac:dyDescent="0.3">
      <c r="A950" s="169" t="s">
        <v>2447</v>
      </c>
      <c r="B950" s="190" t="s">
        <v>2445</v>
      </c>
      <c r="C950" s="163" t="s">
        <v>73</v>
      </c>
      <c r="D950" s="160">
        <v>85</v>
      </c>
      <c r="E950" s="165" t="s">
        <v>2491</v>
      </c>
      <c r="F950" s="166"/>
    </row>
    <row r="951" spans="1:6" ht="15" customHeight="1" x14ac:dyDescent="0.3">
      <c r="A951" s="169" t="s">
        <v>2449</v>
      </c>
      <c r="B951" s="190" t="s">
        <v>2451</v>
      </c>
      <c r="C951" s="163" t="s">
        <v>73</v>
      </c>
      <c r="D951" s="160">
        <v>242.27</v>
      </c>
      <c r="E951" s="165" t="s">
        <v>2559</v>
      </c>
      <c r="F951" s="166">
        <v>43640</v>
      </c>
    </row>
    <row r="952" spans="1:6" ht="15" customHeight="1" x14ac:dyDescent="0.3">
      <c r="A952" s="169" t="s">
        <v>2450</v>
      </c>
      <c r="B952" s="190" t="s">
        <v>2452</v>
      </c>
      <c r="C952" s="163" t="s">
        <v>73</v>
      </c>
      <c r="D952" s="160">
        <v>54.55</v>
      </c>
      <c r="E952" s="165" t="s">
        <v>1414</v>
      </c>
      <c r="F952" s="166"/>
    </row>
    <row r="953" spans="1:6" ht="15" customHeight="1" x14ac:dyDescent="0.3">
      <c r="A953" s="169" t="s">
        <v>2455</v>
      </c>
      <c r="B953" s="190" t="s">
        <v>2454</v>
      </c>
      <c r="C953" s="163" t="s">
        <v>73</v>
      </c>
      <c r="D953" s="160">
        <v>12</v>
      </c>
      <c r="E953" s="165" t="s">
        <v>2636</v>
      </c>
      <c r="F953" s="166">
        <v>43640</v>
      </c>
    </row>
    <row r="954" spans="1:6" ht="15" customHeight="1" x14ac:dyDescent="0.3">
      <c r="A954" s="169" t="s">
        <v>2457</v>
      </c>
      <c r="B954" s="190" t="s">
        <v>2529</v>
      </c>
      <c r="C954" s="163" t="s">
        <v>73</v>
      </c>
      <c r="D954" s="160">
        <v>110</v>
      </c>
      <c r="E954" s="165" t="s">
        <v>2108</v>
      </c>
      <c r="F954" s="166"/>
    </row>
    <row r="955" spans="1:6" ht="15" customHeight="1" x14ac:dyDescent="0.3">
      <c r="A955" s="169" t="s">
        <v>2461</v>
      </c>
      <c r="B955" s="190" t="s">
        <v>2459</v>
      </c>
      <c r="C955" s="163" t="s">
        <v>73</v>
      </c>
      <c r="D955" s="160">
        <v>88.9</v>
      </c>
      <c r="E955" s="165" t="s">
        <v>2564</v>
      </c>
      <c r="F955" s="166">
        <v>43640</v>
      </c>
    </row>
    <row r="956" spans="1:6" ht="15" customHeight="1" x14ac:dyDescent="0.3">
      <c r="A956" s="169" t="s">
        <v>2462</v>
      </c>
      <c r="B956" s="190" t="s">
        <v>2460</v>
      </c>
      <c r="C956" s="163" t="s">
        <v>73</v>
      </c>
      <c r="D956" s="160">
        <v>49.75</v>
      </c>
      <c r="E956" s="165" t="s">
        <v>1414</v>
      </c>
      <c r="F956" s="166"/>
    </row>
    <row r="957" spans="1:6" ht="15" customHeight="1" x14ac:dyDescent="0.3">
      <c r="A957" s="169" t="s">
        <v>2465</v>
      </c>
      <c r="B957" s="190" t="s">
        <v>2463</v>
      </c>
      <c r="C957" s="163" t="s">
        <v>73</v>
      </c>
      <c r="D957" s="160">
        <v>33.5</v>
      </c>
      <c r="E957" s="165" t="s">
        <v>2468</v>
      </c>
      <c r="F957" s="166"/>
    </row>
    <row r="958" spans="1:6" ht="15" customHeight="1" x14ac:dyDescent="0.3">
      <c r="A958" s="169" t="s">
        <v>2466</v>
      </c>
      <c r="B958" s="190" t="s">
        <v>2464</v>
      </c>
      <c r="C958" s="163" t="s">
        <v>72</v>
      </c>
      <c r="D958" s="160">
        <v>48.15</v>
      </c>
      <c r="E958" s="165" t="s">
        <v>2275</v>
      </c>
      <c r="F958" s="166"/>
    </row>
    <row r="959" spans="1:6" ht="15" customHeight="1" x14ac:dyDescent="0.3">
      <c r="A959" s="169" t="s">
        <v>2470</v>
      </c>
      <c r="B959" s="190" t="s">
        <v>2469</v>
      </c>
      <c r="C959" s="163" t="s">
        <v>74</v>
      </c>
      <c r="D959" s="160">
        <v>13</v>
      </c>
      <c r="E959" s="165" t="s">
        <v>2471</v>
      </c>
      <c r="F959" s="166"/>
    </row>
    <row r="960" spans="1:6" ht="15" customHeight="1" x14ac:dyDescent="0.3">
      <c r="A960" s="169" t="s">
        <v>2481</v>
      </c>
      <c r="B960" s="190" t="s">
        <v>2474</v>
      </c>
      <c r="C960" s="163" t="s">
        <v>29</v>
      </c>
      <c r="D960" s="160">
        <v>18924.62</v>
      </c>
      <c r="E960" s="165"/>
      <c r="F960" s="166"/>
    </row>
    <row r="961" spans="1:6" ht="15" customHeight="1" x14ac:dyDescent="0.3">
      <c r="A961" s="169" t="s">
        <v>2482</v>
      </c>
      <c r="B961" s="190" t="s">
        <v>2475</v>
      </c>
      <c r="C961" s="163" t="s">
        <v>29</v>
      </c>
      <c r="D961" s="160">
        <v>3844.15</v>
      </c>
      <c r="E961" s="165"/>
      <c r="F961" s="166"/>
    </row>
    <row r="962" spans="1:6" ht="15" customHeight="1" x14ac:dyDescent="0.3">
      <c r="A962" s="169" t="s">
        <v>2483</v>
      </c>
      <c r="B962" s="190" t="s">
        <v>2476</v>
      </c>
      <c r="C962" s="163" t="s">
        <v>29</v>
      </c>
      <c r="D962" s="160">
        <v>1960.46</v>
      </c>
      <c r="E962" s="165"/>
      <c r="F962" s="166"/>
    </row>
    <row r="963" spans="1:6" ht="15" customHeight="1" x14ac:dyDescent="0.3">
      <c r="A963" s="169" t="s">
        <v>2484</v>
      </c>
      <c r="B963" s="190" t="s">
        <v>2478</v>
      </c>
      <c r="C963" s="163" t="s">
        <v>29</v>
      </c>
      <c r="D963" s="160">
        <v>1617.34</v>
      </c>
      <c r="E963" s="165"/>
      <c r="F963" s="166"/>
    </row>
    <row r="964" spans="1:6" ht="15" customHeight="1" x14ac:dyDescent="0.3">
      <c r="A964" s="169" t="s">
        <v>2485</v>
      </c>
      <c r="B964" s="190" t="s">
        <v>2477</v>
      </c>
      <c r="C964" s="163" t="s">
        <v>29</v>
      </c>
      <c r="D964" s="160">
        <v>1746.04</v>
      </c>
      <c r="E964" s="165"/>
      <c r="F964" s="166"/>
    </row>
    <row r="965" spans="1:6" ht="15" customHeight="1" x14ac:dyDescent="0.3">
      <c r="A965" s="169" t="s">
        <v>2486</v>
      </c>
      <c r="B965" s="190" t="s">
        <v>3046</v>
      </c>
      <c r="C965" s="163" t="s">
        <v>73</v>
      </c>
      <c r="D965" s="160">
        <v>445.33330000000001</v>
      </c>
      <c r="E965" s="165" t="s">
        <v>3047</v>
      </c>
      <c r="F965" s="166">
        <v>43754</v>
      </c>
    </row>
    <row r="966" spans="1:6" ht="15" customHeight="1" x14ac:dyDescent="0.3">
      <c r="A966" s="169" t="s">
        <v>2487</v>
      </c>
      <c r="B966" s="190" t="s">
        <v>3080</v>
      </c>
      <c r="C966" s="163" t="s">
        <v>1376</v>
      </c>
      <c r="D966" s="160">
        <v>603</v>
      </c>
      <c r="E966" s="165" t="s">
        <v>3081</v>
      </c>
      <c r="F966" s="166">
        <v>43756</v>
      </c>
    </row>
    <row r="967" spans="1:6" ht="15" customHeight="1" x14ac:dyDescent="0.3">
      <c r="A967" s="169" t="s">
        <v>2488</v>
      </c>
      <c r="B967" s="190" t="s">
        <v>3082</v>
      </c>
      <c r="C967" s="163" t="s">
        <v>29</v>
      </c>
      <c r="D967" s="160">
        <f>(((((7.5*0.6)*446)*1.03)/1.03)*1.02)/1.02</f>
        <v>2007</v>
      </c>
      <c r="E967" s="165"/>
      <c r="F967" s="166"/>
    </row>
    <row r="968" spans="1:6" ht="15" customHeight="1" x14ac:dyDescent="0.3">
      <c r="A968" s="169" t="s">
        <v>2489</v>
      </c>
      <c r="B968" s="190" t="s">
        <v>2479</v>
      </c>
      <c r="C968" s="163" t="s">
        <v>29</v>
      </c>
      <c r="D968" s="160">
        <v>4048.2400000000002</v>
      </c>
      <c r="E968" s="165"/>
      <c r="F968" s="166"/>
    </row>
    <row r="969" spans="1:6" ht="15" customHeight="1" x14ac:dyDescent="0.3">
      <c r="A969" s="169" t="s">
        <v>2490</v>
      </c>
      <c r="B969" s="190" t="s">
        <v>2480</v>
      </c>
      <c r="C969" s="163" t="s">
        <v>29</v>
      </c>
      <c r="D969" s="160">
        <v>736.87</v>
      </c>
      <c r="E969" s="165"/>
      <c r="F969" s="166"/>
    </row>
    <row r="970" spans="1:6" ht="15" customHeight="1" x14ac:dyDescent="0.3">
      <c r="A970" s="169" t="s">
        <v>2496</v>
      </c>
      <c r="B970" s="156" t="s">
        <v>3013</v>
      </c>
      <c r="C970" s="163" t="s">
        <v>29</v>
      </c>
      <c r="D970" s="160">
        <v>0</v>
      </c>
      <c r="E970" s="165" t="s">
        <v>2641</v>
      </c>
      <c r="F970" s="166">
        <v>43754</v>
      </c>
    </row>
    <row r="971" spans="1:6" ht="15" customHeight="1" x14ac:dyDescent="0.3">
      <c r="A971" s="169" t="s">
        <v>2497</v>
      </c>
      <c r="B971" s="156" t="s">
        <v>3015</v>
      </c>
      <c r="C971" s="163" t="s">
        <v>29</v>
      </c>
      <c r="D971" s="160">
        <v>0</v>
      </c>
      <c r="E971" s="165"/>
      <c r="F971" s="166">
        <v>43754</v>
      </c>
    </row>
    <row r="972" spans="1:6" ht="15" customHeight="1" x14ac:dyDescent="0.3">
      <c r="A972" s="169" t="s">
        <v>2498</v>
      </c>
      <c r="B972" s="190" t="s">
        <v>3014</v>
      </c>
      <c r="C972" s="163" t="s">
        <v>29</v>
      </c>
      <c r="D972" s="160">
        <v>0</v>
      </c>
      <c r="E972" s="165"/>
      <c r="F972" s="166">
        <v>43754</v>
      </c>
    </row>
    <row r="973" spans="1:6" ht="15" customHeight="1" x14ac:dyDescent="0.3">
      <c r="A973" s="169" t="s">
        <v>2499</v>
      </c>
      <c r="B973" s="190" t="s">
        <v>3063</v>
      </c>
      <c r="C973" s="163" t="s">
        <v>73</v>
      </c>
      <c r="D973" s="160">
        <v>75</v>
      </c>
      <c r="E973" s="165" t="s">
        <v>405</v>
      </c>
      <c r="F973" s="166">
        <v>43756</v>
      </c>
    </row>
    <row r="974" spans="1:6" ht="15" customHeight="1" x14ac:dyDescent="0.3">
      <c r="A974" s="169" t="s">
        <v>2500</v>
      </c>
      <c r="B974" s="190" t="s">
        <v>2492</v>
      </c>
      <c r="C974" s="163" t="s">
        <v>73</v>
      </c>
      <c r="D974" s="160">
        <v>750</v>
      </c>
      <c r="E974" s="165" t="s">
        <v>2805</v>
      </c>
      <c r="F974" s="166">
        <v>43663</v>
      </c>
    </row>
    <row r="975" spans="1:6" ht="15" customHeight="1" x14ac:dyDescent="0.3">
      <c r="A975" s="169" t="s">
        <v>2501</v>
      </c>
      <c r="B975" s="190" t="s">
        <v>3132</v>
      </c>
      <c r="C975" s="163" t="s">
        <v>1376</v>
      </c>
      <c r="D975" s="160">
        <v>11000</v>
      </c>
      <c r="E975" s="165" t="s">
        <v>405</v>
      </c>
      <c r="F975" s="166">
        <v>43760</v>
      </c>
    </row>
    <row r="976" spans="1:6" ht="15" customHeight="1" x14ac:dyDescent="0.3">
      <c r="A976" s="169" t="s">
        <v>2502</v>
      </c>
      <c r="B976" s="190" t="s">
        <v>2494</v>
      </c>
      <c r="C976" s="163" t="s">
        <v>29</v>
      </c>
      <c r="D976" s="160">
        <v>844.2</v>
      </c>
      <c r="E976" s="165" t="s">
        <v>2642</v>
      </c>
      <c r="F976" s="166">
        <v>43641</v>
      </c>
    </row>
    <row r="977" spans="1:6" ht="15" customHeight="1" x14ac:dyDescent="0.3">
      <c r="A977" s="169" t="s">
        <v>2503</v>
      </c>
      <c r="B977" s="190" t="s">
        <v>3133</v>
      </c>
      <c r="C977" s="163" t="s">
        <v>73</v>
      </c>
      <c r="D977" s="160">
        <v>440</v>
      </c>
      <c r="E977" s="165" t="s">
        <v>405</v>
      </c>
      <c r="F977" s="166">
        <v>43760</v>
      </c>
    </row>
    <row r="978" spans="1:6" ht="15" customHeight="1" x14ac:dyDescent="0.3">
      <c r="A978" s="169" t="s">
        <v>2504</v>
      </c>
      <c r="B978" s="190" t="s">
        <v>2643</v>
      </c>
      <c r="C978" s="163" t="s">
        <v>73</v>
      </c>
      <c r="D978" s="160">
        <v>1578</v>
      </c>
      <c r="E978" s="165" t="s">
        <v>2644</v>
      </c>
      <c r="F978" s="166">
        <v>43641</v>
      </c>
    </row>
    <row r="979" spans="1:6" ht="15" customHeight="1" x14ac:dyDescent="0.3">
      <c r="A979" s="169" t="s">
        <v>2505</v>
      </c>
      <c r="B979" s="190" t="s">
        <v>2493</v>
      </c>
      <c r="C979" s="163" t="s">
        <v>73</v>
      </c>
      <c r="D979" s="160">
        <f>((((1427.43/(1.095*1.2))*1.03)/1.03)*1.02)/1.02</f>
        <v>1086.3242009132423</v>
      </c>
      <c r="E979" s="165" t="s">
        <v>2806</v>
      </c>
      <c r="F979" s="166">
        <v>43663</v>
      </c>
    </row>
    <row r="980" spans="1:6" ht="15" customHeight="1" x14ac:dyDescent="0.3">
      <c r="A980" s="169" t="s">
        <v>2506</v>
      </c>
      <c r="B980" s="190" t="s">
        <v>2495</v>
      </c>
      <c r="C980" s="163" t="s">
        <v>29</v>
      </c>
      <c r="D980" s="160">
        <v>6696</v>
      </c>
      <c r="E980" s="165" t="s">
        <v>2642</v>
      </c>
      <c r="F980" s="166">
        <v>43641</v>
      </c>
    </row>
    <row r="981" spans="1:6" ht="15" customHeight="1" x14ac:dyDescent="0.3">
      <c r="A981" s="169" t="s">
        <v>2509</v>
      </c>
      <c r="B981" s="190" t="s">
        <v>2512</v>
      </c>
      <c r="C981" s="163" t="s">
        <v>2268</v>
      </c>
      <c r="D981" s="160">
        <v>743.16</v>
      </c>
      <c r="E981" s="165" t="s">
        <v>1818</v>
      </c>
      <c r="F981" s="166"/>
    </row>
    <row r="982" spans="1:6" ht="15" customHeight="1" x14ac:dyDescent="0.3">
      <c r="A982" s="169" t="s">
        <v>2510</v>
      </c>
      <c r="B982" s="190" t="s">
        <v>2508</v>
      </c>
      <c r="C982" s="163" t="s">
        <v>2268</v>
      </c>
      <c r="D982" s="160">
        <v>348.62</v>
      </c>
      <c r="E982" s="165" t="s">
        <v>1818</v>
      </c>
      <c r="F982" s="166"/>
    </row>
    <row r="983" spans="1:6" ht="15" customHeight="1" x14ac:dyDescent="0.3">
      <c r="A983" s="169" t="s">
        <v>2511</v>
      </c>
      <c r="B983" s="190" t="s">
        <v>2592</v>
      </c>
      <c r="C983" s="163" t="s">
        <v>2268</v>
      </c>
      <c r="D983" s="160">
        <v>3690</v>
      </c>
      <c r="E983" s="165" t="s">
        <v>2522</v>
      </c>
      <c r="F983" s="166"/>
    </row>
    <row r="984" spans="1:6" ht="15" customHeight="1" x14ac:dyDescent="0.3">
      <c r="A984" s="169" t="s">
        <v>2514</v>
      </c>
      <c r="B984" s="190" t="s">
        <v>2513</v>
      </c>
      <c r="C984" s="163" t="s">
        <v>2268</v>
      </c>
      <c r="D984" s="160">
        <v>513.89</v>
      </c>
      <c r="E984" s="165" t="s">
        <v>1818</v>
      </c>
      <c r="F984" s="166"/>
    </row>
    <row r="985" spans="1:6" ht="15" customHeight="1" x14ac:dyDescent="0.3">
      <c r="A985" s="169" t="s">
        <v>2516</v>
      </c>
      <c r="B985" s="190" t="s">
        <v>2515</v>
      </c>
      <c r="C985" s="163" t="s">
        <v>2268</v>
      </c>
      <c r="D985" s="160">
        <v>147.21</v>
      </c>
      <c r="E985" s="165" t="s">
        <v>1818</v>
      </c>
      <c r="F985" s="166"/>
    </row>
    <row r="986" spans="1:6" ht="15" customHeight="1" x14ac:dyDescent="0.3">
      <c r="A986" s="169" t="s">
        <v>2517</v>
      </c>
      <c r="B986" s="190" t="s">
        <v>2521</v>
      </c>
      <c r="C986" s="163" t="s">
        <v>2268</v>
      </c>
      <c r="D986" s="160">
        <v>9700</v>
      </c>
      <c r="E986" s="165" t="s">
        <v>2522</v>
      </c>
      <c r="F986" s="166"/>
    </row>
    <row r="987" spans="1:6" ht="15" customHeight="1" x14ac:dyDescent="0.3">
      <c r="A987" s="169" t="s">
        <v>2519</v>
      </c>
      <c r="B987" s="190" t="s">
        <v>2625</v>
      </c>
      <c r="C987" s="163" t="s">
        <v>2268</v>
      </c>
      <c r="D987" s="160">
        <f>((((19445*0.95)*1.03)/1.03)*1.02)/1.02</f>
        <v>18472.75</v>
      </c>
      <c r="E987" s="165" t="s">
        <v>2626</v>
      </c>
      <c r="F987" s="166">
        <v>43640</v>
      </c>
    </row>
    <row r="988" spans="1:6" ht="15" customHeight="1" x14ac:dyDescent="0.3">
      <c r="A988" s="169" t="s">
        <v>2520</v>
      </c>
      <c r="B988" s="190" t="s">
        <v>2518</v>
      </c>
      <c r="C988" s="163" t="s">
        <v>2268</v>
      </c>
      <c r="D988" s="160">
        <v>143.75</v>
      </c>
      <c r="E988" s="165" t="s">
        <v>2175</v>
      </c>
      <c r="F988" s="166"/>
    </row>
    <row r="989" spans="1:6" ht="15" customHeight="1" x14ac:dyDescent="0.3">
      <c r="A989" s="169" t="s">
        <v>2525</v>
      </c>
      <c r="B989" s="190" t="s">
        <v>3250</v>
      </c>
      <c r="C989" s="522" t="s">
        <v>73</v>
      </c>
      <c r="D989" s="160">
        <f>((((31/2)*1.03)/1.03)*1.02)/1.02</f>
        <v>15.5</v>
      </c>
      <c r="E989" s="517" t="s">
        <v>3249</v>
      </c>
      <c r="F989" s="518">
        <v>43782</v>
      </c>
    </row>
    <row r="990" spans="1:6" ht="15" customHeight="1" x14ac:dyDescent="0.3">
      <c r="A990" s="169" t="s">
        <v>2527</v>
      </c>
      <c r="B990" s="190" t="s">
        <v>2603</v>
      </c>
      <c r="C990" s="470" t="s">
        <v>73</v>
      </c>
      <c r="D990" s="160">
        <f>(((((31.5/2))*1.03)/1.03)*1.02)/1.02</f>
        <v>15.750000000000002</v>
      </c>
      <c r="E990" s="468" t="s">
        <v>2952</v>
      </c>
      <c r="F990" s="469">
        <v>43714</v>
      </c>
    </row>
    <row r="991" spans="1:6" ht="15" customHeight="1" x14ac:dyDescent="0.3">
      <c r="A991" s="169" t="s">
        <v>2535</v>
      </c>
      <c r="B991" s="190" t="s">
        <v>2534</v>
      </c>
      <c r="C991" s="163" t="s">
        <v>74</v>
      </c>
      <c r="D991" s="160">
        <v>51.03</v>
      </c>
      <c r="E991" s="165" t="s">
        <v>2533</v>
      </c>
      <c r="F991" s="166"/>
    </row>
    <row r="992" spans="1:6" ht="15" customHeight="1" x14ac:dyDescent="0.3">
      <c r="A992" s="169" t="s">
        <v>2539</v>
      </c>
      <c r="B992" s="190" t="s">
        <v>2538</v>
      </c>
      <c r="C992" s="163" t="s">
        <v>2034</v>
      </c>
      <c r="D992" s="160">
        <v>250</v>
      </c>
      <c r="E992" s="165"/>
      <c r="F992" s="166"/>
    </row>
    <row r="993" spans="1:6" ht="15" customHeight="1" x14ac:dyDescent="0.3">
      <c r="A993" s="169" t="s">
        <v>2540</v>
      </c>
      <c r="B993" s="190" t="s">
        <v>2541</v>
      </c>
      <c r="C993" s="163" t="s">
        <v>74</v>
      </c>
      <c r="D993" s="160">
        <v>28.9</v>
      </c>
      <c r="E993" s="468" t="s">
        <v>2944</v>
      </c>
      <c r="F993" s="469">
        <v>43711</v>
      </c>
    </row>
    <row r="994" spans="1:6" ht="15" customHeight="1" x14ac:dyDescent="0.3">
      <c r="A994" s="169" t="s">
        <v>2543</v>
      </c>
      <c r="B994" s="190" t="s">
        <v>2542</v>
      </c>
      <c r="C994" s="163" t="s">
        <v>2268</v>
      </c>
      <c r="D994" s="160">
        <v>140</v>
      </c>
      <c r="E994" s="165"/>
      <c r="F994" s="166"/>
    </row>
    <row r="995" spans="1:6" ht="15" customHeight="1" x14ac:dyDescent="0.3">
      <c r="A995" s="169" t="s">
        <v>2546</v>
      </c>
      <c r="B995" s="190" t="s">
        <v>2544</v>
      </c>
      <c r="C995" s="163" t="s">
        <v>2268</v>
      </c>
      <c r="D995" s="160">
        <f>((((950+2100)*1.03)/1.03)*1.02)/1.02</f>
        <v>3050</v>
      </c>
      <c r="E995" s="165"/>
      <c r="F995" s="166"/>
    </row>
    <row r="996" spans="1:6" ht="15" customHeight="1" x14ac:dyDescent="0.3">
      <c r="A996" s="169" t="s">
        <v>2547</v>
      </c>
      <c r="B996" s="190" t="s">
        <v>2545</v>
      </c>
      <c r="C996" s="163" t="s">
        <v>2268</v>
      </c>
      <c r="D996" s="160">
        <f>((((1050+2900)*1.03)/1.03)*1.02)/1.02</f>
        <v>3950</v>
      </c>
      <c r="E996" s="165"/>
      <c r="F996" s="166"/>
    </row>
    <row r="997" spans="1:6" ht="15" customHeight="1" x14ac:dyDescent="0.3">
      <c r="A997" s="169" t="s">
        <v>2549</v>
      </c>
      <c r="B997" s="190" t="s">
        <v>2548</v>
      </c>
      <c r="C997" s="163" t="s">
        <v>2268</v>
      </c>
      <c r="D997" s="160">
        <f>((((750+1210)*1.03)/1.03)*1.02)/1.02</f>
        <v>1960</v>
      </c>
      <c r="E997" s="165"/>
      <c r="F997" s="166"/>
    </row>
    <row r="998" spans="1:6" ht="15" customHeight="1" x14ac:dyDescent="0.3">
      <c r="A998" s="169" t="s">
        <v>2551</v>
      </c>
      <c r="B998" s="190" t="s">
        <v>2550</v>
      </c>
      <c r="C998" s="163" t="s">
        <v>2268</v>
      </c>
      <c r="D998" s="160">
        <f>(((((D997+D995)/2)*1.03)/1.03)*1.02)/1.02</f>
        <v>2505</v>
      </c>
      <c r="E998" s="165"/>
      <c r="F998" s="166"/>
    </row>
    <row r="999" spans="1:6" ht="15" customHeight="1" x14ac:dyDescent="0.3">
      <c r="A999" s="169" t="s">
        <v>2554</v>
      </c>
      <c r="B999" s="190" t="s">
        <v>2552</v>
      </c>
      <c r="C999" s="163" t="s">
        <v>73</v>
      </c>
      <c r="D999" s="160">
        <v>59</v>
      </c>
      <c r="E999" s="165" t="s">
        <v>2553</v>
      </c>
      <c r="F999" s="166"/>
    </row>
    <row r="1000" spans="1:6" ht="15" customHeight="1" x14ac:dyDescent="0.3">
      <c r="A1000" s="169" t="s">
        <v>2557</v>
      </c>
      <c r="B1000" s="156" t="s">
        <v>3052</v>
      </c>
      <c r="C1000" s="163" t="s">
        <v>2268</v>
      </c>
      <c r="D1000" s="160">
        <v>62</v>
      </c>
      <c r="E1000" s="165" t="s">
        <v>1184</v>
      </c>
      <c r="F1000" s="166">
        <v>43755</v>
      </c>
    </row>
    <row r="1001" spans="1:6" ht="15" customHeight="1" x14ac:dyDescent="0.3">
      <c r="A1001" s="169" t="s">
        <v>2560</v>
      </c>
      <c r="B1001" s="190" t="s">
        <v>2558</v>
      </c>
      <c r="C1001" s="163" t="s">
        <v>2268</v>
      </c>
      <c r="D1001" s="160">
        <v>72.5</v>
      </c>
      <c r="E1001" s="165" t="s">
        <v>2559</v>
      </c>
      <c r="F1001" s="166"/>
    </row>
    <row r="1002" spans="1:6" ht="15" customHeight="1" x14ac:dyDescent="0.3">
      <c r="A1002" s="169" t="s">
        <v>2566</v>
      </c>
      <c r="B1002" s="190" t="s">
        <v>2565</v>
      </c>
      <c r="C1002" s="163" t="s">
        <v>29</v>
      </c>
      <c r="D1002" s="160">
        <v>8400</v>
      </c>
      <c r="E1002" s="165"/>
      <c r="F1002" s="166"/>
    </row>
    <row r="1003" spans="1:6" ht="15" customHeight="1" x14ac:dyDescent="0.3">
      <c r="A1003" s="169" t="s">
        <v>2569</v>
      </c>
      <c r="B1003" s="190" t="s">
        <v>2568</v>
      </c>
      <c r="C1003" s="163" t="s">
        <v>73</v>
      </c>
      <c r="D1003" s="160">
        <v>10.92</v>
      </c>
      <c r="E1003" s="165" t="s">
        <v>1326</v>
      </c>
      <c r="F1003" s="166"/>
    </row>
    <row r="1004" spans="1:6" ht="15" customHeight="1" x14ac:dyDescent="0.3">
      <c r="A1004" s="169" t="s">
        <v>2571</v>
      </c>
      <c r="B1004" s="190" t="s">
        <v>2570</v>
      </c>
      <c r="C1004" s="163" t="s">
        <v>73</v>
      </c>
      <c r="D1004" s="160">
        <f>((((44*0.85)*1.03)/1.03)*1.02)/1.02</f>
        <v>37.4</v>
      </c>
      <c r="E1004" s="468" t="s">
        <v>2946</v>
      </c>
      <c r="F1004" s="469">
        <v>43711</v>
      </c>
    </row>
    <row r="1005" spans="1:6" ht="15" customHeight="1" x14ac:dyDescent="0.3">
      <c r="A1005" s="169" t="s">
        <v>2573</v>
      </c>
      <c r="B1005" s="190" t="s">
        <v>2572</v>
      </c>
      <c r="C1005" s="163" t="s">
        <v>73</v>
      </c>
      <c r="D1005" s="160">
        <v>215</v>
      </c>
      <c r="E1005" s="165" t="s">
        <v>7313</v>
      </c>
      <c r="F1005" s="166">
        <v>44788</v>
      </c>
    </row>
    <row r="1006" spans="1:6" ht="15" customHeight="1" x14ac:dyDescent="0.3">
      <c r="A1006" s="169" t="s">
        <v>2577</v>
      </c>
      <c r="B1006" s="190" t="s">
        <v>2576</v>
      </c>
      <c r="C1006" s="163" t="s">
        <v>2268</v>
      </c>
      <c r="D1006" s="160">
        <v>128</v>
      </c>
      <c r="E1006" s="165" t="s">
        <v>2559</v>
      </c>
      <c r="F1006" s="166"/>
    </row>
    <row r="1007" spans="1:6" ht="15" customHeight="1" x14ac:dyDescent="0.3">
      <c r="A1007" s="169" t="s">
        <v>2578</v>
      </c>
      <c r="B1007" s="190" t="s">
        <v>2579</v>
      </c>
      <c r="C1007" s="163" t="s">
        <v>1590</v>
      </c>
      <c r="D1007" s="160">
        <v>73</v>
      </c>
      <c r="E1007" s="165" t="s">
        <v>2564</v>
      </c>
      <c r="F1007" s="166">
        <v>43626</v>
      </c>
    </row>
    <row r="1008" spans="1:6" ht="15" customHeight="1" x14ac:dyDescent="0.3">
      <c r="A1008" s="169" t="s">
        <v>2582</v>
      </c>
      <c r="B1008" s="190" t="s">
        <v>2581</v>
      </c>
      <c r="C1008" s="163" t="s">
        <v>2268</v>
      </c>
      <c r="D1008" s="160">
        <v>44.9</v>
      </c>
      <c r="E1008" s="165" t="s">
        <v>1184</v>
      </c>
      <c r="F1008" s="166"/>
    </row>
    <row r="1009" spans="1:6" ht="15" customHeight="1" x14ac:dyDescent="0.3">
      <c r="A1009" s="169" t="s">
        <v>2601</v>
      </c>
      <c r="B1009" s="190" t="s">
        <v>2600</v>
      </c>
      <c r="C1009" s="163" t="s">
        <v>2268</v>
      </c>
      <c r="D1009" s="160">
        <f>((((106/2)*1.03)/1.03)*1.02)/1.02</f>
        <v>53</v>
      </c>
      <c r="E1009" s="468" t="s">
        <v>3129</v>
      </c>
      <c r="F1009" s="469">
        <v>43760</v>
      </c>
    </row>
    <row r="1010" spans="1:6" ht="15" customHeight="1" x14ac:dyDescent="0.3">
      <c r="A1010" s="169" t="s">
        <v>2602</v>
      </c>
      <c r="B1010" s="190" t="s">
        <v>3207</v>
      </c>
      <c r="C1010" s="522" t="s">
        <v>73</v>
      </c>
      <c r="D1010" s="160">
        <f>((((57/2)*1.03)/1.03)*1.02)/1.02</f>
        <v>28.5</v>
      </c>
      <c r="E1010" s="517" t="s">
        <v>3206</v>
      </c>
      <c r="F1010" s="518">
        <v>43760</v>
      </c>
    </row>
    <row r="1011" spans="1:6" ht="15" customHeight="1" x14ac:dyDescent="0.3">
      <c r="A1011" s="169" t="s">
        <v>2604</v>
      </c>
      <c r="B1011" s="190" t="s">
        <v>3251</v>
      </c>
      <c r="C1011" s="163" t="s">
        <v>73</v>
      </c>
      <c r="D1011" s="160">
        <f>((((31/2)*1.03)/1.03)*1.02)/1.02</f>
        <v>15.5</v>
      </c>
      <c r="E1011" s="517" t="s">
        <v>3249</v>
      </c>
      <c r="F1011" s="518">
        <v>43782</v>
      </c>
    </row>
    <row r="1012" spans="1:6" ht="15" customHeight="1" x14ac:dyDescent="0.3">
      <c r="A1012" s="169" t="s">
        <v>2605</v>
      </c>
      <c r="B1012" s="190" t="s">
        <v>2953</v>
      </c>
      <c r="C1012" s="163" t="s">
        <v>73</v>
      </c>
      <c r="D1012" s="160">
        <f>((((26/2)*1.03)/1.03)*1.02)/1.02</f>
        <v>13</v>
      </c>
      <c r="E1012" s="468" t="s">
        <v>2952</v>
      </c>
      <c r="F1012" s="469">
        <v>43714</v>
      </c>
    </row>
    <row r="1013" spans="1:6" ht="15" customHeight="1" x14ac:dyDescent="0.3">
      <c r="A1013" s="169" t="s">
        <v>2609</v>
      </c>
      <c r="B1013" s="190" t="s">
        <v>2608</v>
      </c>
      <c r="C1013" s="163" t="s">
        <v>73</v>
      </c>
      <c r="D1013" s="160">
        <v>0</v>
      </c>
      <c r="E1013" s="165" t="s">
        <v>1419</v>
      </c>
      <c r="F1013" s="166"/>
    </row>
    <row r="1014" spans="1:6" ht="15" customHeight="1" x14ac:dyDescent="0.3">
      <c r="A1014" s="169" t="s">
        <v>2624</v>
      </c>
      <c r="B1014" s="190" t="s">
        <v>3297</v>
      </c>
      <c r="C1014" s="163" t="s">
        <v>1376</v>
      </c>
      <c r="D1014" s="160">
        <v>30</v>
      </c>
      <c r="E1014" s="165" t="s">
        <v>3296</v>
      </c>
      <c r="F1014" s="166">
        <v>43780</v>
      </c>
    </row>
    <row r="1015" spans="1:6" ht="15" customHeight="1" x14ac:dyDescent="0.3">
      <c r="A1015" s="169" t="s">
        <v>2628</v>
      </c>
      <c r="B1015" s="156" t="s">
        <v>2627</v>
      </c>
      <c r="C1015" s="163" t="s">
        <v>241</v>
      </c>
      <c r="D1015" s="160">
        <f>((((2190*0.95)*1.03)/1.03)*1.02)/1.02</f>
        <v>2080.5</v>
      </c>
      <c r="E1015" s="165" t="s">
        <v>2626</v>
      </c>
      <c r="F1015" s="166">
        <v>43640</v>
      </c>
    </row>
    <row r="1016" spans="1:6" ht="15" customHeight="1" x14ac:dyDescent="0.3">
      <c r="A1016" s="169" t="s">
        <v>2630</v>
      </c>
      <c r="B1016" s="156" t="s">
        <v>2629</v>
      </c>
      <c r="C1016" s="163" t="s">
        <v>241</v>
      </c>
      <c r="D1016" s="160">
        <f>((((2940*0.95)*1.03)/1.03)*1.02)/1.02</f>
        <v>2793</v>
      </c>
      <c r="E1016" s="165" t="s">
        <v>2626</v>
      </c>
      <c r="F1016" s="166">
        <v>43640</v>
      </c>
    </row>
    <row r="1017" spans="1:6" ht="15" customHeight="1" x14ac:dyDescent="0.3">
      <c r="A1017" s="169" t="s">
        <v>2632</v>
      </c>
      <c r="B1017" s="156" t="s">
        <v>2631</v>
      </c>
      <c r="C1017" s="163" t="s">
        <v>1376</v>
      </c>
      <c r="D1017" s="160">
        <f>((((13420*0.95)*1.03)/1.03)*1.02)/1.02</f>
        <v>12749</v>
      </c>
      <c r="E1017" s="165" t="s">
        <v>2626</v>
      </c>
      <c r="F1017" s="166">
        <v>43640</v>
      </c>
    </row>
    <row r="1018" spans="1:6" ht="15" customHeight="1" x14ac:dyDescent="0.3">
      <c r="A1018" s="169" t="s">
        <v>2635</v>
      </c>
      <c r="B1018" s="156" t="s">
        <v>2633</v>
      </c>
      <c r="C1018" s="163" t="s">
        <v>1376</v>
      </c>
      <c r="D1018" s="160">
        <f>(((((D1017/2.45)*2.5)*1.03)/1.03)*1.02)/1.02</f>
        <v>13009.183673469388</v>
      </c>
      <c r="E1018" s="165" t="s">
        <v>2634</v>
      </c>
      <c r="F1018" s="166">
        <v>43640</v>
      </c>
    </row>
    <row r="1019" spans="1:6" ht="15" customHeight="1" x14ac:dyDescent="0.3">
      <c r="A1019" s="169" t="s">
        <v>2638</v>
      </c>
      <c r="B1019" s="190" t="s">
        <v>2637</v>
      </c>
      <c r="C1019" s="163" t="s">
        <v>72</v>
      </c>
      <c r="D1019" s="160">
        <v>120</v>
      </c>
      <c r="E1019" s="165" t="s">
        <v>2639</v>
      </c>
      <c r="F1019" s="166">
        <v>43640</v>
      </c>
    </row>
    <row r="1020" spans="1:6" ht="15" customHeight="1" x14ac:dyDescent="0.3">
      <c r="A1020" s="169" t="s">
        <v>2648</v>
      </c>
      <c r="B1020" s="190" t="s">
        <v>2647</v>
      </c>
      <c r="C1020" s="163" t="s">
        <v>89</v>
      </c>
      <c r="D1020" s="160">
        <v>15</v>
      </c>
      <c r="E1020" s="165" t="s">
        <v>2642</v>
      </c>
      <c r="F1020" s="166">
        <v>43657</v>
      </c>
    </row>
    <row r="1021" spans="1:6" ht="15" customHeight="1" x14ac:dyDescent="0.3">
      <c r="A1021" s="169" t="s">
        <v>2655</v>
      </c>
      <c r="B1021" s="190" t="s">
        <v>2654</v>
      </c>
      <c r="C1021" s="163" t="s">
        <v>29</v>
      </c>
      <c r="D1021" s="160">
        <v>36037.879999999997</v>
      </c>
      <c r="E1021" s="165" t="s">
        <v>2653</v>
      </c>
      <c r="F1021" s="166">
        <v>43658</v>
      </c>
    </row>
    <row r="1022" spans="1:6" ht="15" customHeight="1" x14ac:dyDescent="0.3">
      <c r="A1022" s="169" t="s">
        <v>2656</v>
      </c>
      <c r="B1022" s="190" t="s">
        <v>2660</v>
      </c>
      <c r="C1022" s="163" t="s">
        <v>29</v>
      </c>
      <c r="D1022" s="160">
        <v>2000</v>
      </c>
      <c r="E1022" s="165" t="s">
        <v>2653</v>
      </c>
      <c r="F1022" s="166">
        <v>43658</v>
      </c>
    </row>
    <row r="1023" spans="1:6" ht="15" customHeight="1" x14ac:dyDescent="0.3">
      <c r="A1023" s="169" t="s">
        <v>2657</v>
      </c>
      <c r="B1023" s="190" t="s">
        <v>3455</v>
      </c>
      <c r="C1023" s="163" t="s">
        <v>1376</v>
      </c>
      <c r="D1023" s="160">
        <v>3490</v>
      </c>
      <c r="E1023" s="517" t="s">
        <v>2661</v>
      </c>
      <c r="F1023" s="518">
        <v>43788</v>
      </c>
    </row>
    <row r="1024" spans="1:6" ht="15" customHeight="1" x14ac:dyDescent="0.3">
      <c r="A1024" s="169" t="s">
        <v>2658</v>
      </c>
      <c r="B1024" s="190" t="s">
        <v>3454</v>
      </c>
      <c r="C1024" s="163" t="s">
        <v>1376</v>
      </c>
      <c r="D1024" s="160">
        <v>5250</v>
      </c>
      <c r="E1024" s="517" t="s">
        <v>2661</v>
      </c>
      <c r="F1024" s="518">
        <v>43788</v>
      </c>
    </row>
    <row r="1025" spans="1:6" ht="15" customHeight="1" x14ac:dyDescent="0.3">
      <c r="A1025" s="169" t="s">
        <v>2659</v>
      </c>
      <c r="B1025" s="190" t="s">
        <v>2662</v>
      </c>
      <c r="C1025" s="163" t="s">
        <v>1376</v>
      </c>
      <c r="D1025" s="160">
        <v>1493.1</v>
      </c>
      <c r="E1025" s="517" t="s">
        <v>3587</v>
      </c>
      <c r="F1025" s="518">
        <v>43788</v>
      </c>
    </row>
    <row r="1026" spans="1:6" ht="15" customHeight="1" x14ac:dyDescent="0.3">
      <c r="A1026" s="169" t="s">
        <v>2663</v>
      </c>
      <c r="B1026" s="190" t="s">
        <v>5710</v>
      </c>
      <c r="C1026" s="163" t="s">
        <v>1376</v>
      </c>
      <c r="D1026" s="160">
        <v>1979.1</v>
      </c>
      <c r="E1026" s="765" t="s">
        <v>3587</v>
      </c>
      <c r="F1026" s="516">
        <v>43713</v>
      </c>
    </row>
    <row r="1027" spans="1:6" ht="15" customHeight="1" x14ac:dyDescent="0.3">
      <c r="A1027" s="169" t="s">
        <v>2664</v>
      </c>
      <c r="B1027" s="190" t="s">
        <v>3456</v>
      </c>
      <c r="C1027" s="163" t="s">
        <v>1376</v>
      </c>
      <c r="D1027" s="160">
        <v>1778</v>
      </c>
      <c r="E1027" s="165" t="s">
        <v>2661</v>
      </c>
      <c r="F1027" s="166">
        <v>43788</v>
      </c>
    </row>
    <row r="1028" spans="1:6" ht="15" customHeight="1" x14ac:dyDescent="0.3">
      <c r="A1028" s="169" t="s">
        <v>2665</v>
      </c>
      <c r="B1028" s="190" t="s">
        <v>3457</v>
      </c>
      <c r="C1028" s="163" t="s">
        <v>3003</v>
      </c>
      <c r="D1028" s="160">
        <v>8321</v>
      </c>
      <c r="E1028" s="517" t="s">
        <v>2661</v>
      </c>
      <c r="F1028" s="518">
        <v>43780</v>
      </c>
    </row>
    <row r="1029" spans="1:6" ht="15" customHeight="1" x14ac:dyDescent="0.3">
      <c r="A1029" s="169" t="s">
        <v>2666</v>
      </c>
      <c r="B1029" s="190" t="s">
        <v>2667</v>
      </c>
      <c r="C1029" s="163" t="s">
        <v>73</v>
      </c>
      <c r="D1029" s="160">
        <v>12500</v>
      </c>
      <c r="E1029" s="165" t="s">
        <v>405</v>
      </c>
      <c r="F1029" s="166"/>
    </row>
    <row r="1030" spans="1:6" ht="15" customHeight="1" x14ac:dyDescent="0.3">
      <c r="A1030" s="169" t="s">
        <v>2669</v>
      </c>
      <c r="B1030" s="190" t="s">
        <v>3226</v>
      </c>
      <c r="C1030" s="163" t="s">
        <v>29</v>
      </c>
      <c r="D1030" s="160">
        <v>0</v>
      </c>
      <c r="E1030" s="165"/>
      <c r="F1030" s="166"/>
    </row>
    <row r="1031" spans="1:6" ht="15" customHeight="1" x14ac:dyDescent="0.3">
      <c r="A1031" s="169" t="s">
        <v>2670</v>
      </c>
      <c r="B1031" s="190" t="s">
        <v>3057</v>
      </c>
      <c r="C1031" s="163" t="s">
        <v>1376</v>
      </c>
      <c r="D1031" s="160">
        <v>9125.2099999999991</v>
      </c>
      <c r="E1031" s="165" t="s">
        <v>1459</v>
      </c>
      <c r="F1031" s="166">
        <v>43755</v>
      </c>
    </row>
    <row r="1032" spans="1:6" ht="15" customHeight="1" x14ac:dyDescent="0.3">
      <c r="A1032" s="169" t="s">
        <v>2671</v>
      </c>
      <c r="B1032" s="190" t="s">
        <v>3227</v>
      </c>
      <c r="C1032" s="163" t="s">
        <v>1376</v>
      </c>
      <c r="D1032" s="160">
        <v>0</v>
      </c>
      <c r="E1032" s="165"/>
      <c r="F1032" s="166"/>
    </row>
    <row r="1033" spans="1:6" ht="15" customHeight="1" x14ac:dyDescent="0.3">
      <c r="A1033" s="169" t="s">
        <v>2672</v>
      </c>
      <c r="B1033" s="190" t="s">
        <v>3253</v>
      </c>
      <c r="C1033" s="163" t="s">
        <v>1376</v>
      </c>
      <c r="D1033" s="160">
        <v>411.01</v>
      </c>
      <c r="E1033" s="165" t="s">
        <v>3252</v>
      </c>
      <c r="F1033" s="166">
        <v>43773</v>
      </c>
    </row>
    <row r="1034" spans="1:6" ht="15" customHeight="1" x14ac:dyDescent="0.3">
      <c r="A1034" s="169" t="s">
        <v>2673</v>
      </c>
      <c r="B1034" s="190" t="s">
        <v>3065</v>
      </c>
      <c r="C1034" s="163" t="s">
        <v>1376</v>
      </c>
      <c r="D1034" s="160">
        <f>((((493.8+187.91)*1.03)/1.03)*1.02)/1.02</f>
        <v>681.71</v>
      </c>
      <c r="E1034" s="165" t="s">
        <v>3058</v>
      </c>
      <c r="F1034" s="166">
        <v>43755</v>
      </c>
    </row>
    <row r="1035" spans="1:6" ht="15" customHeight="1" x14ac:dyDescent="0.3">
      <c r="A1035" s="169" t="s">
        <v>2674</v>
      </c>
      <c r="B1035" s="190" t="s">
        <v>3020</v>
      </c>
      <c r="C1035" s="163" t="s">
        <v>1376</v>
      </c>
      <c r="D1035" s="160">
        <v>0</v>
      </c>
      <c r="E1035" s="165" t="s">
        <v>1058</v>
      </c>
      <c r="F1035" s="166">
        <v>43661</v>
      </c>
    </row>
    <row r="1036" spans="1:6" ht="15" customHeight="1" x14ac:dyDescent="0.3">
      <c r="A1036" s="169" t="s">
        <v>2675</v>
      </c>
      <c r="B1036" s="190" t="s">
        <v>3021</v>
      </c>
      <c r="C1036" s="163" t="s">
        <v>1376</v>
      </c>
      <c r="D1036" s="160">
        <v>0</v>
      </c>
      <c r="E1036" s="165" t="s">
        <v>1058</v>
      </c>
      <c r="F1036" s="166">
        <v>43661</v>
      </c>
    </row>
    <row r="1037" spans="1:6" ht="15" customHeight="1" x14ac:dyDescent="0.3">
      <c r="A1037" s="169" t="s">
        <v>2676</v>
      </c>
      <c r="B1037" s="190" t="s">
        <v>3022</v>
      </c>
      <c r="C1037" s="163" t="s">
        <v>1376</v>
      </c>
      <c r="D1037" s="160">
        <v>0</v>
      </c>
      <c r="E1037" s="165" t="s">
        <v>1058</v>
      </c>
      <c r="F1037" s="166">
        <v>43661</v>
      </c>
    </row>
    <row r="1038" spans="1:6" ht="15" customHeight="1" x14ac:dyDescent="0.3">
      <c r="A1038" s="169" t="s">
        <v>2677</v>
      </c>
      <c r="B1038" s="190" t="s">
        <v>3023</v>
      </c>
      <c r="C1038" s="163" t="s">
        <v>1376</v>
      </c>
      <c r="D1038" s="160">
        <v>0</v>
      </c>
      <c r="E1038" s="165" t="s">
        <v>1058</v>
      </c>
      <c r="F1038" s="166">
        <v>43661</v>
      </c>
    </row>
    <row r="1039" spans="1:6" ht="15" customHeight="1" x14ac:dyDescent="0.3">
      <c r="A1039" s="169" t="s">
        <v>2678</v>
      </c>
      <c r="B1039" s="190" t="s">
        <v>3024</v>
      </c>
      <c r="C1039" s="163" t="s">
        <v>1376</v>
      </c>
      <c r="D1039" s="160">
        <v>0</v>
      </c>
      <c r="E1039" s="165" t="s">
        <v>1058</v>
      </c>
      <c r="F1039" s="166">
        <v>43661</v>
      </c>
    </row>
    <row r="1040" spans="1:6" ht="15" customHeight="1" x14ac:dyDescent="0.3">
      <c r="A1040" s="169" t="s">
        <v>2679</v>
      </c>
      <c r="B1040" s="190" t="s">
        <v>3025</v>
      </c>
      <c r="C1040" s="163" t="s">
        <v>1376</v>
      </c>
      <c r="D1040" s="160">
        <v>0</v>
      </c>
      <c r="E1040" s="165" t="s">
        <v>1058</v>
      </c>
      <c r="F1040" s="166">
        <v>43661</v>
      </c>
    </row>
    <row r="1041" spans="1:6" ht="15" customHeight="1" x14ac:dyDescent="0.3">
      <c r="A1041" s="169" t="s">
        <v>2680</v>
      </c>
      <c r="B1041" s="190" t="s">
        <v>3026</v>
      </c>
      <c r="C1041" s="163" t="s">
        <v>1376</v>
      </c>
      <c r="D1041" s="160">
        <v>0</v>
      </c>
      <c r="E1041" s="165" t="s">
        <v>1058</v>
      </c>
      <c r="F1041" s="166">
        <v>43661</v>
      </c>
    </row>
    <row r="1042" spans="1:6" ht="15" customHeight="1" x14ac:dyDescent="0.3">
      <c r="A1042" s="169" t="s">
        <v>2681</v>
      </c>
      <c r="B1042" s="190" t="s">
        <v>3027</v>
      </c>
      <c r="C1042" s="163" t="s">
        <v>1376</v>
      </c>
      <c r="D1042" s="160">
        <v>0</v>
      </c>
      <c r="E1042" s="165" t="s">
        <v>1058</v>
      </c>
      <c r="F1042" s="166">
        <v>43661</v>
      </c>
    </row>
    <row r="1043" spans="1:6" ht="15" customHeight="1" x14ac:dyDescent="0.3">
      <c r="A1043" s="169" t="s">
        <v>2682</v>
      </c>
      <c r="B1043" s="190" t="s">
        <v>3028</v>
      </c>
      <c r="C1043" s="163" t="s">
        <v>1376</v>
      </c>
      <c r="D1043" s="160">
        <v>0</v>
      </c>
      <c r="E1043" s="165" t="s">
        <v>1058</v>
      </c>
      <c r="F1043" s="166">
        <v>43661</v>
      </c>
    </row>
    <row r="1044" spans="1:6" ht="15" customHeight="1" x14ac:dyDescent="0.3">
      <c r="A1044" s="169" t="s">
        <v>2683</v>
      </c>
      <c r="B1044" s="190" t="s">
        <v>3029</v>
      </c>
      <c r="C1044" s="163" t="s">
        <v>1376</v>
      </c>
      <c r="D1044" s="160">
        <v>0</v>
      </c>
      <c r="E1044" s="165" t="s">
        <v>1058</v>
      </c>
      <c r="F1044" s="166">
        <v>43661</v>
      </c>
    </row>
    <row r="1045" spans="1:6" ht="15" customHeight="1" x14ac:dyDescent="0.3">
      <c r="A1045" s="169" t="s">
        <v>2684</v>
      </c>
      <c r="B1045" s="190" t="s">
        <v>3030</v>
      </c>
      <c r="C1045" s="163" t="s">
        <v>1376</v>
      </c>
      <c r="D1045" s="160">
        <v>0</v>
      </c>
      <c r="E1045" s="165" t="s">
        <v>1058</v>
      </c>
      <c r="F1045" s="166">
        <v>43661</v>
      </c>
    </row>
    <row r="1046" spans="1:6" ht="15" customHeight="1" x14ac:dyDescent="0.3">
      <c r="A1046" s="169" t="s">
        <v>2685</v>
      </c>
      <c r="B1046" s="190" t="s">
        <v>3031</v>
      </c>
      <c r="C1046" s="163" t="s">
        <v>1376</v>
      </c>
      <c r="D1046" s="160">
        <v>0</v>
      </c>
      <c r="E1046" s="165" t="s">
        <v>1058</v>
      </c>
      <c r="F1046" s="166">
        <v>43661</v>
      </c>
    </row>
    <row r="1047" spans="1:6" ht="15" customHeight="1" x14ac:dyDescent="0.3">
      <c r="A1047" s="169" t="s">
        <v>2686</v>
      </c>
      <c r="B1047" s="190" t="s">
        <v>3032</v>
      </c>
      <c r="C1047" s="163" t="s">
        <v>1376</v>
      </c>
      <c r="D1047" s="160">
        <v>0</v>
      </c>
      <c r="E1047" s="165" t="s">
        <v>1058</v>
      </c>
      <c r="F1047" s="166">
        <v>43661</v>
      </c>
    </row>
    <row r="1048" spans="1:6" ht="15" customHeight="1" x14ac:dyDescent="0.3">
      <c r="A1048" s="169" t="s">
        <v>2687</v>
      </c>
      <c r="B1048" s="190" t="s">
        <v>3027</v>
      </c>
      <c r="C1048" s="163" t="s">
        <v>1376</v>
      </c>
      <c r="D1048" s="160">
        <v>0</v>
      </c>
      <c r="E1048" s="165" t="s">
        <v>1058</v>
      </c>
      <c r="F1048" s="166">
        <v>43661</v>
      </c>
    </row>
    <row r="1049" spans="1:6" ht="15" customHeight="1" x14ac:dyDescent="0.3">
      <c r="A1049" s="169" t="s">
        <v>2688</v>
      </c>
      <c r="B1049" s="190" t="s">
        <v>3028</v>
      </c>
      <c r="C1049" s="163" t="s">
        <v>1376</v>
      </c>
      <c r="D1049" s="160">
        <v>0</v>
      </c>
      <c r="E1049" s="165" t="s">
        <v>1058</v>
      </c>
      <c r="F1049" s="166">
        <v>43661</v>
      </c>
    </row>
    <row r="1050" spans="1:6" ht="15" customHeight="1" x14ac:dyDescent="0.3">
      <c r="A1050" s="169" t="s">
        <v>2689</v>
      </c>
      <c r="B1050" s="190" t="s">
        <v>3029</v>
      </c>
      <c r="C1050" s="163" t="s">
        <v>1376</v>
      </c>
      <c r="D1050" s="160">
        <v>0</v>
      </c>
      <c r="E1050" s="165" t="s">
        <v>1058</v>
      </c>
      <c r="F1050" s="166">
        <v>43661</v>
      </c>
    </row>
    <row r="1051" spans="1:6" ht="15" customHeight="1" x14ac:dyDescent="0.3">
      <c r="A1051" s="169" t="s">
        <v>2690</v>
      </c>
      <c r="B1051" s="190" t="s">
        <v>3030</v>
      </c>
      <c r="C1051" s="163" t="s">
        <v>1376</v>
      </c>
      <c r="D1051" s="160">
        <v>0</v>
      </c>
      <c r="E1051" s="165" t="s">
        <v>1058</v>
      </c>
      <c r="F1051" s="166">
        <v>43661</v>
      </c>
    </row>
    <row r="1052" spans="1:6" ht="15" customHeight="1" x14ac:dyDescent="0.3">
      <c r="A1052" s="169" t="s">
        <v>2691</v>
      </c>
      <c r="B1052" s="190" t="s">
        <v>3033</v>
      </c>
      <c r="C1052" s="163" t="s">
        <v>1376</v>
      </c>
      <c r="D1052" s="160">
        <v>0</v>
      </c>
      <c r="E1052" s="165" t="s">
        <v>1058</v>
      </c>
      <c r="F1052" s="166">
        <v>43661</v>
      </c>
    </row>
    <row r="1053" spans="1:6" ht="15" customHeight="1" x14ac:dyDescent="0.3">
      <c r="A1053" s="169" t="s">
        <v>2692</v>
      </c>
      <c r="B1053" s="190" t="s">
        <v>3032</v>
      </c>
      <c r="C1053" s="163" t="s">
        <v>1376</v>
      </c>
      <c r="D1053" s="160">
        <v>0</v>
      </c>
      <c r="E1053" s="165" t="s">
        <v>1058</v>
      </c>
      <c r="F1053" s="166">
        <v>43661</v>
      </c>
    </row>
    <row r="1054" spans="1:6" ht="15" customHeight="1" x14ac:dyDescent="0.3">
      <c r="A1054" s="169" t="s">
        <v>2693</v>
      </c>
      <c r="B1054" s="190" t="s">
        <v>3027</v>
      </c>
      <c r="C1054" s="163" t="s">
        <v>1376</v>
      </c>
      <c r="D1054" s="160">
        <v>0</v>
      </c>
      <c r="E1054" s="165" t="s">
        <v>1058</v>
      </c>
      <c r="F1054" s="166">
        <v>43661</v>
      </c>
    </row>
    <row r="1055" spans="1:6" ht="15" customHeight="1" x14ac:dyDescent="0.3">
      <c r="A1055" s="169" t="s">
        <v>2694</v>
      </c>
      <c r="B1055" s="190" t="s">
        <v>3028</v>
      </c>
      <c r="C1055" s="163" t="s">
        <v>1376</v>
      </c>
      <c r="D1055" s="160">
        <v>0</v>
      </c>
      <c r="E1055" s="165" t="s">
        <v>1058</v>
      </c>
      <c r="F1055" s="166">
        <v>43661</v>
      </c>
    </row>
    <row r="1056" spans="1:6" ht="15" customHeight="1" x14ac:dyDescent="0.3">
      <c r="A1056" s="169" t="s">
        <v>2695</v>
      </c>
      <c r="B1056" s="190" t="s">
        <v>3029</v>
      </c>
      <c r="C1056" s="163" t="s">
        <v>1376</v>
      </c>
      <c r="D1056" s="160">
        <v>0</v>
      </c>
      <c r="E1056" s="165" t="s">
        <v>1058</v>
      </c>
      <c r="F1056" s="166">
        <v>43661</v>
      </c>
    </row>
    <row r="1057" spans="1:6" ht="15" customHeight="1" x14ac:dyDescent="0.3">
      <c r="A1057" s="169" t="s">
        <v>2696</v>
      </c>
      <c r="B1057" s="190" t="s">
        <v>3030</v>
      </c>
      <c r="C1057" s="163" t="s">
        <v>1376</v>
      </c>
      <c r="D1057" s="160">
        <v>0</v>
      </c>
      <c r="E1057" s="165" t="s">
        <v>1058</v>
      </c>
      <c r="F1057" s="166">
        <v>43661</v>
      </c>
    </row>
    <row r="1058" spans="1:6" ht="15" customHeight="1" x14ac:dyDescent="0.3">
      <c r="A1058" s="169" t="s">
        <v>2697</v>
      </c>
      <c r="B1058" s="190" t="s">
        <v>3034</v>
      </c>
      <c r="C1058" s="163" t="s">
        <v>1376</v>
      </c>
      <c r="D1058" s="160">
        <v>0</v>
      </c>
      <c r="E1058" s="165" t="s">
        <v>1058</v>
      </c>
      <c r="F1058" s="166">
        <v>43661</v>
      </c>
    </row>
    <row r="1059" spans="1:6" ht="15" customHeight="1" x14ac:dyDescent="0.3">
      <c r="A1059" s="169" t="s">
        <v>2698</v>
      </c>
      <c r="B1059" s="190" t="s">
        <v>3035</v>
      </c>
      <c r="C1059" s="163" t="s">
        <v>1376</v>
      </c>
      <c r="D1059" s="160">
        <v>0</v>
      </c>
      <c r="E1059" s="165" t="s">
        <v>1058</v>
      </c>
      <c r="F1059" s="166">
        <v>43661</v>
      </c>
    </row>
    <row r="1060" spans="1:6" ht="15" customHeight="1" x14ac:dyDescent="0.3">
      <c r="A1060" s="169" t="s">
        <v>2699</v>
      </c>
      <c r="B1060" s="190" t="s">
        <v>3036</v>
      </c>
      <c r="C1060" s="163" t="s">
        <v>1376</v>
      </c>
      <c r="D1060" s="160">
        <v>0</v>
      </c>
      <c r="E1060" s="165" t="s">
        <v>1058</v>
      </c>
      <c r="F1060" s="166">
        <v>43661</v>
      </c>
    </row>
    <row r="1061" spans="1:6" ht="15" customHeight="1" x14ac:dyDescent="0.3">
      <c r="A1061" s="169" t="s">
        <v>2700</v>
      </c>
      <c r="B1061" s="190" t="s">
        <v>3037</v>
      </c>
      <c r="C1061" s="163" t="s">
        <v>1376</v>
      </c>
      <c r="D1061" s="160">
        <v>0</v>
      </c>
      <c r="E1061" s="165" t="s">
        <v>1058</v>
      </c>
      <c r="F1061" s="166">
        <v>43661</v>
      </c>
    </row>
    <row r="1062" spans="1:6" ht="15" customHeight="1" x14ac:dyDescent="0.3">
      <c r="A1062" s="169" t="s">
        <v>2701</v>
      </c>
      <c r="B1062" s="190" t="s">
        <v>3038</v>
      </c>
      <c r="C1062" s="163" t="s">
        <v>1376</v>
      </c>
      <c r="D1062" s="160">
        <v>0</v>
      </c>
      <c r="E1062" s="165" t="s">
        <v>1058</v>
      </c>
      <c r="F1062" s="166">
        <v>43661</v>
      </c>
    </row>
    <row r="1063" spans="1:6" ht="15" customHeight="1" x14ac:dyDescent="0.3">
      <c r="A1063" s="169" t="s">
        <v>2702</v>
      </c>
      <c r="B1063" s="190" t="s">
        <v>3039</v>
      </c>
      <c r="C1063" s="163" t="s">
        <v>1376</v>
      </c>
      <c r="D1063" s="160">
        <v>0</v>
      </c>
      <c r="E1063" s="165" t="s">
        <v>1058</v>
      </c>
      <c r="F1063" s="166">
        <v>43661</v>
      </c>
    </row>
    <row r="1064" spans="1:6" ht="15" customHeight="1" x14ac:dyDescent="0.3">
      <c r="A1064" s="169" t="s">
        <v>2703</v>
      </c>
      <c r="B1064" s="190" t="s">
        <v>3040</v>
      </c>
      <c r="C1064" s="163" t="s">
        <v>1376</v>
      </c>
      <c r="D1064" s="160">
        <v>0</v>
      </c>
      <c r="E1064" s="165" t="s">
        <v>1058</v>
      </c>
      <c r="F1064" s="166">
        <v>43661</v>
      </c>
    </row>
    <row r="1065" spans="1:6" ht="15" customHeight="1" x14ac:dyDescent="0.3">
      <c r="A1065" s="169" t="s">
        <v>2704</v>
      </c>
      <c r="B1065" s="190" t="s">
        <v>3034</v>
      </c>
      <c r="C1065" s="163" t="s">
        <v>1376</v>
      </c>
      <c r="D1065" s="160">
        <v>0</v>
      </c>
      <c r="E1065" s="165" t="s">
        <v>1058</v>
      </c>
      <c r="F1065" s="166">
        <v>43661</v>
      </c>
    </row>
    <row r="1066" spans="1:6" ht="15" customHeight="1" x14ac:dyDescent="0.3">
      <c r="A1066" s="169" t="s">
        <v>2705</v>
      </c>
      <c r="B1066" s="190" t="s">
        <v>3035</v>
      </c>
      <c r="C1066" s="163" t="s">
        <v>1376</v>
      </c>
      <c r="D1066" s="160">
        <v>0</v>
      </c>
      <c r="E1066" s="165" t="s">
        <v>1058</v>
      </c>
      <c r="F1066" s="166">
        <v>43661</v>
      </c>
    </row>
    <row r="1067" spans="1:6" ht="15" customHeight="1" x14ac:dyDescent="0.3">
      <c r="A1067" s="169" t="s">
        <v>2706</v>
      </c>
      <c r="B1067" s="190" t="s">
        <v>3036</v>
      </c>
      <c r="C1067" s="163" t="s">
        <v>1376</v>
      </c>
      <c r="D1067" s="160">
        <v>0</v>
      </c>
      <c r="E1067" s="165" t="s">
        <v>1058</v>
      </c>
      <c r="F1067" s="166">
        <v>43661</v>
      </c>
    </row>
    <row r="1068" spans="1:6" ht="15" customHeight="1" x14ac:dyDescent="0.3">
      <c r="A1068" s="169" t="s">
        <v>2707</v>
      </c>
      <c r="B1068" s="190" t="s">
        <v>3037</v>
      </c>
      <c r="C1068" s="163" t="s">
        <v>1376</v>
      </c>
      <c r="D1068" s="160">
        <v>0</v>
      </c>
      <c r="E1068" s="165" t="s">
        <v>1058</v>
      </c>
      <c r="F1068" s="166">
        <v>43661</v>
      </c>
    </row>
    <row r="1069" spans="1:6" ht="15" customHeight="1" x14ac:dyDescent="0.3">
      <c r="A1069" s="169" t="s">
        <v>2708</v>
      </c>
      <c r="B1069" s="190" t="s">
        <v>3038</v>
      </c>
      <c r="C1069" s="163" t="s">
        <v>1376</v>
      </c>
      <c r="D1069" s="160">
        <v>0</v>
      </c>
      <c r="E1069" s="165" t="s">
        <v>1058</v>
      </c>
      <c r="F1069" s="166">
        <v>43661</v>
      </c>
    </row>
    <row r="1070" spans="1:6" ht="15" customHeight="1" x14ac:dyDescent="0.3">
      <c r="A1070" s="169" t="s">
        <v>2709</v>
      </c>
      <c r="B1070" s="190" t="s">
        <v>3040</v>
      </c>
      <c r="C1070" s="163" t="s">
        <v>1376</v>
      </c>
      <c r="D1070" s="160">
        <v>0</v>
      </c>
      <c r="E1070" s="165" t="s">
        <v>1058</v>
      </c>
      <c r="F1070" s="166">
        <v>43661</v>
      </c>
    </row>
    <row r="1071" spans="1:6" ht="15" customHeight="1" x14ac:dyDescent="0.3">
      <c r="A1071" s="169" t="s">
        <v>2710</v>
      </c>
      <c r="B1071" s="190" t="s">
        <v>3039</v>
      </c>
      <c r="C1071" s="163" t="s">
        <v>1376</v>
      </c>
      <c r="D1071" s="160">
        <v>0</v>
      </c>
      <c r="E1071" s="165" t="s">
        <v>1058</v>
      </c>
      <c r="F1071" s="166">
        <v>43661</v>
      </c>
    </row>
    <row r="1072" spans="1:6" ht="15" customHeight="1" x14ac:dyDescent="0.3">
      <c r="A1072" s="169" t="s">
        <v>2711</v>
      </c>
      <c r="B1072" s="190" t="s">
        <v>3034</v>
      </c>
      <c r="C1072" s="163" t="s">
        <v>1376</v>
      </c>
      <c r="D1072" s="160">
        <v>0</v>
      </c>
      <c r="E1072" s="165" t="s">
        <v>1058</v>
      </c>
      <c r="F1072" s="166">
        <v>43661</v>
      </c>
    </row>
    <row r="1073" spans="1:6" ht="15" customHeight="1" x14ac:dyDescent="0.3">
      <c r="A1073" s="169" t="s">
        <v>2712</v>
      </c>
      <c r="B1073" s="190" t="s">
        <v>3037</v>
      </c>
      <c r="C1073" s="163" t="s">
        <v>1376</v>
      </c>
      <c r="D1073" s="160">
        <v>0</v>
      </c>
      <c r="E1073" s="165" t="s">
        <v>1058</v>
      </c>
      <c r="F1073" s="166">
        <v>43661</v>
      </c>
    </row>
    <row r="1074" spans="1:6" ht="15" customHeight="1" x14ac:dyDescent="0.3">
      <c r="A1074" s="169" t="s">
        <v>2713</v>
      </c>
      <c r="B1074" s="190" t="s">
        <v>3041</v>
      </c>
      <c r="C1074" s="163" t="s">
        <v>1376</v>
      </c>
      <c r="D1074" s="160">
        <v>0</v>
      </c>
      <c r="E1074" s="165" t="s">
        <v>1058</v>
      </c>
      <c r="F1074" s="166">
        <v>43661</v>
      </c>
    </row>
    <row r="1075" spans="1:6" ht="15" customHeight="1" x14ac:dyDescent="0.3">
      <c r="A1075" s="169" t="s">
        <v>2714</v>
      </c>
      <c r="B1075" s="190" t="s">
        <v>3042</v>
      </c>
      <c r="C1075" s="163" t="s">
        <v>1376</v>
      </c>
      <c r="D1075" s="160">
        <v>0</v>
      </c>
      <c r="E1075" s="165" t="s">
        <v>1058</v>
      </c>
      <c r="F1075" s="166">
        <v>43661</v>
      </c>
    </row>
    <row r="1076" spans="1:6" ht="15" customHeight="1" x14ac:dyDescent="0.3">
      <c r="A1076" s="169" t="s">
        <v>2715</v>
      </c>
      <c r="B1076" s="190" t="s">
        <v>3034</v>
      </c>
      <c r="C1076" s="163" t="s">
        <v>1376</v>
      </c>
      <c r="D1076" s="160">
        <v>0</v>
      </c>
      <c r="E1076" s="165" t="s">
        <v>1058</v>
      </c>
      <c r="F1076" s="166">
        <v>43661</v>
      </c>
    </row>
    <row r="1077" spans="1:6" ht="15" customHeight="1" x14ac:dyDescent="0.3">
      <c r="A1077" s="169" t="s">
        <v>2716</v>
      </c>
      <c r="B1077" s="190" t="s">
        <v>3035</v>
      </c>
      <c r="C1077" s="163" t="s">
        <v>1376</v>
      </c>
      <c r="D1077" s="160">
        <v>0</v>
      </c>
      <c r="E1077" s="165" t="s">
        <v>1058</v>
      </c>
      <c r="F1077" s="166">
        <v>43661</v>
      </c>
    </row>
    <row r="1078" spans="1:6" ht="15" customHeight="1" x14ac:dyDescent="0.3">
      <c r="A1078" s="169" t="s">
        <v>2717</v>
      </c>
      <c r="B1078" s="190" t="s">
        <v>3036</v>
      </c>
      <c r="C1078" s="163" t="s">
        <v>1376</v>
      </c>
      <c r="D1078" s="160">
        <v>0</v>
      </c>
      <c r="E1078" s="165" t="s">
        <v>1058</v>
      </c>
      <c r="F1078" s="166">
        <v>43661</v>
      </c>
    </row>
    <row r="1079" spans="1:6" ht="15" customHeight="1" x14ac:dyDescent="0.3">
      <c r="A1079" s="169" t="s">
        <v>2718</v>
      </c>
      <c r="B1079" s="190" t="s">
        <v>3037</v>
      </c>
      <c r="C1079" s="163" t="s">
        <v>1376</v>
      </c>
      <c r="D1079" s="160">
        <v>0</v>
      </c>
      <c r="E1079" s="165" t="s">
        <v>1058</v>
      </c>
      <c r="F1079" s="166">
        <v>43661</v>
      </c>
    </row>
    <row r="1080" spans="1:6" ht="24.75" customHeight="1" x14ac:dyDescent="0.3">
      <c r="A1080" s="169" t="s">
        <v>2719</v>
      </c>
      <c r="B1080" s="190" t="s">
        <v>3038</v>
      </c>
      <c r="C1080" s="163" t="s">
        <v>1376</v>
      </c>
      <c r="D1080" s="160">
        <v>0</v>
      </c>
      <c r="E1080" s="165" t="s">
        <v>1058</v>
      </c>
      <c r="F1080" s="166">
        <v>43661</v>
      </c>
    </row>
    <row r="1081" spans="1:6" ht="24.75" customHeight="1" x14ac:dyDescent="0.3">
      <c r="A1081" s="169" t="s">
        <v>2720</v>
      </c>
      <c r="B1081" s="190" t="s">
        <v>3040</v>
      </c>
      <c r="C1081" s="163" t="s">
        <v>1376</v>
      </c>
      <c r="D1081" s="160">
        <v>0</v>
      </c>
      <c r="E1081" s="165" t="s">
        <v>1058</v>
      </c>
      <c r="F1081" s="166">
        <v>43661</v>
      </c>
    </row>
    <row r="1082" spans="1:6" s="511" customFormat="1" ht="15" customHeight="1" x14ac:dyDescent="0.3">
      <c r="A1082" s="506" t="s">
        <v>2721</v>
      </c>
      <c r="B1082" s="507" t="s">
        <v>3039</v>
      </c>
      <c r="C1082" s="508" t="s">
        <v>1376</v>
      </c>
      <c r="D1082" s="160">
        <v>484.7</v>
      </c>
      <c r="E1082" s="509" t="s">
        <v>1058</v>
      </c>
      <c r="F1082" s="510">
        <v>43661</v>
      </c>
    </row>
    <row r="1083" spans="1:6" ht="24.75" customHeight="1" x14ac:dyDescent="0.3">
      <c r="A1083" s="169" t="s">
        <v>2722</v>
      </c>
      <c r="B1083" s="190" t="s">
        <v>2724</v>
      </c>
      <c r="C1083" s="163" t="s">
        <v>1376</v>
      </c>
      <c r="D1083" s="160">
        <v>1354</v>
      </c>
      <c r="E1083" s="165" t="s">
        <v>2725</v>
      </c>
      <c r="F1083" s="166">
        <v>43661</v>
      </c>
    </row>
    <row r="1084" spans="1:6" ht="15" customHeight="1" x14ac:dyDescent="0.3">
      <c r="A1084" s="169" t="s">
        <v>2723</v>
      </c>
      <c r="B1084" s="190" t="s">
        <v>2726</v>
      </c>
      <c r="C1084" s="163" t="s">
        <v>1376</v>
      </c>
      <c r="D1084" s="160">
        <v>1475.9</v>
      </c>
      <c r="E1084" s="165" t="s">
        <v>1438</v>
      </c>
      <c r="F1084" s="166">
        <v>43662</v>
      </c>
    </row>
    <row r="1085" spans="1:6" ht="15" customHeight="1" x14ac:dyDescent="0.3">
      <c r="A1085" s="169" t="s">
        <v>2727</v>
      </c>
      <c r="B1085" s="190" t="s">
        <v>2732</v>
      </c>
      <c r="C1085" s="163" t="s">
        <v>1376</v>
      </c>
      <c r="D1085" s="160">
        <v>449</v>
      </c>
      <c r="E1085" s="165" t="s">
        <v>2733</v>
      </c>
      <c r="F1085" s="166">
        <v>43661</v>
      </c>
    </row>
    <row r="1086" spans="1:6" ht="15" customHeight="1" x14ac:dyDescent="0.3">
      <c r="A1086" s="169" t="s">
        <v>2728</v>
      </c>
      <c r="B1086" s="190" t="s">
        <v>2734</v>
      </c>
      <c r="C1086" s="163" t="s">
        <v>1376</v>
      </c>
      <c r="D1086" s="160">
        <v>2990</v>
      </c>
      <c r="E1086" s="165" t="s">
        <v>2733</v>
      </c>
      <c r="F1086" s="166">
        <v>43661</v>
      </c>
    </row>
    <row r="1087" spans="1:6" ht="15" customHeight="1" x14ac:dyDescent="0.3">
      <c r="A1087" s="169" t="s">
        <v>2729</v>
      </c>
      <c r="B1087" s="190" t="s">
        <v>2844</v>
      </c>
      <c r="C1087" s="163" t="s">
        <v>73</v>
      </c>
      <c r="D1087" s="160">
        <f>((((14000/48.1)*1.03)/1.03)*1.02)/1.02</f>
        <v>291.06029106029104</v>
      </c>
      <c r="E1087" s="165" t="s">
        <v>2845</v>
      </c>
      <c r="F1087" s="166">
        <v>43663</v>
      </c>
    </row>
    <row r="1088" spans="1:6" ht="15" customHeight="1" x14ac:dyDescent="0.3">
      <c r="A1088" s="169" t="s">
        <v>2730</v>
      </c>
      <c r="B1088" s="190" t="s">
        <v>2751</v>
      </c>
      <c r="C1088" s="163" t="s">
        <v>73</v>
      </c>
      <c r="D1088" s="160">
        <f>((((146+10)*1.03)/1.03)*1.02)/1.02</f>
        <v>156</v>
      </c>
      <c r="E1088" s="165" t="s">
        <v>2791</v>
      </c>
      <c r="F1088" s="166">
        <v>43663</v>
      </c>
    </row>
    <row r="1089" spans="1:6" ht="15" customHeight="1" x14ac:dyDescent="0.3">
      <c r="A1089" s="169" t="s">
        <v>2731</v>
      </c>
      <c r="B1089" s="190" t="s">
        <v>2753</v>
      </c>
      <c r="C1089" s="163" t="s">
        <v>2773</v>
      </c>
      <c r="D1089" s="160">
        <f>((((665*0.95)*1.03)/1.03)*1.02)/1.02</f>
        <v>631.75</v>
      </c>
      <c r="E1089" s="165" t="s">
        <v>2782</v>
      </c>
      <c r="F1089" s="166">
        <v>43662</v>
      </c>
    </row>
    <row r="1090" spans="1:6" ht="15" customHeight="1" x14ac:dyDescent="0.3">
      <c r="A1090" s="169" t="s">
        <v>2736</v>
      </c>
      <c r="B1090" s="190" t="s">
        <v>2754</v>
      </c>
      <c r="C1090" s="163" t="s">
        <v>73</v>
      </c>
      <c r="D1090" s="160">
        <v>40</v>
      </c>
      <c r="E1090" s="165" t="s">
        <v>2642</v>
      </c>
      <c r="F1090" s="166">
        <v>43662</v>
      </c>
    </row>
    <row r="1091" spans="1:6" ht="15" customHeight="1" x14ac:dyDescent="0.3">
      <c r="A1091" s="169" t="s">
        <v>2763</v>
      </c>
      <c r="B1091" s="190" t="s">
        <v>2981</v>
      </c>
      <c r="C1091" s="163" t="s">
        <v>73</v>
      </c>
      <c r="D1091" s="160">
        <v>258.45</v>
      </c>
      <c r="E1091" s="165" t="s">
        <v>1459</v>
      </c>
      <c r="F1091" s="166">
        <v>43754</v>
      </c>
    </row>
    <row r="1092" spans="1:6" ht="15" customHeight="1" x14ac:dyDescent="0.3">
      <c r="A1092" s="169" t="s">
        <v>2764</v>
      </c>
      <c r="B1092" s="190" t="s">
        <v>2758</v>
      </c>
      <c r="C1092" s="163" t="s">
        <v>73</v>
      </c>
      <c r="D1092" s="160">
        <v>43.01</v>
      </c>
      <c r="E1092" s="165" t="s">
        <v>947</v>
      </c>
      <c r="F1092" s="166">
        <v>43662</v>
      </c>
    </row>
    <row r="1093" spans="1:6" ht="15" customHeight="1" x14ac:dyDescent="0.3">
      <c r="A1093" s="169" t="s">
        <v>2765</v>
      </c>
      <c r="B1093" s="190" t="s">
        <v>2975</v>
      </c>
      <c r="C1093" s="163" t="s">
        <v>73</v>
      </c>
      <c r="D1093" s="160">
        <v>70.47</v>
      </c>
      <c r="E1093" s="165" t="s">
        <v>1459</v>
      </c>
      <c r="F1093" s="166">
        <v>43754</v>
      </c>
    </row>
    <row r="1094" spans="1:6" ht="15" customHeight="1" x14ac:dyDescent="0.3">
      <c r="A1094" s="169" t="s">
        <v>2766</v>
      </c>
      <c r="B1094" s="190" t="s">
        <v>2980</v>
      </c>
      <c r="C1094" s="163" t="s">
        <v>73</v>
      </c>
      <c r="D1094" s="160">
        <v>155.04</v>
      </c>
      <c r="E1094" s="165" t="s">
        <v>2782</v>
      </c>
      <c r="F1094" s="166">
        <v>43662</v>
      </c>
    </row>
    <row r="1095" spans="1:6" ht="15" customHeight="1" x14ac:dyDescent="0.3">
      <c r="A1095" s="169" t="s">
        <v>2767</v>
      </c>
      <c r="B1095" s="190" t="s">
        <v>2759</v>
      </c>
      <c r="C1095" s="163" t="s">
        <v>73</v>
      </c>
      <c r="D1095" s="160">
        <v>175.21</v>
      </c>
      <c r="E1095" s="165" t="s">
        <v>2793</v>
      </c>
      <c r="F1095" s="166">
        <v>43662</v>
      </c>
    </row>
    <row r="1096" spans="1:6" ht="15" customHeight="1" x14ac:dyDescent="0.3">
      <c r="A1096" s="169" t="s">
        <v>2768</v>
      </c>
      <c r="B1096" s="190" t="s">
        <v>2760</v>
      </c>
      <c r="C1096" s="163" t="s">
        <v>73</v>
      </c>
      <c r="D1096" s="160">
        <v>431.55</v>
      </c>
      <c r="E1096" s="165" t="s">
        <v>2792</v>
      </c>
      <c r="F1096" s="166">
        <v>43662</v>
      </c>
    </row>
    <row r="1097" spans="1:6" ht="15" customHeight="1" x14ac:dyDescent="0.3">
      <c r="A1097" s="169" t="s">
        <v>2769</v>
      </c>
      <c r="B1097" s="190" t="s">
        <v>2761</v>
      </c>
      <c r="C1097" s="163" t="s">
        <v>73</v>
      </c>
      <c r="D1097" s="160">
        <v>104.9</v>
      </c>
      <c r="E1097" s="165" t="s">
        <v>1024</v>
      </c>
      <c r="F1097" s="166">
        <v>43662</v>
      </c>
    </row>
    <row r="1098" spans="1:6" ht="15" customHeight="1" x14ac:dyDescent="0.3">
      <c r="A1098" s="169" t="s">
        <v>2770</v>
      </c>
      <c r="B1098" s="190" t="s">
        <v>3044</v>
      </c>
      <c r="C1098" s="163" t="s">
        <v>73</v>
      </c>
      <c r="D1098" s="160">
        <f>((((822.727272*1.3)*1.03)/1.03)*1.02)/1.02</f>
        <v>1069.5454536</v>
      </c>
      <c r="E1098" s="165" t="s">
        <v>2982</v>
      </c>
      <c r="F1098" s="166">
        <v>43753</v>
      </c>
    </row>
    <row r="1099" spans="1:6" ht="15" customHeight="1" x14ac:dyDescent="0.3">
      <c r="A1099" s="169" t="s">
        <v>2771</v>
      </c>
      <c r="B1099" s="190" t="s">
        <v>3045</v>
      </c>
      <c r="C1099" s="163" t="s">
        <v>73</v>
      </c>
      <c r="D1099" s="160">
        <f>((((1800*1.3)*1.03)/1.03)*1.02)/1.02</f>
        <v>2340</v>
      </c>
      <c r="E1099" s="165" t="s">
        <v>2982</v>
      </c>
      <c r="F1099" s="166">
        <v>43753</v>
      </c>
    </row>
    <row r="1100" spans="1:6" ht="15" customHeight="1" x14ac:dyDescent="0.3">
      <c r="A1100" s="169" t="s">
        <v>2772</v>
      </c>
      <c r="B1100" s="190" t="s">
        <v>2762</v>
      </c>
      <c r="C1100" s="163" t="s">
        <v>73</v>
      </c>
      <c r="D1100" s="160">
        <v>118</v>
      </c>
      <c r="E1100" s="165" t="s">
        <v>1772</v>
      </c>
      <c r="F1100" s="166">
        <v>43662</v>
      </c>
    </row>
    <row r="1101" spans="1:6" ht="15" customHeight="1" x14ac:dyDescent="0.3">
      <c r="A1101" s="169" t="s">
        <v>2774</v>
      </c>
      <c r="B1101" s="190" t="s">
        <v>2778</v>
      </c>
      <c r="C1101" s="163" t="s">
        <v>73</v>
      </c>
      <c r="D1101" s="160">
        <v>39</v>
      </c>
      <c r="E1101" s="165" t="s">
        <v>2777</v>
      </c>
      <c r="F1101" s="166">
        <v>43662</v>
      </c>
    </row>
    <row r="1102" spans="1:6" ht="15" customHeight="1" x14ac:dyDescent="0.3">
      <c r="A1102" s="169" t="s">
        <v>2775</v>
      </c>
      <c r="B1102" s="190" t="s">
        <v>3006</v>
      </c>
      <c r="C1102" s="163" t="s">
        <v>2088</v>
      </c>
      <c r="D1102" s="160">
        <v>17.5</v>
      </c>
      <c r="E1102" s="165" t="s">
        <v>3007</v>
      </c>
      <c r="F1102" s="166">
        <v>43754</v>
      </c>
    </row>
    <row r="1103" spans="1:6" ht="15" customHeight="1" x14ac:dyDescent="0.3">
      <c r="A1103" s="169" t="s">
        <v>2776</v>
      </c>
      <c r="B1103" s="190" t="s">
        <v>2781</v>
      </c>
      <c r="C1103" s="163" t="s">
        <v>74</v>
      </c>
      <c r="D1103" s="160">
        <v>32</v>
      </c>
      <c r="E1103" s="165" t="s">
        <v>1772</v>
      </c>
      <c r="F1103" s="166"/>
    </row>
    <row r="1104" spans="1:6" ht="15" customHeight="1" x14ac:dyDescent="0.3">
      <c r="A1104" s="169" t="s">
        <v>2780</v>
      </c>
      <c r="B1104" s="190" t="s">
        <v>2779</v>
      </c>
      <c r="C1104" s="163" t="s">
        <v>73</v>
      </c>
      <c r="D1104" s="160">
        <v>50</v>
      </c>
      <c r="E1104" s="165" t="s">
        <v>2777</v>
      </c>
      <c r="F1104" s="166">
        <v>43662</v>
      </c>
    </row>
    <row r="1105" spans="1:6" ht="15" customHeight="1" x14ac:dyDescent="0.3">
      <c r="A1105" s="169" t="s">
        <v>2783</v>
      </c>
      <c r="B1105" s="190" t="s">
        <v>2819</v>
      </c>
      <c r="C1105" s="163" t="s">
        <v>73</v>
      </c>
      <c r="D1105" s="160">
        <v>15</v>
      </c>
      <c r="E1105" s="165" t="s">
        <v>2623</v>
      </c>
      <c r="F1105" s="166">
        <v>43664</v>
      </c>
    </row>
    <row r="1106" spans="1:6" ht="15" customHeight="1" x14ac:dyDescent="0.3">
      <c r="A1106" s="169" t="s">
        <v>2784</v>
      </c>
      <c r="B1106" s="190" t="s">
        <v>2820</v>
      </c>
      <c r="C1106" s="163" t="s">
        <v>73</v>
      </c>
      <c r="D1106" s="160">
        <v>15</v>
      </c>
      <c r="E1106" s="165" t="s">
        <v>2623</v>
      </c>
      <c r="F1106" s="166">
        <v>43664</v>
      </c>
    </row>
    <row r="1107" spans="1:6" ht="15" customHeight="1" x14ac:dyDescent="0.3">
      <c r="A1107" s="169" t="s">
        <v>2785</v>
      </c>
      <c r="B1107" s="190" t="s">
        <v>3178</v>
      </c>
      <c r="C1107" s="163" t="s">
        <v>29</v>
      </c>
      <c r="D1107" s="160">
        <v>1</v>
      </c>
      <c r="E1107" s="165" t="s">
        <v>3177</v>
      </c>
      <c r="F1107" s="166">
        <v>44112</v>
      </c>
    </row>
    <row r="1108" spans="1:6" ht="15" customHeight="1" x14ac:dyDescent="0.3">
      <c r="A1108" s="169" t="s">
        <v>2794</v>
      </c>
      <c r="B1108" s="190" t="s">
        <v>2651</v>
      </c>
      <c r="C1108" s="163" t="s">
        <v>29</v>
      </c>
      <c r="D1108" s="160">
        <v>6200</v>
      </c>
      <c r="E1108" s="165" t="s">
        <v>2797</v>
      </c>
      <c r="F1108" s="166"/>
    </row>
    <row r="1109" spans="1:6" ht="15" customHeight="1" x14ac:dyDescent="0.3">
      <c r="A1109" s="169" t="s">
        <v>2795</v>
      </c>
      <c r="B1109" s="190" t="s">
        <v>2650</v>
      </c>
      <c r="C1109" s="163" t="s">
        <v>29</v>
      </c>
      <c r="D1109" s="160">
        <v>3000</v>
      </c>
      <c r="E1109" s="165" t="s">
        <v>405</v>
      </c>
      <c r="F1109" s="166"/>
    </row>
    <row r="1110" spans="1:6" ht="15" customHeight="1" x14ac:dyDescent="0.3">
      <c r="A1110" s="169" t="s">
        <v>2796</v>
      </c>
      <c r="B1110" s="190" t="s">
        <v>976</v>
      </c>
      <c r="C1110" s="163" t="s">
        <v>29</v>
      </c>
      <c r="D1110" s="160">
        <v>9000</v>
      </c>
      <c r="E1110" s="165" t="s">
        <v>2798</v>
      </c>
      <c r="F1110" s="166">
        <v>44470</v>
      </c>
    </row>
    <row r="1111" spans="1:6" ht="15" customHeight="1" x14ac:dyDescent="0.3">
      <c r="A1111" s="169" t="s">
        <v>2801</v>
      </c>
      <c r="B1111" s="190" t="s">
        <v>2800</v>
      </c>
      <c r="C1111" s="163" t="s">
        <v>29</v>
      </c>
      <c r="D1111" s="160">
        <v>5000</v>
      </c>
      <c r="E1111" s="165" t="s">
        <v>2642</v>
      </c>
      <c r="F1111" s="166"/>
    </row>
    <row r="1112" spans="1:6" ht="15" customHeight="1" x14ac:dyDescent="0.3">
      <c r="A1112" s="169" t="s">
        <v>2802</v>
      </c>
      <c r="B1112" s="190" t="s">
        <v>3085</v>
      </c>
      <c r="C1112" s="163" t="s">
        <v>73</v>
      </c>
      <c r="D1112" s="160">
        <v>340</v>
      </c>
      <c r="E1112" s="165" t="s">
        <v>3084</v>
      </c>
      <c r="F1112" s="166">
        <v>43756</v>
      </c>
    </row>
    <row r="1113" spans="1:6" ht="15" customHeight="1" x14ac:dyDescent="0.3">
      <c r="A1113" s="169" t="s">
        <v>2804</v>
      </c>
      <c r="B1113" s="190" t="s">
        <v>2971</v>
      </c>
      <c r="C1113" s="358" t="s">
        <v>73</v>
      </c>
      <c r="D1113" s="160">
        <f>((((47600/(6.3*3))*1.03)/1.03)*1.02)/1.02</f>
        <v>2518.5185185185187</v>
      </c>
      <c r="E1113" s="165" t="s">
        <v>2909</v>
      </c>
      <c r="F1113" s="166">
        <v>43669</v>
      </c>
    </row>
    <row r="1114" spans="1:6" ht="25.5" customHeight="1" x14ac:dyDescent="0.3">
      <c r="A1114" s="169" t="s">
        <v>2807</v>
      </c>
      <c r="B1114" s="534" t="s">
        <v>3452</v>
      </c>
      <c r="C1114" s="163" t="s">
        <v>73</v>
      </c>
      <c r="D1114" s="160">
        <v>423.74</v>
      </c>
      <c r="E1114" s="533" t="s">
        <v>3262</v>
      </c>
      <c r="F1114" s="166">
        <v>43777</v>
      </c>
    </row>
    <row r="1115" spans="1:6" ht="15" customHeight="1" x14ac:dyDescent="0.3">
      <c r="A1115" s="169" t="s">
        <v>2809</v>
      </c>
      <c r="B1115" s="190" t="s">
        <v>2808</v>
      </c>
      <c r="C1115" s="163" t="s">
        <v>73</v>
      </c>
      <c r="D1115" s="160">
        <f>((((D1114*1.15)*1.03)/1.03)*1.02)/1.02</f>
        <v>487.30099999999999</v>
      </c>
      <c r="E1115" s="165" t="s">
        <v>2806</v>
      </c>
      <c r="F1115" s="166">
        <v>43663</v>
      </c>
    </row>
    <row r="1116" spans="1:6" ht="15" customHeight="1" x14ac:dyDescent="0.3">
      <c r="A1116" s="169" t="s">
        <v>2810</v>
      </c>
      <c r="B1116" s="190" t="s">
        <v>3298</v>
      </c>
      <c r="C1116" s="163" t="s">
        <v>29</v>
      </c>
      <c r="D1116" s="160">
        <v>150</v>
      </c>
      <c r="E1116" s="165" t="s">
        <v>3296</v>
      </c>
      <c r="F1116" s="166">
        <v>43780</v>
      </c>
    </row>
    <row r="1117" spans="1:6" ht="15" customHeight="1" x14ac:dyDescent="0.3">
      <c r="A1117" s="169" t="s">
        <v>2811</v>
      </c>
      <c r="B1117" s="190" t="s">
        <v>2996</v>
      </c>
      <c r="C1117" s="470" t="s">
        <v>29</v>
      </c>
      <c r="D1117" s="160">
        <f>((((4596.5*1.3)*1.03)/1.03)*1.02)/1.02</f>
        <v>5975.45</v>
      </c>
      <c r="E1117" s="468" t="s">
        <v>2999</v>
      </c>
      <c r="F1117" s="469">
        <v>43753</v>
      </c>
    </row>
    <row r="1118" spans="1:6" ht="15" customHeight="1" x14ac:dyDescent="0.3">
      <c r="A1118" s="169" t="s">
        <v>2812</v>
      </c>
      <c r="B1118" s="190" t="s">
        <v>2997</v>
      </c>
      <c r="C1118" s="470" t="s">
        <v>29</v>
      </c>
      <c r="D1118" s="160">
        <f>((((1781.74*1.3)*1.03)/1.03)*1.02)/1.02</f>
        <v>2316.2620000000002</v>
      </c>
      <c r="E1118" s="468" t="s">
        <v>2999</v>
      </c>
      <c r="F1118" s="469">
        <v>43753</v>
      </c>
    </row>
    <row r="1119" spans="1:6" ht="15" customHeight="1" x14ac:dyDescent="0.3">
      <c r="A1119" s="169" t="s">
        <v>2813</v>
      </c>
      <c r="B1119" s="156" t="s">
        <v>2998</v>
      </c>
      <c r="C1119" s="470" t="s">
        <v>29</v>
      </c>
      <c r="D1119" s="160">
        <f>((((1781.74*1.3)*1.03)/1.03)*1.02)/1.02</f>
        <v>2316.2620000000002</v>
      </c>
      <c r="E1119" s="468" t="s">
        <v>2999</v>
      </c>
      <c r="F1119" s="469">
        <v>43753</v>
      </c>
    </row>
    <row r="1120" spans="1:6" ht="15" customHeight="1" x14ac:dyDescent="0.3">
      <c r="A1120" s="169" t="s">
        <v>2814</v>
      </c>
      <c r="B1120" s="156" t="s">
        <v>3000</v>
      </c>
      <c r="C1120" s="470" t="s">
        <v>29</v>
      </c>
      <c r="D1120" s="160">
        <f>((((824.5*1.3)*1.03)/1.03)*1.02)/1.02</f>
        <v>1071.8500000000001</v>
      </c>
      <c r="E1120" s="468" t="s">
        <v>2999</v>
      </c>
      <c r="F1120" s="469">
        <v>43753</v>
      </c>
    </row>
    <row r="1121" spans="1:6" ht="15" customHeight="1" x14ac:dyDescent="0.3">
      <c r="A1121" s="169" t="s">
        <v>2816</v>
      </c>
      <c r="B1121" s="190" t="s">
        <v>2818</v>
      </c>
      <c r="C1121" s="163" t="s">
        <v>1376</v>
      </c>
      <c r="D1121" s="160">
        <f>(((((2390*0.95)*0.7)*1.03)/1.03)*1.02)/1.02</f>
        <v>1589.35</v>
      </c>
      <c r="E1121" s="165" t="s">
        <v>2817</v>
      </c>
      <c r="F1121" s="166">
        <v>43664</v>
      </c>
    </row>
    <row r="1122" spans="1:6" ht="15" customHeight="1" x14ac:dyDescent="0.3">
      <c r="A1122" s="169" t="s">
        <v>2822</v>
      </c>
      <c r="B1122" s="190" t="s">
        <v>2821</v>
      </c>
      <c r="C1122" s="163" t="s">
        <v>1376</v>
      </c>
      <c r="D1122" s="160">
        <v>76.31</v>
      </c>
      <c r="E1122" s="165" t="s">
        <v>1058</v>
      </c>
      <c r="F1122" s="166">
        <v>43664</v>
      </c>
    </row>
    <row r="1123" spans="1:6" ht="15" customHeight="1" x14ac:dyDescent="0.3">
      <c r="A1123" s="169" t="s">
        <v>2831</v>
      </c>
      <c r="B1123" s="190" t="s">
        <v>2833</v>
      </c>
      <c r="C1123" s="163" t="s">
        <v>1376</v>
      </c>
      <c r="D1123" s="160">
        <v>3500</v>
      </c>
      <c r="E1123" s="165" t="s">
        <v>2832</v>
      </c>
      <c r="F1123" s="166">
        <v>43665</v>
      </c>
    </row>
    <row r="1124" spans="1:6" ht="15" customHeight="1" x14ac:dyDescent="0.3">
      <c r="A1124" s="169" t="s">
        <v>2836</v>
      </c>
      <c r="B1124" s="190" t="s">
        <v>2835</v>
      </c>
      <c r="C1124" s="163" t="s">
        <v>73</v>
      </c>
      <c r="D1124" s="160">
        <v>391</v>
      </c>
      <c r="E1124" s="165" t="s">
        <v>1772</v>
      </c>
      <c r="F1124" s="166"/>
    </row>
    <row r="1125" spans="1:6" ht="15" customHeight="1" x14ac:dyDescent="0.3">
      <c r="A1125" s="169" t="s">
        <v>2837</v>
      </c>
      <c r="B1125" s="190" t="s">
        <v>3002</v>
      </c>
      <c r="C1125" s="163" t="s">
        <v>29</v>
      </c>
      <c r="D1125" s="160">
        <v>17000</v>
      </c>
      <c r="E1125" s="165" t="s">
        <v>3056</v>
      </c>
      <c r="F1125" s="166">
        <v>43753</v>
      </c>
    </row>
    <row r="1126" spans="1:6" ht="15" customHeight="1" x14ac:dyDescent="0.3">
      <c r="A1126" s="169" t="s">
        <v>2839</v>
      </c>
      <c r="B1126" s="190" t="s">
        <v>2838</v>
      </c>
      <c r="C1126" s="163" t="s">
        <v>1376</v>
      </c>
      <c r="D1126" s="160">
        <v>175.9</v>
      </c>
      <c r="E1126" s="165" t="s">
        <v>2840</v>
      </c>
      <c r="F1126" s="166"/>
    </row>
    <row r="1127" spans="1:6" ht="15" customHeight="1" x14ac:dyDescent="0.3">
      <c r="A1127" s="169" t="s">
        <v>2848</v>
      </c>
      <c r="B1127" s="190" t="s">
        <v>2847</v>
      </c>
      <c r="C1127" s="163" t="s">
        <v>73</v>
      </c>
      <c r="D1127" s="160">
        <v>200</v>
      </c>
      <c r="E1127" s="165" t="s">
        <v>405</v>
      </c>
      <c r="F1127" s="166">
        <v>43669</v>
      </c>
    </row>
    <row r="1128" spans="1:6" ht="15" customHeight="1" x14ac:dyDescent="0.3">
      <c r="A1128" s="169" t="s">
        <v>2849</v>
      </c>
      <c r="B1128" s="190" t="s">
        <v>5707</v>
      </c>
      <c r="C1128" s="163" t="s">
        <v>1376</v>
      </c>
      <c r="D1128" s="160">
        <v>900</v>
      </c>
      <c r="E1128" s="165" t="s">
        <v>3521</v>
      </c>
      <c r="F1128" s="166">
        <v>43669</v>
      </c>
    </row>
    <row r="1129" spans="1:6" ht="15" customHeight="1" x14ac:dyDescent="0.3">
      <c r="A1129" s="169" t="s">
        <v>2850</v>
      </c>
      <c r="B1129" s="190" t="s">
        <v>3087</v>
      </c>
      <c r="C1129" s="163" t="s">
        <v>3003</v>
      </c>
      <c r="D1129" s="160">
        <f>((((86460-48100)*1.03)/1.03)*1.02)/1.02</f>
        <v>38360</v>
      </c>
      <c r="E1129" s="165" t="s">
        <v>3521</v>
      </c>
      <c r="F1129" s="166">
        <v>43754</v>
      </c>
    </row>
    <row r="1130" spans="1:6" ht="15" customHeight="1" x14ac:dyDescent="0.3">
      <c r="A1130" s="169" t="s">
        <v>2851</v>
      </c>
      <c r="B1130" s="190" t="s">
        <v>2855</v>
      </c>
      <c r="C1130" s="163" t="s">
        <v>1376</v>
      </c>
      <c r="D1130" s="160">
        <v>6016</v>
      </c>
      <c r="E1130" s="165" t="s">
        <v>3521</v>
      </c>
      <c r="F1130" s="166">
        <v>43669</v>
      </c>
    </row>
    <row r="1131" spans="1:6" ht="15" customHeight="1" x14ac:dyDescent="0.3">
      <c r="A1131" s="169" t="s">
        <v>2852</v>
      </c>
      <c r="B1131" s="190" t="s">
        <v>2857</v>
      </c>
      <c r="C1131" s="163" t="s">
        <v>73</v>
      </c>
      <c r="D1131" s="160">
        <v>750</v>
      </c>
      <c r="E1131" s="165" t="s">
        <v>405</v>
      </c>
      <c r="F1131" s="166">
        <v>43669</v>
      </c>
    </row>
    <row r="1132" spans="1:6" ht="15" customHeight="1" x14ac:dyDescent="0.3">
      <c r="A1132" s="169" t="s">
        <v>2853</v>
      </c>
      <c r="B1132" s="190" t="s">
        <v>2828</v>
      </c>
      <c r="C1132" s="163"/>
      <c r="D1132" s="160">
        <v>0</v>
      </c>
      <c r="E1132" s="165"/>
      <c r="F1132" s="166"/>
    </row>
    <row r="1133" spans="1:6" ht="15" customHeight="1" x14ac:dyDescent="0.3">
      <c r="A1133" s="169" t="s">
        <v>2854</v>
      </c>
      <c r="B1133" s="190" t="s">
        <v>2858</v>
      </c>
      <c r="C1133" s="163"/>
      <c r="D1133" s="160">
        <v>0</v>
      </c>
      <c r="E1133" s="165"/>
      <c r="F1133" s="166"/>
    </row>
    <row r="1134" spans="1:6" ht="15" customHeight="1" x14ac:dyDescent="0.3">
      <c r="A1134" s="169" t="s">
        <v>2862</v>
      </c>
      <c r="B1134" s="190" t="s">
        <v>2866</v>
      </c>
      <c r="C1134" s="163" t="s">
        <v>1376</v>
      </c>
      <c r="D1134" s="160">
        <v>58</v>
      </c>
      <c r="E1134" s="165" t="s">
        <v>1109</v>
      </c>
      <c r="F1134" s="166">
        <v>43670</v>
      </c>
    </row>
    <row r="1135" spans="1:6" ht="15" customHeight="1" x14ac:dyDescent="0.3">
      <c r="A1135" s="169" t="s">
        <v>2863</v>
      </c>
      <c r="B1135" s="190" t="s">
        <v>2859</v>
      </c>
      <c r="C1135" s="163" t="s">
        <v>1376</v>
      </c>
      <c r="D1135" s="160">
        <v>317</v>
      </c>
      <c r="E1135" s="165" t="s">
        <v>1109</v>
      </c>
      <c r="F1135" s="166">
        <v>43670</v>
      </c>
    </row>
    <row r="1136" spans="1:6" ht="15" customHeight="1" x14ac:dyDescent="0.3">
      <c r="A1136" s="169" t="s">
        <v>2864</v>
      </c>
      <c r="B1136" s="190" t="s">
        <v>2860</v>
      </c>
      <c r="C1136" s="163" t="s">
        <v>1376</v>
      </c>
      <c r="D1136" s="160">
        <v>285</v>
      </c>
      <c r="E1136" s="165" t="s">
        <v>1109</v>
      </c>
      <c r="F1136" s="166">
        <v>43670</v>
      </c>
    </row>
    <row r="1137" spans="1:6" ht="15" customHeight="1" x14ac:dyDescent="0.3">
      <c r="A1137" s="169" t="s">
        <v>2865</v>
      </c>
      <c r="B1137" s="190" t="s">
        <v>2861</v>
      </c>
      <c r="C1137" s="163" t="s">
        <v>1376</v>
      </c>
      <c r="D1137" s="160">
        <v>285</v>
      </c>
      <c r="E1137" s="165" t="s">
        <v>1109</v>
      </c>
      <c r="F1137" s="166">
        <v>43670</v>
      </c>
    </row>
    <row r="1138" spans="1:6" ht="15" customHeight="1" x14ac:dyDescent="0.3">
      <c r="A1138" s="169" t="s">
        <v>2867</v>
      </c>
      <c r="B1138" s="190" t="s">
        <v>2903</v>
      </c>
      <c r="C1138" s="163" t="s">
        <v>1376</v>
      </c>
      <c r="D1138" s="160">
        <v>13000</v>
      </c>
      <c r="E1138" s="165" t="s">
        <v>2902</v>
      </c>
      <c r="F1138" s="166">
        <v>43675</v>
      </c>
    </row>
    <row r="1139" spans="1:6" ht="15" customHeight="1" x14ac:dyDescent="0.3">
      <c r="A1139" s="169" t="s">
        <v>2884</v>
      </c>
      <c r="B1139" s="190" t="s">
        <v>2881</v>
      </c>
      <c r="C1139" s="163" t="s">
        <v>1376</v>
      </c>
      <c r="D1139" s="160">
        <v>1463</v>
      </c>
      <c r="E1139" s="165"/>
      <c r="F1139" s="166"/>
    </row>
    <row r="1140" spans="1:6" ht="15" customHeight="1" x14ac:dyDescent="0.3">
      <c r="A1140" s="169" t="s">
        <v>2885</v>
      </c>
      <c r="B1140" s="190" t="s">
        <v>2882</v>
      </c>
      <c r="C1140" s="163" t="s">
        <v>1376</v>
      </c>
      <c r="D1140" s="160">
        <v>1705</v>
      </c>
      <c r="E1140" s="165"/>
      <c r="F1140" s="166"/>
    </row>
    <row r="1141" spans="1:6" ht="15" customHeight="1" x14ac:dyDescent="0.3">
      <c r="A1141" s="169" t="s">
        <v>2886</v>
      </c>
      <c r="B1141" s="190" t="s">
        <v>2880</v>
      </c>
      <c r="C1141" s="163" t="s">
        <v>1376</v>
      </c>
      <c r="D1141" s="160">
        <v>1936</v>
      </c>
      <c r="E1141" s="165"/>
      <c r="F1141" s="166"/>
    </row>
    <row r="1142" spans="1:6" ht="15" customHeight="1" x14ac:dyDescent="0.3">
      <c r="A1142" s="169" t="s">
        <v>2887</v>
      </c>
      <c r="B1142" s="190" t="s">
        <v>2883</v>
      </c>
      <c r="C1142" s="163" t="s">
        <v>1376</v>
      </c>
      <c r="D1142" s="160">
        <v>2178</v>
      </c>
      <c r="E1142" s="165"/>
      <c r="F1142" s="166"/>
    </row>
    <row r="1143" spans="1:6" ht="15" customHeight="1" x14ac:dyDescent="0.3">
      <c r="A1143" s="169" t="s">
        <v>2891</v>
      </c>
      <c r="B1143" s="190" t="s">
        <v>2888</v>
      </c>
      <c r="C1143" s="163" t="s">
        <v>1376</v>
      </c>
      <c r="D1143" s="160">
        <f>(((((D1140/2.6)*2.5)*1.03)/1.03)*1.02)/1.02</f>
        <v>1639.4230769230767</v>
      </c>
      <c r="E1143" s="165"/>
      <c r="F1143" s="166"/>
    </row>
    <row r="1144" spans="1:6" ht="15" customHeight="1" x14ac:dyDescent="0.3">
      <c r="A1144" s="169" t="s">
        <v>2892</v>
      </c>
      <c r="B1144" s="190" t="s">
        <v>2889</v>
      </c>
      <c r="C1144" s="163" t="s">
        <v>1376</v>
      </c>
      <c r="D1144" s="160">
        <f>(((((D1142/2.6)*2.5)*1.03)/1.03)*1.02)/1.02</f>
        <v>2094.2307692307691</v>
      </c>
      <c r="E1144" s="165"/>
      <c r="F1144" s="166"/>
    </row>
    <row r="1145" spans="1:6" ht="15" customHeight="1" x14ac:dyDescent="0.3">
      <c r="A1145" s="169" t="s">
        <v>2893</v>
      </c>
      <c r="B1145" s="190" t="s">
        <v>2890</v>
      </c>
      <c r="C1145" s="163" t="s">
        <v>1376</v>
      </c>
      <c r="D1145" s="160">
        <f>(((((D1140/2.6)*2.28)*1.03)/1.03)*1.02)/1.02</f>
        <v>1495.153846153846</v>
      </c>
      <c r="E1145" s="165"/>
      <c r="F1145" s="166"/>
    </row>
    <row r="1146" spans="1:6" ht="15" customHeight="1" x14ac:dyDescent="0.3">
      <c r="A1146" s="169" t="s">
        <v>2898</v>
      </c>
      <c r="B1146" s="190" t="s">
        <v>2894</v>
      </c>
      <c r="C1146" s="163" t="s">
        <v>1376</v>
      </c>
      <c r="D1146" s="160">
        <f>(((((D1139/2.6)*2.1)*1.03)/1.03)*1.02)/1.02</f>
        <v>1181.653846153846</v>
      </c>
      <c r="E1146" s="165"/>
      <c r="F1146" s="166"/>
    </row>
    <row r="1147" spans="1:6" ht="15" customHeight="1" x14ac:dyDescent="0.3">
      <c r="A1147" s="169" t="s">
        <v>2899</v>
      </c>
      <c r="B1147" s="190" t="s">
        <v>2895</v>
      </c>
      <c r="C1147" s="163" t="s">
        <v>1376</v>
      </c>
      <c r="D1147" s="160">
        <f>(((((D1140/2.6)*2.1)*1.03)/1.03)*1.02)/1.02</f>
        <v>1377.1153846153845</v>
      </c>
      <c r="E1147" s="165"/>
      <c r="F1147" s="166"/>
    </row>
    <row r="1148" spans="1:6" ht="15" customHeight="1" x14ac:dyDescent="0.3">
      <c r="A1148" s="169" t="s">
        <v>2900</v>
      </c>
      <c r="B1148" s="190" t="s">
        <v>2896</v>
      </c>
      <c r="C1148" s="163" t="s">
        <v>1376</v>
      </c>
      <c r="D1148" s="160">
        <f>(((((D1141/2.6)*2.1)*1.03)/1.03)*1.02)/1.02</f>
        <v>1563.6923076923078</v>
      </c>
      <c r="E1148" s="165"/>
      <c r="F1148" s="166"/>
    </row>
    <row r="1149" spans="1:6" ht="15" customHeight="1" x14ac:dyDescent="0.3">
      <c r="A1149" s="169" t="s">
        <v>2901</v>
      </c>
      <c r="B1149" s="190" t="s">
        <v>2897</v>
      </c>
      <c r="C1149" s="163" t="s">
        <v>1376</v>
      </c>
      <c r="D1149" s="160">
        <f>(((((D1142/2.6)*2.1)*1.03)/1.03)*1.02)/1.02</f>
        <v>1759.1538461538462</v>
      </c>
      <c r="E1149" s="165"/>
      <c r="F1149" s="166"/>
    </row>
    <row r="1150" spans="1:6" ht="15" customHeight="1" x14ac:dyDescent="0.3">
      <c r="A1150" s="169" t="s">
        <v>2913</v>
      </c>
      <c r="B1150" s="190" t="s">
        <v>5805</v>
      </c>
      <c r="C1150" s="163" t="s">
        <v>29</v>
      </c>
      <c r="D1150" s="160">
        <v>130000</v>
      </c>
      <c r="E1150" s="165" t="s">
        <v>3578</v>
      </c>
      <c r="F1150" s="166">
        <v>44484</v>
      </c>
    </row>
    <row r="1151" spans="1:6" ht="15" customHeight="1" x14ac:dyDescent="0.3">
      <c r="A1151" s="169" t="s">
        <v>2914</v>
      </c>
      <c r="B1151" s="190" t="s">
        <v>2911</v>
      </c>
      <c r="C1151" s="163" t="s">
        <v>1376</v>
      </c>
      <c r="D1151" s="160">
        <v>300</v>
      </c>
      <c r="E1151" s="165"/>
      <c r="F1151" s="166">
        <v>43711</v>
      </c>
    </row>
    <row r="1152" spans="1:6" ht="15" customHeight="1" x14ac:dyDescent="0.3">
      <c r="A1152" s="169" t="s">
        <v>2915</v>
      </c>
      <c r="B1152" s="190" t="s">
        <v>2912</v>
      </c>
      <c r="C1152" s="163" t="s">
        <v>1376</v>
      </c>
      <c r="D1152" s="160">
        <v>480</v>
      </c>
      <c r="E1152" s="165" t="s">
        <v>3067</v>
      </c>
      <c r="F1152" s="166">
        <v>43755</v>
      </c>
    </row>
    <row r="1153" spans="1:6" ht="15" customHeight="1" x14ac:dyDescent="0.3">
      <c r="A1153" s="169" t="s">
        <v>2916</v>
      </c>
      <c r="B1153" s="156" t="s">
        <v>3051</v>
      </c>
      <c r="C1153" s="163" t="s">
        <v>29</v>
      </c>
      <c r="D1153" s="160">
        <v>5710</v>
      </c>
      <c r="E1153" s="468" t="s">
        <v>2947</v>
      </c>
      <c r="F1153" s="469">
        <v>43748</v>
      </c>
    </row>
    <row r="1154" spans="1:6" ht="15" customHeight="1" x14ac:dyDescent="0.3">
      <c r="A1154" s="169" t="s">
        <v>2917</v>
      </c>
      <c r="B1154" s="190" t="s">
        <v>2223</v>
      </c>
      <c r="C1154" s="163" t="s">
        <v>89</v>
      </c>
      <c r="D1154" s="160">
        <f>((((11700/700)*1.03)/1.03)*1.02)/1.02</f>
        <v>16.714285714285715</v>
      </c>
      <c r="E1154" s="165"/>
      <c r="F1154" s="166"/>
    </row>
    <row r="1155" spans="1:6" ht="15" customHeight="1" x14ac:dyDescent="0.3">
      <c r="A1155" s="169" t="s">
        <v>2918</v>
      </c>
      <c r="B1155" s="190" t="s">
        <v>2930</v>
      </c>
      <c r="C1155" s="163" t="s">
        <v>29</v>
      </c>
      <c r="D1155" s="160">
        <v>9700</v>
      </c>
      <c r="E1155" s="165"/>
      <c r="F1155" s="166"/>
    </row>
    <row r="1156" spans="1:6" ht="15" customHeight="1" x14ac:dyDescent="0.3">
      <c r="A1156" s="169" t="s">
        <v>2919</v>
      </c>
      <c r="B1156" s="190" t="s">
        <v>3122</v>
      </c>
      <c r="C1156" s="163" t="s">
        <v>73</v>
      </c>
      <c r="D1156" s="160">
        <v>62.139999999999993</v>
      </c>
      <c r="E1156" s="165" t="s">
        <v>2976</v>
      </c>
      <c r="F1156" s="166">
        <v>43760</v>
      </c>
    </row>
    <row r="1157" spans="1:6" ht="15" customHeight="1" x14ac:dyDescent="0.3">
      <c r="A1157" s="169" t="s">
        <v>2920</v>
      </c>
      <c r="B1157" s="190" t="s">
        <v>2942</v>
      </c>
      <c r="C1157" s="163" t="s">
        <v>73</v>
      </c>
      <c r="D1157" s="160">
        <f>((((1.1*957.93913668731)*1.03)/1.03)*1.02)/1.02</f>
        <v>1053.7330503560411</v>
      </c>
      <c r="E1157" s="165" t="s">
        <v>2937</v>
      </c>
      <c r="F1157" s="166">
        <v>43697</v>
      </c>
    </row>
    <row r="1158" spans="1:6" ht="15" customHeight="1" x14ac:dyDescent="0.3">
      <c r="A1158" s="169" t="s">
        <v>2921</v>
      </c>
      <c r="B1158" s="190" t="s">
        <v>2941</v>
      </c>
      <c r="C1158" s="163" t="s">
        <v>73</v>
      </c>
      <c r="D1158" s="160">
        <f>((((1.1*957.93913668731)*1.03)/1.03)*1.02)/1.02</f>
        <v>1053.7330503560411</v>
      </c>
      <c r="E1158" s="165" t="s">
        <v>2937</v>
      </c>
      <c r="F1158" s="166">
        <v>43697</v>
      </c>
    </row>
    <row r="1159" spans="1:6" ht="15" customHeight="1" x14ac:dyDescent="0.3">
      <c r="A1159" s="169" t="s">
        <v>2922</v>
      </c>
      <c r="B1159" s="190" t="s">
        <v>2938</v>
      </c>
      <c r="C1159" s="163" t="s">
        <v>73</v>
      </c>
      <c r="D1159" s="160">
        <v>1450</v>
      </c>
      <c r="E1159" s="165"/>
      <c r="F1159" s="166"/>
    </row>
    <row r="1160" spans="1:6" ht="15" customHeight="1" x14ac:dyDescent="0.3">
      <c r="A1160" s="169" t="s">
        <v>2923</v>
      </c>
      <c r="B1160" s="190" t="s">
        <v>2948</v>
      </c>
      <c r="C1160" s="163" t="s">
        <v>29</v>
      </c>
      <c r="D1160" s="160">
        <v>1000</v>
      </c>
      <c r="E1160" s="517" t="s">
        <v>2947</v>
      </c>
      <c r="F1160" s="518">
        <v>43712</v>
      </c>
    </row>
    <row r="1161" spans="1:6" ht="15" customHeight="1" x14ac:dyDescent="0.3">
      <c r="A1161" s="169" t="s">
        <v>2924</v>
      </c>
      <c r="B1161" s="190" t="s">
        <v>2949</v>
      </c>
      <c r="C1161" s="163" t="s">
        <v>29</v>
      </c>
      <c r="D1161" s="160">
        <v>5500</v>
      </c>
      <c r="E1161" s="517" t="s">
        <v>2947</v>
      </c>
      <c r="F1161" s="518">
        <v>43755</v>
      </c>
    </row>
    <row r="1162" spans="1:6" ht="15" customHeight="1" x14ac:dyDescent="0.3">
      <c r="A1162" s="169" t="s">
        <v>2925</v>
      </c>
      <c r="B1162" s="190" t="s">
        <v>2962</v>
      </c>
      <c r="C1162" s="163" t="s">
        <v>29</v>
      </c>
      <c r="D1162" s="160">
        <f>((((((1500)+(1200*3))*0.9)*1.03)/1.03)*1.02)/1.02</f>
        <v>4590</v>
      </c>
      <c r="E1162" s="517" t="s">
        <v>2951</v>
      </c>
      <c r="F1162" s="518">
        <v>43714</v>
      </c>
    </row>
    <row r="1163" spans="1:6" ht="15" customHeight="1" x14ac:dyDescent="0.3">
      <c r="A1163" s="169" t="s">
        <v>2956</v>
      </c>
      <c r="B1163" s="190" t="s">
        <v>2954</v>
      </c>
      <c r="C1163" s="163" t="s">
        <v>73</v>
      </c>
      <c r="D1163" s="160">
        <f>(((('03. Insumos'!D752*0.7)*1.03)/1.03)*1.02)/1.02</f>
        <v>13.649999999999999</v>
      </c>
      <c r="E1163" s="517" t="s">
        <v>2952</v>
      </c>
      <c r="F1163" s="518">
        <v>43714</v>
      </c>
    </row>
    <row r="1164" spans="1:6" ht="15" customHeight="1" x14ac:dyDescent="0.3">
      <c r="A1164" s="169" t="s">
        <v>2957</v>
      </c>
      <c r="B1164" s="190" t="s">
        <v>2955</v>
      </c>
      <c r="C1164" s="163" t="s">
        <v>73</v>
      </c>
      <c r="D1164" s="160">
        <f>(((('03. Insumos'!D1012*0.7)*1.03)/1.03)*1.02)/1.02</f>
        <v>9.1</v>
      </c>
      <c r="E1164" s="517" t="s">
        <v>2952</v>
      </c>
      <c r="F1164" s="518">
        <v>43714</v>
      </c>
    </row>
    <row r="1165" spans="1:6" ht="15" customHeight="1" x14ac:dyDescent="0.3">
      <c r="A1165" s="169" t="s">
        <v>2960</v>
      </c>
      <c r="B1165" s="190" t="s">
        <v>2958</v>
      </c>
      <c r="C1165" s="163" t="s">
        <v>73</v>
      </c>
      <c r="D1165" s="160">
        <v>16</v>
      </c>
      <c r="E1165" s="517" t="s">
        <v>3019</v>
      </c>
      <c r="F1165" s="518">
        <v>43754</v>
      </c>
    </row>
    <row r="1166" spans="1:6" ht="15" customHeight="1" x14ac:dyDescent="0.3">
      <c r="A1166" s="169" t="s">
        <v>2961</v>
      </c>
      <c r="B1166" s="190" t="s">
        <v>2959</v>
      </c>
      <c r="C1166" s="163" t="s">
        <v>73</v>
      </c>
      <c r="D1166" s="160">
        <f>((((28.8/2)*1.03)/1.03)*1.02)/1.02</f>
        <v>14.4</v>
      </c>
      <c r="E1166" s="517" t="s">
        <v>2952</v>
      </c>
      <c r="F1166" s="518">
        <v>43714</v>
      </c>
    </row>
    <row r="1167" spans="1:6" ht="15.75" customHeight="1" x14ac:dyDescent="0.3">
      <c r="A1167" s="169" t="s">
        <v>3068</v>
      </c>
      <c r="B1167" s="190" t="s">
        <v>3073</v>
      </c>
      <c r="C1167" s="163" t="s">
        <v>1376</v>
      </c>
      <c r="D1167" s="160">
        <v>30</v>
      </c>
      <c r="E1167" s="517" t="s">
        <v>3072</v>
      </c>
      <c r="F1167" s="518">
        <v>44118</v>
      </c>
    </row>
    <row r="1168" spans="1:6" ht="15.75" customHeight="1" x14ac:dyDescent="0.3">
      <c r="A1168" s="169" t="s">
        <v>3069</v>
      </c>
      <c r="B1168" s="190" t="s">
        <v>3074</v>
      </c>
      <c r="C1168" s="163" t="s">
        <v>1376</v>
      </c>
      <c r="D1168" s="160">
        <v>43</v>
      </c>
      <c r="E1168" s="517" t="s">
        <v>3072</v>
      </c>
      <c r="F1168" s="518">
        <v>44118</v>
      </c>
    </row>
    <row r="1169" spans="1:6" ht="15.75" customHeight="1" x14ac:dyDescent="0.3">
      <c r="A1169" s="169" t="s">
        <v>3070</v>
      </c>
      <c r="B1169" s="190" t="s">
        <v>3091</v>
      </c>
      <c r="C1169" s="163" t="s">
        <v>73</v>
      </c>
      <c r="D1169" s="160">
        <v>0</v>
      </c>
      <c r="E1169" s="517"/>
      <c r="F1169" s="518"/>
    </row>
    <row r="1170" spans="1:6" ht="15.75" customHeight="1" x14ac:dyDescent="0.3">
      <c r="A1170" s="169" t="s">
        <v>3071</v>
      </c>
      <c r="B1170" s="190" t="s">
        <v>3092</v>
      </c>
      <c r="C1170" s="163" t="s">
        <v>73</v>
      </c>
      <c r="D1170" s="160">
        <v>0</v>
      </c>
      <c r="E1170" s="517"/>
      <c r="F1170" s="518"/>
    </row>
    <row r="1171" spans="1:6" ht="15.75" customHeight="1" x14ac:dyDescent="0.3">
      <c r="A1171" s="169" t="s">
        <v>3093</v>
      </c>
      <c r="B1171" s="190" t="s">
        <v>3104</v>
      </c>
      <c r="C1171" s="163" t="s">
        <v>73</v>
      </c>
      <c r="D1171" s="160">
        <v>0</v>
      </c>
      <c r="E1171" s="165"/>
      <c r="F1171" s="166"/>
    </row>
    <row r="1172" spans="1:6" ht="15.75" customHeight="1" x14ac:dyDescent="0.3">
      <c r="A1172" s="169" t="s">
        <v>3094</v>
      </c>
      <c r="B1172" s="190" t="s">
        <v>3105</v>
      </c>
      <c r="C1172" s="163" t="s">
        <v>73</v>
      </c>
      <c r="D1172" s="160">
        <v>0</v>
      </c>
      <c r="E1172" s="165"/>
      <c r="F1172" s="166"/>
    </row>
    <row r="1173" spans="1:6" ht="15.75" customHeight="1" x14ac:dyDescent="0.3">
      <c r="A1173" s="169" t="s">
        <v>3095</v>
      </c>
      <c r="B1173" s="190" t="s">
        <v>3106</v>
      </c>
      <c r="C1173" s="163" t="s">
        <v>73</v>
      </c>
      <c r="D1173" s="160">
        <v>0</v>
      </c>
      <c r="E1173" s="165"/>
      <c r="F1173" s="166"/>
    </row>
    <row r="1174" spans="1:6" ht="15.75" customHeight="1" x14ac:dyDescent="0.3">
      <c r="A1174" s="169" t="s">
        <v>3096</v>
      </c>
      <c r="B1174" s="190" t="s">
        <v>3107</v>
      </c>
      <c r="C1174" s="163" t="s">
        <v>73</v>
      </c>
      <c r="D1174" s="160">
        <v>0</v>
      </c>
      <c r="E1174" s="165"/>
      <c r="F1174" s="166"/>
    </row>
    <row r="1175" spans="1:6" ht="15.75" customHeight="1" x14ac:dyDescent="0.3">
      <c r="A1175" s="169" t="s">
        <v>3097</v>
      </c>
      <c r="B1175" s="190" t="s">
        <v>3108</v>
      </c>
      <c r="C1175" s="163" t="s">
        <v>3003</v>
      </c>
      <c r="D1175" s="160">
        <v>0</v>
      </c>
      <c r="E1175" s="165"/>
      <c r="F1175" s="166"/>
    </row>
    <row r="1176" spans="1:6" ht="15.75" customHeight="1" x14ac:dyDescent="0.3">
      <c r="A1176" s="169" t="s">
        <v>3098</v>
      </c>
      <c r="B1176" s="190" t="s">
        <v>3109</v>
      </c>
      <c r="C1176" s="163"/>
      <c r="D1176" s="160">
        <v>0</v>
      </c>
      <c r="E1176" s="165"/>
      <c r="F1176" s="166"/>
    </row>
    <row r="1177" spans="1:6" ht="15.75" customHeight="1" x14ac:dyDescent="0.3">
      <c r="A1177" s="169" t="s">
        <v>3099</v>
      </c>
      <c r="B1177" s="190" t="s">
        <v>3110</v>
      </c>
      <c r="C1177" s="163" t="s">
        <v>1376</v>
      </c>
      <c r="D1177" s="160">
        <v>0</v>
      </c>
      <c r="E1177" s="165"/>
      <c r="F1177" s="166"/>
    </row>
    <row r="1178" spans="1:6" ht="15.75" customHeight="1" x14ac:dyDescent="0.3">
      <c r="A1178" s="169" t="s">
        <v>3100</v>
      </c>
      <c r="B1178" s="156" t="s">
        <v>3113</v>
      </c>
      <c r="C1178" s="163" t="s">
        <v>3114</v>
      </c>
      <c r="D1178" s="160">
        <v>249.89999999999998</v>
      </c>
      <c r="E1178" s="165" t="s">
        <v>1184</v>
      </c>
      <c r="F1178" s="166">
        <v>43760</v>
      </c>
    </row>
    <row r="1179" spans="1:6" ht="15.75" customHeight="1" x14ac:dyDescent="0.3">
      <c r="A1179" s="169" t="s">
        <v>3101</v>
      </c>
      <c r="B1179" s="190" t="s">
        <v>3112</v>
      </c>
      <c r="C1179" s="163" t="s">
        <v>73</v>
      </c>
      <c r="D1179" s="160">
        <v>8</v>
      </c>
      <c r="E1179" s="165" t="s">
        <v>405</v>
      </c>
      <c r="F1179" s="166">
        <v>43760</v>
      </c>
    </row>
    <row r="1180" spans="1:6" ht="15.75" customHeight="1" x14ac:dyDescent="0.3">
      <c r="A1180" s="169" t="s">
        <v>3102</v>
      </c>
      <c r="B1180" s="156" t="s">
        <v>3115</v>
      </c>
      <c r="C1180" s="163" t="s">
        <v>1855</v>
      </c>
      <c r="D1180" s="160">
        <v>263.38</v>
      </c>
      <c r="E1180" s="165" t="s">
        <v>2185</v>
      </c>
      <c r="F1180" s="166">
        <v>43760</v>
      </c>
    </row>
    <row r="1181" spans="1:6" ht="15.75" customHeight="1" x14ac:dyDescent="0.3">
      <c r="A1181" s="169" t="s">
        <v>3103</v>
      </c>
      <c r="B1181" s="190" t="s">
        <v>3116</v>
      </c>
      <c r="C1181" s="163" t="s">
        <v>73</v>
      </c>
      <c r="D1181" s="160">
        <v>8</v>
      </c>
      <c r="E1181" s="165" t="s">
        <v>405</v>
      </c>
      <c r="F1181" s="166">
        <v>43760</v>
      </c>
    </row>
    <row r="1182" spans="1:6" ht="15.75" customHeight="1" x14ac:dyDescent="0.3">
      <c r="A1182" s="169" t="s">
        <v>3117</v>
      </c>
      <c r="B1182" s="190" t="s">
        <v>3118</v>
      </c>
      <c r="C1182" s="163" t="s">
        <v>73</v>
      </c>
      <c r="D1182" s="160">
        <v>50</v>
      </c>
      <c r="E1182" s="165" t="s">
        <v>3119</v>
      </c>
      <c r="F1182" s="166">
        <v>43760</v>
      </c>
    </row>
    <row r="1183" spans="1:6" ht="15.75" customHeight="1" x14ac:dyDescent="0.3">
      <c r="A1183" s="169" t="s">
        <v>3123</v>
      </c>
      <c r="B1183" s="156" t="s">
        <v>3127</v>
      </c>
      <c r="C1183" s="163" t="s">
        <v>3114</v>
      </c>
      <c r="D1183" s="160">
        <v>104.9</v>
      </c>
      <c r="E1183" s="165" t="s">
        <v>1184</v>
      </c>
      <c r="F1183" s="166">
        <v>43760</v>
      </c>
    </row>
    <row r="1184" spans="1:6" ht="15.75" customHeight="1" x14ac:dyDescent="0.3">
      <c r="A1184" s="169" t="s">
        <v>3124</v>
      </c>
      <c r="B1184" s="156" t="s">
        <v>3128</v>
      </c>
      <c r="C1184" s="163" t="s">
        <v>73</v>
      </c>
      <c r="D1184" s="160">
        <v>13</v>
      </c>
      <c r="E1184" s="165"/>
      <c r="F1184" s="166"/>
    </row>
    <row r="1185" spans="1:6" ht="15.75" customHeight="1" x14ac:dyDescent="0.3">
      <c r="A1185" s="169" t="s">
        <v>3125</v>
      </c>
      <c r="B1185" s="190" t="s">
        <v>3134</v>
      </c>
      <c r="C1185" s="163" t="s">
        <v>73</v>
      </c>
      <c r="D1185" s="160">
        <f>((((380)*1.03)/1.03)*1.02)/1.02</f>
        <v>380</v>
      </c>
      <c r="E1185" s="165" t="s">
        <v>3135</v>
      </c>
      <c r="F1185" s="166">
        <v>43760</v>
      </c>
    </row>
    <row r="1186" spans="1:6" ht="15.75" customHeight="1" x14ac:dyDescent="0.3">
      <c r="A1186" s="169" t="s">
        <v>3126</v>
      </c>
      <c r="B1186" s="190" t="s">
        <v>3136</v>
      </c>
      <c r="C1186" s="163" t="s">
        <v>72</v>
      </c>
      <c r="D1186" s="160">
        <v>566</v>
      </c>
      <c r="E1186" s="165"/>
      <c r="F1186" s="166"/>
    </row>
    <row r="1187" spans="1:6" ht="15.75" customHeight="1" x14ac:dyDescent="0.3">
      <c r="A1187" s="169" t="s">
        <v>3141</v>
      </c>
      <c r="B1187" s="190" t="s">
        <v>3137</v>
      </c>
      <c r="C1187" s="163" t="s">
        <v>1376</v>
      </c>
      <c r="D1187" s="160">
        <v>600</v>
      </c>
      <c r="E1187" s="165" t="s">
        <v>2261</v>
      </c>
      <c r="F1187" s="166"/>
    </row>
    <row r="1188" spans="1:6" ht="15.75" customHeight="1" x14ac:dyDescent="0.3">
      <c r="A1188" s="169" t="s">
        <v>3142</v>
      </c>
      <c r="B1188" s="190" t="s">
        <v>3138</v>
      </c>
      <c r="C1188" s="163" t="s">
        <v>72</v>
      </c>
      <c r="D1188" s="160">
        <v>31.68</v>
      </c>
      <c r="E1188" s="165" t="s">
        <v>6305</v>
      </c>
      <c r="F1188" s="166">
        <v>44560</v>
      </c>
    </row>
    <row r="1189" spans="1:6" ht="15.75" customHeight="1" x14ac:dyDescent="0.3">
      <c r="A1189" s="169" t="s">
        <v>3143</v>
      </c>
      <c r="B1189" s="190" t="s">
        <v>3139</v>
      </c>
      <c r="C1189" s="163" t="s">
        <v>89</v>
      </c>
      <c r="D1189" s="160">
        <v>6.02</v>
      </c>
      <c r="E1189" s="165"/>
      <c r="F1189" s="166"/>
    </row>
    <row r="1190" spans="1:6" ht="15.75" customHeight="1" x14ac:dyDescent="0.3">
      <c r="A1190" s="169" t="s">
        <v>3144</v>
      </c>
      <c r="B1190" s="190" t="s">
        <v>3140</v>
      </c>
      <c r="C1190" s="163" t="s">
        <v>936</v>
      </c>
      <c r="D1190" s="160">
        <v>1.48</v>
      </c>
      <c r="E1190" s="165"/>
      <c r="F1190" s="166"/>
    </row>
    <row r="1191" spans="1:6" ht="15.75" customHeight="1" x14ac:dyDescent="0.3">
      <c r="A1191" s="169" t="s">
        <v>3145</v>
      </c>
      <c r="B1191" s="190" t="s">
        <v>2259</v>
      </c>
      <c r="C1191" s="163" t="s">
        <v>73</v>
      </c>
      <c r="D1191" s="160">
        <v>27.42</v>
      </c>
      <c r="E1191" s="165"/>
      <c r="F1191" s="166"/>
    </row>
    <row r="1192" spans="1:6" ht="15.75" customHeight="1" x14ac:dyDescent="0.3">
      <c r="A1192" s="169" t="s">
        <v>3146</v>
      </c>
      <c r="B1192" s="190" t="s">
        <v>6439</v>
      </c>
      <c r="C1192" s="163" t="s">
        <v>73</v>
      </c>
      <c r="D1192" s="160">
        <v>140</v>
      </c>
      <c r="E1192" s="165" t="s">
        <v>7919</v>
      </c>
      <c r="F1192" s="166">
        <v>45792</v>
      </c>
    </row>
    <row r="1193" spans="1:6" ht="15.75" customHeight="1" x14ac:dyDescent="0.3">
      <c r="A1193" s="169" t="s">
        <v>3150</v>
      </c>
      <c r="B1193" s="190" t="s">
        <v>3160</v>
      </c>
      <c r="C1193" s="163" t="s">
        <v>73</v>
      </c>
      <c r="D1193" s="160">
        <v>46.9</v>
      </c>
      <c r="E1193" s="165" t="s">
        <v>3259</v>
      </c>
      <c r="F1193" s="166">
        <v>43774</v>
      </c>
    </row>
    <row r="1194" spans="1:6" ht="15.75" customHeight="1" x14ac:dyDescent="0.3">
      <c r="A1194" s="169" t="s">
        <v>3151</v>
      </c>
      <c r="B1194" s="190" t="s">
        <v>3161</v>
      </c>
      <c r="C1194" s="163" t="s">
        <v>3202</v>
      </c>
      <c r="D1194" s="160">
        <v>31.500000000000004</v>
      </c>
      <c r="E1194" s="165" t="s">
        <v>2976</v>
      </c>
      <c r="F1194" s="166">
        <v>43768</v>
      </c>
    </row>
    <row r="1195" spans="1:6" ht="15.75" customHeight="1" x14ac:dyDescent="0.3">
      <c r="A1195" s="169" t="s">
        <v>3152</v>
      </c>
      <c r="B1195" s="190" t="s">
        <v>3162</v>
      </c>
      <c r="C1195" s="163" t="s">
        <v>73</v>
      </c>
      <c r="D1195" s="160">
        <v>99</v>
      </c>
      <c r="E1195" s="165" t="s">
        <v>3259</v>
      </c>
      <c r="F1195" s="166">
        <v>43774</v>
      </c>
    </row>
    <row r="1196" spans="1:6" ht="15.75" customHeight="1" x14ac:dyDescent="0.3">
      <c r="A1196" s="169" t="s">
        <v>3153</v>
      </c>
      <c r="B1196" s="190" t="s">
        <v>4467</v>
      </c>
      <c r="C1196" s="163" t="s">
        <v>73</v>
      </c>
      <c r="D1196" s="160">
        <v>139</v>
      </c>
      <c r="E1196" s="165" t="s">
        <v>3259</v>
      </c>
      <c r="F1196" s="166">
        <v>44173</v>
      </c>
    </row>
    <row r="1197" spans="1:6" ht="15.75" customHeight="1" x14ac:dyDescent="0.3">
      <c r="A1197" s="169" t="s">
        <v>3154</v>
      </c>
      <c r="B1197" s="190" t="s">
        <v>3163</v>
      </c>
      <c r="C1197" s="163" t="s">
        <v>73</v>
      </c>
      <c r="D1197" s="160">
        <v>293</v>
      </c>
      <c r="E1197" s="165" t="s">
        <v>3176</v>
      </c>
      <c r="F1197" s="166">
        <v>43768</v>
      </c>
    </row>
    <row r="1198" spans="1:6" ht="15.75" customHeight="1" x14ac:dyDescent="0.3">
      <c r="A1198" s="169" t="s">
        <v>3155</v>
      </c>
      <c r="B1198" s="190" t="s">
        <v>3164</v>
      </c>
      <c r="C1198" s="163" t="s">
        <v>73</v>
      </c>
      <c r="D1198" s="160">
        <v>62.9</v>
      </c>
      <c r="E1198" s="165" t="s">
        <v>3259</v>
      </c>
      <c r="F1198" s="166">
        <v>43774</v>
      </c>
    </row>
    <row r="1199" spans="1:6" ht="15.75" customHeight="1" x14ac:dyDescent="0.3">
      <c r="A1199" s="169" t="s">
        <v>3156</v>
      </c>
      <c r="B1199" s="190" t="s">
        <v>3165</v>
      </c>
      <c r="C1199" s="163" t="s">
        <v>73</v>
      </c>
      <c r="D1199" s="160">
        <v>94.6</v>
      </c>
      <c r="E1199" s="165" t="s">
        <v>3259</v>
      </c>
      <c r="F1199" s="166">
        <v>43774</v>
      </c>
    </row>
    <row r="1200" spans="1:6" ht="15.75" customHeight="1" x14ac:dyDescent="0.3">
      <c r="A1200" s="169" t="s">
        <v>3157</v>
      </c>
      <c r="B1200" s="156" t="s">
        <v>3338</v>
      </c>
      <c r="C1200" s="163" t="s">
        <v>29</v>
      </c>
      <c r="D1200" s="160">
        <f>((((2644*1.3499998875524)*1.03)/1.03)*1.02)/1.02</f>
        <v>3569.3997026885454</v>
      </c>
      <c r="E1200" s="165" t="s">
        <v>3047</v>
      </c>
      <c r="F1200" s="166">
        <v>43767</v>
      </c>
    </row>
    <row r="1201" spans="1:6" ht="15.75" customHeight="1" x14ac:dyDescent="0.3">
      <c r="A1201" s="169" t="s">
        <v>3158</v>
      </c>
      <c r="B1201" s="190" t="s">
        <v>3339</v>
      </c>
      <c r="C1201" s="163" t="s">
        <v>29</v>
      </c>
      <c r="D1201" s="160">
        <f>((((6335*1.3499998875524)*1.03)/1.03)*1.02)/1.02</f>
        <v>8552.2492876444539</v>
      </c>
      <c r="E1201" s="165" t="s">
        <v>3047</v>
      </c>
      <c r="F1201" s="166">
        <v>43767</v>
      </c>
    </row>
    <row r="1202" spans="1:6" ht="15.75" customHeight="1" x14ac:dyDescent="0.3">
      <c r="A1202" s="169" t="s">
        <v>3159</v>
      </c>
      <c r="B1202" s="156" t="s">
        <v>3357</v>
      </c>
      <c r="C1202" s="163" t="s">
        <v>29</v>
      </c>
      <c r="D1202" s="160">
        <f>((((14020.75*1.3499998875524)*1.03)/1.03)*1.02)/1.02</f>
        <v>18928.01092340031</v>
      </c>
      <c r="E1202" s="165" t="s">
        <v>3047</v>
      </c>
      <c r="F1202" s="166">
        <v>43767</v>
      </c>
    </row>
    <row r="1203" spans="1:6" ht="15.75" customHeight="1" x14ac:dyDescent="0.3">
      <c r="A1203" s="169" t="s">
        <v>3166</v>
      </c>
      <c r="B1203" s="156" t="s">
        <v>3340</v>
      </c>
      <c r="C1203" s="163" t="s">
        <v>29</v>
      </c>
      <c r="D1203" s="160">
        <f>((((3315.4*1.3499998875524)*1.03)/1.03)*1.02)/1.02</f>
        <v>4475.7896271912268</v>
      </c>
      <c r="E1203" s="165" t="s">
        <v>3047</v>
      </c>
      <c r="F1203" s="166">
        <v>43767</v>
      </c>
    </row>
    <row r="1204" spans="1:6" ht="15.75" customHeight="1" x14ac:dyDescent="0.3">
      <c r="A1204" s="169" t="s">
        <v>3167</v>
      </c>
      <c r="B1204" s="156" t="s">
        <v>3341</v>
      </c>
      <c r="C1204" s="163" t="s">
        <v>29</v>
      </c>
      <c r="D1204" s="160">
        <f>((((4871.47*1.3499998875524)*1.03)/1.03)*1.02)/1.02</f>
        <v>6576.4839522148905</v>
      </c>
      <c r="E1204" s="165" t="s">
        <v>3047</v>
      </c>
      <c r="F1204" s="166">
        <v>43767</v>
      </c>
    </row>
    <row r="1205" spans="1:6" ht="15.75" customHeight="1" x14ac:dyDescent="0.3">
      <c r="A1205" s="169" t="s">
        <v>3168</v>
      </c>
      <c r="B1205" s="529" t="s">
        <v>3174</v>
      </c>
      <c r="C1205" s="163" t="s">
        <v>29</v>
      </c>
      <c r="D1205" s="160">
        <f>((((2273.62*1.3499998875524)*1.03)/1.03)*1.02)/1.02</f>
        <v>3069.3867443368877</v>
      </c>
      <c r="E1205" s="165" t="s">
        <v>3047</v>
      </c>
      <c r="F1205" s="166">
        <v>43767</v>
      </c>
    </row>
    <row r="1206" spans="1:6" ht="15.75" customHeight="1" x14ac:dyDescent="0.3">
      <c r="A1206" s="169" t="s">
        <v>3169</v>
      </c>
      <c r="B1206" s="529" t="s">
        <v>3175</v>
      </c>
      <c r="C1206" s="163" t="s">
        <v>29</v>
      </c>
      <c r="D1206" s="160">
        <f>((((2800.3*1.3499998875524)*1.03)/1.03)*1.02)/1.02</f>
        <v>3780.404685112986</v>
      </c>
      <c r="E1206" s="165" t="s">
        <v>3047</v>
      </c>
      <c r="F1206" s="166">
        <v>43767</v>
      </c>
    </row>
    <row r="1207" spans="1:6" ht="15.75" customHeight="1" x14ac:dyDescent="0.3">
      <c r="A1207" s="169" t="s">
        <v>3170</v>
      </c>
      <c r="B1207" s="156" t="s">
        <v>3263</v>
      </c>
      <c r="C1207" s="163" t="s">
        <v>73</v>
      </c>
      <c r="D1207" s="160">
        <v>429.9</v>
      </c>
      <c r="E1207" s="165" t="s">
        <v>3262</v>
      </c>
      <c r="F1207" s="166">
        <v>43777</v>
      </c>
    </row>
    <row r="1208" spans="1:6" ht="15.75" customHeight="1" x14ac:dyDescent="0.3">
      <c r="A1208" s="169" t="s">
        <v>3171</v>
      </c>
      <c r="B1208" s="190" t="s">
        <v>3265</v>
      </c>
      <c r="C1208" s="163" t="s">
        <v>73</v>
      </c>
      <c r="D1208" s="160">
        <v>377.69</v>
      </c>
      <c r="E1208" s="165" t="s">
        <v>3262</v>
      </c>
      <c r="F1208" s="166">
        <v>43774</v>
      </c>
    </row>
    <row r="1209" spans="1:6" ht="15.75" customHeight="1" x14ac:dyDescent="0.3">
      <c r="A1209" s="169" t="s">
        <v>3172</v>
      </c>
      <c r="B1209" s="190" t="s">
        <v>3254</v>
      </c>
      <c r="C1209" s="163" t="s">
        <v>2268</v>
      </c>
      <c r="D1209" s="160">
        <v>782.92</v>
      </c>
      <c r="E1209" s="165" t="s">
        <v>3252</v>
      </c>
      <c r="F1209" s="166">
        <v>43773</v>
      </c>
    </row>
    <row r="1210" spans="1:6" ht="15.75" customHeight="1" x14ac:dyDescent="0.3">
      <c r="A1210" s="169" t="s">
        <v>3173</v>
      </c>
      <c r="B1210" s="156" t="s">
        <v>3190</v>
      </c>
      <c r="C1210" s="163" t="s">
        <v>2268</v>
      </c>
      <c r="D1210" s="160">
        <f>((((1705*1.3)*1.03)/1.03)*1.02)/1.02</f>
        <v>2216.5</v>
      </c>
      <c r="E1210" s="165" t="s">
        <v>3248</v>
      </c>
      <c r="F1210" s="166">
        <v>43773</v>
      </c>
    </row>
    <row r="1211" spans="1:6" ht="15.75" customHeight="1" x14ac:dyDescent="0.3">
      <c r="A1211" s="169" t="s">
        <v>3179</v>
      </c>
      <c r="B1211" s="156" t="s">
        <v>3191</v>
      </c>
      <c r="C1211" s="163" t="s">
        <v>2268</v>
      </c>
      <c r="D1211" s="160">
        <f>((((1705*1.3)*1.03)/1.03)*1.02)/1.02</f>
        <v>2216.5</v>
      </c>
      <c r="E1211" s="165" t="s">
        <v>3248</v>
      </c>
      <c r="F1211" s="166">
        <v>43773</v>
      </c>
    </row>
    <row r="1212" spans="1:6" ht="15.75" customHeight="1" x14ac:dyDescent="0.3">
      <c r="A1212" s="169" t="s">
        <v>3180</v>
      </c>
      <c r="B1212" s="156" t="s">
        <v>3451</v>
      </c>
      <c r="C1212" s="163" t="s">
        <v>73</v>
      </c>
      <c r="D1212" s="160">
        <v>145.80000000000001</v>
      </c>
      <c r="E1212" s="165" t="s">
        <v>2992</v>
      </c>
      <c r="F1212" s="166">
        <v>43774</v>
      </c>
    </row>
    <row r="1213" spans="1:6" ht="24.6" x14ac:dyDescent="0.3">
      <c r="A1213" s="169" t="s">
        <v>3181</v>
      </c>
      <c r="B1213" s="190" t="s">
        <v>3450</v>
      </c>
      <c r="C1213" s="163" t="s">
        <v>73</v>
      </c>
      <c r="D1213" s="160">
        <v>423.7364</v>
      </c>
      <c r="E1213" s="165" t="s">
        <v>2992</v>
      </c>
      <c r="F1213" s="166">
        <v>43768</v>
      </c>
    </row>
    <row r="1214" spans="1:6" ht="15.75" customHeight="1" x14ac:dyDescent="0.3">
      <c r="A1214" s="169" t="s">
        <v>3182</v>
      </c>
      <c r="B1214" s="190" t="s">
        <v>3241</v>
      </c>
      <c r="C1214" s="163" t="s">
        <v>2268</v>
      </c>
      <c r="D1214" s="160">
        <f>((((790+130)*1.03)/1.03)*1.02)/1.02</f>
        <v>920</v>
      </c>
      <c r="E1214" s="165" t="s">
        <v>3296</v>
      </c>
      <c r="F1214" s="166">
        <v>43780</v>
      </c>
    </row>
    <row r="1215" spans="1:6" ht="15.75" customHeight="1" x14ac:dyDescent="0.3">
      <c r="A1215" s="169" t="s">
        <v>3183</v>
      </c>
      <c r="B1215" s="190" t="s">
        <v>3328</v>
      </c>
      <c r="C1215" s="163" t="s">
        <v>2268</v>
      </c>
      <c r="D1215" s="160">
        <v>275</v>
      </c>
      <c r="E1215" s="165" t="s">
        <v>3296</v>
      </c>
      <c r="F1215" s="166">
        <v>43780</v>
      </c>
    </row>
    <row r="1216" spans="1:6" ht="15.75" customHeight="1" x14ac:dyDescent="0.3">
      <c r="A1216" s="169" t="s">
        <v>3184</v>
      </c>
      <c r="B1216" s="190" t="s">
        <v>3329</v>
      </c>
      <c r="C1216" s="163" t="s">
        <v>2268</v>
      </c>
      <c r="D1216" s="160">
        <f>((((275)*1.03)/1.03)*1.02)/1.02</f>
        <v>275</v>
      </c>
      <c r="E1216" s="165" t="s">
        <v>3296</v>
      </c>
      <c r="F1216" s="166">
        <v>43780</v>
      </c>
    </row>
    <row r="1217" spans="1:6" ht="15.75" customHeight="1" x14ac:dyDescent="0.3">
      <c r="A1217" s="169" t="s">
        <v>3185</v>
      </c>
      <c r="B1217" s="190" t="s">
        <v>3192</v>
      </c>
      <c r="C1217" s="163" t="s">
        <v>73</v>
      </c>
      <c r="D1217" s="160">
        <v>550</v>
      </c>
      <c r="E1217" s="165" t="s">
        <v>3204</v>
      </c>
      <c r="F1217" s="166">
        <v>43768</v>
      </c>
    </row>
    <row r="1218" spans="1:6" ht="15.75" customHeight="1" x14ac:dyDescent="0.3">
      <c r="A1218" s="169" t="s">
        <v>3186</v>
      </c>
      <c r="B1218" s="190" t="s">
        <v>3193</v>
      </c>
      <c r="C1218" s="163" t="s">
        <v>73</v>
      </c>
      <c r="D1218" s="160">
        <v>550</v>
      </c>
      <c r="E1218" s="165" t="s">
        <v>3285</v>
      </c>
      <c r="F1218" s="166">
        <v>43780</v>
      </c>
    </row>
    <row r="1219" spans="1:6" ht="15.75" customHeight="1" x14ac:dyDescent="0.3">
      <c r="A1219" s="169" t="s">
        <v>3187</v>
      </c>
      <c r="B1219" s="190" t="s">
        <v>3203</v>
      </c>
      <c r="C1219" s="163" t="s">
        <v>73</v>
      </c>
      <c r="D1219" s="160">
        <v>1681.7526666470001</v>
      </c>
      <c r="E1219" s="165" t="s">
        <v>3285</v>
      </c>
      <c r="F1219" s="166">
        <v>43776</v>
      </c>
    </row>
    <row r="1220" spans="1:6" ht="15.75" customHeight="1" x14ac:dyDescent="0.3">
      <c r="A1220" s="169" t="s">
        <v>3188</v>
      </c>
      <c r="B1220" s="190" t="s">
        <v>3194</v>
      </c>
      <c r="C1220" s="163" t="s">
        <v>73</v>
      </c>
      <c r="D1220" s="160">
        <v>908.70221144666004</v>
      </c>
      <c r="E1220" s="165" t="s">
        <v>3285</v>
      </c>
      <c r="F1220" s="166">
        <v>43780</v>
      </c>
    </row>
    <row r="1221" spans="1:6" ht="15.75" customHeight="1" x14ac:dyDescent="0.3">
      <c r="A1221" s="169" t="s">
        <v>3189</v>
      </c>
      <c r="B1221" s="190" t="s">
        <v>3286</v>
      </c>
      <c r="C1221" s="163" t="s">
        <v>73</v>
      </c>
      <c r="D1221" s="160">
        <v>1311.7068999999999</v>
      </c>
      <c r="E1221" s="165" t="s">
        <v>3285</v>
      </c>
      <c r="F1221" s="166">
        <v>43776</v>
      </c>
    </row>
    <row r="1222" spans="1:6" x14ac:dyDescent="0.3">
      <c r="A1222" s="169" t="s">
        <v>3195</v>
      </c>
      <c r="B1222" s="190" t="s">
        <v>3246</v>
      </c>
      <c r="C1222" s="163" t="s">
        <v>73</v>
      </c>
      <c r="D1222" s="160">
        <f>((((39/2)*1.03)/1.03)*1.02)/1.02</f>
        <v>19.5</v>
      </c>
      <c r="E1222" s="165" t="s">
        <v>3247</v>
      </c>
      <c r="F1222" s="166">
        <v>43782</v>
      </c>
    </row>
    <row r="1223" spans="1:6" ht="15" customHeight="1" x14ac:dyDescent="0.3">
      <c r="A1223" s="169" t="s">
        <v>3196</v>
      </c>
      <c r="B1223" s="190" t="s">
        <v>3225</v>
      </c>
      <c r="C1223" s="163" t="s">
        <v>3003</v>
      </c>
      <c r="D1223" s="160">
        <f>((((39778.22+22127.7)*1.03)/1.03)*1.02)/1.02</f>
        <v>61905.919999999998</v>
      </c>
      <c r="E1223" s="165" t="s">
        <v>3284</v>
      </c>
      <c r="F1223" s="166">
        <v>43776</v>
      </c>
    </row>
    <row r="1224" spans="1:6" ht="15" customHeight="1" x14ac:dyDescent="0.3">
      <c r="A1224" s="169" t="s">
        <v>3197</v>
      </c>
      <c r="B1224" s="190" t="s">
        <v>3208</v>
      </c>
      <c r="C1224" s="163" t="s">
        <v>73</v>
      </c>
      <c r="D1224" s="160">
        <f>((((57/2)*1.03)/1.03)*1.02)/1.02</f>
        <v>28.5</v>
      </c>
      <c r="E1224" s="165" t="s">
        <v>3205</v>
      </c>
      <c r="F1224" s="166">
        <v>43768</v>
      </c>
    </row>
    <row r="1225" spans="1:6" ht="15" customHeight="1" x14ac:dyDescent="0.3">
      <c r="A1225" s="169" t="s">
        <v>3198</v>
      </c>
      <c r="B1225" s="190" t="s">
        <v>3209</v>
      </c>
      <c r="C1225" s="163" t="s">
        <v>3003</v>
      </c>
      <c r="D1225" s="160">
        <v>3000</v>
      </c>
      <c r="E1225" s="165" t="s">
        <v>405</v>
      </c>
      <c r="F1225" s="166">
        <v>43768</v>
      </c>
    </row>
    <row r="1226" spans="1:6" ht="15" customHeight="1" x14ac:dyDescent="0.3">
      <c r="A1226" s="169" t="s">
        <v>3199</v>
      </c>
      <c r="B1226" s="190" t="s">
        <v>3217</v>
      </c>
      <c r="C1226" s="163" t="s">
        <v>73</v>
      </c>
      <c r="D1226" s="160">
        <v>9.93</v>
      </c>
      <c r="E1226" s="165" t="s">
        <v>1326</v>
      </c>
      <c r="F1226" s="166">
        <v>43769</v>
      </c>
    </row>
    <row r="1227" spans="1:6" ht="15" customHeight="1" x14ac:dyDescent="0.3">
      <c r="A1227" s="169" t="s">
        <v>3200</v>
      </c>
      <c r="B1227" s="190" t="s">
        <v>3218</v>
      </c>
      <c r="C1227" s="163" t="s">
        <v>73</v>
      </c>
      <c r="D1227" s="160">
        <v>45.98</v>
      </c>
      <c r="E1227" s="165" t="s">
        <v>1326</v>
      </c>
      <c r="F1227" s="166">
        <v>43769</v>
      </c>
    </row>
    <row r="1228" spans="1:6" ht="15" customHeight="1" x14ac:dyDescent="0.3">
      <c r="A1228" s="169" t="s">
        <v>3201</v>
      </c>
      <c r="B1228" s="190" t="s">
        <v>3270</v>
      </c>
      <c r="C1228" s="163" t="s">
        <v>73</v>
      </c>
      <c r="D1228" s="160">
        <v>15.680000000000001</v>
      </c>
      <c r="E1228" s="165" t="s">
        <v>1326</v>
      </c>
      <c r="F1228" s="166">
        <v>43769</v>
      </c>
    </row>
    <row r="1229" spans="1:6" ht="15" customHeight="1" x14ac:dyDescent="0.3">
      <c r="A1229" s="169" t="s">
        <v>3211</v>
      </c>
      <c r="B1229" s="190" t="s">
        <v>3219</v>
      </c>
      <c r="C1229" s="163" t="s">
        <v>73</v>
      </c>
      <c r="D1229" s="160">
        <v>150</v>
      </c>
      <c r="E1229" s="165" t="s">
        <v>3220</v>
      </c>
      <c r="F1229" s="166">
        <v>43769</v>
      </c>
    </row>
    <row r="1230" spans="1:6" ht="15" customHeight="1" x14ac:dyDescent="0.3">
      <c r="A1230" s="169" t="s">
        <v>3212</v>
      </c>
      <c r="B1230" s="190" t="s">
        <v>3222</v>
      </c>
      <c r="C1230" s="163" t="s">
        <v>73</v>
      </c>
      <c r="D1230" s="160">
        <v>65</v>
      </c>
      <c r="E1230" s="165" t="s">
        <v>3249</v>
      </c>
      <c r="F1230" s="166">
        <v>43782</v>
      </c>
    </row>
    <row r="1231" spans="1:6" ht="15" customHeight="1" x14ac:dyDescent="0.3">
      <c r="A1231" s="169" t="s">
        <v>3213</v>
      </c>
      <c r="B1231" s="190" t="s">
        <v>3221</v>
      </c>
      <c r="C1231" s="163" t="s">
        <v>3003</v>
      </c>
      <c r="D1231" s="160">
        <f>(((((170*2*15)+((80/22)*15)*1.3)*1.03)/1.03)*1.02)/1.02</f>
        <v>5170.909090909091</v>
      </c>
      <c r="E1231" s="165" t="s">
        <v>3445</v>
      </c>
      <c r="F1231" s="166">
        <v>43787</v>
      </c>
    </row>
    <row r="1232" spans="1:6" ht="15" customHeight="1" x14ac:dyDescent="0.3">
      <c r="A1232" s="169" t="s">
        <v>3214</v>
      </c>
      <c r="B1232" s="190" t="s">
        <v>3223</v>
      </c>
      <c r="C1232" s="163" t="s">
        <v>3003</v>
      </c>
      <c r="D1232" s="160">
        <v>2900</v>
      </c>
      <c r="E1232" s="165" t="s">
        <v>3224</v>
      </c>
      <c r="F1232" s="166">
        <v>43769</v>
      </c>
    </row>
    <row r="1233" spans="1:6" ht="15" customHeight="1" x14ac:dyDescent="0.3">
      <c r="A1233" s="169" t="s">
        <v>3215</v>
      </c>
      <c r="B1233" s="190" t="s">
        <v>3229</v>
      </c>
      <c r="C1233" s="163" t="s">
        <v>3228</v>
      </c>
      <c r="D1233" s="160">
        <v>6.5</v>
      </c>
      <c r="E1233" s="165" t="s">
        <v>1921</v>
      </c>
      <c r="F1233" s="166">
        <v>43770</v>
      </c>
    </row>
    <row r="1234" spans="1:6" ht="15" customHeight="1" x14ac:dyDescent="0.3">
      <c r="A1234" s="169" t="s">
        <v>3216</v>
      </c>
      <c r="B1234" s="190" t="s">
        <v>3230</v>
      </c>
      <c r="C1234" s="163" t="s">
        <v>3228</v>
      </c>
      <c r="D1234" s="160">
        <v>6.5</v>
      </c>
      <c r="E1234" s="165" t="s">
        <v>1921</v>
      </c>
      <c r="F1234" s="166">
        <v>43770</v>
      </c>
    </row>
    <row r="1235" spans="1:6" ht="15" customHeight="1" x14ac:dyDescent="0.3">
      <c r="A1235" s="169" t="s">
        <v>3232</v>
      </c>
      <c r="B1235" s="190" t="s">
        <v>3231</v>
      </c>
      <c r="C1235" s="163" t="s">
        <v>3228</v>
      </c>
      <c r="D1235" s="160">
        <v>6.5</v>
      </c>
      <c r="E1235" s="165" t="s">
        <v>1921</v>
      </c>
      <c r="F1235" s="166">
        <v>43770</v>
      </c>
    </row>
    <row r="1236" spans="1:6" ht="15" customHeight="1" x14ac:dyDescent="0.3">
      <c r="A1236" s="169" t="s">
        <v>3233</v>
      </c>
      <c r="B1236" s="190" t="s">
        <v>3237</v>
      </c>
      <c r="C1236" s="163" t="s">
        <v>3238</v>
      </c>
      <c r="D1236" s="160">
        <v>2200</v>
      </c>
      <c r="E1236" s="165" t="s">
        <v>1921</v>
      </c>
      <c r="F1236" s="166">
        <v>43770</v>
      </c>
    </row>
    <row r="1237" spans="1:6" ht="15" customHeight="1" x14ac:dyDescent="0.3">
      <c r="A1237" s="169" t="s">
        <v>3234</v>
      </c>
      <c r="B1237" s="190" t="s">
        <v>3239</v>
      </c>
      <c r="C1237" s="163" t="s">
        <v>3238</v>
      </c>
      <c r="D1237" s="160">
        <v>1760</v>
      </c>
      <c r="E1237" s="165" t="s">
        <v>1921</v>
      </c>
      <c r="F1237" s="166">
        <v>43770</v>
      </c>
    </row>
    <row r="1238" spans="1:6" ht="15" customHeight="1" x14ac:dyDescent="0.3">
      <c r="A1238" s="169" t="s">
        <v>3235</v>
      </c>
      <c r="B1238" s="190" t="s">
        <v>3240</v>
      </c>
      <c r="C1238" s="163" t="s">
        <v>3238</v>
      </c>
      <c r="D1238" s="160">
        <v>1440</v>
      </c>
      <c r="E1238" s="165" t="s">
        <v>1921</v>
      </c>
      <c r="F1238" s="166">
        <v>43770</v>
      </c>
    </row>
    <row r="1239" spans="1:6" ht="15" customHeight="1" x14ac:dyDescent="0.3">
      <c r="A1239" s="169" t="s">
        <v>3236</v>
      </c>
      <c r="B1239" s="190" t="s">
        <v>3242</v>
      </c>
      <c r="C1239" s="163" t="s">
        <v>2268</v>
      </c>
      <c r="D1239" s="160">
        <f>((((780+130)*1.03)/1.03)*1.02)/1.02</f>
        <v>910</v>
      </c>
      <c r="E1239" s="165" t="s">
        <v>3296</v>
      </c>
      <c r="F1239" s="166">
        <v>43780</v>
      </c>
    </row>
    <row r="1240" spans="1:6" ht="15" customHeight="1" x14ac:dyDescent="0.3">
      <c r="A1240" s="169" t="s">
        <v>3243</v>
      </c>
      <c r="B1240" s="190" t="s">
        <v>3244</v>
      </c>
      <c r="C1240" s="163" t="s">
        <v>2268</v>
      </c>
      <c r="D1240" s="160">
        <f>((((860+130)*1.03)/1.03)*1.02)/1.02</f>
        <v>990</v>
      </c>
      <c r="E1240" s="165" t="s">
        <v>3296</v>
      </c>
      <c r="F1240" s="166">
        <v>43780</v>
      </c>
    </row>
    <row r="1241" spans="1:6" x14ac:dyDescent="0.3">
      <c r="A1241" s="169" t="s">
        <v>3255</v>
      </c>
      <c r="B1241" s="190" t="s">
        <v>3264</v>
      </c>
      <c r="C1241" s="163" t="s">
        <v>73</v>
      </c>
      <c r="D1241" s="160">
        <v>257.8</v>
      </c>
      <c r="E1241" s="165" t="s">
        <v>3262</v>
      </c>
      <c r="F1241" s="166">
        <v>43787</v>
      </c>
    </row>
    <row r="1242" spans="1:6" x14ac:dyDescent="0.3">
      <c r="A1242" s="169" t="s">
        <v>3256</v>
      </c>
      <c r="B1242" s="190" t="s">
        <v>3260</v>
      </c>
      <c r="C1242" s="163" t="s">
        <v>29</v>
      </c>
      <c r="D1242" s="160">
        <v>2717.56</v>
      </c>
      <c r="E1242" s="165" t="s">
        <v>3261</v>
      </c>
      <c r="F1242" s="166">
        <v>43774</v>
      </c>
    </row>
    <row r="1243" spans="1:6" x14ac:dyDescent="0.3">
      <c r="A1243" s="169" t="s">
        <v>3257</v>
      </c>
      <c r="B1243" s="190" t="s">
        <v>3268</v>
      </c>
      <c r="C1243" s="163" t="s">
        <v>73</v>
      </c>
      <c r="D1243" s="160">
        <f>((((83/2)*1.03)/1.03)*1.02)/1.02</f>
        <v>41.5</v>
      </c>
      <c r="E1243" s="165" t="s">
        <v>3267</v>
      </c>
      <c r="F1243" s="166">
        <v>43774</v>
      </c>
    </row>
    <row r="1244" spans="1:6" x14ac:dyDescent="0.3">
      <c r="A1244" s="169" t="s">
        <v>3258</v>
      </c>
      <c r="B1244" s="190" t="s">
        <v>3269</v>
      </c>
      <c r="C1244" s="163" t="s">
        <v>73</v>
      </c>
      <c r="D1244" s="160">
        <f>((((83/2)*1.03)/1.03)*1.02)/1.02</f>
        <v>41.5</v>
      </c>
      <c r="E1244" s="165" t="s">
        <v>3267</v>
      </c>
      <c r="F1244" s="166">
        <v>43774</v>
      </c>
    </row>
    <row r="1245" spans="1:6" x14ac:dyDescent="0.3">
      <c r="A1245" s="169" t="s">
        <v>3272</v>
      </c>
      <c r="B1245" s="190" t="s">
        <v>3279</v>
      </c>
      <c r="C1245" s="163" t="s">
        <v>73</v>
      </c>
      <c r="D1245" s="160">
        <v>235</v>
      </c>
      <c r="E1245" s="165" t="s">
        <v>3280</v>
      </c>
      <c r="F1245" s="166">
        <v>43774</v>
      </c>
    </row>
    <row r="1246" spans="1:6" x14ac:dyDescent="0.3">
      <c r="A1246" s="169" t="s">
        <v>3273</v>
      </c>
      <c r="B1246" s="190" t="s">
        <v>3281</v>
      </c>
      <c r="C1246" s="163" t="s">
        <v>73</v>
      </c>
      <c r="D1246" s="160">
        <v>48</v>
      </c>
      <c r="E1246" s="165" t="s">
        <v>3280</v>
      </c>
      <c r="F1246" s="166">
        <v>43774</v>
      </c>
    </row>
    <row r="1247" spans="1:6" x14ac:dyDescent="0.3">
      <c r="A1247" s="169" t="s">
        <v>3274</v>
      </c>
      <c r="B1247" s="190" t="s">
        <v>3282</v>
      </c>
      <c r="C1247" s="163" t="s">
        <v>73</v>
      </c>
      <c r="D1247" s="160">
        <v>52</v>
      </c>
      <c r="E1247" s="165" t="s">
        <v>3280</v>
      </c>
      <c r="F1247" s="166">
        <v>43774</v>
      </c>
    </row>
    <row r="1248" spans="1:6" x14ac:dyDescent="0.3">
      <c r="A1248" s="169" t="s">
        <v>3275</v>
      </c>
      <c r="B1248" s="190" t="s">
        <v>3283</v>
      </c>
      <c r="C1248" s="163" t="s">
        <v>3238</v>
      </c>
      <c r="D1248" s="160">
        <v>450</v>
      </c>
      <c r="E1248" s="165" t="s">
        <v>3280</v>
      </c>
      <c r="F1248" s="166">
        <v>43774</v>
      </c>
    </row>
    <row r="1249" spans="1:6" x14ac:dyDescent="0.3">
      <c r="A1249" s="169" t="s">
        <v>3276</v>
      </c>
      <c r="B1249" s="156" t="s">
        <v>3293</v>
      </c>
      <c r="C1249" s="163" t="s">
        <v>73</v>
      </c>
      <c r="D1249" s="160">
        <f>(((((2700)/(1.75*2.5))*1.03)/1.03)*1.02)/1.02</f>
        <v>617.14285714285711</v>
      </c>
      <c r="E1249" s="165" t="s">
        <v>3285</v>
      </c>
      <c r="F1249" s="166">
        <v>43776</v>
      </c>
    </row>
    <row r="1250" spans="1:6" x14ac:dyDescent="0.3">
      <c r="A1250" s="169" t="s">
        <v>3277</v>
      </c>
      <c r="B1250" s="156" t="s">
        <v>3292</v>
      </c>
      <c r="C1250" s="163" t="s">
        <v>73</v>
      </c>
      <c r="D1250" s="160">
        <f>(((((1800)/(1.12*2.5))*1.03)/1.03)*1.02)/1.02</f>
        <v>642.85714285714278</v>
      </c>
      <c r="E1250" s="165" t="s">
        <v>3285</v>
      </c>
      <c r="F1250" s="166">
        <v>43776</v>
      </c>
    </row>
    <row r="1251" spans="1:6" x14ac:dyDescent="0.3">
      <c r="A1251" s="169" t="s">
        <v>3278</v>
      </c>
      <c r="B1251" s="156" t="s">
        <v>3291</v>
      </c>
      <c r="C1251" s="163" t="s">
        <v>73</v>
      </c>
      <c r="D1251" s="160">
        <f>(((((1510)/(1.33*1.8))*1.03)/1.03)*1.02)/1.02</f>
        <v>630.74352548036757</v>
      </c>
      <c r="E1251" s="165" t="s">
        <v>3285</v>
      </c>
      <c r="F1251" s="166">
        <v>43776</v>
      </c>
    </row>
    <row r="1252" spans="1:6" x14ac:dyDescent="0.3">
      <c r="A1252" s="169" t="s">
        <v>3287</v>
      </c>
      <c r="B1252" s="156" t="s">
        <v>3290</v>
      </c>
      <c r="C1252" s="163" t="s">
        <v>73</v>
      </c>
      <c r="D1252" s="160">
        <f>(((((1200)/(1.8*0.85))*1.03)/1.03)*1.02)/1.02</f>
        <v>784.31372549019602</v>
      </c>
      <c r="E1252" s="165" t="s">
        <v>3285</v>
      </c>
      <c r="F1252" s="166">
        <v>43776</v>
      </c>
    </row>
    <row r="1253" spans="1:6" x14ac:dyDescent="0.3">
      <c r="A1253" s="169" t="s">
        <v>3288</v>
      </c>
      <c r="B1253" s="190" t="s">
        <v>3337</v>
      </c>
      <c r="C1253" s="163" t="s">
        <v>2268</v>
      </c>
      <c r="D1253" s="160">
        <v>96.9</v>
      </c>
      <c r="E1253" s="165" t="s">
        <v>1184</v>
      </c>
      <c r="F1253" s="166">
        <v>43782</v>
      </c>
    </row>
    <row r="1254" spans="1:6" x14ac:dyDescent="0.3">
      <c r="A1254" s="169" t="s">
        <v>3289</v>
      </c>
      <c r="B1254" s="156" t="s">
        <v>3294</v>
      </c>
      <c r="C1254" s="163" t="s">
        <v>936</v>
      </c>
      <c r="D1254" s="160">
        <v>1.98</v>
      </c>
      <c r="E1254" s="165" t="s">
        <v>3295</v>
      </c>
      <c r="F1254" s="166">
        <v>43776</v>
      </c>
    </row>
    <row r="1255" spans="1:6" x14ac:dyDescent="0.3">
      <c r="A1255" s="169" t="s">
        <v>3299</v>
      </c>
      <c r="B1255" s="190" t="s">
        <v>3327</v>
      </c>
      <c r="C1255" s="163" t="s">
        <v>1376</v>
      </c>
      <c r="D1255" s="160">
        <v>15.5</v>
      </c>
      <c r="E1255" s="165" t="s">
        <v>3296</v>
      </c>
      <c r="F1255" s="166">
        <v>43780</v>
      </c>
    </row>
    <row r="1256" spans="1:6" x14ac:dyDescent="0.3">
      <c r="A1256" s="169" t="s">
        <v>3300</v>
      </c>
      <c r="B1256" s="156" t="s">
        <v>3330</v>
      </c>
      <c r="C1256" s="163" t="s">
        <v>73</v>
      </c>
      <c r="D1256" s="160">
        <v>550</v>
      </c>
      <c r="E1256" s="165" t="s">
        <v>3285</v>
      </c>
      <c r="F1256" s="166">
        <v>43780</v>
      </c>
    </row>
    <row r="1257" spans="1:6" x14ac:dyDescent="0.3">
      <c r="A1257" s="169" t="s">
        <v>3301</v>
      </c>
      <c r="B1257" s="156" t="s">
        <v>3331</v>
      </c>
      <c r="C1257" s="163" t="s">
        <v>73</v>
      </c>
      <c r="D1257" s="160">
        <v>842.53</v>
      </c>
      <c r="E1257" s="165" t="s">
        <v>3285</v>
      </c>
      <c r="F1257" s="166">
        <v>43780</v>
      </c>
    </row>
    <row r="1258" spans="1:6" x14ac:dyDescent="0.3">
      <c r="A1258" s="169" t="s">
        <v>3302</v>
      </c>
      <c r="B1258" s="156" t="s">
        <v>3332</v>
      </c>
      <c r="C1258" s="163" t="s">
        <v>73</v>
      </c>
      <c r="D1258" s="160">
        <v>960.78</v>
      </c>
      <c r="E1258" s="165" t="s">
        <v>3285</v>
      </c>
      <c r="F1258" s="166">
        <v>43780</v>
      </c>
    </row>
    <row r="1259" spans="1:6" x14ac:dyDescent="0.3">
      <c r="A1259" s="169" t="s">
        <v>3303</v>
      </c>
      <c r="B1259" s="156" t="s">
        <v>3333</v>
      </c>
      <c r="C1259" s="163" t="s">
        <v>73</v>
      </c>
      <c r="D1259" s="160">
        <v>923.42</v>
      </c>
      <c r="E1259" s="165" t="s">
        <v>3285</v>
      </c>
      <c r="F1259" s="166">
        <v>43780</v>
      </c>
    </row>
    <row r="1260" spans="1:6" x14ac:dyDescent="0.3">
      <c r="A1260" s="169" t="s">
        <v>3304</v>
      </c>
      <c r="B1260" s="156" t="s">
        <v>3334</v>
      </c>
      <c r="C1260" s="163" t="s">
        <v>73</v>
      </c>
      <c r="D1260" s="160">
        <v>901.64</v>
      </c>
      <c r="E1260" s="165" t="s">
        <v>3285</v>
      </c>
      <c r="F1260" s="166">
        <v>43780</v>
      </c>
    </row>
    <row r="1261" spans="1:6" x14ac:dyDescent="0.3">
      <c r="A1261" s="169" t="s">
        <v>3305</v>
      </c>
      <c r="B1261" s="156" t="s">
        <v>3335</v>
      </c>
      <c r="C1261" s="163" t="s">
        <v>73</v>
      </c>
      <c r="D1261" s="160">
        <v>742.24</v>
      </c>
      <c r="E1261" s="165" t="s">
        <v>3285</v>
      </c>
      <c r="F1261" s="166">
        <v>43780</v>
      </c>
    </row>
    <row r="1262" spans="1:6" x14ac:dyDescent="0.3">
      <c r="A1262" s="169" t="s">
        <v>3306</v>
      </c>
      <c r="B1262" s="156" t="s">
        <v>3336</v>
      </c>
      <c r="C1262" s="163" t="s">
        <v>73</v>
      </c>
      <c r="D1262" s="160">
        <v>745</v>
      </c>
      <c r="E1262" s="165" t="s">
        <v>3285</v>
      </c>
      <c r="F1262" s="166">
        <v>43780</v>
      </c>
    </row>
    <row r="1263" spans="1:6" x14ac:dyDescent="0.3">
      <c r="A1263" s="169" t="s">
        <v>3307</v>
      </c>
      <c r="B1263" s="190" t="s">
        <v>3345</v>
      </c>
      <c r="C1263" s="163" t="s">
        <v>73</v>
      </c>
      <c r="D1263" s="160">
        <f>((((29/2)*1.03)/1.03)*1.02)/1.02</f>
        <v>14.5</v>
      </c>
      <c r="E1263" s="165" t="s">
        <v>3342</v>
      </c>
      <c r="F1263" s="166">
        <v>43782</v>
      </c>
    </row>
    <row r="1264" spans="1:6" x14ac:dyDescent="0.3">
      <c r="A1264" s="169" t="s">
        <v>3308</v>
      </c>
      <c r="B1264" s="190" t="s">
        <v>3346</v>
      </c>
      <c r="C1264" s="163" t="s">
        <v>73</v>
      </c>
      <c r="D1264" s="160">
        <f>((((29/2)*1.03)/1.03)*1.02)/1.02</f>
        <v>14.5</v>
      </c>
      <c r="E1264" s="165" t="s">
        <v>3342</v>
      </c>
      <c r="F1264" s="166">
        <v>43782</v>
      </c>
    </row>
    <row r="1265" spans="1:6" x14ac:dyDescent="0.3">
      <c r="A1265" s="169" t="s">
        <v>3309</v>
      </c>
      <c r="B1265" s="190" t="s">
        <v>3343</v>
      </c>
      <c r="C1265" s="163" t="s">
        <v>73</v>
      </c>
      <c r="D1265" s="160">
        <f>((((48/2)*1.03)/1.03)*1.02)/1.02</f>
        <v>24</v>
      </c>
      <c r="E1265" s="165" t="s">
        <v>3342</v>
      </c>
      <c r="F1265" s="166">
        <v>43782</v>
      </c>
    </row>
    <row r="1266" spans="1:6" x14ac:dyDescent="0.3">
      <c r="A1266" s="169" t="s">
        <v>3310</v>
      </c>
      <c r="B1266" s="190" t="s">
        <v>3344</v>
      </c>
      <c r="C1266" s="163" t="s">
        <v>73</v>
      </c>
      <c r="D1266" s="160">
        <f>((((48/2)*1.03)/1.03)*1.02)/1.02</f>
        <v>24</v>
      </c>
      <c r="E1266" s="165" t="s">
        <v>3342</v>
      </c>
      <c r="F1266" s="166">
        <v>43782</v>
      </c>
    </row>
    <row r="1267" spans="1:6" x14ac:dyDescent="0.3">
      <c r="A1267" s="169" t="s">
        <v>3311</v>
      </c>
      <c r="B1267" s="190" t="s">
        <v>3347</v>
      </c>
      <c r="C1267" s="163" t="s">
        <v>73</v>
      </c>
      <c r="D1267" s="160">
        <f>((((29/2)*1.03)/1.03)*1.02)/1.02</f>
        <v>14.5</v>
      </c>
      <c r="E1267" s="165" t="s">
        <v>3342</v>
      </c>
      <c r="F1267" s="166">
        <v>43782</v>
      </c>
    </row>
    <row r="1268" spans="1:6" x14ac:dyDescent="0.3">
      <c r="A1268" s="169" t="s">
        <v>3312</v>
      </c>
      <c r="B1268" s="190" t="s">
        <v>3348</v>
      </c>
      <c r="C1268" s="163" t="s">
        <v>73</v>
      </c>
      <c r="D1268" s="160">
        <f>((((29/2)*1.03)/1.03)*1.02)/1.02</f>
        <v>14.5</v>
      </c>
      <c r="E1268" s="165" t="s">
        <v>3342</v>
      </c>
      <c r="F1268" s="166">
        <v>43782</v>
      </c>
    </row>
    <row r="1269" spans="1:6" x14ac:dyDescent="0.3">
      <c r="A1269" s="169" t="s">
        <v>3313</v>
      </c>
      <c r="B1269" s="190" t="s">
        <v>3349</v>
      </c>
      <c r="C1269" s="163" t="s">
        <v>73</v>
      </c>
      <c r="D1269" s="160">
        <f>((((32/2)*1.03)/1.03)*1.02)/1.02</f>
        <v>16</v>
      </c>
      <c r="E1269" s="165" t="s">
        <v>3342</v>
      </c>
      <c r="F1269" s="166">
        <v>43782</v>
      </c>
    </row>
    <row r="1270" spans="1:6" x14ac:dyDescent="0.3">
      <c r="A1270" s="169" t="s">
        <v>3314</v>
      </c>
      <c r="B1270" s="190" t="s">
        <v>3350</v>
      </c>
      <c r="C1270" s="163" t="s">
        <v>73</v>
      </c>
      <c r="D1270" s="160">
        <f>((((32/2)*1.03)/1.03)*1.02)/1.02</f>
        <v>16</v>
      </c>
      <c r="E1270" s="165" t="s">
        <v>3342</v>
      </c>
      <c r="F1270" s="166">
        <v>43782</v>
      </c>
    </row>
    <row r="1271" spans="1:6" x14ac:dyDescent="0.3">
      <c r="A1271" s="169" t="s">
        <v>3315</v>
      </c>
      <c r="B1271" s="190" t="s">
        <v>3351</v>
      </c>
      <c r="C1271" s="163" t="s">
        <v>3352</v>
      </c>
      <c r="D1271" s="160">
        <f>((((12/2)*1.03)/1.03)*1.02)/1.02</f>
        <v>6</v>
      </c>
      <c r="E1271" s="165" t="s">
        <v>3342</v>
      </c>
      <c r="F1271" s="166">
        <v>43782</v>
      </c>
    </row>
    <row r="1272" spans="1:6" x14ac:dyDescent="0.3">
      <c r="A1272" s="169" t="s">
        <v>3316</v>
      </c>
      <c r="B1272" s="190" t="s">
        <v>3353</v>
      </c>
      <c r="C1272" s="163" t="s">
        <v>3352</v>
      </c>
      <c r="D1272" s="160">
        <f>((((12/2)*1.03)/1.03)*1.02)/1.02</f>
        <v>6</v>
      </c>
      <c r="E1272" s="165" t="s">
        <v>3342</v>
      </c>
      <c r="F1272" s="166">
        <v>43782</v>
      </c>
    </row>
    <row r="1273" spans="1:6" x14ac:dyDescent="0.3">
      <c r="A1273" s="169" t="s">
        <v>3317</v>
      </c>
      <c r="B1273" s="190" t="s">
        <v>3354</v>
      </c>
      <c r="C1273" s="163" t="s">
        <v>73</v>
      </c>
      <c r="D1273" s="160">
        <f>((((65/2)*1.03)/1.03)*1.02)/1.02</f>
        <v>32.5</v>
      </c>
      <c r="E1273" s="165" t="s">
        <v>3342</v>
      </c>
      <c r="F1273" s="166">
        <v>43782</v>
      </c>
    </row>
    <row r="1274" spans="1:6" x14ac:dyDescent="0.3">
      <c r="A1274" s="169" t="s">
        <v>3318</v>
      </c>
      <c r="B1274" s="190" t="s">
        <v>3355</v>
      </c>
      <c r="C1274" s="163" t="s">
        <v>73</v>
      </c>
      <c r="D1274" s="160">
        <f>((((65/2)*1.03)/1.03)*1.02)/1.02</f>
        <v>32.5</v>
      </c>
      <c r="E1274" s="165" t="s">
        <v>3342</v>
      </c>
      <c r="F1274" s="166">
        <v>43782</v>
      </c>
    </row>
    <row r="1275" spans="1:6" x14ac:dyDescent="0.3">
      <c r="A1275" s="169" t="s">
        <v>3319</v>
      </c>
      <c r="B1275" s="190" t="s">
        <v>3358</v>
      </c>
      <c r="C1275" s="163" t="s">
        <v>73</v>
      </c>
      <c r="D1275" s="160">
        <v>840</v>
      </c>
      <c r="E1275" s="165" t="s">
        <v>3359</v>
      </c>
      <c r="F1275" s="166">
        <v>43783</v>
      </c>
    </row>
    <row r="1276" spans="1:6" x14ac:dyDescent="0.3">
      <c r="A1276" s="169" t="s">
        <v>3320</v>
      </c>
      <c r="B1276" s="190" t="s">
        <v>3360</v>
      </c>
      <c r="C1276" s="163" t="s">
        <v>73</v>
      </c>
      <c r="D1276" s="160">
        <f>((((1150/(32*7))*1.03)/1.03)*1.02)/1.02</f>
        <v>5.1339285714285712</v>
      </c>
      <c r="E1276" s="165" t="s">
        <v>909</v>
      </c>
      <c r="F1276" s="166">
        <v>44119</v>
      </c>
    </row>
    <row r="1277" spans="1:6" ht="24.6" x14ac:dyDescent="0.3">
      <c r="A1277" s="169" t="s">
        <v>3321</v>
      </c>
      <c r="B1277" s="190" t="s">
        <v>8651</v>
      </c>
      <c r="C1277" s="163" t="s">
        <v>73</v>
      </c>
      <c r="D1277" s="160">
        <v>15.5</v>
      </c>
      <c r="E1277" s="165" t="s">
        <v>1921</v>
      </c>
      <c r="F1277" s="166">
        <v>43783</v>
      </c>
    </row>
    <row r="1278" spans="1:6" ht="24.6" x14ac:dyDescent="0.3">
      <c r="A1278" s="169" t="s">
        <v>3322</v>
      </c>
      <c r="B1278" s="190" t="s">
        <v>3361</v>
      </c>
      <c r="C1278" s="163" t="s">
        <v>73</v>
      </c>
      <c r="D1278" s="160">
        <v>7.5</v>
      </c>
      <c r="E1278" s="165" t="s">
        <v>1921</v>
      </c>
      <c r="F1278" s="166">
        <v>43783</v>
      </c>
    </row>
    <row r="1279" spans="1:6" x14ac:dyDescent="0.3">
      <c r="A1279" s="169" t="s">
        <v>3323</v>
      </c>
      <c r="B1279" s="190" t="s">
        <v>3362</v>
      </c>
      <c r="C1279" s="163" t="s">
        <v>2268</v>
      </c>
      <c r="D1279" s="160">
        <v>250</v>
      </c>
      <c r="E1279" s="165" t="s">
        <v>909</v>
      </c>
      <c r="F1279" s="166">
        <v>44119</v>
      </c>
    </row>
    <row r="1280" spans="1:6" x14ac:dyDescent="0.3">
      <c r="A1280" s="169" t="s">
        <v>3324</v>
      </c>
      <c r="B1280" s="190" t="s">
        <v>3363</v>
      </c>
      <c r="C1280" s="163" t="s">
        <v>73</v>
      </c>
      <c r="D1280" s="160">
        <f>((((3120/(32*7))*1.03)/1.03)*1.02)/1.02</f>
        <v>13.928571428571429</v>
      </c>
      <c r="E1280" s="165" t="s">
        <v>909</v>
      </c>
      <c r="F1280" s="166">
        <v>44119</v>
      </c>
    </row>
    <row r="1281" spans="1:6" x14ac:dyDescent="0.3">
      <c r="A1281" s="169" t="s">
        <v>3325</v>
      </c>
      <c r="B1281" s="190" t="s">
        <v>3364</v>
      </c>
      <c r="C1281" s="163" t="s">
        <v>73</v>
      </c>
      <c r="D1281" s="160">
        <f>((((2650/(32*7))*1.03)/1.03)*1.02)/1.02</f>
        <v>11.830357142857142</v>
      </c>
      <c r="E1281" s="165" t="s">
        <v>909</v>
      </c>
      <c r="F1281" s="166">
        <v>44119</v>
      </c>
    </row>
    <row r="1282" spans="1:6" x14ac:dyDescent="0.3">
      <c r="A1282" s="169" t="s">
        <v>3326</v>
      </c>
      <c r="B1282" s="190" t="s">
        <v>3365</v>
      </c>
      <c r="C1282" s="163" t="s">
        <v>73</v>
      </c>
      <c r="D1282" s="160">
        <v>43.75</v>
      </c>
      <c r="E1282" s="165" t="s">
        <v>1921</v>
      </c>
      <c r="F1282" s="166">
        <v>43783</v>
      </c>
    </row>
    <row r="1283" spans="1:6" x14ac:dyDescent="0.3">
      <c r="A1283" s="169" t="s">
        <v>3366</v>
      </c>
      <c r="B1283" s="190" t="s">
        <v>3442</v>
      </c>
      <c r="C1283" s="163" t="s">
        <v>73</v>
      </c>
      <c r="D1283" s="160">
        <v>35</v>
      </c>
      <c r="E1283" s="165" t="s">
        <v>1921</v>
      </c>
      <c r="F1283" s="166">
        <v>43783</v>
      </c>
    </row>
    <row r="1284" spans="1:6" x14ac:dyDescent="0.3">
      <c r="A1284" s="169" t="s">
        <v>3367</v>
      </c>
      <c r="B1284" s="190" t="s">
        <v>3443</v>
      </c>
      <c r="C1284" s="163" t="s">
        <v>29</v>
      </c>
      <c r="D1284" s="160">
        <v>800</v>
      </c>
      <c r="E1284" s="165" t="s">
        <v>1921</v>
      </c>
      <c r="F1284" s="166">
        <v>43783</v>
      </c>
    </row>
    <row r="1285" spans="1:6" x14ac:dyDescent="0.3">
      <c r="A1285" s="169" t="s">
        <v>3368</v>
      </c>
      <c r="B1285" s="190" t="s">
        <v>3444</v>
      </c>
      <c r="C1285" s="163" t="s">
        <v>29</v>
      </c>
      <c r="D1285" s="160">
        <v>2250</v>
      </c>
      <c r="E1285" s="165" t="s">
        <v>1921</v>
      </c>
      <c r="F1285" s="166">
        <v>43783</v>
      </c>
    </row>
    <row r="1286" spans="1:6" x14ac:dyDescent="0.3">
      <c r="A1286" s="169" t="s">
        <v>3369</v>
      </c>
      <c r="B1286" s="190" t="s">
        <v>3448</v>
      </c>
      <c r="C1286" s="163"/>
      <c r="D1286" s="160">
        <v>0</v>
      </c>
      <c r="E1286" s="165"/>
      <c r="F1286" s="166"/>
    </row>
    <row r="1287" spans="1:6" x14ac:dyDescent="0.3">
      <c r="A1287" s="169" t="s">
        <v>3370</v>
      </c>
      <c r="B1287" s="190" t="s">
        <v>3447</v>
      </c>
      <c r="C1287" s="163" t="s">
        <v>37</v>
      </c>
      <c r="D1287" s="160">
        <f>(((((170*22)+55)*1.03)/1.03)*1.02)/1.02</f>
        <v>3795</v>
      </c>
      <c r="E1287" s="165" t="s">
        <v>3446</v>
      </c>
      <c r="F1287" s="166">
        <v>43787</v>
      </c>
    </row>
    <row r="1288" spans="1:6" x14ac:dyDescent="0.3">
      <c r="A1288" s="169" t="s">
        <v>3371</v>
      </c>
      <c r="B1288" s="190" t="s">
        <v>3459</v>
      </c>
      <c r="C1288" s="163" t="s">
        <v>3003</v>
      </c>
      <c r="D1288" s="160">
        <f>(((((4693/2))*1.03)/1.03)*1.02)/1.02</f>
        <v>2346.5</v>
      </c>
      <c r="E1288" s="165" t="s">
        <v>3458</v>
      </c>
      <c r="F1288" s="166">
        <v>43788</v>
      </c>
    </row>
    <row r="1289" spans="1:6" x14ac:dyDescent="0.3">
      <c r="A1289" s="169" t="s">
        <v>3372</v>
      </c>
      <c r="B1289" s="190" t="s">
        <v>3461</v>
      </c>
      <c r="C1289" s="163" t="s">
        <v>3003</v>
      </c>
      <c r="D1289" s="160">
        <v>1706.63</v>
      </c>
      <c r="E1289" s="165" t="s">
        <v>3458</v>
      </c>
      <c r="F1289" s="166">
        <v>43788</v>
      </c>
    </row>
    <row r="1290" spans="1:6" x14ac:dyDescent="0.3">
      <c r="A1290" s="169" t="s">
        <v>3373</v>
      </c>
      <c r="B1290" s="190" t="s">
        <v>3463</v>
      </c>
      <c r="C1290" s="163" t="s">
        <v>3003</v>
      </c>
      <c r="D1290" s="160">
        <v>1279.76</v>
      </c>
      <c r="E1290" s="165" t="s">
        <v>3458</v>
      </c>
      <c r="F1290" s="166">
        <v>43788</v>
      </c>
    </row>
    <row r="1291" spans="1:6" x14ac:dyDescent="0.3">
      <c r="A1291" s="169" t="s">
        <v>3374</v>
      </c>
      <c r="B1291" s="190" t="s">
        <v>3466</v>
      </c>
      <c r="C1291" s="163" t="s">
        <v>73</v>
      </c>
      <c r="D1291" s="160">
        <v>150</v>
      </c>
      <c r="E1291" s="165" t="s">
        <v>2335</v>
      </c>
      <c r="F1291" s="166"/>
    </row>
    <row r="1292" spans="1:6" x14ac:dyDescent="0.3">
      <c r="A1292" s="169" t="s">
        <v>3375</v>
      </c>
      <c r="B1292" s="190" t="s">
        <v>3460</v>
      </c>
      <c r="C1292" s="163" t="s">
        <v>3003</v>
      </c>
      <c r="D1292" s="160">
        <v>641.61</v>
      </c>
      <c r="E1292" s="165" t="s">
        <v>3458</v>
      </c>
      <c r="F1292" s="166">
        <v>43788</v>
      </c>
    </row>
    <row r="1293" spans="1:6" x14ac:dyDescent="0.3">
      <c r="A1293" s="169" t="s">
        <v>3376</v>
      </c>
      <c r="B1293" s="156" t="s">
        <v>3140</v>
      </c>
      <c r="C1293" s="163" t="s">
        <v>936</v>
      </c>
      <c r="D1293" s="160">
        <f>((((1.79*0.8)*1.03)/1.03)*1.02)/1.02</f>
        <v>1.4320000000000002</v>
      </c>
      <c r="E1293" s="165" t="s">
        <v>3559</v>
      </c>
      <c r="F1293" s="166">
        <v>44210</v>
      </c>
    </row>
    <row r="1294" spans="1:6" x14ac:dyDescent="0.3">
      <c r="A1294" s="169" t="s">
        <v>3377</v>
      </c>
      <c r="B1294" s="190" t="s">
        <v>4829</v>
      </c>
      <c r="C1294" s="163" t="s">
        <v>2268</v>
      </c>
      <c r="D1294" s="160">
        <f>((((104469-3901-11235+3901)*1.03)/1.03)*1.02)/1.02</f>
        <v>93234</v>
      </c>
      <c r="E1294" s="165" t="s">
        <v>2661</v>
      </c>
      <c r="F1294" s="166">
        <v>44110</v>
      </c>
    </row>
    <row r="1295" spans="1:6" x14ac:dyDescent="0.3">
      <c r="A1295" s="169" t="s">
        <v>3378</v>
      </c>
      <c r="B1295" s="190" t="s">
        <v>3469</v>
      </c>
      <c r="C1295" s="163" t="s">
        <v>2268</v>
      </c>
      <c r="D1295" s="160">
        <v>99</v>
      </c>
      <c r="E1295" s="165" t="s">
        <v>2661</v>
      </c>
      <c r="F1295" s="166">
        <v>44110</v>
      </c>
    </row>
    <row r="1296" spans="1:6" x14ac:dyDescent="0.3">
      <c r="A1296" s="169" t="s">
        <v>3379</v>
      </c>
      <c r="B1296" s="190" t="s">
        <v>3470</v>
      </c>
      <c r="C1296" s="163" t="s">
        <v>2268</v>
      </c>
      <c r="D1296" s="160">
        <v>40837</v>
      </c>
      <c r="E1296" s="165" t="s">
        <v>2661</v>
      </c>
      <c r="F1296" s="166">
        <v>44110</v>
      </c>
    </row>
    <row r="1297" spans="1:6" ht="24.6" x14ac:dyDescent="0.3">
      <c r="A1297" s="169" t="s">
        <v>3380</v>
      </c>
      <c r="B1297" s="190" t="s">
        <v>7235</v>
      </c>
      <c r="C1297" s="163" t="s">
        <v>29</v>
      </c>
      <c r="D1297" s="160">
        <v>1</v>
      </c>
      <c r="E1297" s="165" t="s">
        <v>7126</v>
      </c>
      <c r="F1297" s="166">
        <v>44746</v>
      </c>
    </row>
    <row r="1298" spans="1:6" x14ac:dyDescent="0.3">
      <c r="A1298" s="169" t="s">
        <v>3381</v>
      </c>
      <c r="B1298" s="190" t="s">
        <v>3492</v>
      </c>
      <c r="C1298" s="163" t="s">
        <v>2268</v>
      </c>
      <c r="D1298" s="160">
        <v>697218.11</v>
      </c>
      <c r="E1298" s="165" t="s">
        <v>3490</v>
      </c>
      <c r="F1298" s="166">
        <v>44110</v>
      </c>
    </row>
    <row r="1299" spans="1:6" x14ac:dyDescent="0.3">
      <c r="A1299" s="169" t="s">
        <v>3382</v>
      </c>
      <c r="B1299" s="190" t="s">
        <v>7567</v>
      </c>
      <c r="C1299" s="163" t="s">
        <v>29</v>
      </c>
      <c r="D1299" s="160">
        <v>1</v>
      </c>
      <c r="E1299" s="165"/>
      <c r="F1299" s="166">
        <v>44746</v>
      </c>
    </row>
    <row r="1300" spans="1:6" x14ac:dyDescent="0.3">
      <c r="A1300" s="169" t="s">
        <v>3383</v>
      </c>
      <c r="B1300" s="190" t="s">
        <v>4970</v>
      </c>
      <c r="C1300" s="163" t="s">
        <v>74</v>
      </c>
      <c r="D1300" s="160">
        <v>120</v>
      </c>
      <c r="E1300" s="165" t="s">
        <v>3497</v>
      </c>
      <c r="F1300" s="166">
        <v>44277</v>
      </c>
    </row>
    <row r="1301" spans="1:6" x14ac:dyDescent="0.3">
      <c r="A1301" s="169" t="s">
        <v>3384</v>
      </c>
      <c r="B1301" s="190" t="s">
        <v>3496</v>
      </c>
      <c r="C1301" s="163" t="s">
        <v>29</v>
      </c>
      <c r="D1301" s="160">
        <v>6000</v>
      </c>
      <c r="E1301" s="165" t="s">
        <v>3497</v>
      </c>
      <c r="F1301" s="166">
        <v>44277</v>
      </c>
    </row>
    <row r="1302" spans="1:6" x14ac:dyDescent="0.3">
      <c r="A1302" s="169" t="s">
        <v>3385</v>
      </c>
      <c r="B1302" s="156" t="s">
        <v>8037</v>
      </c>
      <c r="C1302" s="163" t="s">
        <v>72</v>
      </c>
      <c r="D1302" s="160">
        <v>515</v>
      </c>
      <c r="E1302" s="165" t="s">
        <v>2261</v>
      </c>
      <c r="F1302" s="166">
        <v>45413</v>
      </c>
    </row>
    <row r="1303" spans="1:6" x14ac:dyDescent="0.3">
      <c r="A1303" s="169" t="s">
        <v>3386</v>
      </c>
      <c r="B1303" s="190" t="s">
        <v>3503</v>
      </c>
      <c r="C1303" s="163" t="s">
        <v>2268</v>
      </c>
      <c r="D1303" s="160">
        <v>0</v>
      </c>
      <c r="E1303" s="165" t="s">
        <v>3505</v>
      </c>
      <c r="F1303" s="166"/>
    </row>
    <row r="1304" spans="1:6" x14ac:dyDescent="0.3">
      <c r="A1304" s="169" t="s">
        <v>3387</v>
      </c>
      <c r="B1304" s="190" t="s">
        <v>3504</v>
      </c>
      <c r="C1304" s="163" t="s">
        <v>29</v>
      </c>
      <c r="D1304" s="160">
        <v>0</v>
      </c>
      <c r="E1304" s="165" t="s">
        <v>3505</v>
      </c>
      <c r="F1304" s="166"/>
    </row>
    <row r="1305" spans="1:6" x14ac:dyDescent="0.3">
      <c r="A1305" s="169" t="s">
        <v>3388</v>
      </c>
      <c r="B1305" s="190" t="s">
        <v>3511</v>
      </c>
      <c r="C1305" s="163" t="s">
        <v>29</v>
      </c>
      <c r="D1305" s="160">
        <v>1</v>
      </c>
      <c r="E1305" s="165" t="s">
        <v>6341</v>
      </c>
      <c r="F1305" s="166">
        <v>44585</v>
      </c>
    </row>
    <row r="1306" spans="1:6" x14ac:dyDescent="0.3">
      <c r="A1306" s="169" t="s">
        <v>3389</v>
      </c>
      <c r="B1306" s="190" t="s">
        <v>5441</v>
      </c>
      <c r="C1306" s="163" t="s">
        <v>72</v>
      </c>
      <c r="D1306" s="160">
        <f>((((118.63*0.8)*1.03)/1.03)*1.02)/1.02</f>
        <v>94.903999999999996</v>
      </c>
      <c r="E1306" s="165" t="s">
        <v>3559</v>
      </c>
      <c r="F1306" s="166">
        <v>44112</v>
      </c>
    </row>
    <row r="1307" spans="1:6" x14ac:dyDescent="0.3">
      <c r="A1307" s="169" t="s">
        <v>3390</v>
      </c>
      <c r="B1307" s="190" t="s">
        <v>5798</v>
      </c>
      <c r="C1307" s="163" t="s">
        <v>2268</v>
      </c>
      <c r="D1307" s="160">
        <v>2200</v>
      </c>
      <c r="E1307" s="165" t="s">
        <v>3521</v>
      </c>
      <c r="F1307" s="166">
        <v>44475</v>
      </c>
    </row>
    <row r="1308" spans="1:6" x14ac:dyDescent="0.3">
      <c r="A1308" s="169" t="s">
        <v>3391</v>
      </c>
      <c r="B1308" s="190" t="s">
        <v>3532</v>
      </c>
      <c r="C1308" s="163" t="s">
        <v>29</v>
      </c>
      <c r="D1308" s="160">
        <v>1</v>
      </c>
      <c r="E1308" s="165"/>
      <c r="F1308" s="166"/>
    </row>
    <row r="1309" spans="1:6" x14ac:dyDescent="0.3">
      <c r="A1309" s="169" t="s">
        <v>3392</v>
      </c>
      <c r="B1309" s="190" t="str">
        <f>PROPER('04. Histograma MO'!A18)</f>
        <v>Engenheiro</v>
      </c>
      <c r="C1309" s="163" t="s">
        <v>37</v>
      </c>
      <c r="D1309" s="160">
        <f>(('04. Histograma MO'!CE18)*1.02)/1.02</f>
        <v>12900</v>
      </c>
      <c r="E1309" s="165"/>
      <c r="F1309" s="166"/>
    </row>
    <row r="1310" spans="1:6" x14ac:dyDescent="0.3">
      <c r="A1310" s="169" t="s">
        <v>3393</v>
      </c>
      <c r="B1310" s="190" t="str">
        <f>PROPER('04. Histograma MO'!A19)</f>
        <v>Arquiteta</v>
      </c>
      <c r="C1310" s="163" t="s">
        <v>37</v>
      </c>
      <c r="D1310" s="160">
        <f>(('04. Histograma MO'!CE19)*1.02)/1.02</f>
        <v>9000</v>
      </c>
      <c r="E1310" s="165"/>
      <c r="F1310" s="166"/>
    </row>
    <row r="1311" spans="1:6" x14ac:dyDescent="0.3">
      <c r="A1311" s="169" t="s">
        <v>3394</v>
      </c>
      <c r="B1311" s="190" t="str">
        <f>PROPER('04. Histograma MO'!A20)</f>
        <v>Técnico De Edificações</v>
      </c>
      <c r="C1311" s="163" t="s">
        <v>37</v>
      </c>
      <c r="D1311" s="160">
        <f>(('04. Histograma MO'!CE20)*1.02)/1.02</f>
        <v>4000</v>
      </c>
      <c r="E1311" s="165"/>
      <c r="F1311" s="166"/>
    </row>
    <row r="1312" spans="1:6" x14ac:dyDescent="0.3">
      <c r="A1312" s="169" t="s">
        <v>3395</v>
      </c>
      <c r="B1312" s="190" t="str">
        <f>PROPER('04. Histograma MO'!A21)</f>
        <v>Mestre De Obra</v>
      </c>
      <c r="C1312" s="163" t="s">
        <v>37</v>
      </c>
      <c r="D1312" s="160">
        <f>(('04. Histograma MO'!CE21)*1.02)/1.02</f>
        <v>10000</v>
      </c>
      <c r="E1312" s="165"/>
      <c r="F1312" s="166"/>
    </row>
    <row r="1313" spans="1:7" x14ac:dyDescent="0.3">
      <c r="A1313" s="169" t="s">
        <v>3396</v>
      </c>
      <c r="B1313" s="190" t="str">
        <f>PROPER('04. Histograma MO'!A22)</f>
        <v>Enc. Administrativo</v>
      </c>
      <c r="C1313" s="163" t="s">
        <v>37</v>
      </c>
      <c r="D1313" s="160">
        <f>(('04. Histograma MO'!CE22)*1.02)/1.02</f>
        <v>4813.9520000000002</v>
      </c>
      <c r="E1313" s="165"/>
      <c r="F1313" s="166"/>
    </row>
    <row r="1314" spans="1:7" x14ac:dyDescent="0.3">
      <c r="A1314" s="169" t="s">
        <v>3397</v>
      </c>
      <c r="B1314" s="190" t="str">
        <f>PROPER('04. Histograma MO'!A23)</f>
        <v>Técnico Em Segurança Do Trabalho</v>
      </c>
      <c r="C1314" s="163" t="s">
        <v>37</v>
      </c>
      <c r="D1314" s="160">
        <f>(('04. Histograma MO'!CE23)*1.02)/1.02</f>
        <v>3580.7200000000003</v>
      </c>
      <c r="E1314" s="165"/>
      <c r="F1314" s="166"/>
    </row>
    <row r="1315" spans="1:7" x14ac:dyDescent="0.3">
      <c r="A1315" s="169" t="s">
        <v>3398</v>
      </c>
      <c r="B1315" s="190" t="str">
        <f>PROPER('04. Histograma MO'!A24)</f>
        <v>Almoxarife</v>
      </c>
      <c r="C1315" s="163" t="s">
        <v>37</v>
      </c>
      <c r="D1315" s="160">
        <f>(('04. Histograma MO'!CE24)*1.02)/1.02</f>
        <v>3422.848</v>
      </c>
      <c r="E1315" s="165"/>
      <c r="F1315" s="166"/>
    </row>
    <row r="1316" spans="1:7" x14ac:dyDescent="0.3">
      <c r="A1316" s="169" t="s">
        <v>3399</v>
      </c>
      <c r="B1316" s="190" t="str">
        <f>PROPER('04. Histograma MO'!A25)</f>
        <v>Auxiliar Almoxarife</v>
      </c>
      <c r="C1316" s="163" t="s">
        <v>37</v>
      </c>
      <c r="D1316" s="160">
        <f>(('04. Histograma MO'!CE25)*1.02)/1.02</f>
        <v>2203.3440000000001</v>
      </c>
      <c r="E1316" s="165"/>
      <c r="F1316" s="166"/>
      <c r="G1316" s="174">
        <f>D1316*2</f>
        <v>4406.6880000000001</v>
      </c>
    </row>
    <row r="1317" spans="1:7" x14ac:dyDescent="0.3">
      <c r="A1317" s="169" t="s">
        <v>3400</v>
      </c>
      <c r="B1317" s="190" t="str">
        <f>PROPER('04. Histograma MO'!A26)</f>
        <v>Encarregado De Obra</v>
      </c>
      <c r="C1317" s="163" t="s">
        <v>37</v>
      </c>
      <c r="D1317" s="160">
        <f>(('04. Histograma MO'!CE26)*1.02)/1.02</f>
        <v>6240</v>
      </c>
      <c r="E1317" s="165"/>
      <c r="F1317" s="166"/>
      <c r="G1317" s="174">
        <f>D1317</f>
        <v>6240</v>
      </c>
    </row>
    <row r="1318" spans="1:7" x14ac:dyDescent="0.3">
      <c r="A1318" s="169" t="s">
        <v>3401</v>
      </c>
      <c r="B1318" s="190" t="str">
        <f>PROPER('04. Histograma MO'!A27)</f>
        <v>Operador De Cremalheira</v>
      </c>
      <c r="C1318" s="163" t="s">
        <v>37</v>
      </c>
      <c r="D1318" s="160">
        <f>(('04. Histograma MO'!CE27)*1.02)/1.02</f>
        <v>2892.0320000000002</v>
      </c>
      <c r="E1318" s="165"/>
      <c r="F1318" s="166"/>
    </row>
    <row r="1319" spans="1:7" x14ac:dyDescent="0.3">
      <c r="A1319" s="169" t="s">
        <v>3402</v>
      </c>
      <c r="B1319" s="190" t="str">
        <f>PROPER('04. Histograma MO'!A28)</f>
        <v>Operador De Grua</v>
      </c>
      <c r="C1319" s="163" t="s">
        <v>37</v>
      </c>
      <c r="D1319" s="160">
        <f>(('04. Histograma MO'!CE28)*1.02)/1.02</f>
        <v>0</v>
      </c>
      <c r="E1319" s="165"/>
      <c r="F1319" s="166"/>
    </row>
    <row r="1320" spans="1:7" x14ac:dyDescent="0.3">
      <c r="A1320" s="169" t="s">
        <v>3403</v>
      </c>
      <c r="B1320" s="190" t="str">
        <f>PROPER('04. Histograma MO'!A29)</f>
        <v>Pedreiro</v>
      </c>
      <c r="C1320" s="163" t="s">
        <v>37</v>
      </c>
      <c r="D1320" s="160">
        <f>(('04. Histograma MO'!CE29)*1.02)/1.02</f>
        <v>3113.9679999999998</v>
      </c>
      <c r="E1320" s="165"/>
      <c r="F1320" s="166"/>
    </row>
    <row r="1321" spans="1:7" x14ac:dyDescent="0.3">
      <c r="A1321" s="169" t="s">
        <v>3404</v>
      </c>
      <c r="B1321" s="190" t="str">
        <f>PROPER('04. Histograma MO'!A30)</f>
        <v>Carpinteiro</v>
      </c>
      <c r="C1321" s="163" t="s">
        <v>37</v>
      </c>
      <c r="D1321" s="160">
        <f>(('04. Histograma MO'!CE30)*1.02)/1.02</f>
        <v>3113.9679999999998</v>
      </c>
      <c r="E1321" s="165"/>
      <c r="F1321" s="166"/>
    </row>
    <row r="1322" spans="1:7" x14ac:dyDescent="0.3">
      <c r="A1322" s="169" t="s">
        <v>3405</v>
      </c>
      <c r="B1322" s="190" t="str">
        <f>PROPER('04. Histograma MO'!A31)</f>
        <v>Eletricista</v>
      </c>
      <c r="C1322" s="163" t="s">
        <v>37</v>
      </c>
      <c r="D1322" s="160">
        <f>(('04. Histograma MO'!CE31)*1.02)/1.02</f>
        <v>2768.48</v>
      </c>
      <c r="E1322" s="165"/>
      <c r="F1322" s="166"/>
    </row>
    <row r="1323" spans="1:7" x14ac:dyDescent="0.3">
      <c r="A1323" s="169" t="s">
        <v>3406</v>
      </c>
      <c r="B1323" s="190" t="str">
        <f>PROPER('04. Histograma MO'!A32)</f>
        <v>Bombeiro</v>
      </c>
      <c r="C1323" s="163" t="s">
        <v>37</v>
      </c>
      <c r="D1323" s="160">
        <f>(('04. Histograma MO'!CE32)*1.02)/1.02</f>
        <v>2768.48</v>
      </c>
      <c r="E1323" s="165"/>
      <c r="F1323" s="166"/>
    </row>
    <row r="1324" spans="1:7" x14ac:dyDescent="0.3">
      <c r="A1324" s="169" t="s">
        <v>3407</v>
      </c>
      <c r="B1324" s="190" t="str">
        <f>PROPER('04. Histograma MO'!A33)</f>
        <v>Servente</v>
      </c>
      <c r="C1324" s="163" t="s">
        <v>37</v>
      </c>
      <c r="D1324" s="160">
        <f>(('04. Histograma MO'!CE33)*1.02)/1.02</f>
        <v>2091.232</v>
      </c>
      <c r="E1324" s="165"/>
      <c r="F1324" s="166"/>
    </row>
    <row r="1325" spans="1:7" x14ac:dyDescent="0.3">
      <c r="A1325" s="169" t="s">
        <v>3408</v>
      </c>
      <c r="B1325" s="190" t="s">
        <v>3545</v>
      </c>
      <c r="C1325" s="163" t="s">
        <v>3238</v>
      </c>
      <c r="D1325" s="160">
        <v>1</v>
      </c>
      <c r="E1325" s="165" t="s">
        <v>6341</v>
      </c>
      <c r="F1325" s="166">
        <v>44584</v>
      </c>
    </row>
    <row r="1326" spans="1:7" x14ac:dyDescent="0.3">
      <c r="A1326" s="169" t="s">
        <v>3409</v>
      </c>
      <c r="B1326" s="190" t="s">
        <v>3549</v>
      </c>
      <c r="C1326" s="163" t="s">
        <v>1376</v>
      </c>
      <c r="D1326" s="160">
        <v>50</v>
      </c>
      <c r="E1326" s="165" t="s">
        <v>3543</v>
      </c>
      <c r="F1326" s="166">
        <v>44118</v>
      </c>
    </row>
    <row r="1327" spans="1:7" x14ac:dyDescent="0.3">
      <c r="A1327" s="169" t="s">
        <v>3410</v>
      </c>
      <c r="B1327" s="190" t="s">
        <v>3552</v>
      </c>
      <c r="C1327" s="163" t="s">
        <v>37</v>
      </c>
      <c r="D1327" s="160">
        <v>400</v>
      </c>
      <c r="E1327" s="165" t="s">
        <v>3543</v>
      </c>
      <c r="F1327" s="166">
        <v>44118</v>
      </c>
    </row>
    <row r="1328" spans="1:7" x14ac:dyDescent="0.3">
      <c r="A1328" s="169" t="s">
        <v>3411</v>
      </c>
      <c r="B1328" s="190" t="s">
        <v>3553</v>
      </c>
      <c r="C1328" s="163" t="s">
        <v>1376</v>
      </c>
      <c r="D1328" s="160">
        <v>1900</v>
      </c>
      <c r="E1328" s="165" t="s">
        <v>3543</v>
      </c>
      <c r="F1328" s="166">
        <v>44118</v>
      </c>
    </row>
    <row r="1329" spans="1:6" x14ac:dyDescent="0.3">
      <c r="A1329" s="169" t="s">
        <v>3412</v>
      </c>
      <c r="B1329" s="613" t="s">
        <v>3564</v>
      </c>
      <c r="C1329" s="614" t="s">
        <v>73</v>
      </c>
      <c r="D1329" s="160">
        <v>76</v>
      </c>
      <c r="E1329" s="616" t="s">
        <v>3565</v>
      </c>
      <c r="F1329" s="617">
        <v>44148</v>
      </c>
    </row>
    <row r="1330" spans="1:6" x14ac:dyDescent="0.3">
      <c r="A1330" s="169" t="s">
        <v>3413</v>
      </c>
      <c r="B1330" s="613" t="s">
        <v>3566</v>
      </c>
      <c r="C1330" s="614" t="s">
        <v>1376</v>
      </c>
      <c r="D1330" s="160">
        <v>15</v>
      </c>
      <c r="E1330" s="616" t="s">
        <v>3565</v>
      </c>
      <c r="F1330" s="617">
        <v>44148</v>
      </c>
    </row>
    <row r="1331" spans="1:6" x14ac:dyDescent="0.3">
      <c r="A1331" s="169" t="s">
        <v>3414</v>
      </c>
      <c r="B1331" s="613" t="s">
        <v>3567</v>
      </c>
      <c r="C1331" s="614" t="s">
        <v>73</v>
      </c>
      <c r="D1331" s="160">
        <v>45.125</v>
      </c>
      <c r="E1331" s="616" t="s">
        <v>3565</v>
      </c>
      <c r="F1331" s="617">
        <v>44148</v>
      </c>
    </row>
    <row r="1332" spans="1:6" x14ac:dyDescent="0.3">
      <c r="A1332" s="169" t="s">
        <v>3415</v>
      </c>
      <c r="B1332" s="613" t="s">
        <v>902</v>
      </c>
      <c r="C1332" s="614" t="s">
        <v>73</v>
      </c>
      <c r="D1332" s="160">
        <v>10</v>
      </c>
      <c r="E1332" s="616" t="s">
        <v>3568</v>
      </c>
      <c r="F1332" s="617">
        <v>44165</v>
      </c>
    </row>
    <row r="1333" spans="1:6" x14ac:dyDescent="0.3">
      <c r="A1333" s="169" t="s">
        <v>3416</v>
      </c>
      <c r="B1333" s="613" t="s">
        <v>3569</v>
      </c>
      <c r="C1333" s="614" t="s">
        <v>37</v>
      </c>
      <c r="D1333" s="160">
        <v>600</v>
      </c>
      <c r="E1333" s="616" t="s">
        <v>886</v>
      </c>
      <c r="F1333" s="617">
        <v>44148</v>
      </c>
    </row>
    <row r="1334" spans="1:6" x14ac:dyDescent="0.3">
      <c r="A1334" s="169" t="s">
        <v>3417</v>
      </c>
      <c r="B1334" s="613" t="s">
        <v>940</v>
      </c>
      <c r="C1334" s="614" t="s">
        <v>72</v>
      </c>
      <c r="D1334" s="160">
        <v>72.792000000000002</v>
      </c>
      <c r="E1334" s="616" t="s">
        <v>3570</v>
      </c>
      <c r="F1334" s="617">
        <v>44151</v>
      </c>
    </row>
    <row r="1335" spans="1:6" x14ac:dyDescent="0.3">
      <c r="A1335" s="169" t="s">
        <v>3418</v>
      </c>
      <c r="B1335" s="613" t="s">
        <v>3571</v>
      </c>
      <c r="C1335" s="614" t="s">
        <v>73</v>
      </c>
      <c r="D1335" s="160">
        <v>13.347</v>
      </c>
      <c r="E1335" s="616" t="s">
        <v>3570</v>
      </c>
      <c r="F1335" s="617">
        <v>44151</v>
      </c>
    </row>
    <row r="1336" spans="1:6" x14ac:dyDescent="0.3">
      <c r="A1336" s="169" t="s">
        <v>3419</v>
      </c>
      <c r="B1336" s="613" t="s">
        <v>3572</v>
      </c>
      <c r="C1336" s="614" t="s">
        <v>73</v>
      </c>
      <c r="D1336" s="160">
        <v>116.85</v>
      </c>
      <c r="E1336" s="616" t="s">
        <v>3176</v>
      </c>
      <c r="F1336" s="617">
        <v>44168</v>
      </c>
    </row>
    <row r="1337" spans="1:6" x14ac:dyDescent="0.3">
      <c r="A1337" s="169" t="s">
        <v>3420</v>
      </c>
      <c r="B1337" s="613" t="s">
        <v>1200</v>
      </c>
      <c r="C1337" s="614" t="s">
        <v>73</v>
      </c>
      <c r="D1337" s="160">
        <v>0</v>
      </c>
      <c r="E1337" s="618"/>
      <c r="F1337" s="617">
        <v>44154</v>
      </c>
    </row>
    <row r="1338" spans="1:6" x14ac:dyDescent="0.3">
      <c r="A1338" s="169" t="s">
        <v>3421</v>
      </c>
      <c r="B1338" s="613" t="s">
        <v>3573</v>
      </c>
      <c r="C1338" s="614" t="s">
        <v>73</v>
      </c>
      <c r="D1338" s="160">
        <v>0</v>
      </c>
      <c r="E1338" s="616" t="s">
        <v>1313</v>
      </c>
      <c r="F1338" s="617">
        <v>44154</v>
      </c>
    </row>
    <row r="1339" spans="1:6" x14ac:dyDescent="0.3">
      <c r="A1339" s="169" t="s">
        <v>3422</v>
      </c>
      <c r="B1339" s="613" t="s">
        <v>3574</v>
      </c>
      <c r="C1339" s="614" t="s">
        <v>37</v>
      </c>
      <c r="D1339" s="160">
        <v>830</v>
      </c>
      <c r="E1339" s="616" t="s">
        <v>886</v>
      </c>
      <c r="F1339" s="617">
        <v>44148</v>
      </c>
    </row>
    <row r="1340" spans="1:6" x14ac:dyDescent="0.3">
      <c r="A1340" s="169" t="s">
        <v>3423</v>
      </c>
      <c r="B1340" s="613" t="s">
        <v>1394</v>
      </c>
      <c r="C1340" s="614" t="s">
        <v>37</v>
      </c>
      <c r="D1340" s="160">
        <v>680</v>
      </c>
      <c r="E1340" s="616" t="s">
        <v>886</v>
      </c>
      <c r="F1340" s="617">
        <v>44148</v>
      </c>
    </row>
    <row r="1341" spans="1:6" x14ac:dyDescent="0.3">
      <c r="A1341" s="169" t="s">
        <v>3424</v>
      </c>
      <c r="B1341" s="613" t="s">
        <v>1391</v>
      </c>
      <c r="C1341" s="614" t="s">
        <v>37</v>
      </c>
      <c r="D1341" s="160">
        <v>170</v>
      </c>
      <c r="E1341" s="616" t="s">
        <v>886</v>
      </c>
      <c r="F1341" s="617">
        <v>44148</v>
      </c>
    </row>
    <row r="1342" spans="1:6" x14ac:dyDescent="0.3">
      <c r="A1342" s="169" t="s">
        <v>3425</v>
      </c>
      <c r="B1342" s="613" t="s">
        <v>3575</v>
      </c>
      <c r="C1342" s="614" t="s">
        <v>73</v>
      </c>
      <c r="D1342" s="160">
        <v>25</v>
      </c>
      <c r="E1342" s="616" t="s">
        <v>3576</v>
      </c>
      <c r="F1342" s="617">
        <v>44151</v>
      </c>
    </row>
    <row r="1343" spans="1:6" x14ac:dyDescent="0.3">
      <c r="A1343" s="169" t="s">
        <v>3426</v>
      </c>
      <c r="B1343" s="613" t="s">
        <v>3577</v>
      </c>
      <c r="C1343" s="614" t="s">
        <v>73</v>
      </c>
      <c r="D1343" s="160">
        <v>25</v>
      </c>
      <c r="E1343" s="616" t="s">
        <v>3576</v>
      </c>
      <c r="F1343" s="617">
        <v>44151</v>
      </c>
    </row>
    <row r="1344" spans="1:6" x14ac:dyDescent="0.3">
      <c r="A1344" s="169" t="s">
        <v>3427</v>
      </c>
      <c r="B1344" s="613" t="s">
        <v>1413</v>
      </c>
      <c r="C1344" s="614" t="s">
        <v>73</v>
      </c>
      <c r="D1344" s="160">
        <v>30</v>
      </c>
      <c r="E1344" s="616" t="s">
        <v>3578</v>
      </c>
      <c r="F1344" s="617">
        <v>44161</v>
      </c>
    </row>
    <row r="1345" spans="1:6" x14ac:dyDescent="0.3">
      <c r="A1345" s="169" t="s">
        <v>3428</v>
      </c>
      <c r="B1345" s="613" t="s">
        <v>4127</v>
      </c>
      <c r="C1345" s="614" t="s">
        <v>73</v>
      </c>
      <c r="D1345" s="160">
        <v>50</v>
      </c>
      <c r="E1345" s="616" t="s">
        <v>4128</v>
      </c>
      <c r="F1345" s="617">
        <v>44188</v>
      </c>
    </row>
    <row r="1346" spans="1:6" x14ac:dyDescent="0.3">
      <c r="A1346" s="169" t="s">
        <v>3429</v>
      </c>
      <c r="B1346" s="613" t="s">
        <v>2276</v>
      </c>
      <c r="C1346" s="614" t="s">
        <v>72</v>
      </c>
      <c r="D1346" s="160">
        <v>90</v>
      </c>
      <c r="E1346" s="616" t="s">
        <v>3579</v>
      </c>
      <c r="F1346" s="617">
        <v>44168</v>
      </c>
    </row>
    <row r="1347" spans="1:6" x14ac:dyDescent="0.3">
      <c r="A1347" s="169" t="s">
        <v>3430</v>
      </c>
      <c r="B1347" s="619" t="s">
        <v>5320</v>
      </c>
      <c r="C1347" s="614" t="s">
        <v>73</v>
      </c>
      <c r="D1347" s="160">
        <v>37.049999999999997</v>
      </c>
      <c r="E1347" s="620" t="s">
        <v>2623</v>
      </c>
      <c r="F1347" s="621">
        <v>44161</v>
      </c>
    </row>
    <row r="1348" spans="1:6" x14ac:dyDescent="0.3">
      <c r="A1348" s="169" t="s">
        <v>3431</v>
      </c>
      <c r="B1348" s="619" t="s">
        <v>3580</v>
      </c>
      <c r="C1348" s="614" t="s">
        <v>37</v>
      </c>
      <c r="D1348" s="160">
        <v>460</v>
      </c>
      <c r="E1348" s="616" t="s">
        <v>886</v>
      </c>
      <c r="F1348" s="617">
        <v>44148</v>
      </c>
    </row>
    <row r="1349" spans="1:6" x14ac:dyDescent="0.3">
      <c r="A1349" s="169" t="s">
        <v>3432</v>
      </c>
      <c r="B1349" s="619" t="s">
        <v>2239</v>
      </c>
      <c r="C1349" s="614" t="s">
        <v>72</v>
      </c>
      <c r="D1349" s="160">
        <v>53.379000000000005</v>
      </c>
      <c r="E1349" s="616" t="s">
        <v>3570</v>
      </c>
      <c r="F1349" s="617">
        <v>44151</v>
      </c>
    </row>
    <row r="1350" spans="1:6" x14ac:dyDescent="0.3">
      <c r="A1350" s="169" t="s">
        <v>3433</v>
      </c>
      <c r="B1350" s="619" t="s">
        <v>2271</v>
      </c>
      <c r="C1350" s="614" t="s">
        <v>2088</v>
      </c>
      <c r="D1350" s="160">
        <v>15.5</v>
      </c>
      <c r="E1350" s="616" t="s">
        <v>2273</v>
      </c>
      <c r="F1350" s="617">
        <v>44473</v>
      </c>
    </row>
    <row r="1351" spans="1:6" x14ac:dyDescent="0.3">
      <c r="A1351" s="169" t="s">
        <v>3434</v>
      </c>
      <c r="B1351" s="619" t="s">
        <v>3581</v>
      </c>
      <c r="C1351" s="614" t="s">
        <v>73</v>
      </c>
      <c r="D1351" s="160">
        <v>207</v>
      </c>
      <c r="E1351" s="616" t="s">
        <v>3582</v>
      </c>
      <c r="F1351" s="617">
        <v>44168</v>
      </c>
    </row>
    <row r="1352" spans="1:6" x14ac:dyDescent="0.3">
      <c r="A1352" s="169" t="s">
        <v>3435</v>
      </c>
      <c r="B1352" s="619" t="s">
        <v>2411</v>
      </c>
      <c r="C1352" s="614" t="s">
        <v>73</v>
      </c>
      <c r="D1352" s="160">
        <v>160</v>
      </c>
      <c r="E1352" s="616" t="s">
        <v>405</v>
      </c>
      <c r="F1352" s="617">
        <v>44168</v>
      </c>
    </row>
    <row r="1353" spans="1:6" x14ac:dyDescent="0.3">
      <c r="A1353" s="169" t="s">
        <v>3436</v>
      </c>
      <c r="B1353" s="619" t="s">
        <v>3583</v>
      </c>
      <c r="C1353" s="614" t="s">
        <v>2088</v>
      </c>
      <c r="D1353" s="160">
        <v>8.5</v>
      </c>
      <c r="E1353" s="616" t="s">
        <v>3584</v>
      </c>
      <c r="F1353" s="617">
        <v>44168</v>
      </c>
    </row>
    <row r="1354" spans="1:6" x14ac:dyDescent="0.3">
      <c r="A1354" s="169" t="s">
        <v>3437</v>
      </c>
      <c r="B1354" s="619" t="s">
        <v>3585</v>
      </c>
      <c r="C1354" s="622" t="s">
        <v>73</v>
      </c>
      <c r="D1354" s="160">
        <v>32</v>
      </c>
      <c r="E1354" s="620" t="s">
        <v>3249</v>
      </c>
      <c r="F1354" s="621">
        <v>44210</v>
      </c>
    </row>
    <row r="1355" spans="1:6" x14ac:dyDescent="0.3">
      <c r="A1355" s="169" t="s">
        <v>3438</v>
      </c>
      <c r="B1355" s="619" t="s">
        <v>3586</v>
      </c>
      <c r="C1355" s="614" t="s">
        <v>1376</v>
      </c>
      <c r="D1355" s="160">
        <v>4099</v>
      </c>
      <c r="E1355" s="616" t="s">
        <v>3587</v>
      </c>
      <c r="F1355" s="623">
        <v>44153</v>
      </c>
    </row>
    <row r="1356" spans="1:6" x14ac:dyDescent="0.3">
      <c r="A1356" s="169" t="s">
        <v>3439</v>
      </c>
      <c r="B1356" s="619" t="s">
        <v>3588</v>
      </c>
      <c r="C1356" s="614" t="s">
        <v>1376</v>
      </c>
      <c r="D1356" s="160">
        <v>6879</v>
      </c>
      <c r="E1356" s="616" t="s">
        <v>3587</v>
      </c>
      <c r="F1356" s="623">
        <v>44153</v>
      </c>
    </row>
    <row r="1357" spans="1:6" x14ac:dyDescent="0.3">
      <c r="A1357" s="169" t="s">
        <v>3440</v>
      </c>
      <c r="B1357" s="619" t="s">
        <v>3589</v>
      </c>
      <c r="C1357" s="614" t="s">
        <v>1376</v>
      </c>
      <c r="D1357" s="160">
        <v>2789.1</v>
      </c>
      <c r="E1357" s="616" t="s">
        <v>3587</v>
      </c>
      <c r="F1357" s="623">
        <v>44153</v>
      </c>
    </row>
    <row r="1358" spans="1:6" x14ac:dyDescent="0.3">
      <c r="A1358" s="169" t="s">
        <v>3441</v>
      </c>
      <c r="B1358" s="619" t="s">
        <v>5711</v>
      </c>
      <c r="C1358" s="614" t="s">
        <v>1376</v>
      </c>
      <c r="D1358" s="160">
        <v>2339.1</v>
      </c>
      <c r="E1358" s="616" t="s">
        <v>3587</v>
      </c>
      <c r="F1358" s="623">
        <v>44153</v>
      </c>
    </row>
    <row r="1359" spans="1:6" x14ac:dyDescent="0.3">
      <c r="A1359" s="169" t="s">
        <v>3465</v>
      </c>
      <c r="B1359" s="619" t="s">
        <v>3590</v>
      </c>
      <c r="C1359" s="614" t="s">
        <v>1376</v>
      </c>
      <c r="D1359" s="160">
        <v>1899</v>
      </c>
      <c r="E1359" s="616" t="s">
        <v>3587</v>
      </c>
      <c r="F1359" s="623">
        <v>44153</v>
      </c>
    </row>
    <row r="1360" spans="1:6" x14ac:dyDescent="0.3">
      <c r="A1360" s="169" t="s">
        <v>3860</v>
      </c>
      <c r="B1360" s="619" t="s">
        <v>404</v>
      </c>
      <c r="C1360" s="614" t="s">
        <v>73</v>
      </c>
      <c r="D1360" s="160">
        <v>114.42599999999999</v>
      </c>
      <c r="E1360" s="616" t="s">
        <v>3559</v>
      </c>
      <c r="F1360" s="617">
        <v>44151</v>
      </c>
    </row>
    <row r="1361" spans="1:6" x14ac:dyDescent="0.3">
      <c r="A1361" s="169" t="s">
        <v>3861</v>
      </c>
      <c r="B1361" s="619" t="s">
        <v>3270</v>
      </c>
      <c r="C1361" s="614" t="s">
        <v>73</v>
      </c>
      <c r="D1361" s="160">
        <v>11.399999999999999</v>
      </c>
      <c r="E1361" s="616" t="s">
        <v>3591</v>
      </c>
      <c r="F1361" s="617">
        <v>44154</v>
      </c>
    </row>
    <row r="1362" spans="1:6" x14ac:dyDescent="0.3">
      <c r="A1362" s="169" t="s">
        <v>3862</v>
      </c>
      <c r="B1362" s="613" t="s">
        <v>3140</v>
      </c>
      <c r="C1362" s="614" t="s">
        <v>936</v>
      </c>
      <c r="D1362" s="160">
        <v>1.7729999999999999</v>
      </c>
      <c r="E1362" s="616" t="s">
        <v>3559</v>
      </c>
      <c r="F1362" s="617">
        <v>44151</v>
      </c>
    </row>
    <row r="1363" spans="1:6" x14ac:dyDescent="0.3">
      <c r="A1363" s="169" t="s">
        <v>3863</v>
      </c>
      <c r="B1363" s="619" t="s">
        <v>3592</v>
      </c>
      <c r="C1363" s="614" t="s">
        <v>2268</v>
      </c>
      <c r="D1363" s="160">
        <f>((((11700/18)*1.03)/1.03)*1.02)/1.02</f>
        <v>650</v>
      </c>
      <c r="E1363" s="616" t="s">
        <v>2661</v>
      </c>
      <c r="F1363" s="617">
        <v>44477</v>
      </c>
    </row>
    <row r="1364" spans="1:6" x14ac:dyDescent="0.3">
      <c r="A1364" s="169" t="s">
        <v>3864</v>
      </c>
      <c r="B1364" s="619" t="s">
        <v>3511</v>
      </c>
      <c r="C1364" s="614" t="s">
        <v>29</v>
      </c>
      <c r="D1364" s="160">
        <v>13356.341999999999</v>
      </c>
      <c r="E1364" s="616" t="s">
        <v>3559</v>
      </c>
      <c r="F1364" s="617">
        <v>44151</v>
      </c>
    </row>
    <row r="1365" spans="1:6" x14ac:dyDescent="0.3">
      <c r="A1365" s="169" t="s">
        <v>3865</v>
      </c>
      <c r="B1365" s="619" t="s">
        <v>6182</v>
      </c>
      <c r="C1365" s="614" t="s">
        <v>1376</v>
      </c>
      <c r="D1365" s="160">
        <f>((((8600/8)*1.03)/1.03)*1.02)/1.02</f>
        <v>1075</v>
      </c>
      <c r="E1365" s="616" t="s">
        <v>3521</v>
      </c>
      <c r="F1365" s="617">
        <v>44550</v>
      </c>
    </row>
    <row r="1366" spans="1:6" x14ac:dyDescent="0.3">
      <c r="A1366" s="169" t="s">
        <v>3866</v>
      </c>
      <c r="B1366" s="619" t="s">
        <v>3532</v>
      </c>
      <c r="C1366" s="614" t="s">
        <v>29</v>
      </c>
      <c r="D1366" s="160">
        <v>230</v>
      </c>
      <c r="E1366" s="616"/>
      <c r="F1366" s="617">
        <v>44148</v>
      </c>
    </row>
    <row r="1367" spans="1:6" x14ac:dyDescent="0.3">
      <c r="A1367" s="169" t="s">
        <v>3867</v>
      </c>
      <c r="B1367" s="619" t="s">
        <v>3533</v>
      </c>
      <c r="C1367" s="614" t="s">
        <v>37</v>
      </c>
      <c r="D1367" s="160">
        <v>8000</v>
      </c>
      <c r="E1367" s="616"/>
      <c r="F1367" s="617">
        <v>44148</v>
      </c>
    </row>
    <row r="1368" spans="1:6" x14ac:dyDescent="0.3">
      <c r="A1368" s="169" t="s">
        <v>3868</v>
      </c>
      <c r="B1368" s="619" t="s">
        <v>3534</v>
      </c>
      <c r="C1368" s="614" t="s">
        <v>37</v>
      </c>
      <c r="D1368" s="160">
        <v>8000</v>
      </c>
      <c r="E1368" s="616"/>
      <c r="F1368" s="617">
        <v>44148</v>
      </c>
    </row>
    <row r="1369" spans="1:6" x14ac:dyDescent="0.3">
      <c r="A1369" s="169" t="s">
        <v>3869</v>
      </c>
      <c r="B1369" s="619" t="s">
        <v>3535</v>
      </c>
      <c r="C1369" s="614" t="s">
        <v>37</v>
      </c>
      <c r="D1369" s="160">
        <v>4500</v>
      </c>
      <c r="E1369" s="616"/>
      <c r="F1369" s="617">
        <v>44148</v>
      </c>
    </row>
    <row r="1370" spans="1:6" x14ac:dyDescent="0.3">
      <c r="A1370" s="169" t="s">
        <v>3870</v>
      </c>
      <c r="B1370" s="619" t="s">
        <v>3536</v>
      </c>
      <c r="C1370" s="614" t="s">
        <v>37</v>
      </c>
      <c r="D1370" s="160">
        <v>2476</v>
      </c>
      <c r="E1370" s="616"/>
      <c r="F1370" s="617">
        <v>44148</v>
      </c>
    </row>
    <row r="1371" spans="1:6" x14ac:dyDescent="0.3">
      <c r="A1371" s="169" t="s">
        <v>3871</v>
      </c>
      <c r="B1371" s="619" t="s">
        <v>3537</v>
      </c>
      <c r="C1371" s="614" t="s">
        <v>37</v>
      </c>
      <c r="D1371" s="160">
        <v>5254.33</v>
      </c>
      <c r="E1371" s="616"/>
      <c r="F1371" s="617">
        <v>44148</v>
      </c>
    </row>
    <row r="1372" spans="1:6" x14ac:dyDescent="0.3">
      <c r="A1372" s="169" t="s">
        <v>3872</v>
      </c>
      <c r="B1372" s="619" t="s">
        <v>3538</v>
      </c>
      <c r="C1372" s="614" t="s">
        <v>37</v>
      </c>
      <c r="D1372" s="160">
        <v>2000</v>
      </c>
      <c r="E1372" s="616"/>
      <c r="F1372" s="617">
        <v>44148</v>
      </c>
    </row>
    <row r="1373" spans="1:6" x14ac:dyDescent="0.3">
      <c r="A1373" s="169" t="s">
        <v>3873</v>
      </c>
      <c r="B1373" s="619" t="s">
        <v>3539</v>
      </c>
      <c r="C1373" s="614" t="s">
        <v>37</v>
      </c>
      <c r="D1373" s="160">
        <v>4050.0000000000009</v>
      </c>
      <c r="E1373" s="616"/>
      <c r="F1373" s="617">
        <v>44148</v>
      </c>
    </row>
    <row r="1374" spans="1:6" x14ac:dyDescent="0.3">
      <c r="A1374" s="169" t="s">
        <v>3874</v>
      </c>
      <c r="B1374" s="619" t="s">
        <v>3540</v>
      </c>
      <c r="C1374" s="614" t="s">
        <v>37</v>
      </c>
      <c r="D1374" s="160">
        <v>4000</v>
      </c>
      <c r="E1374" s="616"/>
      <c r="F1374" s="617">
        <v>44148</v>
      </c>
    </row>
    <row r="1375" spans="1:6" x14ac:dyDescent="0.3">
      <c r="A1375" s="169" t="s">
        <v>3875</v>
      </c>
      <c r="B1375" s="619" t="s">
        <v>3541</v>
      </c>
      <c r="C1375" s="614" t="s">
        <v>37</v>
      </c>
      <c r="D1375" s="160">
        <v>4686.8140000000003</v>
      </c>
      <c r="E1375" s="616"/>
      <c r="F1375" s="617">
        <v>44148</v>
      </c>
    </row>
    <row r="1376" spans="1:6" x14ac:dyDescent="0.3">
      <c r="A1376" s="169" t="s">
        <v>3876</v>
      </c>
      <c r="B1376" s="613" t="s">
        <v>3593</v>
      </c>
      <c r="C1376" s="614" t="s">
        <v>1376</v>
      </c>
      <c r="D1376" s="160">
        <v>547.54200000000003</v>
      </c>
      <c r="E1376" s="616" t="s">
        <v>3066</v>
      </c>
      <c r="F1376" s="617">
        <v>44146</v>
      </c>
    </row>
    <row r="1377" spans="1:6" x14ac:dyDescent="0.3">
      <c r="A1377" s="169" t="s">
        <v>3877</v>
      </c>
      <c r="B1377" s="613" t="s">
        <v>3594</v>
      </c>
      <c r="C1377" s="614" t="s">
        <v>1376</v>
      </c>
      <c r="D1377" s="160">
        <v>551.34199999999998</v>
      </c>
      <c r="E1377" s="616" t="s">
        <v>3066</v>
      </c>
      <c r="F1377" s="617">
        <v>44146</v>
      </c>
    </row>
    <row r="1378" spans="1:6" x14ac:dyDescent="0.3">
      <c r="A1378" s="169" t="s">
        <v>3878</v>
      </c>
      <c r="B1378" s="613" t="s">
        <v>3595</v>
      </c>
      <c r="C1378" s="614" t="s">
        <v>1376</v>
      </c>
      <c r="D1378" s="160">
        <v>845.46199999999999</v>
      </c>
      <c r="E1378" s="616" t="s">
        <v>3066</v>
      </c>
      <c r="F1378" s="617">
        <v>44146</v>
      </c>
    </row>
    <row r="1379" spans="1:6" x14ac:dyDescent="0.3">
      <c r="A1379" s="169" t="s">
        <v>3879</v>
      </c>
      <c r="B1379" s="613" t="s">
        <v>3596</v>
      </c>
      <c r="C1379" s="614" t="s">
        <v>1376</v>
      </c>
      <c r="D1379" s="160">
        <v>103.55</v>
      </c>
      <c r="E1379" s="616" t="s">
        <v>3066</v>
      </c>
      <c r="F1379" s="617">
        <v>44146</v>
      </c>
    </row>
    <row r="1380" spans="1:6" x14ac:dyDescent="0.3">
      <c r="A1380" s="169" t="s">
        <v>3880</v>
      </c>
      <c r="B1380" s="613" t="s">
        <v>3597</v>
      </c>
      <c r="C1380" s="614" t="s">
        <v>1376</v>
      </c>
      <c r="D1380" s="160">
        <v>22230</v>
      </c>
      <c r="E1380" s="616" t="s">
        <v>1611</v>
      </c>
      <c r="F1380" s="617">
        <v>44165</v>
      </c>
    </row>
    <row r="1381" spans="1:6" x14ac:dyDescent="0.3">
      <c r="A1381" s="169" t="s">
        <v>3881</v>
      </c>
      <c r="B1381" s="613" t="s">
        <v>3598</v>
      </c>
      <c r="C1381" s="614" t="s">
        <v>1376</v>
      </c>
      <c r="D1381" s="160">
        <v>7039.5</v>
      </c>
      <c r="E1381" s="616" t="s">
        <v>1611</v>
      </c>
      <c r="F1381" s="617">
        <v>44165</v>
      </c>
    </row>
    <row r="1382" spans="1:6" x14ac:dyDescent="0.3">
      <c r="A1382" s="169" t="s">
        <v>3882</v>
      </c>
      <c r="B1382" s="613" t="s">
        <v>3599</v>
      </c>
      <c r="C1382" s="614" t="s">
        <v>1376</v>
      </c>
      <c r="D1382" s="160">
        <v>1472.5</v>
      </c>
      <c r="E1382" s="616" t="s">
        <v>3600</v>
      </c>
      <c r="F1382" s="617">
        <v>44168</v>
      </c>
    </row>
    <row r="1383" spans="1:6" x14ac:dyDescent="0.3">
      <c r="A1383" s="169" t="s">
        <v>3883</v>
      </c>
      <c r="B1383" s="613" t="s">
        <v>3601</v>
      </c>
      <c r="C1383" s="614" t="s">
        <v>1376</v>
      </c>
      <c r="D1383" s="160">
        <v>523.7749</v>
      </c>
      <c r="E1383" s="616" t="s">
        <v>405</v>
      </c>
      <c r="F1383" s="617">
        <v>44168</v>
      </c>
    </row>
    <row r="1384" spans="1:6" x14ac:dyDescent="0.3">
      <c r="A1384" s="169" t="s">
        <v>3884</v>
      </c>
      <c r="B1384" s="624" t="s">
        <v>3602</v>
      </c>
      <c r="C1384" s="614" t="s">
        <v>1376</v>
      </c>
      <c r="D1384" s="160">
        <v>16997.400000000001</v>
      </c>
      <c r="E1384" s="616" t="s">
        <v>2141</v>
      </c>
      <c r="F1384" s="617">
        <v>44158</v>
      </c>
    </row>
    <row r="1385" spans="1:6" x14ac:dyDescent="0.3">
      <c r="A1385" s="169" t="s">
        <v>3885</v>
      </c>
      <c r="B1385" s="624" t="s">
        <v>3603</v>
      </c>
      <c r="C1385" s="614" t="s">
        <v>1376</v>
      </c>
      <c r="D1385" s="160">
        <v>16896.600000000002</v>
      </c>
      <c r="E1385" s="616" t="s">
        <v>2141</v>
      </c>
      <c r="F1385" s="617">
        <v>44158</v>
      </c>
    </row>
    <row r="1386" spans="1:6" x14ac:dyDescent="0.3">
      <c r="A1386" s="169" t="s">
        <v>3886</v>
      </c>
      <c r="B1386" s="624" t="s">
        <v>3604</v>
      </c>
      <c r="C1386" s="614" t="s">
        <v>1376</v>
      </c>
      <c r="D1386" s="160">
        <v>8489.7000000000007</v>
      </c>
      <c r="E1386" s="616" t="s">
        <v>2141</v>
      </c>
      <c r="F1386" s="617">
        <v>44158</v>
      </c>
    </row>
    <row r="1387" spans="1:6" x14ac:dyDescent="0.3">
      <c r="A1387" s="169" t="s">
        <v>3887</v>
      </c>
      <c r="B1387" s="624" t="s">
        <v>3605</v>
      </c>
      <c r="C1387" s="614" t="s">
        <v>1376</v>
      </c>
      <c r="D1387" s="160">
        <v>15036.300000000001</v>
      </c>
      <c r="E1387" s="616" t="s">
        <v>2141</v>
      </c>
      <c r="F1387" s="617">
        <v>44158</v>
      </c>
    </row>
    <row r="1388" spans="1:6" x14ac:dyDescent="0.3">
      <c r="A1388" s="169" t="s">
        <v>3888</v>
      </c>
      <c r="B1388" s="613" t="s">
        <v>3606</v>
      </c>
      <c r="C1388" s="614" t="s">
        <v>73</v>
      </c>
      <c r="D1388" s="160">
        <v>720.404</v>
      </c>
      <c r="E1388" s="616" t="s">
        <v>2806</v>
      </c>
      <c r="F1388" s="617">
        <v>44168</v>
      </c>
    </row>
    <row r="1389" spans="1:6" x14ac:dyDescent="0.3">
      <c r="A1389" s="169" t="s">
        <v>3889</v>
      </c>
      <c r="B1389" s="613" t="s">
        <v>3607</v>
      </c>
      <c r="C1389" s="614" t="s">
        <v>73</v>
      </c>
      <c r="D1389" s="160">
        <v>785.99199999999996</v>
      </c>
      <c r="E1389" s="616" t="s">
        <v>2806</v>
      </c>
      <c r="F1389" s="617">
        <v>44168</v>
      </c>
    </row>
    <row r="1390" spans="1:6" x14ac:dyDescent="0.3">
      <c r="A1390" s="169" t="s">
        <v>3890</v>
      </c>
      <c r="B1390" s="624" t="s">
        <v>3608</v>
      </c>
      <c r="C1390" s="614" t="s">
        <v>1376</v>
      </c>
      <c r="D1390" s="160">
        <v>868.5</v>
      </c>
      <c r="E1390" s="616" t="s">
        <v>2141</v>
      </c>
      <c r="F1390" s="617">
        <v>44158</v>
      </c>
    </row>
    <row r="1391" spans="1:6" x14ac:dyDescent="0.3">
      <c r="A1391" s="169" t="s">
        <v>3891</v>
      </c>
      <c r="B1391" s="625" t="s">
        <v>3609</v>
      </c>
      <c r="C1391" s="614" t="s">
        <v>1376</v>
      </c>
      <c r="D1391" s="160">
        <v>725.76000000000022</v>
      </c>
      <c r="E1391" s="616" t="s">
        <v>3610</v>
      </c>
      <c r="F1391" s="617">
        <v>44162</v>
      </c>
    </row>
    <row r="1392" spans="1:6" x14ac:dyDescent="0.3">
      <c r="A1392" s="169" t="s">
        <v>3892</v>
      </c>
      <c r="B1392" s="624" t="s">
        <v>3611</v>
      </c>
      <c r="C1392" s="614" t="s">
        <v>1376</v>
      </c>
      <c r="D1392" s="160">
        <v>2339.1</v>
      </c>
      <c r="E1392" s="616" t="s">
        <v>2141</v>
      </c>
      <c r="F1392" s="617">
        <v>44158</v>
      </c>
    </row>
    <row r="1393" spans="1:6" x14ac:dyDescent="0.3">
      <c r="A1393" s="169" t="s">
        <v>3893</v>
      </c>
      <c r="B1393" s="624" t="s">
        <v>3612</v>
      </c>
      <c r="C1393" s="614" t="s">
        <v>1376</v>
      </c>
      <c r="D1393" s="160">
        <v>3304.8</v>
      </c>
      <c r="E1393" s="616" t="s">
        <v>2141</v>
      </c>
      <c r="F1393" s="617">
        <v>44158</v>
      </c>
    </row>
    <row r="1394" spans="1:6" x14ac:dyDescent="0.3">
      <c r="A1394" s="169" t="s">
        <v>3894</v>
      </c>
      <c r="B1394" s="624" t="s">
        <v>3613</v>
      </c>
      <c r="C1394" s="614" t="s">
        <v>1376</v>
      </c>
      <c r="D1394" s="160">
        <v>2994.3</v>
      </c>
      <c r="E1394" s="616" t="s">
        <v>2141</v>
      </c>
      <c r="F1394" s="617">
        <v>44158</v>
      </c>
    </row>
    <row r="1395" spans="1:6" x14ac:dyDescent="0.3">
      <c r="A1395" s="169" t="s">
        <v>3895</v>
      </c>
      <c r="B1395" s="624" t="s">
        <v>3614</v>
      </c>
      <c r="C1395" s="614" t="s">
        <v>1376</v>
      </c>
      <c r="D1395" s="160">
        <v>3384</v>
      </c>
      <c r="E1395" s="616" t="s">
        <v>2141</v>
      </c>
      <c r="F1395" s="617">
        <v>44158</v>
      </c>
    </row>
    <row r="1396" spans="1:6" x14ac:dyDescent="0.3">
      <c r="A1396" s="169" t="s">
        <v>3896</v>
      </c>
      <c r="B1396" s="624" t="s">
        <v>3615</v>
      </c>
      <c r="C1396" s="614" t="s">
        <v>1376</v>
      </c>
      <c r="D1396" s="160">
        <v>5155.2</v>
      </c>
      <c r="E1396" s="616" t="s">
        <v>2141</v>
      </c>
      <c r="F1396" s="617">
        <v>44158</v>
      </c>
    </row>
    <row r="1397" spans="1:6" x14ac:dyDescent="0.3">
      <c r="A1397" s="169" t="s">
        <v>3897</v>
      </c>
      <c r="B1397" s="624" t="s">
        <v>3616</v>
      </c>
      <c r="C1397" s="614" t="s">
        <v>1376</v>
      </c>
      <c r="D1397" s="160">
        <v>5429.7</v>
      </c>
      <c r="E1397" s="616" t="s">
        <v>2141</v>
      </c>
      <c r="F1397" s="617">
        <v>44158</v>
      </c>
    </row>
    <row r="1398" spans="1:6" x14ac:dyDescent="0.3">
      <c r="A1398" s="169" t="s">
        <v>3898</v>
      </c>
      <c r="B1398" s="624" t="s">
        <v>3617</v>
      </c>
      <c r="C1398" s="614" t="s">
        <v>1376</v>
      </c>
      <c r="D1398" s="160">
        <v>2504.7000000000003</v>
      </c>
      <c r="E1398" s="616" t="s">
        <v>2141</v>
      </c>
      <c r="F1398" s="617">
        <v>44158</v>
      </c>
    </row>
    <row r="1399" spans="1:6" x14ac:dyDescent="0.3">
      <c r="A1399" s="169" t="s">
        <v>3899</v>
      </c>
      <c r="B1399" s="613" t="s">
        <v>3618</v>
      </c>
      <c r="C1399" s="614" t="s">
        <v>73</v>
      </c>
      <c r="D1399" s="160">
        <v>39</v>
      </c>
      <c r="E1399" s="616" t="s">
        <v>3619</v>
      </c>
      <c r="F1399" s="617">
        <v>44146</v>
      </c>
    </row>
    <row r="1400" spans="1:6" x14ac:dyDescent="0.3">
      <c r="A1400" s="169" t="s">
        <v>3900</v>
      </c>
      <c r="B1400" s="613" t="s">
        <v>3620</v>
      </c>
      <c r="C1400" s="614" t="s">
        <v>73</v>
      </c>
      <c r="D1400" s="160">
        <v>35</v>
      </c>
      <c r="E1400" s="616" t="s">
        <v>3582</v>
      </c>
      <c r="F1400" s="617">
        <v>44168</v>
      </c>
    </row>
    <row r="1401" spans="1:6" x14ac:dyDescent="0.3">
      <c r="A1401" s="169" t="s">
        <v>3901</v>
      </c>
      <c r="B1401" s="624" t="s">
        <v>3621</v>
      </c>
      <c r="C1401" s="614" t="s">
        <v>73</v>
      </c>
      <c r="D1401" s="160">
        <v>160</v>
      </c>
      <c r="E1401" s="616" t="s">
        <v>3622</v>
      </c>
      <c r="F1401" s="617">
        <v>44161</v>
      </c>
    </row>
    <row r="1402" spans="1:6" x14ac:dyDescent="0.3">
      <c r="A1402" s="169" t="s">
        <v>3902</v>
      </c>
      <c r="B1402" s="613" t="s">
        <v>3623</v>
      </c>
      <c r="C1402" s="614" t="s">
        <v>73</v>
      </c>
      <c r="D1402" s="160">
        <v>107</v>
      </c>
      <c r="E1402" s="616" t="s">
        <v>3624</v>
      </c>
      <c r="F1402" s="617">
        <v>44162</v>
      </c>
    </row>
    <row r="1403" spans="1:6" x14ac:dyDescent="0.3">
      <c r="A1403" s="169" t="s">
        <v>3903</v>
      </c>
      <c r="B1403" s="613" t="s">
        <v>3625</v>
      </c>
      <c r="C1403" s="614" t="s">
        <v>73</v>
      </c>
      <c r="D1403" s="160">
        <v>72.819999999999993</v>
      </c>
      <c r="E1403" s="616" t="s">
        <v>3626</v>
      </c>
      <c r="F1403" s="617">
        <v>44161</v>
      </c>
    </row>
    <row r="1404" spans="1:6" x14ac:dyDescent="0.3">
      <c r="A1404" s="169" t="s">
        <v>3904</v>
      </c>
      <c r="B1404" s="613" t="s">
        <v>3627</v>
      </c>
      <c r="C1404" s="614" t="s">
        <v>73</v>
      </c>
      <c r="D1404" s="160">
        <v>358.8</v>
      </c>
      <c r="E1404" s="616" t="s">
        <v>3628</v>
      </c>
      <c r="F1404" s="617">
        <v>44162</v>
      </c>
    </row>
    <row r="1405" spans="1:6" x14ac:dyDescent="0.3">
      <c r="A1405" s="169" t="s">
        <v>3905</v>
      </c>
      <c r="B1405" s="613" t="s">
        <v>3629</v>
      </c>
      <c r="C1405" s="614" t="s">
        <v>73</v>
      </c>
      <c r="D1405" s="160">
        <v>374.9</v>
      </c>
      <c r="E1405" s="616" t="s">
        <v>3630</v>
      </c>
      <c r="F1405" s="617">
        <v>44161</v>
      </c>
    </row>
    <row r="1406" spans="1:6" x14ac:dyDescent="0.3">
      <c r="A1406" s="169" t="s">
        <v>3906</v>
      </c>
      <c r="B1406" s="613" t="s">
        <v>3631</v>
      </c>
      <c r="C1406" s="614" t="s">
        <v>73</v>
      </c>
      <c r="D1406" s="160">
        <v>254.89999999999998</v>
      </c>
      <c r="E1406" s="616" t="s">
        <v>3630</v>
      </c>
      <c r="F1406" s="617">
        <v>44161</v>
      </c>
    </row>
    <row r="1407" spans="1:6" x14ac:dyDescent="0.3">
      <c r="A1407" s="169" t="s">
        <v>3907</v>
      </c>
      <c r="B1407" s="613" t="s">
        <v>3632</v>
      </c>
      <c r="C1407" s="614" t="s">
        <v>73</v>
      </c>
      <c r="D1407" s="160">
        <v>82</v>
      </c>
      <c r="E1407" s="616" t="s">
        <v>3624</v>
      </c>
      <c r="F1407" s="617">
        <v>44162</v>
      </c>
    </row>
    <row r="1408" spans="1:6" x14ac:dyDescent="0.3">
      <c r="A1408" s="169" t="s">
        <v>3908</v>
      </c>
      <c r="B1408" s="613" t="s">
        <v>3633</v>
      </c>
      <c r="C1408" s="614" t="s">
        <v>73</v>
      </c>
      <c r="D1408" s="160">
        <v>235</v>
      </c>
      <c r="E1408" s="616" t="s">
        <v>3634</v>
      </c>
      <c r="F1408" s="617">
        <v>44148</v>
      </c>
    </row>
    <row r="1409" spans="1:6" x14ac:dyDescent="0.3">
      <c r="A1409" s="169" t="s">
        <v>3909</v>
      </c>
      <c r="B1409" s="613" t="s">
        <v>3635</v>
      </c>
      <c r="C1409" s="614" t="s">
        <v>73</v>
      </c>
      <c r="D1409" s="160">
        <v>164.9</v>
      </c>
      <c r="E1409" s="616" t="s">
        <v>3630</v>
      </c>
      <c r="F1409" s="617">
        <v>44161</v>
      </c>
    </row>
    <row r="1410" spans="1:6" x14ac:dyDescent="0.3">
      <c r="A1410" s="169" t="s">
        <v>3910</v>
      </c>
      <c r="B1410" s="613" t="s">
        <v>3636</v>
      </c>
      <c r="C1410" s="614" t="s">
        <v>74</v>
      </c>
      <c r="D1410" s="160">
        <v>151.57691482514483</v>
      </c>
      <c r="E1410" s="616" t="s">
        <v>3637</v>
      </c>
      <c r="F1410" s="617">
        <v>44154</v>
      </c>
    </row>
    <row r="1411" spans="1:6" x14ac:dyDescent="0.3">
      <c r="A1411" s="169" t="s">
        <v>3911</v>
      </c>
      <c r="B1411" s="613" t="s">
        <v>3638</v>
      </c>
      <c r="C1411" s="614" t="s">
        <v>74</v>
      </c>
      <c r="D1411" s="160">
        <v>37.99</v>
      </c>
      <c r="E1411" s="616" t="s">
        <v>1184</v>
      </c>
      <c r="F1411" s="617">
        <v>44161</v>
      </c>
    </row>
    <row r="1412" spans="1:6" x14ac:dyDescent="0.3">
      <c r="A1412" s="169" t="s">
        <v>3912</v>
      </c>
      <c r="B1412" s="613" t="s">
        <v>3639</v>
      </c>
      <c r="C1412" s="614" t="s">
        <v>1376</v>
      </c>
      <c r="D1412" s="160">
        <v>31179.57</v>
      </c>
      <c r="E1412" s="616" t="s">
        <v>3640</v>
      </c>
      <c r="F1412" s="617">
        <v>44172</v>
      </c>
    </row>
    <row r="1413" spans="1:6" x14ac:dyDescent="0.3">
      <c r="A1413" s="169" t="s">
        <v>3913</v>
      </c>
      <c r="B1413" s="613" t="s">
        <v>3641</v>
      </c>
      <c r="C1413" s="614" t="s">
        <v>1376</v>
      </c>
      <c r="D1413" s="160">
        <v>3200</v>
      </c>
      <c r="E1413" s="616" t="s">
        <v>3640</v>
      </c>
      <c r="F1413" s="617">
        <v>44172</v>
      </c>
    </row>
    <row r="1414" spans="1:6" x14ac:dyDescent="0.3">
      <c r="A1414" s="169" t="s">
        <v>3914</v>
      </c>
      <c r="B1414" s="613" t="s">
        <v>3642</v>
      </c>
      <c r="C1414" s="614" t="s">
        <v>1376</v>
      </c>
      <c r="D1414" s="160">
        <v>1698.51</v>
      </c>
      <c r="E1414" s="616" t="s">
        <v>3640</v>
      </c>
      <c r="F1414" s="617">
        <v>44172</v>
      </c>
    </row>
    <row r="1415" spans="1:6" x14ac:dyDescent="0.3">
      <c r="A1415" s="169" t="s">
        <v>3915</v>
      </c>
      <c r="B1415" s="613" t="s">
        <v>3643</v>
      </c>
      <c r="C1415" s="614" t="s">
        <v>1376</v>
      </c>
      <c r="D1415" s="160">
        <v>215</v>
      </c>
      <c r="E1415" s="616" t="s">
        <v>3640</v>
      </c>
      <c r="F1415" s="617">
        <v>44172</v>
      </c>
    </row>
    <row r="1416" spans="1:6" x14ac:dyDescent="0.3">
      <c r="A1416" s="169" t="s">
        <v>3916</v>
      </c>
      <c r="B1416" s="613" t="s">
        <v>3644</v>
      </c>
      <c r="C1416" s="614" t="s">
        <v>1376</v>
      </c>
      <c r="D1416" s="160">
        <v>1600</v>
      </c>
      <c r="E1416" s="616" t="s">
        <v>3640</v>
      </c>
      <c r="F1416" s="617">
        <v>44172</v>
      </c>
    </row>
    <row r="1417" spans="1:6" x14ac:dyDescent="0.3">
      <c r="A1417" s="169" t="s">
        <v>3917</v>
      </c>
      <c r="B1417" s="613" t="s">
        <v>3645</v>
      </c>
      <c r="C1417" s="614" t="s">
        <v>1376</v>
      </c>
      <c r="D1417" s="160">
        <v>6730.5</v>
      </c>
      <c r="E1417" s="616" t="s">
        <v>3640</v>
      </c>
      <c r="F1417" s="617">
        <v>44172</v>
      </c>
    </row>
    <row r="1418" spans="1:6" x14ac:dyDescent="0.3">
      <c r="A1418" s="169" t="s">
        <v>3918</v>
      </c>
      <c r="B1418" s="613" t="s">
        <v>3646</v>
      </c>
      <c r="C1418" s="614" t="s">
        <v>1376</v>
      </c>
      <c r="D1418" s="160">
        <v>5480.64</v>
      </c>
      <c r="E1418" s="616" t="s">
        <v>3640</v>
      </c>
      <c r="F1418" s="617">
        <v>44172</v>
      </c>
    </row>
    <row r="1419" spans="1:6" x14ac:dyDescent="0.3">
      <c r="A1419" s="169" t="s">
        <v>3919</v>
      </c>
      <c r="B1419" s="613" t="s">
        <v>3647</v>
      </c>
      <c r="C1419" s="614" t="s">
        <v>1376</v>
      </c>
      <c r="D1419" s="160">
        <v>1884.83</v>
      </c>
      <c r="E1419" s="616" t="s">
        <v>3640</v>
      </c>
      <c r="F1419" s="617">
        <v>44172</v>
      </c>
    </row>
    <row r="1420" spans="1:6" x14ac:dyDescent="0.3">
      <c r="A1420" s="169" t="s">
        <v>3920</v>
      </c>
      <c r="B1420" s="613" t="s">
        <v>3648</v>
      </c>
      <c r="C1420" s="614" t="s">
        <v>1376</v>
      </c>
      <c r="D1420" s="160">
        <v>2169.8200000000002</v>
      </c>
      <c r="E1420" s="616" t="s">
        <v>3640</v>
      </c>
      <c r="F1420" s="617">
        <v>44172</v>
      </c>
    </row>
    <row r="1421" spans="1:6" x14ac:dyDescent="0.3">
      <c r="A1421" s="169" t="s">
        <v>3921</v>
      </c>
      <c r="B1421" s="613" t="s">
        <v>3649</v>
      </c>
      <c r="C1421" s="614" t="s">
        <v>1376</v>
      </c>
      <c r="D1421" s="160">
        <v>1758.21</v>
      </c>
      <c r="E1421" s="616" t="s">
        <v>3640</v>
      </c>
      <c r="F1421" s="617">
        <v>44172</v>
      </c>
    </row>
    <row r="1422" spans="1:6" x14ac:dyDescent="0.3">
      <c r="A1422" s="169" t="s">
        <v>3922</v>
      </c>
      <c r="B1422" s="613" t="s">
        <v>3650</v>
      </c>
      <c r="C1422" s="614" t="s">
        <v>1376</v>
      </c>
      <c r="D1422" s="160">
        <v>3967.16</v>
      </c>
      <c r="E1422" s="616" t="s">
        <v>3640</v>
      </c>
      <c r="F1422" s="617">
        <v>44172</v>
      </c>
    </row>
    <row r="1423" spans="1:6" x14ac:dyDescent="0.3">
      <c r="A1423" s="169" t="s">
        <v>3923</v>
      </c>
      <c r="B1423" s="613" t="s">
        <v>3651</v>
      </c>
      <c r="C1423" s="614" t="s">
        <v>1376</v>
      </c>
      <c r="D1423" s="160">
        <v>1010.5300000000001</v>
      </c>
      <c r="E1423" s="616" t="s">
        <v>3640</v>
      </c>
      <c r="F1423" s="617">
        <v>44172</v>
      </c>
    </row>
    <row r="1424" spans="1:6" x14ac:dyDescent="0.3">
      <c r="A1424" s="169" t="s">
        <v>3924</v>
      </c>
      <c r="B1424" s="613" t="s">
        <v>3652</v>
      </c>
      <c r="C1424" s="614" t="s">
        <v>1376</v>
      </c>
      <c r="D1424" s="160">
        <v>228.41</v>
      </c>
      <c r="E1424" s="616" t="s">
        <v>3640</v>
      </c>
      <c r="F1424" s="617">
        <v>44172</v>
      </c>
    </row>
    <row r="1425" spans="1:6" x14ac:dyDescent="0.3">
      <c r="A1425" s="169" t="s">
        <v>3925</v>
      </c>
      <c r="B1425" s="613" t="s">
        <v>3653</v>
      </c>
      <c r="C1425" s="614" t="s">
        <v>1376</v>
      </c>
      <c r="D1425" s="160">
        <v>161.5</v>
      </c>
      <c r="E1425" s="616" t="s">
        <v>3640</v>
      </c>
      <c r="F1425" s="617">
        <v>44172</v>
      </c>
    </row>
    <row r="1426" spans="1:6" x14ac:dyDescent="0.3">
      <c r="A1426" s="169" t="s">
        <v>3926</v>
      </c>
      <c r="B1426" s="613" t="s">
        <v>3654</v>
      </c>
      <c r="C1426" s="614" t="s">
        <v>1376</v>
      </c>
      <c r="D1426" s="160">
        <v>216.56651851851851</v>
      </c>
      <c r="E1426" s="616" t="s">
        <v>3640</v>
      </c>
      <c r="F1426" s="617">
        <v>44172</v>
      </c>
    </row>
    <row r="1427" spans="1:6" x14ac:dyDescent="0.3">
      <c r="A1427" s="169" t="s">
        <v>3927</v>
      </c>
      <c r="B1427" s="613" t="s">
        <v>3655</v>
      </c>
      <c r="C1427" s="614" t="s">
        <v>1376</v>
      </c>
      <c r="D1427" s="160">
        <v>256.86</v>
      </c>
      <c r="E1427" s="616" t="s">
        <v>3640</v>
      </c>
      <c r="F1427" s="617">
        <v>44172</v>
      </c>
    </row>
    <row r="1428" spans="1:6" x14ac:dyDescent="0.3">
      <c r="A1428" s="169" t="s">
        <v>3928</v>
      </c>
      <c r="B1428" s="613" t="s">
        <v>3656</v>
      </c>
      <c r="C1428" s="614" t="s">
        <v>1376</v>
      </c>
      <c r="D1428" s="160">
        <v>199.96</v>
      </c>
      <c r="E1428" s="616" t="s">
        <v>3640</v>
      </c>
      <c r="F1428" s="617">
        <v>44172</v>
      </c>
    </row>
    <row r="1429" spans="1:6" x14ac:dyDescent="0.3">
      <c r="A1429" s="169" t="s">
        <v>3929</v>
      </c>
      <c r="B1429" s="613" t="s">
        <v>3657</v>
      </c>
      <c r="C1429" s="614" t="s">
        <v>1376</v>
      </c>
      <c r="D1429" s="160">
        <v>223.3</v>
      </c>
      <c r="E1429" s="616" t="s">
        <v>3640</v>
      </c>
      <c r="F1429" s="617">
        <v>44172</v>
      </c>
    </row>
    <row r="1430" spans="1:6" x14ac:dyDescent="0.3">
      <c r="A1430" s="169" t="s">
        <v>3930</v>
      </c>
      <c r="B1430" s="613" t="s">
        <v>3658</v>
      </c>
      <c r="C1430" s="614" t="s">
        <v>1376</v>
      </c>
      <c r="D1430" s="160">
        <v>97.76</v>
      </c>
      <c r="E1430" s="616" t="s">
        <v>3640</v>
      </c>
      <c r="F1430" s="617">
        <v>44172</v>
      </c>
    </row>
    <row r="1431" spans="1:6" x14ac:dyDescent="0.3">
      <c r="A1431" s="169" t="s">
        <v>3931</v>
      </c>
      <c r="B1431" s="613" t="s">
        <v>3659</v>
      </c>
      <c r="C1431" s="614" t="s">
        <v>1376</v>
      </c>
      <c r="D1431" s="160">
        <v>141.99</v>
      </c>
      <c r="E1431" s="616" t="s">
        <v>3640</v>
      </c>
      <c r="F1431" s="617">
        <v>44172</v>
      </c>
    </row>
    <row r="1432" spans="1:6" x14ac:dyDescent="0.3">
      <c r="A1432" s="169" t="s">
        <v>3932</v>
      </c>
      <c r="B1432" s="613" t="s">
        <v>3660</v>
      </c>
      <c r="C1432" s="614" t="s">
        <v>1376</v>
      </c>
      <c r="D1432" s="160">
        <v>914.4666666666667</v>
      </c>
      <c r="E1432" s="616" t="s">
        <v>3640</v>
      </c>
      <c r="F1432" s="617">
        <v>44172</v>
      </c>
    </row>
    <row r="1433" spans="1:6" x14ac:dyDescent="0.3">
      <c r="A1433" s="169" t="s">
        <v>3933</v>
      </c>
      <c r="B1433" s="613" t="s">
        <v>3661</v>
      </c>
      <c r="C1433" s="614" t="s">
        <v>1376</v>
      </c>
      <c r="D1433" s="160">
        <v>914.4666666666667</v>
      </c>
      <c r="E1433" s="616" t="s">
        <v>3640</v>
      </c>
      <c r="F1433" s="617">
        <v>44172</v>
      </c>
    </row>
    <row r="1434" spans="1:6" x14ac:dyDescent="0.3">
      <c r="A1434" s="169" t="s">
        <v>3934</v>
      </c>
      <c r="B1434" s="613" t="s">
        <v>3662</v>
      </c>
      <c r="C1434" s="614" t="s">
        <v>1376</v>
      </c>
      <c r="D1434" s="160">
        <v>194.21</v>
      </c>
      <c r="E1434" s="616" t="s">
        <v>3640</v>
      </c>
      <c r="F1434" s="617">
        <v>44172</v>
      </c>
    </row>
    <row r="1435" spans="1:6" x14ac:dyDescent="0.3">
      <c r="A1435" s="169" t="s">
        <v>3935</v>
      </c>
      <c r="B1435" s="613" t="s">
        <v>3663</v>
      </c>
      <c r="C1435" s="614" t="s">
        <v>1376</v>
      </c>
      <c r="D1435" s="160">
        <v>317.54000000000002</v>
      </c>
      <c r="E1435" s="616" t="s">
        <v>3640</v>
      </c>
      <c r="F1435" s="617">
        <v>44172</v>
      </c>
    </row>
    <row r="1436" spans="1:6" x14ac:dyDescent="0.3">
      <c r="A1436" s="169" t="s">
        <v>3936</v>
      </c>
      <c r="B1436" s="613" t="s">
        <v>3664</v>
      </c>
      <c r="C1436" s="614" t="s">
        <v>1376</v>
      </c>
      <c r="D1436" s="160">
        <v>363.22</v>
      </c>
      <c r="E1436" s="616" t="s">
        <v>3640</v>
      </c>
      <c r="F1436" s="617">
        <v>44172</v>
      </c>
    </row>
    <row r="1437" spans="1:6" x14ac:dyDescent="0.3">
      <c r="A1437" s="169" t="s">
        <v>3937</v>
      </c>
      <c r="B1437" s="613" t="s">
        <v>3665</v>
      </c>
      <c r="C1437" s="614" t="s">
        <v>1376</v>
      </c>
      <c r="D1437" s="160">
        <v>608.23619047619047</v>
      </c>
      <c r="E1437" s="616" t="s">
        <v>3640</v>
      </c>
      <c r="F1437" s="617">
        <v>44172</v>
      </c>
    </row>
    <row r="1438" spans="1:6" x14ac:dyDescent="0.3">
      <c r="A1438" s="169" t="s">
        <v>3938</v>
      </c>
      <c r="B1438" s="613" t="s">
        <v>3666</v>
      </c>
      <c r="C1438" s="614" t="s">
        <v>1376</v>
      </c>
      <c r="D1438" s="160">
        <v>434.98666666666662</v>
      </c>
      <c r="E1438" s="616" t="s">
        <v>3640</v>
      </c>
      <c r="F1438" s="617">
        <v>44172</v>
      </c>
    </row>
    <row r="1439" spans="1:6" x14ac:dyDescent="0.3">
      <c r="A1439" s="169" t="s">
        <v>3939</v>
      </c>
      <c r="B1439" s="613" t="s">
        <v>3667</v>
      </c>
      <c r="C1439" s="614" t="s">
        <v>1376</v>
      </c>
      <c r="D1439" s="160">
        <v>434.98666666666662</v>
      </c>
      <c r="E1439" s="616" t="s">
        <v>3640</v>
      </c>
      <c r="F1439" s="617">
        <v>44172</v>
      </c>
    </row>
    <row r="1440" spans="1:6" x14ac:dyDescent="0.3">
      <c r="A1440" s="169" t="s">
        <v>3940</v>
      </c>
      <c r="B1440" s="613" t="s">
        <v>3668</v>
      </c>
      <c r="C1440" s="614" t="s">
        <v>1376</v>
      </c>
      <c r="D1440" s="160">
        <v>608.23619047619047</v>
      </c>
      <c r="E1440" s="616" t="s">
        <v>3640</v>
      </c>
      <c r="F1440" s="617">
        <v>44172</v>
      </c>
    </row>
    <row r="1441" spans="1:6" x14ac:dyDescent="0.3">
      <c r="A1441" s="169" t="s">
        <v>3941</v>
      </c>
      <c r="B1441" s="613" t="s">
        <v>3669</v>
      </c>
      <c r="C1441" s="614" t="s">
        <v>1376</v>
      </c>
      <c r="D1441" s="160">
        <v>608.23619047619047</v>
      </c>
      <c r="E1441" s="616" t="s">
        <v>3640</v>
      </c>
      <c r="F1441" s="617">
        <v>44172</v>
      </c>
    </row>
    <row r="1442" spans="1:6" x14ac:dyDescent="0.3">
      <c r="A1442" s="169" t="s">
        <v>3942</v>
      </c>
      <c r="B1442" s="613" t="s">
        <v>3670</v>
      </c>
      <c r="C1442" s="614" t="s">
        <v>1376</v>
      </c>
      <c r="D1442" s="160">
        <v>465.3485714285714</v>
      </c>
      <c r="E1442" s="616" t="s">
        <v>3640</v>
      </c>
      <c r="F1442" s="617">
        <v>44172</v>
      </c>
    </row>
    <row r="1443" spans="1:6" x14ac:dyDescent="0.3">
      <c r="A1443" s="169" t="s">
        <v>3943</v>
      </c>
      <c r="B1443" s="613" t="s">
        <v>3671</v>
      </c>
      <c r="C1443" s="614" t="s">
        <v>1376</v>
      </c>
      <c r="D1443" s="160">
        <v>465.3485714285714</v>
      </c>
      <c r="E1443" s="616" t="s">
        <v>3640</v>
      </c>
      <c r="F1443" s="617">
        <v>44172</v>
      </c>
    </row>
    <row r="1444" spans="1:6" x14ac:dyDescent="0.3">
      <c r="A1444" s="169" t="s">
        <v>3944</v>
      </c>
      <c r="B1444" s="613" t="s">
        <v>3672</v>
      </c>
      <c r="C1444" s="614" t="s">
        <v>1376</v>
      </c>
      <c r="D1444" s="160">
        <v>459.73333333333329</v>
      </c>
      <c r="E1444" s="616" t="s">
        <v>3640</v>
      </c>
      <c r="F1444" s="617">
        <v>44172</v>
      </c>
    </row>
    <row r="1445" spans="1:6" x14ac:dyDescent="0.3">
      <c r="A1445" s="169" t="s">
        <v>3945</v>
      </c>
      <c r="B1445" s="613" t="s">
        <v>3673</v>
      </c>
      <c r="C1445" s="614" t="s">
        <v>1376</v>
      </c>
      <c r="D1445" s="160">
        <v>459.73333333333329</v>
      </c>
      <c r="E1445" s="616" t="s">
        <v>3640</v>
      </c>
      <c r="F1445" s="617">
        <v>44172</v>
      </c>
    </row>
    <row r="1446" spans="1:6" x14ac:dyDescent="0.3">
      <c r="A1446" s="169" t="s">
        <v>3946</v>
      </c>
      <c r="B1446" s="613" t="s">
        <v>3674</v>
      </c>
      <c r="C1446" s="614" t="s">
        <v>1376</v>
      </c>
      <c r="D1446" s="160">
        <v>608.23619047619047</v>
      </c>
      <c r="E1446" s="616" t="s">
        <v>3640</v>
      </c>
      <c r="F1446" s="617">
        <v>44172</v>
      </c>
    </row>
    <row r="1447" spans="1:6" x14ac:dyDescent="0.3">
      <c r="A1447" s="169" t="s">
        <v>3947</v>
      </c>
      <c r="B1447" s="613" t="s">
        <v>3675</v>
      </c>
      <c r="C1447" s="614" t="s">
        <v>1376</v>
      </c>
      <c r="D1447" s="160">
        <v>190.07380952380953</v>
      </c>
      <c r="E1447" s="616" t="s">
        <v>3640</v>
      </c>
      <c r="F1447" s="617">
        <v>44172</v>
      </c>
    </row>
    <row r="1448" spans="1:6" x14ac:dyDescent="0.3">
      <c r="A1448" s="169" t="s">
        <v>3948</v>
      </c>
      <c r="B1448" s="613" t="s">
        <v>3676</v>
      </c>
      <c r="C1448" s="614" t="s">
        <v>1376</v>
      </c>
      <c r="D1448" s="160">
        <v>135.93333333333331</v>
      </c>
      <c r="E1448" s="616" t="s">
        <v>3640</v>
      </c>
      <c r="F1448" s="617">
        <v>44172</v>
      </c>
    </row>
    <row r="1449" spans="1:6" x14ac:dyDescent="0.3">
      <c r="A1449" s="169" t="s">
        <v>3949</v>
      </c>
      <c r="B1449" s="613" t="s">
        <v>3677</v>
      </c>
      <c r="C1449" s="614" t="s">
        <v>1376</v>
      </c>
      <c r="D1449" s="160">
        <v>135.93333333333331</v>
      </c>
      <c r="E1449" s="616" t="s">
        <v>3640</v>
      </c>
      <c r="F1449" s="617">
        <v>44172</v>
      </c>
    </row>
    <row r="1450" spans="1:6" x14ac:dyDescent="0.3">
      <c r="A1450" s="169" t="s">
        <v>3950</v>
      </c>
      <c r="B1450" s="613" t="s">
        <v>3678</v>
      </c>
      <c r="C1450" s="614" t="s">
        <v>1376</v>
      </c>
      <c r="D1450" s="160">
        <v>190.07380952380953</v>
      </c>
      <c r="E1450" s="616" t="s">
        <v>3640</v>
      </c>
      <c r="F1450" s="617">
        <v>44172</v>
      </c>
    </row>
    <row r="1451" spans="1:6" x14ac:dyDescent="0.3">
      <c r="A1451" s="169" t="s">
        <v>3951</v>
      </c>
      <c r="B1451" s="613" t="s">
        <v>3679</v>
      </c>
      <c r="C1451" s="614" t="s">
        <v>1376</v>
      </c>
      <c r="D1451" s="160">
        <v>190.07380952380953</v>
      </c>
      <c r="E1451" s="616" t="s">
        <v>3640</v>
      </c>
      <c r="F1451" s="617">
        <v>44172</v>
      </c>
    </row>
    <row r="1452" spans="1:6" x14ac:dyDescent="0.3">
      <c r="A1452" s="169" t="s">
        <v>3952</v>
      </c>
      <c r="B1452" s="613" t="s">
        <v>3680</v>
      </c>
      <c r="C1452" s="614" t="s">
        <v>1376</v>
      </c>
      <c r="D1452" s="160">
        <v>145.42142857142858</v>
      </c>
      <c r="E1452" s="616" t="s">
        <v>3640</v>
      </c>
      <c r="F1452" s="617">
        <v>44172</v>
      </c>
    </row>
    <row r="1453" spans="1:6" x14ac:dyDescent="0.3">
      <c r="A1453" s="169" t="s">
        <v>3953</v>
      </c>
      <c r="B1453" s="613" t="s">
        <v>3681</v>
      </c>
      <c r="C1453" s="614" t="s">
        <v>1376</v>
      </c>
      <c r="D1453" s="160">
        <v>145.42142857142858</v>
      </c>
      <c r="E1453" s="616" t="s">
        <v>3640</v>
      </c>
      <c r="F1453" s="617">
        <v>44172</v>
      </c>
    </row>
    <row r="1454" spans="1:6" x14ac:dyDescent="0.3">
      <c r="A1454" s="169" t="s">
        <v>3954</v>
      </c>
      <c r="B1454" s="613" t="s">
        <v>3682</v>
      </c>
      <c r="C1454" s="614" t="s">
        <v>1376</v>
      </c>
      <c r="D1454" s="160">
        <v>143.66666666666666</v>
      </c>
      <c r="E1454" s="616" t="s">
        <v>3640</v>
      </c>
      <c r="F1454" s="617">
        <v>44172</v>
      </c>
    </row>
    <row r="1455" spans="1:6" x14ac:dyDescent="0.3">
      <c r="A1455" s="169" t="s">
        <v>3955</v>
      </c>
      <c r="B1455" s="613" t="s">
        <v>3683</v>
      </c>
      <c r="C1455" s="614" t="s">
        <v>1376</v>
      </c>
      <c r="D1455" s="160">
        <v>143.66666666666666</v>
      </c>
      <c r="E1455" s="616" t="s">
        <v>3640</v>
      </c>
      <c r="F1455" s="617">
        <v>44172</v>
      </c>
    </row>
    <row r="1456" spans="1:6" x14ac:dyDescent="0.3">
      <c r="A1456" s="169" t="s">
        <v>3956</v>
      </c>
      <c r="B1456" s="613" t="s">
        <v>3684</v>
      </c>
      <c r="C1456" s="614" t="s">
        <v>1376</v>
      </c>
      <c r="D1456" s="160">
        <v>190.07380952380953</v>
      </c>
      <c r="E1456" s="616" t="s">
        <v>3640</v>
      </c>
      <c r="F1456" s="617">
        <v>44172</v>
      </c>
    </row>
    <row r="1457" spans="1:6" x14ac:dyDescent="0.3">
      <c r="A1457" s="169" t="s">
        <v>3957</v>
      </c>
      <c r="B1457" s="613" t="s">
        <v>3685</v>
      </c>
      <c r="C1457" s="614" t="s">
        <v>1376</v>
      </c>
      <c r="D1457" s="160">
        <v>55.54</v>
      </c>
      <c r="E1457" s="616" t="s">
        <v>3640</v>
      </c>
      <c r="F1457" s="617">
        <v>44172</v>
      </c>
    </row>
    <row r="1458" spans="1:6" x14ac:dyDescent="0.3">
      <c r="A1458" s="169" t="s">
        <v>3958</v>
      </c>
      <c r="B1458" s="613" t="s">
        <v>3686</v>
      </c>
      <c r="C1458" s="614" t="s">
        <v>1376</v>
      </c>
      <c r="D1458" s="160">
        <v>308.43</v>
      </c>
      <c r="E1458" s="616" t="s">
        <v>3640</v>
      </c>
      <c r="F1458" s="617">
        <v>44172</v>
      </c>
    </row>
    <row r="1459" spans="1:6" x14ac:dyDescent="0.3">
      <c r="A1459" s="169" t="s">
        <v>3959</v>
      </c>
      <c r="B1459" s="613" t="s">
        <v>3687</v>
      </c>
      <c r="C1459" s="614" t="s">
        <v>1376</v>
      </c>
      <c r="D1459" s="160">
        <v>938.96</v>
      </c>
      <c r="E1459" s="616" t="s">
        <v>3640</v>
      </c>
      <c r="F1459" s="617">
        <v>44172</v>
      </c>
    </row>
    <row r="1460" spans="1:6" x14ac:dyDescent="0.3">
      <c r="A1460" s="169" t="s">
        <v>3960</v>
      </c>
      <c r="B1460" s="613" t="s">
        <v>3688</v>
      </c>
      <c r="C1460" s="614" t="s">
        <v>1376</v>
      </c>
      <c r="D1460" s="160">
        <v>222.53</v>
      </c>
      <c r="E1460" s="616" t="s">
        <v>3640</v>
      </c>
      <c r="F1460" s="617">
        <v>44172</v>
      </c>
    </row>
    <row r="1461" spans="1:6" x14ac:dyDescent="0.3">
      <c r="A1461" s="169" t="s">
        <v>3961</v>
      </c>
      <c r="B1461" s="613" t="s">
        <v>3689</v>
      </c>
      <c r="C1461" s="614" t="s">
        <v>1376</v>
      </c>
      <c r="D1461" s="160">
        <v>222.53</v>
      </c>
      <c r="E1461" s="616" t="s">
        <v>3640</v>
      </c>
      <c r="F1461" s="617">
        <v>44172</v>
      </c>
    </row>
    <row r="1462" spans="1:6" x14ac:dyDescent="0.3">
      <c r="A1462" s="169" t="s">
        <v>3962</v>
      </c>
      <c r="B1462" s="613" t="s">
        <v>3690</v>
      </c>
      <c r="C1462" s="614" t="s">
        <v>1376</v>
      </c>
      <c r="D1462" s="160">
        <v>406.23</v>
      </c>
      <c r="E1462" s="616" t="s">
        <v>3640</v>
      </c>
      <c r="F1462" s="617">
        <v>44172</v>
      </c>
    </row>
    <row r="1463" spans="1:6" x14ac:dyDescent="0.3">
      <c r="A1463" s="169" t="s">
        <v>3963</v>
      </c>
      <c r="B1463" s="613" t="s">
        <v>3691</v>
      </c>
      <c r="C1463" s="614" t="s">
        <v>1376</v>
      </c>
      <c r="D1463" s="160">
        <v>415.75</v>
      </c>
      <c r="E1463" s="616" t="s">
        <v>3640</v>
      </c>
      <c r="F1463" s="617">
        <v>44172</v>
      </c>
    </row>
    <row r="1464" spans="1:6" x14ac:dyDescent="0.3">
      <c r="A1464" s="169" t="s">
        <v>3964</v>
      </c>
      <c r="B1464" s="613" t="s">
        <v>3692</v>
      </c>
      <c r="C1464" s="614" t="s">
        <v>1376</v>
      </c>
      <c r="D1464" s="160">
        <v>415.75</v>
      </c>
      <c r="E1464" s="616" t="s">
        <v>3640</v>
      </c>
      <c r="F1464" s="617">
        <v>44172</v>
      </c>
    </row>
    <row r="1465" spans="1:6" x14ac:dyDescent="0.3">
      <c r="A1465" s="169" t="s">
        <v>3965</v>
      </c>
      <c r="B1465" s="613" t="s">
        <v>3693</v>
      </c>
      <c r="C1465" s="614" t="s">
        <v>1376</v>
      </c>
      <c r="D1465" s="160">
        <v>416.08000000000004</v>
      </c>
      <c r="E1465" s="616" t="s">
        <v>3640</v>
      </c>
      <c r="F1465" s="617">
        <v>44172</v>
      </c>
    </row>
    <row r="1466" spans="1:6" x14ac:dyDescent="0.3">
      <c r="A1466" s="169" t="s">
        <v>3966</v>
      </c>
      <c r="B1466" s="613" t="s">
        <v>3694</v>
      </c>
      <c r="C1466" s="614" t="s">
        <v>1376</v>
      </c>
      <c r="D1466" s="160">
        <v>408.25599999999997</v>
      </c>
      <c r="E1466" s="616" t="s">
        <v>3640</v>
      </c>
      <c r="F1466" s="617">
        <v>44172</v>
      </c>
    </row>
    <row r="1467" spans="1:6" x14ac:dyDescent="0.3">
      <c r="A1467" s="169" t="s">
        <v>3967</v>
      </c>
      <c r="B1467" s="613" t="s">
        <v>3695</v>
      </c>
      <c r="C1467" s="614" t="s">
        <v>1376</v>
      </c>
      <c r="D1467" s="160">
        <v>2577.88</v>
      </c>
      <c r="E1467" s="616" t="s">
        <v>3640</v>
      </c>
      <c r="F1467" s="617">
        <v>44172</v>
      </c>
    </row>
    <row r="1468" spans="1:6" x14ac:dyDescent="0.3">
      <c r="A1468" s="169" t="s">
        <v>3968</v>
      </c>
      <c r="B1468" s="613" t="s">
        <v>3696</v>
      </c>
      <c r="C1468" s="614" t="s">
        <v>1376</v>
      </c>
      <c r="D1468" s="160">
        <v>1417.84</v>
      </c>
      <c r="E1468" s="616" t="s">
        <v>3640</v>
      </c>
      <c r="F1468" s="617">
        <v>44172</v>
      </c>
    </row>
    <row r="1469" spans="1:6" x14ac:dyDescent="0.3">
      <c r="A1469" s="169" t="s">
        <v>3969</v>
      </c>
      <c r="B1469" s="613" t="s">
        <v>3697</v>
      </c>
      <c r="C1469" s="614" t="s">
        <v>1376</v>
      </c>
      <c r="D1469" s="160">
        <v>968.79</v>
      </c>
      <c r="E1469" s="616" t="s">
        <v>3640</v>
      </c>
      <c r="F1469" s="617">
        <v>44172</v>
      </c>
    </row>
    <row r="1470" spans="1:6" x14ac:dyDescent="0.3">
      <c r="A1470" s="169" t="s">
        <v>3970</v>
      </c>
      <c r="B1470" s="613" t="s">
        <v>3698</v>
      </c>
      <c r="C1470" s="614" t="s">
        <v>29</v>
      </c>
      <c r="D1470" s="160">
        <v>7890</v>
      </c>
      <c r="E1470" s="616" t="s">
        <v>3640</v>
      </c>
      <c r="F1470" s="617">
        <v>44172</v>
      </c>
    </row>
    <row r="1471" spans="1:6" x14ac:dyDescent="0.3">
      <c r="A1471" s="169" t="s">
        <v>3971</v>
      </c>
      <c r="B1471" s="613" t="s">
        <v>3699</v>
      </c>
      <c r="C1471" s="614" t="s">
        <v>1376</v>
      </c>
      <c r="D1471" s="160">
        <v>722.67</v>
      </c>
      <c r="E1471" s="616" t="s">
        <v>3700</v>
      </c>
      <c r="F1471" s="617">
        <v>44151</v>
      </c>
    </row>
    <row r="1472" spans="1:6" x14ac:dyDescent="0.3">
      <c r="A1472" s="169" t="s">
        <v>3972</v>
      </c>
      <c r="B1472" s="613" t="s">
        <v>3701</v>
      </c>
      <c r="C1472" s="614" t="s">
        <v>1376</v>
      </c>
      <c r="D1472" s="160">
        <v>243.85</v>
      </c>
      <c r="E1472" s="616" t="s">
        <v>3700</v>
      </c>
      <c r="F1472" s="617">
        <v>44151</v>
      </c>
    </row>
    <row r="1473" spans="1:7" x14ac:dyDescent="0.3">
      <c r="A1473" s="169" t="s">
        <v>3973</v>
      </c>
      <c r="B1473" s="613" t="s">
        <v>3702</v>
      </c>
      <c r="C1473" s="614" t="s">
        <v>1376</v>
      </c>
      <c r="D1473" s="160">
        <v>905.05</v>
      </c>
      <c r="E1473" s="616" t="s">
        <v>3703</v>
      </c>
      <c r="F1473" s="617">
        <v>44151</v>
      </c>
    </row>
    <row r="1474" spans="1:7" x14ac:dyDescent="0.3">
      <c r="A1474" s="169" t="s">
        <v>3974</v>
      </c>
      <c r="B1474" s="156"/>
      <c r="C1474" s="163"/>
      <c r="D1474" s="160">
        <v>0</v>
      </c>
      <c r="E1474" s="165"/>
      <c r="F1474" s="159" t="s">
        <v>7041</v>
      </c>
      <c r="G1474" s="166"/>
    </row>
    <row r="1475" spans="1:7" x14ac:dyDescent="0.3">
      <c r="A1475" s="169" t="s">
        <v>3975</v>
      </c>
      <c r="B1475" s="613" t="s">
        <v>3704</v>
      </c>
      <c r="C1475" s="614" t="s">
        <v>1376</v>
      </c>
      <c r="D1475" s="160">
        <v>588.61</v>
      </c>
      <c r="E1475" s="616" t="s">
        <v>3700</v>
      </c>
      <c r="F1475" s="617">
        <v>44151</v>
      </c>
    </row>
    <row r="1476" spans="1:7" x14ac:dyDescent="0.3">
      <c r="A1476" s="169" t="s">
        <v>3976</v>
      </c>
      <c r="B1476" s="613" t="s">
        <v>3705</v>
      </c>
      <c r="C1476" s="614" t="s">
        <v>1376</v>
      </c>
      <c r="D1476" s="160">
        <v>923.29</v>
      </c>
      <c r="E1476" s="616" t="s">
        <v>3706</v>
      </c>
      <c r="F1476" s="617">
        <v>44151</v>
      </c>
    </row>
    <row r="1477" spans="1:7" x14ac:dyDescent="0.3">
      <c r="A1477" s="169" t="s">
        <v>3977</v>
      </c>
      <c r="B1477" s="613" t="s">
        <v>3707</v>
      </c>
      <c r="C1477" s="614" t="s">
        <v>1376</v>
      </c>
      <c r="D1477" s="160">
        <v>38</v>
      </c>
      <c r="E1477" s="616" t="s">
        <v>3708</v>
      </c>
      <c r="F1477" s="617">
        <v>44151</v>
      </c>
    </row>
    <row r="1478" spans="1:7" x14ac:dyDescent="0.3">
      <c r="A1478" s="169" t="s">
        <v>3978</v>
      </c>
      <c r="B1478" s="613" t="s">
        <v>3709</v>
      </c>
      <c r="C1478" s="614" t="s">
        <v>1376</v>
      </c>
      <c r="D1478" s="160">
        <v>345</v>
      </c>
      <c r="E1478" s="616" t="s">
        <v>3710</v>
      </c>
      <c r="F1478" s="617">
        <v>44151</v>
      </c>
    </row>
    <row r="1479" spans="1:7" x14ac:dyDescent="0.3">
      <c r="A1479" s="169" t="s">
        <v>3979</v>
      </c>
      <c r="B1479" s="613" t="s">
        <v>3711</v>
      </c>
      <c r="C1479" s="614" t="s">
        <v>1376</v>
      </c>
      <c r="D1479" s="160">
        <v>51.48</v>
      </c>
      <c r="E1479" s="616" t="s">
        <v>3700</v>
      </c>
      <c r="F1479" s="617">
        <v>44151</v>
      </c>
    </row>
    <row r="1480" spans="1:7" x14ac:dyDescent="0.3">
      <c r="A1480" s="169" t="s">
        <v>3980</v>
      </c>
      <c r="B1480" s="613" t="s">
        <v>3712</v>
      </c>
      <c r="C1480" s="614" t="s">
        <v>1376</v>
      </c>
      <c r="D1480" s="160">
        <v>310.11</v>
      </c>
      <c r="E1480" s="616" t="s">
        <v>3700</v>
      </c>
      <c r="F1480" s="617">
        <v>44151</v>
      </c>
    </row>
    <row r="1481" spans="1:7" x14ac:dyDescent="0.3">
      <c r="A1481" s="169" t="s">
        <v>3981</v>
      </c>
      <c r="B1481" s="613" t="s">
        <v>3713</v>
      </c>
      <c r="C1481" s="614" t="s">
        <v>1376</v>
      </c>
      <c r="D1481" s="160">
        <v>3199</v>
      </c>
      <c r="E1481" s="616" t="s">
        <v>3714</v>
      </c>
      <c r="F1481" s="617">
        <v>44168</v>
      </c>
    </row>
    <row r="1482" spans="1:7" x14ac:dyDescent="0.3">
      <c r="A1482" s="169" t="s">
        <v>3982</v>
      </c>
      <c r="B1482" s="613" t="s">
        <v>3704</v>
      </c>
      <c r="C1482" s="614" t="s">
        <v>1376</v>
      </c>
      <c r="D1482" s="160">
        <v>588.61</v>
      </c>
      <c r="E1482" s="616" t="s">
        <v>3700</v>
      </c>
      <c r="F1482" s="617">
        <v>44151</v>
      </c>
    </row>
    <row r="1483" spans="1:7" x14ac:dyDescent="0.3">
      <c r="A1483" s="169" t="s">
        <v>3983</v>
      </c>
      <c r="B1483" s="613" t="s">
        <v>3715</v>
      </c>
      <c r="C1483" s="614" t="s">
        <v>1376</v>
      </c>
      <c r="D1483" s="160">
        <v>132.94999999999999</v>
      </c>
      <c r="E1483" s="616" t="s">
        <v>3700</v>
      </c>
      <c r="F1483" s="617">
        <v>44151</v>
      </c>
    </row>
    <row r="1484" spans="1:7" x14ac:dyDescent="0.3">
      <c r="A1484" s="169" t="s">
        <v>3984</v>
      </c>
      <c r="B1484" s="613" t="s">
        <v>3716</v>
      </c>
      <c r="C1484" s="614" t="s">
        <v>1376</v>
      </c>
      <c r="D1484" s="160">
        <v>607.73</v>
      </c>
      <c r="E1484" s="616" t="s">
        <v>3700</v>
      </c>
      <c r="F1484" s="617">
        <v>44151</v>
      </c>
    </row>
    <row r="1485" spans="1:7" x14ac:dyDescent="0.3">
      <c r="A1485" s="169" t="s">
        <v>3985</v>
      </c>
      <c r="B1485" s="613" t="s">
        <v>3717</v>
      </c>
      <c r="C1485" s="614" t="s">
        <v>1376</v>
      </c>
      <c r="D1485" s="160">
        <v>161.45666666666668</v>
      </c>
      <c r="E1485" s="616" t="s">
        <v>3700</v>
      </c>
      <c r="F1485" s="617">
        <v>44151</v>
      </c>
    </row>
    <row r="1486" spans="1:7" x14ac:dyDescent="0.3">
      <c r="A1486" s="169" t="s">
        <v>3986</v>
      </c>
      <c r="B1486" s="613" t="s">
        <v>3718</v>
      </c>
      <c r="C1486" s="614" t="s">
        <v>1376</v>
      </c>
      <c r="D1486" s="160">
        <v>750.68</v>
      </c>
      <c r="E1486" s="616" t="s">
        <v>3700</v>
      </c>
      <c r="F1486" s="617">
        <v>44151</v>
      </c>
    </row>
    <row r="1487" spans="1:7" x14ac:dyDescent="0.3">
      <c r="A1487" s="169" t="s">
        <v>3987</v>
      </c>
      <c r="B1487" s="613" t="s">
        <v>3719</v>
      </c>
      <c r="C1487" s="614" t="s">
        <v>1376</v>
      </c>
      <c r="D1487" s="160">
        <v>437.7</v>
      </c>
      <c r="E1487" s="616" t="s">
        <v>3700</v>
      </c>
      <c r="F1487" s="617">
        <v>44151</v>
      </c>
    </row>
    <row r="1488" spans="1:7" x14ac:dyDescent="0.3">
      <c r="A1488" s="169" t="s">
        <v>3988</v>
      </c>
      <c r="B1488" s="613" t="s">
        <v>3720</v>
      </c>
      <c r="C1488" s="614" t="s">
        <v>1376</v>
      </c>
      <c r="D1488" s="160">
        <v>315.48</v>
      </c>
      <c r="E1488" s="616" t="s">
        <v>3700</v>
      </c>
      <c r="F1488" s="617">
        <v>44151</v>
      </c>
    </row>
    <row r="1489" spans="1:6" x14ac:dyDescent="0.3">
      <c r="A1489" s="169" t="s">
        <v>3989</v>
      </c>
      <c r="B1489" s="613" t="s">
        <v>3721</v>
      </c>
      <c r="C1489" s="614" t="s">
        <v>1376</v>
      </c>
      <c r="D1489" s="160">
        <v>242.61</v>
      </c>
      <c r="E1489" s="616" t="s">
        <v>3700</v>
      </c>
      <c r="F1489" s="617">
        <v>44151</v>
      </c>
    </row>
    <row r="1490" spans="1:6" x14ac:dyDescent="0.3">
      <c r="A1490" s="169" t="s">
        <v>3990</v>
      </c>
      <c r="B1490" s="613" t="s">
        <v>3722</v>
      </c>
      <c r="C1490" s="614" t="s">
        <v>1376</v>
      </c>
      <c r="D1490" s="160">
        <v>157.71</v>
      </c>
      <c r="E1490" s="616" t="s">
        <v>3700</v>
      </c>
      <c r="F1490" s="617">
        <v>44151</v>
      </c>
    </row>
    <row r="1491" spans="1:6" x14ac:dyDescent="0.3">
      <c r="A1491" s="169" t="s">
        <v>3991</v>
      </c>
      <c r="B1491" s="613" t="s">
        <v>3723</v>
      </c>
      <c r="C1491" s="614" t="s">
        <v>1376</v>
      </c>
      <c r="D1491" s="160">
        <v>133.4</v>
      </c>
      <c r="E1491" s="616" t="s">
        <v>3700</v>
      </c>
      <c r="F1491" s="617">
        <v>44151</v>
      </c>
    </row>
    <row r="1492" spans="1:6" x14ac:dyDescent="0.3">
      <c r="A1492" s="169" t="s">
        <v>3992</v>
      </c>
      <c r="B1492" s="613" t="s">
        <v>3724</v>
      </c>
      <c r="C1492" s="614" t="s">
        <v>1376</v>
      </c>
      <c r="D1492" s="160">
        <v>173.46</v>
      </c>
      <c r="E1492" s="616" t="s">
        <v>3700</v>
      </c>
      <c r="F1492" s="617">
        <v>44151</v>
      </c>
    </row>
    <row r="1493" spans="1:6" x14ac:dyDescent="0.3">
      <c r="A1493" s="169" t="s">
        <v>3993</v>
      </c>
      <c r="B1493" s="613" t="s">
        <v>3725</v>
      </c>
      <c r="C1493" s="614" t="s">
        <v>1376</v>
      </c>
      <c r="D1493" s="160">
        <v>35.839999999999996</v>
      </c>
      <c r="E1493" s="616" t="s">
        <v>3700</v>
      </c>
      <c r="F1493" s="617">
        <v>44151</v>
      </c>
    </row>
    <row r="1494" spans="1:6" x14ac:dyDescent="0.3">
      <c r="A1494" s="169" t="s">
        <v>3994</v>
      </c>
      <c r="B1494" s="613" t="s">
        <v>3726</v>
      </c>
      <c r="C1494" s="614" t="s">
        <v>1376</v>
      </c>
      <c r="D1494" s="160">
        <v>22.91</v>
      </c>
      <c r="E1494" s="616" t="s">
        <v>3700</v>
      </c>
      <c r="F1494" s="617">
        <v>44151</v>
      </c>
    </row>
    <row r="1495" spans="1:6" x14ac:dyDescent="0.3">
      <c r="A1495" s="169" t="s">
        <v>3995</v>
      </c>
      <c r="B1495" s="613" t="s">
        <v>3727</v>
      </c>
      <c r="C1495" s="614" t="s">
        <v>1376</v>
      </c>
      <c r="D1495" s="160">
        <v>233.92</v>
      </c>
      <c r="E1495" s="616" t="s">
        <v>3700</v>
      </c>
      <c r="F1495" s="617">
        <v>44151</v>
      </c>
    </row>
    <row r="1496" spans="1:6" x14ac:dyDescent="0.3">
      <c r="A1496" s="169" t="s">
        <v>3996</v>
      </c>
      <c r="B1496" s="613" t="s">
        <v>3728</v>
      </c>
      <c r="C1496" s="614" t="s">
        <v>1376</v>
      </c>
      <c r="D1496" s="160">
        <v>99.49</v>
      </c>
      <c r="E1496" s="616" t="s">
        <v>3700</v>
      </c>
      <c r="F1496" s="617">
        <v>44151</v>
      </c>
    </row>
    <row r="1497" spans="1:6" x14ac:dyDescent="0.3">
      <c r="A1497" s="169" t="s">
        <v>3997</v>
      </c>
      <c r="B1497" s="613" t="s">
        <v>3729</v>
      </c>
      <c r="C1497" s="614" t="s">
        <v>1376</v>
      </c>
      <c r="D1497" s="160">
        <v>322.86</v>
      </c>
      <c r="E1497" s="616" t="s">
        <v>3700</v>
      </c>
      <c r="F1497" s="617">
        <v>44151</v>
      </c>
    </row>
    <row r="1498" spans="1:6" x14ac:dyDescent="0.3">
      <c r="A1498" s="169" t="s">
        <v>3998</v>
      </c>
      <c r="B1498" s="613" t="s">
        <v>3730</v>
      </c>
      <c r="C1498" s="614" t="s">
        <v>1376</v>
      </c>
      <c r="D1498" s="160">
        <v>450</v>
      </c>
      <c r="E1498" s="616" t="s">
        <v>3731</v>
      </c>
      <c r="F1498" s="617">
        <v>44151</v>
      </c>
    </row>
    <row r="1499" spans="1:6" x14ac:dyDescent="0.3">
      <c r="A1499" s="169" t="s">
        <v>3999</v>
      </c>
      <c r="B1499" s="613" t="s">
        <v>3732</v>
      </c>
      <c r="C1499" s="614" t="s">
        <v>1376</v>
      </c>
      <c r="D1499" s="160">
        <v>450</v>
      </c>
      <c r="E1499" s="616" t="s">
        <v>3731</v>
      </c>
      <c r="F1499" s="617">
        <v>44151</v>
      </c>
    </row>
    <row r="1500" spans="1:6" x14ac:dyDescent="0.3">
      <c r="A1500" s="169" t="s">
        <v>4000</v>
      </c>
      <c r="B1500" s="613" t="s">
        <v>3733</v>
      </c>
      <c r="C1500" s="614" t="s">
        <v>1376</v>
      </c>
      <c r="D1500" s="160">
        <v>183.88</v>
      </c>
      <c r="E1500" s="616" t="s">
        <v>3700</v>
      </c>
      <c r="F1500" s="617">
        <v>44151</v>
      </c>
    </row>
    <row r="1501" spans="1:6" x14ac:dyDescent="0.3">
      <c r="A1501" s="169" t="s">
        <v>4001</v>
      </c>
      <c r="B1501" s="613" t="s">
        <v>3734</v>
      </c>
      <c r="C1501" s="614" t="s">
        <v>1376</v>
      </c>
      <c r="D1501" s="160">
        <v>141.42500000000001</v>
      </c>
      <c r="E1501" s="616" t="s">
        <v>3700</v>
      </c>
      <c r="F1501" s="617">
        <v>44151</v>
      </c>
    </row>
    <row r="1502" spans="1:6" x14ac:dyDescent="0.3">
      <c r="A1502" s="169" t="s">
        <v>4002</v>
      </c>
      <c r="B1502" s="613" t="s">
        <v>3735</v>
      </c>
      <c r="C1502" s="614" t="s">
        <v>1376</v>
      </c>
      <c r="D1502" s="160">
        <v>297.29500000000002</v>
      </c>
      <c r="E1502" s="616" t="s">
        <v>3700</v>
      </c>
      <c r="F1502" s="617">
        <v>44151</v>
      </c>
    </row>
    <row r="1503" spans="1:6" x14ac:dyDescent="0.3">
      <c r="A1503" s="169" t="s">
        <v>4003</v>
      </c>
      <c r="B1503" s="613" t="s">
        <v>3736</v>
      </c>
      <c r="C1503" s="614" t="s">
        <v>1376</v>
      </c>
      <c r="D1503" s="160">
        <v>228.655</v>
      </c>
      <c r="E1503" s="616" t="s">
        <v>3700</v>
      </c>
      <c r="F1503" s="617">
        <v>44151</v>
      </c>
    </row>
    <row r="1504" spans="1:6" x14ac:dyDescent="0.3">
      <c r="A1504" s="169" t="s">
        <v>4004</v>
      </c>
      <c r="B1504" s="613" t="s">
        <v>3737</v>
      </c>
      <c r="C1504" s="614" t="s">
        <v>1376</v>
      </c>
      <c r="D1504" s="160">
        <v>25.69</v>
      </c>
      <c r="E1504" s="616" t="s">
        <v>3700</v>
      </c>
      <c r="F1504" s="617">
        <v>44151</v>
      </c>
    </row>
    <row r="1505" spans="1:6" x14ac:dyDescent="0.3">
      <c r="A1505" s="169" t="s">
        <v>4005</v>
      </c>
      <c r="B1505" s="613" t="s">
        <v>3738</v>
      </c>
      <c r="C1505" s="614" t="s">
        <v>1376</v>
      </c>
      <c r="D1505" s="160">
        <v>355.03</v>
      </c>
      <c r="E1505" s="616" t="s">
        <v>3700</v>
      </c>
      <c r="F1505" s="617">
        <v>44151</v>
      </c>
    </row>
    <row r="1506" spans="1:6" x14ac:dyDescent="0.3">
      <c r="A1506" s="169" t="s">
        <v>4006</v>
      </c>
      <c r="B1506" s="613" t="s">
        <v>3739</v>
      </c>
      <c r="C1506" s="614" t="s">
        <v>1376</v>
      </c>
      <c r="D1506" s="160">
        <v>228.67</v>
      </c>
      <c r="E1506" s="616" t="s">
        <v>3700</v>
      </c>
      <c r="F1506" s="617">
        <v>44151</v>
      </c>
    </row>
    <row r="1507" spans="1:6" x14ac:dyDescent="0.3">
      <c r="A1507" s="169" t="s">
        <v>4007</v>
      </c>
      <c r="B1507" s="613" t="s">
        <v>3740</v>
      </c>
      <c r="C1507" s="614" t="s">
        <v>1376</v>
      </c>
      <c r="D1507" s="160">
        <v>237.71</v>
      </c>
      <c r="E1507" s="616" t="s">
        <v>3700</v>
      </c>
      <c r="F1507" s="617">
        <v>44151</v>
      </c>
    </row>
    <row r="1508" spans="1:6" x14ac:dyDescent="0.3">
      <c r="A1508" s="169" t="s">
        <v>4008</v>
      </c>
      <c r="B1508" s="613" t="s">
        <v>3741</v>
      </c>
      <c r="C1508" s="614" t="s">
        <v>1376</v>
      </c>
      <c r="D1508" s="160">
        <v>410.38666666666671</v>
      </c>
      <c r="E1508" s="616" t="s">
        <v>3700</v>
      </c>
      <c r="F1508" s="617">
        <v>44151</v>
      </c>
    </row>
    <row r="1509" spans="1:6" x14ac:dyDescent="0.3">
      <c r="A1509" s="169" t="s">
        <v>4009</v>
      </c>
      <c r="B1509" s="613" t="s">
        <v>3742</v>
      </c>
      <c r="C1509" s="614" t="s">
        <v>1376</v>
      </c>
      <c r="D1509" s="160">
        <v>533.57000000000005</v>
      </c>
      <c r="E1509" s="616" t="s">
        <v>3700</v>
      </c>
      <c r="F1509" s="617">
        <v>44151</v>
      </c>
    </row>
    <row r="1510" spans="1:6" x14ac:dyDescent="0.3">
      <c r="A1510" s="169" t="s">
        <v>4010</v>
      </c>
      <c r="B1510" s="613" t="s">
        <v>3743</v>
      </c>
      <c r="C1510" s="614" t="s">
        <v>1376</v>
      </c>
      <c r="D1510" s="160">
        <v>461.62</v>
      </c>
      <c r="E1510" s="616" t="s">
        <v>3700</v>
      </c>
      <c r="F1510" s="617">
        <v>44151</v>
      </c>
    </row>
    <row r="1511" spans="1:6" x14ac:dyDescent="0.3">
      <c r="A1511" s="169" t="s">
        <v>4011</v>
      </c>
      <c r="B1511" s="613" t="s">
        <v>3744</v>
      </c>
      <c r="C1511" s="614" t="s">
        <v>1376</v>
      </c>
      <c r="D1511" s="160">
        <v>450</v>
      </c>
      <c r="E1511" s="616" t="s">
        <v>3731</v>
      </c>
      <c r="F1511" s="617">
        <v>44151</v>
      </c>
    </row>
    <row r="1512" spans="1:6" x14ac:dyDescent="0.3">
      <c r="A1512" s="169" t="s">
        <v>4012</v>
      </c>
      <c r="B1512" s="613" t="s">
        <v>3745</v>
      </c>
      <c r="C1512" s="614" t="s">
        <v>1376</v>
      </c>
      <c r="D1512" s="160">
        <v>450</v>
      </c>
      <c r="E1512" s="616" t="s">
        <v>3731</v>
      </c>
      <c r="F1512" s="617">
        <v>44151</v>
      </c>
    </row>
    <row r="1513" spans="1:6" x14ac:dyDescent="0.3">
      <c r="A1513" s="169" t="s">
        <v>4013</v>
      </c>
      <c r="B1513" s="613" t="s">
        <v>3746</v>
      </c>
      <c r="C1513" s="614" t="s">
        <v>1376</v>
      </c>
      <c r="D1513" s="160">
        <v>461.62</v>
      </c>
      <c r="E1513" s="616" t="s">
        <v>3700</v>
      </c>
      <c r="F1513" s="617">
        <v>44151</v>
      </c>
    </row>
    <row r="1514" spans="1:6" x14ac:dyDescent="0.3">
      <c r="A1514" s="169" t="s">
        <v>4014</v>
      </c>
      <c r="B1514" s="613" t="s">
        <v>3747</v>
      </c>
      <c r="C1514" s="614" t="s">
        <v>1376</v>
      </c>
      <c r="D1514" s="160">
        <v>37.53</v>
      </c>
      <c r="E1514" s="616" t="s">
        <v>3708</v>
      </c>
      <c r="F1514" s="617">
        <v>44151</v>
      </c>
    </row>
    <row r="1515" spans="1:6" x14ac:dyDescent="0.3">
      <c r="A1515" s="169" t="s">
        <v>4015</v>
      </c>
      <c r="B1515" s="613" t="s">
        <v>3748</v>
      </c>
      <c r="C1515" s="614" t="s">
        <v>1376</v>
      </c>
      <c r="D1515" s="160">
        <v>33</v>
      </c>
      <c r="E1515" s="616" t="s">
        <v>3708</v>
      </c>
      <c r="F1515" s="617">
        <v>44151</v>
      </c>
    </row>
    <row r="1516" spans="1:6" x14ac:dyDescent="0.3">
      <c r="A1516" s="169" t="s">
        <v>4016</v>
      </c>
      <c r="B1516" s="613" t="s">
        <v>3749</v>
      </c>
      <c r="C1516" s="614" t="s">
        <v>1376</v>
      </c>
      <c r="D1516" s="160">
        <v>33</v>
      </c>
      <c r="E1516" s="616" t="s">
        <v>3708</v>
      </c>
      <c r="F1516" s="617">
        <v>44151</v>
      </c>
    </row>
    <row r="1517" spans="1:6" x14ac:dyDescent="0.3">
      <c r="A1517" s="169" t="s">
        <v>4017</v>
      </c>
      <c r="B1517" s="613" t="s">
        <v>3750</v>
      </c>
      <c r="C1517" s="614" t="s">
        <v>1376</v>
      </c>
      <c r="D1517" s="160">
        <v>332.75</v>
      </c>
      <c r="E1517" s="616" t="s">
        <v>3700</v>
      </c>
      <c r="F1517" s="617">
        <v>44151</v>
      </c>
    </row>
    <row r="1518" spans="1:6" x14ac:dyDescent="0.3">
      <c r="A1518" s="169" t="s">
        <v>4018</v>
      </c>
      <c r="B1518" s="613" t="s">
        <v>3751</v>
      </c>
      <c r="C1518" s="614" t="s">
        <v>1376</v>
      </c>
      <c r="D1518" s="160">
        <v>103.29</v>
      </c>
      <c r="E1518" s="616" t="s">
        <v>3700</v>
      </c>
      <c r="F1518" s="617">
        <v>44151</v>
      </c>
    </row>
    <row r="1519" spans="1:6" x14ac:dyDescent="0.3">
      <c r="A1519" s="169" t="s">
        <v>4019</v>
      </c>
      <c r="B1519" s="613" t="s">
        <v>3752</v>
      </c>
      <c r="C1519" s="614" t="s">
        <v>1376</v>
      </c>
      <c r="D1519" s="160">
        <v>105.75624999999999</v>
      </c>
      <c r="E1519" s="616" t="s">
        <v>3700</v>
      </c>
      <c r="F1519" s="617">
        <v>44151</v>
      </c>
    </row>
    <row r="1520" spans="1:6" x14ac:dyDescent="0.3">
      <c r="A1520" s="169" t="s">
        <v>4020</v>
      </c>
      <c r="B1520" s="613" t="s">
        <v>3753</v>
      </c>
      <c r="C1520" s="614" t="s">
        <v>1376</v>
      </c>
      <c r="D1520" s="160">
        <v>123.595</v>
      </c>
      <c r="E1520" s="616" t="s">
        <v>3700</v>
      </c>
      <c r="F1520" s="617">
        <v>44151</v>
      </c>
    </row>
    <row r="1521" spans="1:6" x14ac:dyDescent="0.3">
      <c r="A1521" s="169" t="s">
        <v>4021</v>
      </c>
      <c r="B1521" s="613" t="s">
        <v>3754</v>
      </c>
      <c r="C1521" s="614" t="s">
        <v>1376</v>
      </c>
      <c r="D1521" s="160">
        <v>26.53</v>
      </c>
      <c r="E1521" s="616" t="s">
        <v>3700</v>
      </c>
      <c r="F1521" s="617">
        <v>44151</v>
      </c>
    </row>
    <row r="1522" spans="1:6" x14ac:dyDescent="0.3">
      <c r="A1522" s="169" t="s">
        <v>4022</v>
      </c>
      <c r="B1522" s="613" t="s">
        <v>3755</v>
      </c>
      <c r="C1522" s="614" t="s">
        <v>1376</v>
      </c>
      <c r="D1522" s="160">
        <v>501.1</v>
      </c>
      <c r="E1522" s="616" t="s">
        <v>3756</v>
      </c>
      <c r="F1522" s="617">
        <v>44162</v>
      </c>
    </row>
    <row r="1523" spans="1:6" x14ac:dyDescent="0.3">
      <c r="A1523" s="169" t="s">
        <v>4023</v>
      </c>
      <c r="B1523" s="613" t="s">
        <v>3757</v>
      </c>
      <c r="C1523" s="614" t="s">
        <v>1376</v>
      </c>
      <c r="D1523" s="160">
        <v>168</v>
      </c>
      <c r="E1523" s="616" t="s">
        <v>3758</v>
      </c>
      <c r="F1523" s="617">
        <v>44168</v>
      </c>
    </row>
    <row r="1524" spans="1:6" x14ac:dyDescent="0.3">
      <c r="A1524" s="169" t="s">
        <v>4024</v>
      </c>
      <c r="B1524" s="613" t="s">
        <v>3759</v>
      </c>
      <c r="C1524" s="614" t="s">
        <v>1376</v>
      </c>
      <c r="D1524" s="160">
        <v>35.67</v>
      </c>
      <c r="E1524" s="616" t="s">
        <v>3708</v>
      </c>
      <c r="F1524" s="617">
        <v>44151</v>
      </c>
    </row>
    <row r="1525" spans="1:6" x14ac:dyDescent="0.3">
      <c r="A1525" s="169" t="s">
        <v>4025</v>
      </c>
      <c r="B1525" s="613" t="s">
        <v>3760</v>
      </c>
      <c r="C1525" s="614" t="s">
        <v>1376</v>
      </c>
      <c r="D1525" s="160">
        <v>185.73</v>
      </c>
      <c r="E1525" s="616" t="s">
        <v>3761</v>
      </c>
      <c r="F1525" s="617">
        <v>44151</v>
      </c>
    </row>
    <row r="1526" spans="1:6" x14ac:dyDescent="0.3">
      <c r="A1526" s="169" t="s">
        <v>4026</v>
      </c>
      <c r="B1526" s="626" t="s">
        <v>3762</v>
      </c>
      <c r="C1526" s="614" t="s">
        <v>1376</v>
      </c>
      <c r="D1526" s="160">
        <v>0</v>
      </c>
      <c r="E1526" s="616"/>
      <c r="F1526" s="617">
        <v>44151</v>
      </c>
    </row>
    <row r="1527" spans="1:6" x14ac:dyDescent="0.3">
      <c r="A1527" s="169" t="s">
        <v>4027</v>
      </c>
      <c r="B1527" s="613" t="s">
        <v>3763</v>
      </c>
      <c r="C1527" s="614" t="s">
        <v>1376</v>
      </c>
      <c r="D1527" s="160">
        <v>4836</v>
      </c>
      <c r="E1527" s="616" t="s">
        <v>3731</v>
      </c>
      <c r="F1527" s="617">
        <v>44151</v>
      </c>
    </row>
    <row r="1528" spans="1:6" x14ac:dyDescent="0.3">
      <c r="A1528" s="169" t="s">
        <v>4028</v>
      </c>
      <c r="B1528" s="613" t="s">
        <v>3764</v>
      </c>
      <c r="C1528" s="614" t="s">
        <v>1376</v>
      </c>
      <c r="D1528" s="160">
        <v>9520</v>
      </c>
      <c r="E1528" s="616" t="s">
        <v>3731</v>
      </c>
      <c r="F1528" s="617">
        <v>44151</v>
      </c>
    </row>
    <row r="1529" spans="1:6" x14ac:dyDescent="0.3">
      <c r="A1529" s="169" t="s">
        <v>4029</v>
      </c>
      <c r="B1529" s="613" t="s">
        <v>3765</v>
      </c>
      <c r="C1529" s="614" t="s">
        <v>1376</v>
      </c>
      <c r="D1529" s="160">
        <v>2964</v>
      </c>
      <c r="E1529" s="616" t="s">
        <v>3731</v>
      </c>
      <c r="F1529" s="617">
        <v>44151</v>
      </c>
    </row>
    <row r="1530" spans="1:6" x14ac:dyDescent="0.3">
      <c r="A1530" s="169" t="s">
        <v>4030</v>
      </c>
      <c r="B1530" s="613" t="s">
        <v>3766</v>
      </c>
      <c r="C1530" s="614" t="s">
        <v>1376</v>
      </c>
      <c r="D1530" s="160">
        <v>5070</v>
      </c>
      <c r="E1530" s="616" t="s">
        <v>3731</v>
      </c>
      <c r="F1530" s="617">
        <v>44151</v>
      </c>
    </row>
    <row r="1531" spans="1:6" x14ac:dyDescent="0.3">
      <c r="A1531" s="169" t="s">
        <v>4031</v>
      </c>
      <c r="B1531" s="613" t="s">
        <v>3767</v>
      </c>
      <c r="C1531" s="614" t="s">
        <v>1376</v>
      </c>
      <c r="D1531" s="160">
        <v>1794</v>
      </c>
      <c r="E1531" s="616" t="s">
        <v>3731</v>
      </c>
      <c r="F1531" s="617">
        <v>44151</v>
      </c>
    </row>
    <row r="1532" spans="1:6" x14ac:dyDescent="0.3">
      <c r="A1532" s="169" t="s">
        <v>4032</v>
      </c>
      <c r="B1532" s="613" t="s">
        <v>3768</v>
      </c>
      <c r="C1532" s="614" t="s">
        <v>1376</v>
      </c>
      <c r="D1532" s="160">
        <v>546</v>
      </c>
      <c r="E1532" s="616" t="s">
        <v>3731</v>
      </c>
      <c r="F1532" s="617">
        <v>44151</v>
      </c>
    </row>
    <row r="1533" spans="1:6" x14ac:dyDescent="0.3">
      <c r="A1533" s="169" t="s">
        <v>4033</v>
      </c>
      <c r="B1533" s="613" t="s">
        <v>3769</v>
      </c>
      <c r="C1533" s="614" t="s">
        <v>1376</v>
      </c>
      <c r="D1533" s="160">
        <v>6786</v>
      </c>
      <c r="E1533" s="616" t="s">
        <v>3731</v>
      </c>
      <c r="F1533" s="617">
        <v>44151</v>
      </c>
    </row>
    <row r="1534" spans="1:6" x14ac:dyDescent="0.3">
      <c r="A1534" s="169" t="s">
        <v>4034</v>
      </c>
      <c r="B1534" s="613" t="s">
        <v>3770</v>
      </c>
      <c r="C1534" s="614" t="s">
        <v>1376</v>
      </c>
      <c r="D1534" s="160">
        <v>5460</v>
      </c>
      <c r="E1534" s="616" t="s">
        <v>3731</v>
      </c>
      <c r="F1534" s="617">
        <v>44151</v>
      </c>
    </row>
    <row r="1535" spans="1:6" x14ac:dyDescent="0.3">
      <c r="A1535" s="169" t="s">
        <v>4035</v>
      </c>
      <c r="B1535" s="613" t="s">
        <v>3771</v>
      </c>
      <c r="C1535" s="614" t="s">
        <v>1376</v>
      </c>
      <c r="D1535" s="160">
        <v>7176</v>
      </c>
      <c r="E1535" s="616" t="s">
        <v>3731</v>
      </c>
      <c r="F1535" s="617">
        <v>44151</v>
      </c>
    </row>
    <row r="1536" spans="1:6" x14ac:dyDescent="0.3">
      <c r="A1536" s="169" t="s">
        <v>4036</v>
      </c>
      <c r="B1536" s="613" t="s">
        <v>3772</v>
      </c>
      <c r="C1536" s="614" t="s">
        <v>1376</v>
      </c>
      <c r="D1536" s="160">
        <v>253.5</v>
      </c>
      <c r="E1536" s="616" t="s">
        <v>3773</v>
      </c>
      <c r="F1536" s="617">
        <v>44169</v>
      </c>
    </row>
    <row r="1537" spans="1:7" x14ac:dyDescent="0.3">
      <c r="A1537" s="169" t="s">
        <v>4037</v>
      </c>
      <c r="B1537" s="613" t="s">
        <v>3774</v>
      </c>
      <c r="C1537" s="614" t="s">
        <v>1376</v>
      </c>
      <c r="D1537" s="160">
        <v>661.91666666666674</v>
      </c>
      <c r="E1537" s="616"/>
      <c r="F1537" s="617">
        <v>44151</v>
      </c>
    </row>
    <row r="1538" spans="1:7" x14ac:dyDescent="0.3">
      <c r="A1538" s="169" t="s">
        <v>4038</v>
      </c>
      <c r="B1538" s="613" t="s">
        <v>3775</v>
      </c>
      <c r="C1538" s="614" t="s">
        <v>1376</v>
      </c>
      <c r="D1538" s="160">
        <v>250.63000000000002</v>
      </c>
      <c r="E1538" s="616" t="s">
        <v>3773</v>
      </c>
      <c r="F1538" s="617">
        <v>44169</v>
      </c>
    </row>
    <row r="1539" spans="1:7" x14ac:dyDescent="0.3">
      <c r="A1539" s="169" t="s">
        <v>4039</v>
      </c>
      <c r="B1539" s="613" t="s">
        <v>3776</v>
      </c>
      <c r="C1539" s="614" t="s">
        <v>29</v>
      </c>
      <c r="D1539" s="160">
        <v>213900</v>
      </c>
      <c r="E1539" s="616" t="s">
        <v>3471</v>
      </c>
      <c r="F1539" s="617">
        <v>44161</v>
      </c>
    </row>
    <row r="1540" spans="1:7" x14ac:dyDescent="0.3">
      <c r="A1540" s="169" t="s">
        <v>4040</v>
      </c>
      <c r="B1540" s="613" t="s">
        <v>3777</v>
      </c>
      <c r="C1540" s="614" t="s">
        <v>3778</v>
      </c>
      <c r="D1540" s="160">
        <v>82.5</v>
      </c>
      <c r="E1540" s="616" t="s">
        <v>3064</v>
      </c>
      <c r="F1540" s="617">
        <v>44147</v>
      </c>
    </row>
    <row r="1541" spans="1:7" x14ac:dyDescent="0.3">
      <c r="A1541" s="169" t="s">
        <v>4041</v>
      </c>
      <c r="B1541" s="156" t="s">
        <v>7268</v>
      </c>
      <c r="C1541" s="163" t="s">
        <v>89</v>
      </c>
      <c r="D1541" s="160">
        <v>3.5</v>
      </c>
      <c r="E1541" s="165" t="s">
        <v>7027</v>
      </c>
      <c r="F1541" s="617">
        <v>44614</v>
      </c>
      <c r="G1541" s="166"/>
    </row>
    <row r="1542" spans="1:7" x14ac:dyDescent="0.3">
      <c r="A1542" s="169" t="s">
        <v>4042</v>
      </c>
      <c r="B1542" s="156" t="s">
        <v>7469</v>
      </c>
      <c r="C1542" s="163" t="s">
        <v>3238</v>
      </c>
      <c r="D1542" s="160">
        <v>1</v>
      </c>
      <c r="E1542" s="165" t="s">
        <v>7458</v>
      </c>
      <c r="F1542" s="159" t="s">
        <v>7041</v>
      </c>
      <c r="G1542" s="166">
        <v>44650</v>
      </c>
    </row>
    <row r="1543" spans="1:7" x14ac:dyDescent="0.3">
      <c r="A1543" s="169" t="s">
        <v>4043</v>
      </c>
      <c r="B1543" s="156"/>
      <c r="C1543" s="163"/>
      <c r="D1543" s="160">
        <v>0</v>
      </c>
      <c r="E1543" s="165"/>
      <c r="F1543" s="159" t="s">
        <v>7041</v>
      </c>
      <c r="G1543" s="166"/>
    </row>
    <row r="1544" spans="1:7" x14ac:dyDescent="0.3">
      <c r="A1544" s="169" t="s">
        <v>4044</v>
      </c>
      <c r="B1544" s="156"/>
      <c r="C1544" s="163"/>
      <c r="D1544" s="160">
        <v>0</v>
      </c>
      <c r="E1544" s="165"/>
      <c r="F1544" s="159" t="s">
        <v>7041</v>
      </c>
      <c r="G1544" s="166"/>
    </row>
    <row r="1545" spans="1:7" x14ac:dyDescent="0.3">
      <c r="A1545" s="169" t="s">
        <v>4045</v>
      </c>
      <c r="B1545" s="156"/>
      <c r="C1545" s="163"/>
      <c r="D1545" s="160">
        <v>0</v>
      </c>
      <c r="E1545" s="165"/>
      <c r="F1545" s="159" t="s">
        <v>7041</v>
      </c>
      <c r="G1545" s="166"/>
    </row>
    <row r="1546" spans="1:7" x14ac:dyDescent="0.3">
      <c r="A1546" s="169" t="s">
        <v>4046</v>
      </c>
      <c r="B1546" s="156"/>
      <c r="C1546" s="163"/>
      <c r="D1546" s="160">
        <v>0</v>
      </c>
      <c r="E1546" s="165"/>
      <c r="F1546" s="159" t="s">
        <v>7041</v>
      </c>
      <c r="G1546" s="166">
        <v>44650</v>
      </c>
    </row>
    <row r="1547" spans="1:7" x14ac:dyDescent="0.3">
      <c r="A1547" s="169" t="s">
        <v>4047</v>
      </c>
      <c r="B1547" s="156"/>
      <c r="C1547" s="163"/>
      <c r="D1547" s="160">
        <v>0</v>
      </c>
      <c r="E1547" s="165"/>
      <c r="F1547" s="159" t="s">
        <v>7041</v>
      </c>
      <c r="G1547" s="166"/>
    </row>
    <row r="1548" spans="1:7" x14ac:dyDescent="0.3">
      <c r="A1548" s="169" t="s">
        <v>4048</v>
      </c>
      <c r="B1548" s="156"/>
      <c r="C1548" s="163"/>
      <c r="D1548" s="160">
        <v>0</v>
      </c>
      <c r="E1548" s="165"/>
      <c r="F1548" s="159" t="s">
        <v>7041</v>
      </c>
      <c r="G1548" s="166"/>
    </row>
    <row r="1549" spans="1:7" x14ac:dyDescent="0.3">
      <c r="A1549" s="169" t="s">
        <v>4049</v>
      </c>
      <c r="B1549" s="156"/>
      <c r="C1549" s="163"/>
      <c r="D1549" s="160">
        <v>0</v>
      </c>
      <c r="E1549" s="165"/>
      <c r="F1549" s="159" t="s">
        <v>7041</v>
      </c>
      <c r="G1549" s="166"/>
    </row>
    <row r="1550" spans="1:7" x14ac:dyDescent="0.3">
      <c r="A1550" s="169" t="s">
        <v>4050</v>
      </c>
      <c r="B1550" s="613" t="s">
        <v>3779</v>
      </c>
      <c r="C1550" s="614" t="s">
        <v>73</v>
      </c>
      <c r="D1550" s="160">
        <v>80</v>
      </c>
      <c r="E1550" s="616" t="s">
        <v>3780</v>
      </c>
      <c r="F1550" s="617">
        <v>44161</v>
      </c>
    </row>
    <row r="1551" spans="1:7" x14ac:dyDescent="0.3">
      <c r="A1551" s="169" t="s">
        <v>4051</v>
      </c>
      <c r="B1551" s="613" t="s">
        <v>3781</v>
      </c>
      <c r="C1551" s="614" t="s">
        <v>1376</v>
      </c>
      <c r="D1551" s="160">
        <v>38408</v>
      </c>
      <c r="E1551" s="616" t="s">
        <v>2335</v>
      </c>
      <c r="F1551" s="617">
        <v>44151</v>
      </c>
    </row>
    <row r="1552" spans="1:7" x14ac:dyDescent="0.3">
      <c r="A1552" s="169" t="s">
        <v>4052</v>
      </c>
      <c r="B1552" s="613" t="s">
        <v>3782</v>
      </c>
      <c r="C1552" s="614" t="s">
        <v>1376</v>
      </c>
      <c r="D1552" s="160">
        <v>5068</v>
      </c>
      <c r="E1552" s="616" t="s">
        <v>2335</v>
      </c>
      <c r="F1552" s="617">
        <v>44151</v>
      </c>
    </row>
    <row r="1553" spans="1:6" x14ac:dyDescent="0.3">
      <c r="A1553" s="169" t="s">
        <v>4053</v>
      </c>
      <c r="B1553" s="613" t="s">
        <v>3783</v>
      </c>
      <c r="C1553" s="614" t="s">
        <v>1376</v>
      </c>
      <c r="D1553" s="160">
        <v>13549</v>
      </c>
      <c r="E1553" s="616" t="s">
        <v>3784</v>
      </c>
      <c r="F1553" s="617">
        <v>44151</v>
      </c>
    </row>
    <row r="1554" spans="1:6" x14ac:dyDescent="0.3">
      <c r="A1554" s="169" t="s">
        <v>4054</v>
      </c>
      <c r="B1554" s="613" t="s">
        <v>3785</v>
      </c>
      <c r="C1554" s="614" t="s">
        <v>29</v>
      </c>
      <c r="D1554" s="160">
        <v>7000</v>
      </c>
      <c r="E1554" s="616" t="s">
        <v>2335</v>
      </c>
      <c r="F1554" s="617">
        <v>44151</v>
      </c>
    </row>
    <row r="1555" spans="1:6" x14ac:dyDescent="0.3">
      <c r="A1555" s="169" t="s">
        <v>4055</v>
      </c>
      <c r="B1555" s="613" t="s">
        <v>3786</v>
      </c>
      <c r="C1555" s="614" t="s">
        <v>72</v>
      </c>
      <c r="D1555" s="160">
        <v>30.411000000000001</v>
      </c>
      <c r="E1555" s="616" t="s">
        <v>3510</v>
      </c>
      <c r="F1555" s="617">
        <v>44151</v>
      </c>
    </row>
    <row r="1556" spans="1:6" x14ac:dyDescent="0.3">
      <c r="A1556" s="169" t="s">
        <v>4056</v>
      </c>
      <c r="B1556" s="613" t="s">
        <v>3787</v>
      </c>
      <c r="C1556" s="614" t="s">
        <v>72</v>
      </c>
      <c r="D1556" s="160">
        <v>53.379000000000005</v>
      </c>
      <c r="E1556" s="616" t="s">
        <v>3510</v>
      </c>
      <c r="F1556" s="617">
        <v>44151</v>
      </c>
    </row>
    <row r="1557" spans="1:6" x14ac:dyDescent="0.3">
      <c r="A1557" s="169" t="s">
        <v>4057</v>
      </c>
      <c r="B1557" s="613" t="s">
        <v>3788</v>
      </c>
      <c r="C1557" s="614" t="s">
        <v>3789</v>
      </c>
      <c r="D1557" s="160">
        <v>28.41</v>
      </c>
      <c r="E1557" s="616" t="s">
        <v>3072</v>
      </c>
      <c r="F1557" s="617">
        <v>44151</v>
      </c>
    </row>
    <row r="1558" spans="1:6" x14ac:dyDescent="0.3">
      <c r="A1558" s="169" t="s">
        <v>4058</v>
      </c>
      <c r="B1558" s="613" t="s">
        <v>3790</v>
      </c>
      <c r="C1558" s="614" t="s">
        <v>1376</v>
      </c>
      <c r="D1558" s="160">
        <v>42</v>
      </c>
      <c r="E1558" s="616" t="s">
        <v>3072</v>
      </c>
      <c r="F1558" s="617">
        <v>44151</v>
      </c>
    </row>
    <row r="1559" spans="1:6" x14ac:dyDescent="0.3">
      <c r="A1559" s="169" t="s">
        <v>4059</v>
      </c>
      <c r="B1559" s="613" t="s">
        <v>3791</v>
      </c>
      <c r="C1559" s="614" t="s">
        <v>73</v>
      </c>
      <c r="D1559" s="160">
        <v>58</v>
      </c>
      <c r="E1559" s="616" t="s">
        <v>3792</v>
      </c>
      <c r="F1559" s="617">
        <v>44209</v>
      </c>
    </row>
    <row r="1560" spans="1:6" x14ac:dyDescent="0.3">
      <c r="A1560" s="169" t="s">
        <v>4060</v>
      </c>
      <c r="B1560" s="613" t="s">
        <v>3793</v>
      </c>
      <c r="C1560" s="614" t="s">
        <v>73</v>
      </c>
      <c r="D1560" s="160">
        <v>15.2</v>
      </c>
      <c r="E1560" s="616" t="s">
        <v>3792</v>
      </c>
      <c r="F1560" s="617">
        <v>44154</v>
      </c>
    </row>
    <row r="1561" spans="1:6" x14ac:dyDescent="0.3">
      <c r="A1561" s="169" t="s">
        <v>4061</v>
      </c>
      <c r="B1561" s="613" t="s">
        <v>3794</v>
      </c>
      <c r="C1561" s="614" t="s">
        <v>73</v>
      </c>
      <c r="D1561" s="160">
        <v>12</v>
      </c>
      <c r="E1561" s="616" t="s">
        <v>3792</v>
      </c>
      <c r="F1561" s="617">
        <v>44154</v>
      </c>
    </row>
    <row r="1562" spans="1:6" x14ac:dyDescent="0.3">
      <c r="A1562" s="169" t="s">
        <v>4062</v>
      </c>
      <c r="B1562" s="613" t="s">
        <v>3795</v>
      </c>
      <c r="C1562" s="614" t="s">
        <v>1389</v>
      </c>
      <c r="D1562" s="160">
        <v>110</v>
      </c>
      <c r="E1562" s="616" t="s">
        <v>3064</v>
      </c>
      <c r="F1562" s="617">
        <v>44154</v>
      </c>
    </row>
    <row r="1563" spans="1:6" x14ac:dyDescent="0.3">
      <c r="A1563" s="169" t="s">
        <v>4063</v>
      </c>
      <c r="B1563" s="613" t="s">
        <v>3796</v>
      </c>
      <c r="C1563" s="614" t="s">
        <v>73</v>
      </c>
      <c r="D1563" s="160">
        <v>520</v>
      </c>
      <c r="E1563" s="616" t="s">
        <v>1611</v>
      </c>
      <c r="F1563" s="617">
        <v>44165</v>
      </c>
    </row>
    <row r="1564" spans="1:6" x14ac:dyDescent="0.3">
      <c r="A1564" s="169" t="s">
        <v>4064</v>
      </c>
      <c r="B1564" s="613" t="s">
        <v>3797</v>
      </c>
      <c r="C1564" s="614" t="s">
        <v>73</v>
      </c>
      <c r="D1564" s="160">
        <v>30</v>
      </c>
      <c r="E1564" s="616" t="s">
        <v>3578</v>
      </c>
      <c r="F1564" s="617">
        <v>44154</v>
      </c>
    </row>
    <row r="1565" spans="1:6" x14ac:dyDescent="0.3">
      <c r="A1565" s="169" t="s">
        <v>4065</v>
      </c>
      <c r="B1565" s="613" t="s">
        <v>3798</v>
      </c>
      <c r="C1565" s="614" t="s">
        <v>73</v>
      </c>
      <c r="D1565" s="160">
        <v>35</v>
      </c>
      <c r="E1565" s="616" t="s">
        <v>3576</v>
      </c>
      <c r="F1565" s="617">
        <v>44154</v>
      </c>
    </row>
    <row r="1566" spans="1:6" x14ac:dyDescent="0.3">
      <c r="A1566" s="169" t="s">
        <v>4066</v>
      </c>
      <c r="B1566" s="613" t="s">
        <v>3799</v>
      </c>
      <c r="C1566" s="614" t="s">
        <v>73</v>
      </c>
      <c r="D1566" s="160">
        <v>45</v>
      </c>
      <c r="E1566" s="616" t="s">
        <v>3576</v>
      </c>
      <c r="F1566" s="617">
        <v>44154</v>
      </c>
    </row>
    <row r="1567" spans="1:6" x14ac:dyDescent="0.3">
      <c r="A1567" s="169" t="s">
        <v>4067</v>
      </c>
      <c r="B1567" s="613" t="s">
        <v>3800</v>
      </c>
      <c r="C1567" s="614" t="s">
        <v>73</v>
      </c>
      <c r="D1567" s="160">
        <v>50</v>
      </c>
      <c r="E1567" s="616" t="s">
        <v>3576</v>
      </c>
      <c r="F1567" s="617">
        <v>44154</v>
      </c>
    </row>
    <row r="1568" spans="1:6" x14ac:dyDescent="0.3">
      <c r="A1568" s="169" t="s">
        <v>4068</v>
      </c>
      <c r="B1568" s="613" t="s">
        <v>4455</v>
      </c>
      <c r="C1568" s="614" t="s">
        <v>2088</v>
      </c>
      <c r="D1568" s="160">
        <v>47</v>
      </c>
      <c r="E1568" s="616" t="s">
        <v>1184</v>
      </c>
      <c r="F1568" s="617">
        <v>44154</v>
      </c>
    </row>
    <row r="1569" spans="1:6" x14ac:dyDescent="0.3">
      <c r="A1569" s="169" t="s">
        <v>4069</v>
      </c>
      <c r="B1569" s="613" t="s">
        <v>4454</v>
      </c>
      <c r="C1569" s="614" t="s">
        <v>2088</v>
      </c>
      <c r="D1569" s="160">
        <v>31.899999999999995</v>
      </c>
      <c r="E1569" s="616" t="s">
        <v>2356</v>
      </c>
      <c r="F1569" s="617">
        <v>44168</v>
      </c>
    </row>
    <row r="1570" spans="1:6" x14ac:dyDescent="0.3">
      <c r="A1570" s="169" t="s">
        <v>4070</v>
      </c>
      <c r="B1570" s="613" t="s">
        <v>4456</v>
      </c>
      <c r="C1570" s="614" t="s">
        <v>2088</v>
      </c>
      <c r="D1570" s="160">
        <v>18</v>
      </c>
      <c r="E1570" s="616" t="s">
        <v>947</v>
      </c>
      <c r="F1570" s="617">
        <v>44168</v>
      </c>
    </row>
    <row r="1571" spans="1:6" x14ac:dyDescent="0.3">
      <c r="A1571" s="169" t="s">
        <v>4071</v>
      </c>
      <c r="B1571" s="613" t="s">
        <v>3801</v>
      </c>
      <c r="C1571" s="614" t="s">
        <v>2088</v>
      </c>
      <c r="D1571" s="160">
        <v>48</v>
      </c>
      <c r="E1571" s="616" t="s">
        <v>3802</v>
      </c>
      <c r="F1571" s="617">
        <v>44154</v>
      </c>
    </row>
    <row r="1572" spans="1:6" x14ac:dyDescent="0.3">
      <c r="A1572" s="169" t="s">
        <v>4072</v>
      </c>
      <c r="B1572" s="613" t="s">
        <v>3803</v>
      </c>
      <c r="C1572" s="614" t="s">
        <v>2088</v>
      </c>
      <c r="D1572" s="160">
        <v>48.5</v>
      </c>
      <c r="E1572" s="616" t="s">
        <v>3804</v>
      </c>
      <c r="F1572" s="617">
        <v>44168</v>
      </c>
    </row>
    <row r="1573" spans="1:6" x14ac:dyDescent="0.3">
      <c r="A1573" s="169" t="s">
        <v>4073</v>
      </c>
      <c r="B1573" s="613" t="s">
        <v>3805</v>
      </c>
      <c r="C1573" s="614" t="s">
        <v>2088</v>
      </c>
      <c r="D1573" s="160">
        <v>154</v>
      </c>
      <c r="E1573" s="616" t="s">
        <v>3802</v>
      </c>
      <c r="F1573" s="617">
        <v>44154</v>
      </c>
    </row>
    <row r="1574" spans="1:6" x14ac:dyDescent="0.3">
      <c r="A1574" s="169" t="s">
        <v>4074</v>
      </c>
      <c r="B1574" s="613" t="s">
        <v>3806</v>
      </c>
      <c r="C1574" s="614" t="s">
        <v>2088</v>
      </c>
      <c r="D1574" s="160">
        <v>18</v>
      </c>
      <c r="E1574" s="616" t="s">
        <v>3802</v>
      </c>
      <c r="F1574" s="617">
        <v>44154</v>
      </c>
    </row>
    <row r="1575" spans="1:6" x14ac:dyDescent="0.3">
      <c r="A1575" s="169" t="s">
        <v>4075</v>
      </c>
      <c r="B1575" s="613" t="s">
        <v>3807</v>
      </c>
      <c r="C1575" s="614" t="s">
        <v>2088</v>
      </c>
      <c r="D1575" s="160">
        <v>25.9</v>
      </c>
      <c r="E1575" s="616" t="s">
        <v>3802</v>
      </c>
      <c r="F1575" s="617">
        <v>44154</v>
      </c>
    </row>
    <row r="1576" spans="1:6" x14ac:dyDescent="0.3">
      <c r="A1576" s="169" t="s">
        <v>4076</v>
      </c>
      <c r="B1576" s="613" t="s">
        <v>3808</v>
      </c>
      <c r="C1576" s="614" t="s">
        <v>72</v>
      </c>
      <c r="D1576" s="160">
        <v>180</v>
      </c>
      <c r="E1576" s="616" t="s">
        <v>7312</v>
      </c>
      <c r="F1576" s="617">
        <v>44789</v>
      </c>
    </row>
    <row r="1577" spans="1:6" x14ac:dyDescent="0.3">
      <c r="A1577" s="169" t="s">
        <v>4077</v>
      </c>
      <c r="B1577" s="613" t="s">
        <v>8049</v>
      </c>
      <c r="C1577" s="614" t="s">
        <v>74</v>
      </c>
      <c r="D1577" s="160">
        <v>20</v>
      </c>
      <c r="E1577" s="616" t="s">
        <v>2297</v>
      </c>
      <c r="F1577" s="617">
        <v>44154</v>
      </c>
    </row>
    <row r="1578" spans="1:6" x14ac:dyDescent="0.3">
      <c r="A1578" s="169" t="s">
        <v>4078</v>
      </c>
      <c r="B1578" s="613" t="s">
        <v>3810</v>
      </c>
      <c r="C1578" s="614" t="s">
        <v>74</v>
      </c>
      <c r="D1578" s="160">
        <v>12</v>
      </c>
      <c r="E1578" s="616" t="s">
        <v>3809</v>
      </c>
      <c r="F1578" s="617">
        <v>44154</v>
      </c>
    </row>
    <row r="1579" spans="1:6" x14ac:dyDescent="0.3">
      <c r="A1579" s="169" t="s">
        <v>4079</v>
      </c>
      <c r="B1579" s="613" t="s">
        <v>3811</v>
      </c>
      <c r="C1579" s="614" t="s">
        <v>3778</v>
      </c>
      <c r="D1579" s="160">
        <v>7500</v>
      </c>
      <c r="E1579" s="616" t="s">
        <v>3714</v>
      </c>
      <c r="F1579" s="617">
        <v>44168</v>
      </c>
    </row>
    <row r="1580" spans="1:6" x14ac:dyDescent="0.3">
      <c r="A1580" s="169" t="s">
        <v>4080</v>
      </c>
      <c r="B1580" s="613" t="s">
        <v>3812</v>
      </c>
      <c r="C1580" s="614" t="s">
        <v>3813</v>
      </c>
      <c r="D1580" s="160">
        <v>30740</v>
      </c>
      <c r="E1580" s="616" t="s">
        <v>1611</v>
      </c>
      <c r="F1580" s="617">
        <v>44165</v>
      </c>
    </row>
    <row r="1581" spans="1:6" x14ac:dyDescent="0.3">
      <c r="A1581" s="169" t="s">
        <v>4081</v>
      </c>
      <c r="B1581" s="613" t="s">
        <v>3814</v>
      </c>
      <c r="C1581" s="614" t="s">
        <v>73</v>
      </c>
      <c r="D1581" s="160">
        <v>1896.6666666666667</v>
      </c>
      <c r="E1581" s="616" t="s">
        <v>3637</v>
      </c>
      <c r="F1581" s="617">
        <v>44158</v>
      </c>
    </row>
    <row r="1582" spans="1:6" x14ac:dyDescent="0.3">
      <c r="A1582" s="169" t="s">
        <v>4082</v>
      </c>
      <c r="B1582" s="619" t="s">
        <v>3815</v>
      </c>
      <c r="C1582" s="614" t="s">
        <v>73</v>
      </c>
      <c r="D1582" s="160">
        <v>252.49999999999994</v>
      </c>
      <c r="E1582" s="616" t="s">
        <v>3816</v>
      </c>
      <c r="F1582" s="617">
        <v>44159</v>
      </c>
    </row>
    <row r="1583" spans="1:6" x14ac:dyDescent="0.3">
      <c r="A1583" s="169" t="s">
        <v>4083</v>
      </c>
      <c r="B1583" s="619" t="s">
        <v>3817</v>
      </c>
      <c r="C1583" s="614" t="s">
        <v>73</v>
      </c>
      <c r="D1583" s="160">
        <v>99</v>
      </c>
      <c r="E1583" s="616" t="s">
        <v>3816</v>
      </c>
      <c r="F1583" s="617">
        <v>44159</v>
      </c>
    </row>
    <row r="1584" spans="1:6" x14ac:dyDescent="0.3">
      <c r="A1584" s="169" t="s">
        <v>4084</v>
      </c>
      <c r="B1584" s="613" t="s">
        <v>3818</v>
      </c>
      <c r="C1584" s="614" t="s">
        <v>3819</v>
      </c>
      <c r="D1584" s="160">
        <v>298</v>
      </c>
      <c r="E1584" s="616" t="s">
        <v>3628</v>
      </c>
      <c r="F1584" s="617">
        <v>44162</v>
      </c>
    </row>
    <row r="1585" spans="1:6" x14ac:dyDescent="0.3">
      <c r="A1585" s="169" t="s">
        <v>4085</v>
      </c>
      <c r="B1585" s="613" t="s">
        <v>3820</v>
      </c>
      <c r="C1585" s="614" t="s">
        <v>89</v>
      </c>
      <c r="D1585" s="160">
        <v>6.9</v>
      </c>
      <c r="E1585" s="616" t="s">
        <v>3628</v>
      </c>
      <c r="F1585" s="617">
        <v>44162</v>
      </c>
    </row>
    <row r="1586" spans="1:6" x14ac:dyDescent="0.3">
      <c r="A1586" s="169" t="s">
        <v>4086</v>
      </c>
      <c r="B1586" s="619" t="s">
        <v>3821</v>
      </c>
      <c r="C1586" s="614" t="s">
        <v>1376</v>
      </c>
      <c r="D1586" s="160">
        <v>3757</v>
      </c>
      <c r="E1586" s="616" t="s">
        <v>2141</v>
      </c>
      <c r="F1586" s="617">
        <v>44158</v>
      </c>
    </row>
    <row r="1587" spans="1:6" x14ac:dyDescent="0.3">
      <c r="A1587" s="169" t="s">
        <v>4087</v>
      </c>
      <c r="B1587" s="613" t="s">
        <v>3822</v>
      </c>
      <c r="C1587" s="614" t="s">
        <v>1376</v>
      </c>
      <c r="D1587" s="160">
        <v>299</v>
      </c>
      <c r="E1587" s="616" t="s">
        <v>1109</v>
      </c>
      <c r="F1587" s="617">
        <v>44159</v>
      </c>
    </row>
    <row r="1588" spans="1:6" x14ac:dyDescent="0.3">
      <c r="A1588" s="169" t="s">
        <v>4088</v>
      </c>
      <c r="B1588" s="613" t="s">
        <v>3823</v>
      </c>
      <c r="C1588" s="614" t="s">
        <v>1376</v>
      </c>
      <c r="D1588" s="160">
        <v>299</v>
      </c>
      <c r="E1588" s="616" t="s">
        <v>1109</v>
      </c>
      <c r="F1588" s="617">
        <v>44159</v>
      </c>
    </row>
    <row r="1589" spans="1:6" x14ac:dyDescent="0.3">
      <c r="A1589" s="169" t="s">
        <v>4089</v>
      </c>
      <c r="B1589" s="613" t="s">
        <v>3824</v>
      </c>
      <c r="C1589" s="614" t="s">
        <v>1376</v>
      </c>
      <c r="D1589" s="160">
        <v>167</v>
      </c>
      <c r="E1589" s="616" t="s">
        <v>1109</v>
      </c>
      <c r="F1589" s="617">
        <v>44165</v>
      </c>
    </row>
    <row r="1590" spans="1:6" x14ac:dyDescent="0.3">
      <c r="A1590" s="169" t="s">
        <v>4090</v>
      </c>
      <c r="B1590" s="613" t="s">
        <v>3825</v>
      </c>
      <c r="C1590" s="614" t="s">
        <v>1376</v>
      </c>
      <c r="D1590" s="160">
        <v>172</v>
      </c>
      <c r="E1590" s="616" t="s">
        <v>1109</v>
      </c>
      <c r="F1590" s="617">
        <v>44165</v>
      </c>
    </row>
    <row r="1591" spans="1:6" x14ac:dyDescent="0.3">
      <c r="A1591" s="169" t="s">
        <v>4091</v>
      </c>
      <c r="B1591" s="613" t="s">
        <v>3826</v>
      </c>
      <c r="C1591" s="614" t="s">
        <v>3778</v>
      </c>
      <c r="D1591" s="160">
        <v>864.5</v>
      </c>
      <c r="E1591" s="616" t="s">
        <v>3827</v>
      </c>
      <c r="F1591" s="617">
        <v>44168</v>
      </c>
    </row>
    <row r="1592" spans="1:6" x14ac:dyDescent="0.3">
      <c r="A1592" s="169" t="s">
        <v>4092</v>
      </c>
      <c r="B1592" s="613" t="s">
        <v>3828</v>
      </c>
      <c r="C1592" s="614" t="s">
        <v>3778</v>
      </c>
      <c r="D1592" s="160">
        <v>682.1</v>
      </c>
      <c r="E1592" s="616" t="s">
        <v>3827</v>
      </c>
      <c r="F1592" s="617">
        <v>44168</v>
      </c>
    </row>
    <row r="1593" spans="1:6" x14ac:dyDescent="0.3">
      <c r="A1593" s="169" t="s">
        <v>4093</v>
      </c>
      <c r="B1593" s="613" t="s">
        <v>3829</v>
      </c>
      <c r="C1593" s="614" t="s">
        <v>1376</v>
      </c>
      <c r="D1593" s="160">
        <v>1691</v>
      </c>
      <c r="E1593" s="616" t="s">
        <v>3827</v>
      </c>
      <c r="F1593" s="617">
        <v>44168</v>
      </c>
    </row>
    <row r="1594" spans="1:6" x14ac:dyDescent="0.3">
      <c r="A1594" s="169" t="s">
        <v>4094</v>
      </c>
      <c r="B1594" s="613" t="s">
        <v>3830</v>
      </c>
      <c r="C1594" s="614" t="s">
        <v>1376</v>
      </c>
      <c r="D1594" s="160">
        <v>3442.7999999999997</v>
      </c>
      <c r="E1594" s="616" t="s">
        <v>3827</v>
      </c>
      <c r="F1594" s="617">
        <v>44168</v>
      </c>
    </row>
    <row r="1595" spans="1:6" x14ac:dyDescent="0.3">
      <c r="A1595" s="169" t="s">
        <v>4095</v>
      </c>
      <c r="B1595" s="613" t="s">
        <v>3831</v>
      </c>
      <c r="C1595" s="614" t="s">
        <v>1376</v>
      </c>
      <c r="D1595" s="160">
        <v>313.5</v>
      </c>
      <c r="E1595" s="616" t="s">
        <v>3827</v>
      </c>
      <c r="F1595" s="617">
        <v>44168</v>
      </c>
    </row>
    <row r="1596" spans="1:6" x14ac:dyDescent="0.3">
      <c r="A1596" s="169" t="s">
        <v>4096</v>
      </c>
      <c r="B1596" s="613" t="s">
        <v>3832</v>
      </c>
      <c r="C1596" s="614" t="s">
        <v>1376</v>
      </c>
      <c r="D1596" s="160">
        <v>9180.7999999999993</v>
      </c>
      <c r="E1596" s="616" t="s">
        <v>3827</v>
      </c>
      <c r="F1596" s="617">
        <v>44168</v>
      </c>
    </row>
    <row r="1597" spans="1:6" x14ac:dyDescent="0.3">
      <c r="A1597" s="169" t="s">
        <v>4097</v>
      </c>
      <c r="B1597" s="613" t="s">
        <v>3833</v>
      </c>
      <c r="C1597" s="614" t="s">
        <v>1376</v>
      </c>
      <c r="D1597" s="160">
        <v>1362.3</v>
      </c>
      <c r="E1597" s="616" t="s">
        <v>3827</v>
      </c>
      <c r="F1597" s="617">
        <v>44168</v>
      </c>
    </row>
    <row r="1598" spans="1:6" x14ac:dyDescent="0.3">
      <c r="A1598" s="169" t="s">
        <v>4098</v>
      </c>
      <c r="B1598" s="613" t="s">
        <v>3834</v>
      </c>
      <c r="C1598" s="614" t="s">
        <v>1376</v>
      </c>
      <c r="D1598" s="160">
        <v>1214.0999999999999</v>
      </c>
      <c r="E1598" s="616" t="s">
        <v>3827</v>
      </c>
      <c r="F1598" s="617">
        <v>44168</v>
      </c>
    </row>
    <row r="1599" spans="1:6" x14ac:dyDescent="0.3">
      <c r="A1599" s="169" t="s">
        <v>4099</v>
      </c>
      <c r="B1599" s="613" t="s">
        <v>3835</v>
      </c>
      <c r="C1599" s="614" t="s">
        <v>1376</v>
      </c>
      <c r="D1599" s="160">
        <v>970.9</v>
      </c>
      <c r="E1599" s="616" t="s">
        <v>3827</v>
      </c>
      <c r="F1599" s="617">
        <v>44168</v>
      </c>
    </row>
    <row r="1600" spans="1:6" x14ac:dyDescent="0.3">
      <c r="A1600" s="169" t="s">
        <v>4100</v>
      </c>
      <c r="B1600" s="613" t="s">
        <v>3836</v>
      </c>
      <c r="C1600" s="614" t="s">
        <v>1376</v>
      </c>
      <c r="D1600" s="160">
        <v>1031.7</v>
      </c>
      <c r="E1600" s="616" t="s">
        <v>3827</v>
      </c>
      <c r="F1600" s="617">
        <v>44168</v>
      </c>
    </row>
    <row r="1601" spans="1:6" x14ac:dyDescent="0.3">
      <c r="A1601" s="169" t="s">
        <v>4101</v>
      </c>
      <c r="B1601" s="613" t="s">
        <v>3837</v>
      </c>
      <c r="C1601" s="614" t="s">
        <v>1376</v>
      </c>
      <c r="D1601" s="160">
        <v>970.9</v>
      </c>
      <c r="E1601" s="616" t="s">
        <v>3827</v>
      </c>
      <c r="F1601" s="617">
        <v>44168</v>
      </c>
    </row>
    <row r="1602" spans="1:6" x14ac:dyDescent="0.3">
      <c r="A1602" s="169" t="s">
        <v>4102</v>
      </c>
      <c r="B1602" s="613" t="s">
        <v>3838</v>
      </c>
      <c r="C1602" s="614" t="s">
        <v>1376</v>
      </c>
      <c r="D1602" s="160">
        <v>1489.6</v>
      </c>
      <c r="E1602" s="616" t="s">
        <v>3827</v>
      </c>
      <c r="F1602" s="617">
        <v>44168</v>
      </c>
    </row>
    <row r="1603" spans="1:6" x14ac:dyDescent="0.3">
      <c r="A1603" s="169" t="s">
        <v>4103</v>
      </c>
      <c r="B1603" s="613" t="s">
        <v>3839</v>
      </c>
      <c r="C1603" s="614" t="s">
        <v>2088</v>
      </c>
      <c r="D1603" s="160">
        <v>42.9</v>
      </c>
      <c r="E1603" s="616" t="s">
        <v>3628</v>
      </c>
      <c r="F1603" s="617">
        <v>44162</v>
      </c>
    </row>
    <row r="1604" spans="1:6" x14ac:dyDescent="0.3">
      <c r="A1604" s="169" t="s">
        <v>4104</v>
      </c>
      <c r="B1604" s="613" t="s">
        <v>3840</v>
      </c>
      <c r="C1604" s="614" t="s">
        <v>29</v>
      </c>
      <c r="D1604" s="160">
        <f>((((8850)*1.03)/1.03)*1.02)/1.02</f>
        <v>8850</v>
      </c>
      <c r="E1604" s="616" t="s">
        <v>947</v>
      </c>
      <c r="F1604" s="617">
        <v>44229</v>
      </c>
    </row>
    <row r="1605" spans="1:6" x14ac:dyDescent="0.3">
      <c r="A1605" s="169" t="s">
        <v>4105</v>
      </c>
      <c r="B1605" s="613" t="s">
        <v>3841</v>
      </c>
      <c r="C1605" s="614" t="s">
        <v>1376</v>
      </c>
      <c r="D1605" s="160">
        <v>3610</v>
      </c>
      <c r="E1605" s="616" t="s">
        <v>1611</v>
      </c>
      <c r="F1605" s="617">
        <v>44165</v>
      </c>
    </row>
    <row r="1606" spans="1:6" x14ac:dyDescent="0.3">
      <c r="A1606" s="169" t="s">
        <v>4106</v>
      </c>
      <c r="B1606" s="613" t="s">
        <v>3842</v>
      </c>
      <c r="C1606" s="614" t="s">
        <v>29</v>
      </c>
      <c r="D1606" s="160">
        <v>490</v>
      </c>
      <c r="E1606" s="616" t="s">
        <v>3843</v>
      </c>
      <c r="F1606" s="617">
        <v>44166</v>
      </c>
    </row>
    <row r="1607" spans="1:6" x14ac:dyDescent="0.3">
      <c r="A1607" s="169" t="s">
        <v>4107</v>
      </c>
      <c r="B1607" s="613" t="s">
        <v>3844</v>
      </c>
      <c r="C1607" s="614" t="s">
        <v>1376</v>
      </c>
      <c r="D1607" s="160">
        <v>266</v>
      </c>
      <c r="E1607" s="616" t="s">
        <v>3845</v>
      </c>
      <c r="F1607" s="617">
        <v>44168</v>
      </c>
    </row>
    <row r="1608" spans="1:6" x14ac:dyDescent="0.3">
      <c r="A1608" s="169" t="s">
        <v>4108</v>
      </c>
      <c r="B1608" s="613" t="s">
        <v>3846</v>
      </c>
      <c r="C1608" s="614" t="s">
        <v>73</v>
      </c>
      <c r="D1608" s="160">
        <v>80.75</v>
      </c>
      <c r="E1608" s="616" t="s">
        <v>3176</v>
      </c>
      <c r="F1608" s="617">
        <v>44169</v>
      </c>
    </row>
    <row r="1609" spans="1:6" x14ac:dyDescent="0.3">
      <c r="A1609" s="169" t="s">
        <v>4109</v>
      </c>
      <c r="B1609" s="613" t="s">
        <v>3847</v>
      </c>
      <c r="C1609" s="614" t="s">
        <v>73</v>
      </c>
      <c r="D1609" s="160">
        <v>98</v>
      </c>
      <c r="E1609" s="616" t="s">
        <v>3176</v>
      </c>
      <c r="F1609" s="617">
        <v>44168</v>
      </c>
    </row>
    <row r="1610" spans="1:6" x14ac:dyDescent="0.3">
      <c r="A1610" s="169" t="s">
        <v>4110</v>
      </c>
      <c r="B1610" s="613" t="s">
        <v>3848</v>
      </c>
      <c r="C1610" s="614" t="s">
        <v>1376</v>
      </c>
      <c r="D1610" s="160">
        <v>1380</v>
      </c>
      <c r="E1610" s="616" t="s">
        <v>3845</v>
      </c>
      <c r="F1610" s="617">
        <v>44168</v>
      </c>
    </row>
    <row r="1611" spans="1:6" x14ac:dyDescent="0.3">
      <c r="A1611" s="169" t="s">
        <v>4111</v>
      </c>
      <c r="B1611" s="613" t="s">
        <v>3849</v>
      </c>
      <c r="C1611" s="614" t="s">
        <v>2088</v>
      </c>
      <c r="D1611" s="160">
        <v>11.8</v>
      </c>
      <c r="E1611" s="616" t="s">
        <v>1184</v>
      </c>
      <c r="F1611" s="617">
        <v>44168</v>
      </c>
    </row>
    <row r="1612" spans="1:6" x14ac:dyDescent="0.3">
      <c r="A1612" s="169" t="s">
        <v>4112</v>
      </c>
      <c r="B1612" s="613" t="s">
        <v>2590</v>
      </c>
      <c r="C1612" s="614" t="s">
        <v>29</v>
      </c>
      <c r="D1612" s="160">
        <v>8950</v>
      </c>
      <c r="E1612" s="616" t="s">
        <v>2335</v>
      </c>
      <c r="F1612" s="617">
        <v>44168</v>
      </c>
    </row>
    <row r="1613" spans="1:6" x14ac:dyDescent="0.3">
      <c r="A1613" s="169" t="s">
        <v>4113</v>
      </c>
      <c r="B1613" s="613" t="s">
        <v>3850</v>
      </c>
      <c r="C1613" s="614" t="s">
        <v>29</v>
      </c>
      <c r="D1613" s="160">
        <v>7730</v>
      </c>
      <c r="E1613" s="616" t="s">
        <v>2335</v>
      </c>
      <c r="F1613" s="617">
        <v>44168</v>
      </c>
    </row>
    <row r="1614" spans="1:6" x14ac:dyDescent="0.3">
      <c r="A1614" s="169" t="s">
        <v>4114</v>
      </c>
      <c r="B1614" s="613" t="s">
        <v>3851</v>
      </c>
      <c r="C1614" s="614" t="s">
        <v>29</v>
      </c>
      <c r="D1614" s="160">
        <v>5068</v>
      </c>
      <c r="E1614" s="616" t="s">
        <v>2335</v>
      </c>
      <c r="F1614" s="617">
        <v>44168</v>
      </c>
    </row>
    <row r="1615" spans="1:6" x14ac:dyDescent="0.3">
      <c r="A1615" s="169" t="s">
        <v>4115</v>
      </c>
      <c r="B1615" s="613" t="s">
        <v>3852</v>
      </c>
      <c r="C1615" s="614" t="s">
        <v>29</v>
      </c>
      <c r="D1615" s="160">
        <v>21202</v>
      </c>
      <c r="E1615" s="616" t="s">
        <v>2335</v>
      </c>
      <c r="F1615" s="617">
        <v>44168</v>
      </c>
    </row>
    <row r="1616" spans="1:6" x14ac:dyDescent="0.3">
      <c r="A1616" s="169" t="s">
        <v>4116</v>
      </c>
      <c r="B1616" s="613" t="s">
        <v>3853</v>
      </c>
      <c r="C1616" s="614" t="s">
        <v>29</v>
      </c>
      <c r="D1616" s="160">
        <v>526</v>
      </c>
      <c r="E1616" s="616" t="s">
        <v>2335</v>
      </c>
      <c r="F1616" s="617">
        <v>44168</v>
      </c>
    </row>
    <row r="1617" spans="1:6" x14ac:dyDescent="0.3">
      <c r="A1617" s="169" t="s">
        <v>4117</v>
      </c>
      <c r="B1617" s="613" t="s">
        <v>3854</v>
      </c>
      <c r="C1617" s="614" t="s">
        <v>29</v>
      </c>
      <c r="D1617" s="160">
        <v>5300</v>
      </c>
      <c r="E1617" s="616" t="s">
        <v>2335</v>
      </c>
      <c r="F1617" s="617">
        <v>44168</v>
      </c>
    </row>
    <row r="1618" spans="1:6" x14ac:dyDescent="0.3">
      <c r="A1618" s="169" t="s">
        <v>4118</v>
      </c>
      <c r="B1618" s="613" t="s">
        <v>3855</v>
      </c>
      <c r="C1618" s="614" t="s">
        <v>1376</v>
      </c>
      <c r="D1618" s="160">
        <v>363.22</v>
      </c>
      <c r="E1618" s="616" t="s">
        <v>3640</v>
      </c>
      <c r="F1618" s="617">
        <v>44169</v>
      </c>
    </row>
    <row r="1619" spans="1:6" x14ac:dyDescent="0.3">
      <c r="A1619" s="169" t="s">
        <v>4119</v>
      </c>
      <c r="B1619" s="613" t="s">
        <v>3856</v>
      </c>
      <c r="C1619" s="614" t="s">
        <v>1376</v>
      </c>
      <c r="D1619" s="160">
        <v>102.06399999999999</v>
      </c>
      <c r="E1619" s="616" t="s">
        <v>3640</v>
      </c>
      <c r="F1619" s="617">
        <v>44169</v>
      </c>
    </row>
    <row r="1620" spans="1:6" x14ac:dyDescent="0.3">
      <c r="A1620" s="169" t="s">
        <v>4120</v>
      </c>
      <c r="B1620" s="613" t="s">
        <v>3857</v>
      </c>
      <c r="C1620" s="614" t="s">
        <v>1376</v>
      </c>
      <c r="D1620" s="160">
        <v>104.02000000000001</v>
      </c>
      <c r="E1620" s="616" t="s">
        <v>3640</v>
      </c>
      <c r="F1620" s="617">
        <v>44169</v>
      </c>
    </row>
    <row r="1621" spans="1:6" x14ac:dyDescent="0.3">
      <c r="A1621" s="169" t="s">
        <v>4121</v>
      </c>
      <c r="B1621" s="613" t="s">
        <v>3858</v>
      </c>
      <c r="C1621" s="614" t="s">
        <v>1376</v>
      </c>
      <c r="D1621" s="160">
        <v>106.47</v>
      </c>
      <c r="E1621" s="616" t="s">
        <v>3640</v>
      </c>
      <c r="F1621" s="617">
        <v>44169</v>
      </c>
    </row>
    <row r="1622" spans="1:6" x14ac:dyDescent="0.3">
      <c r="A1622" s="169" t="s">
        <v>4122</v>
      </c>
      <c r="B1622" s="613" t="s">
        <v>3859</v>
      </c>
      <c r="C1622" s="614" t="s">
        <v>1376</v>
      </c>
      <c r="D1622" s="160">
        <v>106.47</v>
      </c>
      <c r="E1622" s="616" t="s">
        <v>3640</v>
      </c>
      <c r="F1622" s="617">
        <v>44169</v>
      </c>
    </row>
    <row r="1623" spans="1:6" x14ac:dyDescent="0.3">
      <c r="A1623" s="169" t="s">
        <v>4132</v>
      </c>
      <c r="B1623" s="613" t="s">
        <v>4773</v>
      </c>
      <c r="C1623" s="614" t="s">
        <v>73</v>
      </c>
      <c r="D1623" s="160">
        <v>420</v>
      </c>
      <c r="E1623" s="616" t="s">
        <v>1611</v>
      </c>
      <c r="F1623" s="617">
        <v>44210</v>
      </c>
    </row>
    <row r="1624" spans="1:6" x14ac:dyDescent="0.3">
      <c r="A1624" s="169" t="s">
        <v>4133</v>
      </c>
      <c r="B1624" s="613" t="s">
        <v>4146</v>
      </c>
      <c r="C1624" s="614" t="s">
        <v>73</v>
      </c>
      <c r="D1624" s="160">
        <v>347</v>
      </c>
      <c r="E1624" s="616" t="s">
        <v>4492</v>
      </c>
      <c r="F1624" s="617">
        <v>44209</v>
      </c>
    </row>
    <row r="1625" spans="1:6" x14ac:dyDescent="0.3">
      <c r="A1625" s="169" t="s">
        <v>4134</v>
      </c>
      <c r="B1625" s="613" t="s">
        <v>4147</v>
      </c>
      <c r="C1625" s="614" t="s">
        <v>73</v>
      </c>
      <c r="D1625" s="160">
        <v>0</v>
      </c>
      <c r="E1625" s="616"/>
      <c r="F1625" s="617"/>
    </row>
    <row r="1626" spans="1:6" x14ac:dyDescent="0.3">
      <c r="A1626" s="169" t="s">
        <v>4135</v>
      </c>
      <c r="B1626" s="613" t="s">
        <v>4539</v>
      </c>
      <c r="C1626" s="614" t="s">
        <v>73</v>
      </c>
      <c r="D1626" s="160">
        <v>35</v>
      </c>
      <c r="E1626" s="616" t="s">
        <v>3610</v>
      </c>
      <c r="F1626" s="617">
        <v>44209</v>
      </c>
    </row>
    <row r="1627" spans="1:6" x14ac:dyDescent="0.3">
      <c r="A1627" s="169" t="s">
        <v>4136</v>
      </c>
      <c r="B1627" s="613" t="s">
        <v>4639</v>
      </c>
      <c r="C1627" s="614" t="s">
        <v>73</v>
      </c>
      <c r="D1627" s="160">
        <v>110</v>
      </c>
      <c r="E1627" s="616" t="s">
        <v>3610</v>
      </c>
      <c r="F1627" s="617">
        <v>44210</v>
      </c>
    </row>
    <row r="1628" spans="1:6" x14ac:dyDescent="0.3">
      <c r="A1628" s="169" t="s">
        <v>4137</v>
      </c>
      <c r="B1628" s="613" t="s">
        <v>4469</v>
      </c>
      <c r="C1628" s="614" t="s">
        <v>1376</v>
      </c>
      <c r="D1628" s="160">
        <v>253.63000000000002</v>
      </c>
      <c r="E1628" s="616" t="s">
        <v>3700</v>
      </c>
      <c r="F1628" s="617">
        <v>44209</v>
      </c>
    </row>
    <row r="1629" spans="1:6" x14ac:dyDescent="0.3">
      <c r="A1629" s="169" t="s">
        <v>4138</v>
      </c>
      <c r="B1629" s="613" t="s">
        <v>4149</v>
      </c>
      <c r="C1629" s="614" t="s">
        <v>1376</v>
      </c>
      <c r="D1629" s="160">
        <v>105.75624999999999</v>
      </c>
      <c r="E1629" s="616" t="s">
        <v>3700</v>
      </c>
      <c r="F1629" s="617">
        <v>44209</v>
      </c>
    </row>
    <row r="1630" spans="1:6" x14ac:dyDescent="0.3">
      <c r="A1630" s="169" t="s">
        <v>4139</v>
      </c>
      <c r="B1630" s="613" t="s">
        <v>4150</v>
      </c>
      <c r="C1630" s="614" t="s">
        <v>1376</v>
      </c>
      <c r="D1630" s="160">
        <v>611.12</v>
      </c>
      <c r="E1630" s="616" t="s">
        <v>3700</v>
      </c>
      <c r="F1630" s="617">
        <v>44209</v>
      </c>
    </row>
    <row r="1631" spans="1:6" x14ac:dyDescent="0.3">
      <c r="A1631" s="169" t="s">
        <v>4140</v>
      </c>
      <c r="B1631" s="613" t="s">
        <v>4151</v>
      </c>
      <c r="C1631" s="614" t="s">
        <v>1376</v>
      </c>
      <c r="D1631" s="160">
        <v>1139.5899999999999</v>
      </c>
      <c r="E1631" s="616" t="s">
        <v>3700</v>
      </c>
      <c r="F1631" s="617">
        <v>44209</v>
      </c>
    </row>
    <row r="1632" spans="1:6" x14ac:dyDescent="0.3">
      <c r="A1632" s="169" t="s">
        <v>4141</v>
      </c>
      <c r="B1632" s="613" t="s">
        <v>4152</v>
      </c>
      <c r="C1632" s="614" t="s">
        <v>1376</v>
      </c>
      <c r="D1632" s="160">
        <v>765.16</v>
      </c>
      <c r="E1632" s="616" t="s">
        <v>3700</v>
      </c>
      <c r="F1632" s="617">
        <v>44209</v>
      </c>
    </row>
    <row r="1633" spans="1:6" x14ac:dyDescent="0.3">
      <c r="A1633" s="169" t="s">
        <v>4142</v>
      </c>
      <c r="B1633" s="613" t="s">
        <v>4153</v>
      </c>
      <c r="C1633" s="614" t="s">
        <v>1376</v>
      </c>
      <c r="D1633" s="160">
        <v>986.81</v>
      </c>
      <c r="E1633" s="616" t="s">
        <v>3700</v>
      </c>
      <c r="F1633" s="617">
        <v>44209</v>
      </c>
    </row>
    <row r="1634" spans="1:6" x14ac:dyDescent="0.3">
      <c r="A1634" s="169" t="s">
        <v>4143</v>
      </c>
      <c r="B1634" s="613" t="s">
        <v>4154</v>
      </c>
      <c r="C1634" s="614" t="s">
        <v>1376</v>
      </c>
      <c r="D1634" s="160">
        <v>1824.18</v>
      </c>
      <c r="E1634" s="616" t="s">
        <v>3700</v>
      </c>
      <c r="F1634" s="617">
        <v>44209</v>
      </c>
    </row>
    <row r="1635" spans="1:6" x14ac:dyDescent="0.3">
      <c r="A1635" s="169" t="s">
        <v>4144</v>
      </c>
      <c r="B1635" s="613" t="s">
        <v>4155</v>
      </c>
      <c r="C1635" s="614" t="s">
        <v>1376</v>
      </c>
      <c r="D1635" s="160">
        <v>2352.85</v>
      </c>
      <c r="E1635" s="616" t="s">
        <v>3700</v>
      </c>
      <c r="F1635" s="617">
        <v>44209</v>
      </c>
    </row>
    <row r="1636" spans="1:6" x14ac:dyDescent="0.3">
      <c r="A1636" s="169" t="s">
        <v>4145</v>
      </c>
      <c r="B1636" s="613" t="s">
        <v>4156</v>
      </c>
      <c r="C1636" s="614" t="s">
        <v>1376</v>
      </c>
      <c r="D1636" s="160">
        <v>722.6</v>
      </c>
      <c r="E1636" s="616" t="s">
        <v>3700</v>
      </c>
      <c r="F1636" s="617">
        <v>44209</v>
      </c>
    </row>
    <row r="1637" spans="1:6" x14ac:dyDescent="0.3">
      <c r="A1637" s="169" t="s">
        <v>4181</v>
      </c>
      <c r="B1637" s="613" t="s">
        <v>4157</v>
      </c>
      <c r="C1637" s="614" t="s">
        <v>1376</v>
      </c>
      <c r="D1637" s="160">
        <v>258.83</v>
      </c>
      <c r="E1637" s="616" t="s">
        <v>3700</v>
      </c>
      <c r="F1637" s="617">
        <v>44209</v>
      </c>
    </row>
    <row r="1638" spans="1:6" x14ac:dyDescent="0.3">
      <c r="A1638" s="169" t="s">
        <v>4182</v>
      </c>
      <c r="B1638" s="613" t="s">
        <v>4158</v>
      </c>
      <c r="C1638" s="614" t="s">
        <v>1376</v>
      </c>
      <c r="D1638" s="160">
        <v>597.46</v>
      </c>
      <c r="E1638" s="616" t="s">
        <v>3700</v>
      </c>
      <c r="F1638" s="617">
        <v>44209</v>
      </c>
    </row>
    <row r="1639" spans="1:6" x14ac:dyDescent="0.3">
      <c r="A1639" s="169" t="s">
        <v>4183</v>
      </c>
      <c r="B1639" s="613" t="s">
        <v>4159</v>
      </c>
      <c r="C1639" s="614" t="s">
        <v>1376</v>
      </c>
      <c r="D1639" s="160">
        <v>44.11</v>
      </c>
      <c r="E1639" s="616" t="s">
        <v>3700</v>
      </c>
      <c r="F1639" s="617">
        <v>44209</v>
      </c>
    </row>
    <row r="1640" spans="1:6" x14ac:dyDescent="0.3">
      <c r="A1640" s="169" t="s">
        <v>4184</v>
      </c>
      <c r="B1640" s="613" t="s">
        <v>4160</v>
      </c>
      <c r="C1640" s="614" t="s">
        <v>1376</v>
      </c>
      <c r="D1640" s="160">
        <v>156.18</v>
      </c>
      <c r="E1640" s="616" t="s">
        <v>3700</v>
      </c>
      <c r="F1640" s="617">
        <v>44209</v>
      </c>
    </row>
    <row r="1641" spans="1:6" x14ac:dyDescent="0.3">
      <c r="A1641" s="169" t="s">
        <v>4185</v>
      </c>
      <c r="B1641" s="613" t="s">
        <v>4161</v>
      </c>
      <c r="C1641" s="614" t="s">
        <v>1376</v>
      </c>
      <c r="D1641" s="160">
        <v>776.75</v>
      </c>
      <c r="E1641" s="616" t="s">
        <v>3700</v>
      </c>
      <c r="F1641" s="617">
        <v>44209</v>
      </c>
    </row>
    <row r="1642" spans="1:6" x14ac:dyDescent="0.3">
      <c r="A1642" s="169" t="s">
        <v>4186</v>
      </c>
      <c r="B1642" s="613" t="s">
        <v>4162</v>
      </c>
      <c r="C1642" s="614" t="s">
        <v>1376</v>
      </c>
      <c r="D1642" s="160">
        <v>854.36</v>
      </c>
      <c r="E1642" s="616" t="s">
        <v>3700</v>
      </c>
      <c r="F1642" s="617">
        <v>44209</v>
      </c>
    </row>
    <row r="1643" spans="1:6" x14ac:dyDescent="0.3">
      <c r="A1643" s="169" t="s">
        <v>4187</v>
      </c>
      <c r="B1643" s="613" t="s">
        <v>4163</v>
      </c>
      <c r="C1643" s="614" t="s">
        <v>1376</v>
      </c>
      <c r="D1643" s="160">
        <v>1456.6089999999999</v>
      </c>
      <c r="E1643" s="616" t="s">
        <v>3700</v>
      </c>
      <c r="F1643" s="617">
        <v>44209</v>
      </c>
    </row>
    <row r="1644" spans="1:6" x14ac:dyDescent="0.3">
      <c r="A1644" s="169" t="s">
        <v>4188</v>
      </c>
      <c r="B1644" s="613" t="s">
        <v>4164</v>
      </c>
      <c r="C1644" s="614" t="s">
        <v>1376</v>
      </c>
      <c r="D1644" s="160">
        <v>3313.85</v>
      </c>
      <c r="E1644" s="616" t="s">
        <v>4493</v>
      </c>
      <c r="F1644" s="617">
        <v>44209</v>
      </c>
    </row>
    <row r="1645" spans="1:6" x14ac:dyDescent="0.3">
      <c r="A1645" s="169" t="s">
        <v>4189</v>
      </c>
      <c r="B1645" s="613" t="s">
        <v>4165</v>
      </c>
      <c r="C1645" s="614" t="s">
        <v>1376</v>
      </c>
      <c r="D1645" s="160">
        <v>616.66999999999996</v>
      </c>
      <c r="E1645" s="616" t="s">
        <v>4493</v>
      </c>
      <c r="F1645" s="617">
        <v>44209</v>
      </c>
    </row>
    <row r="1646" spans="1:6" x14ac:dyDescent="0.3">
      <c r="A1646" s="169" t="s">
        <v>4190</v>
      </c>
      <c r="B1646" s="613" t="s">
        <v>4166</v>
      </c>
      <c r="C1646" s="614" t="s">
        <v>1376</v>
      </c>
      <c r="D1646" s="160">
        <v>161.47</v>
      </c>
      <c r="E1646" s="616" t="s">
        <v>3700</v>
      </c>
      <c r="F1646" s="617">
        <v>44209</v>
      </c>
    </row>
    <row r="1647" spans="1:6" x14ac:dyDescent="0.3">
      <c r="A1647" s="169" t="s">
        <v>4191</v>
      </c>
      <c r="B1647" s="613" t="s">
        <v>4167</v>
      </c>
      <c r="C1647" s="614" t="s">
        <v>1376</v>
      </c>
      <c r="D1647" s="160">
        <v>432.62</v>
      </c>
      <c r="E1647" s="616" t="s">
        <v>3700</v>
      </c>
      <c r="F1647" s="617">
        <v>44209</v>
      </c>
    </row>
    <row r="1648" spans="1:6" x14ac:dyDescent="0.3">
      <c r="A1648" s="169" t="s">
        <v>4192</v>
      </c>
      <c r="B1648" s="613" t="s">
        <v>4470</v>
      </c>
      <c r="C1648" s="614" t="s">
        <v>1376</v>
      </c>
      <c r="D1648" s="160">
        <v>178.73</v>
      </c>
      <c r="E1648" s="616" t="s">
        <v>3700</v>
      </c>
      <c r="F1648" s="617">
        <v>44209</v>
      </c>
    </row>
    <row r="1649" spans="1:6" x14ac:dyDescent="0.3">
      <c r="A1649" s="169" t="s">
        <v>4193</v>
      </c>
      <c r="B1649" s="613" t="s">
        <v>4471</v>
      </c>
      <c r="C1649" s="614" t="s">
        <v>1376</v>
      </c>
      <c r="D1649" s="160">
        <v>312.33999999999997</v>
      </c>
      <c r="E1649" s="616" t="s">
        <v>3700</v>
      </c>
      <c r="F1649" s="617">
        <v>44209</v>
      </c>
    </row>
    <row r="1650" spans="1:6" x14ac:dyDescent="0.3">
      <c r="A1650" s="169" t="s">
        <v>4194</v>
      </c>
      <c r="B1650" s="613" t="s">
        <v>4168</v>
      </c>
      <c r="C1650" s="614" t="s">
        <v>1376</v>
      </c>
      <c r="D1650" s="160">
        <v>871.2399999999999</v>
      </c>
      <c r="E1650" s="616" t="s">
        <v>3700</v>
      </c>
      <c r="F1650" s="617">
        <v>44209</v>
      </c>
    </row>
    <row r="1651" spans="1:6" x14ac:dyDescent="0.3">
      <c r="A1651" s="169" t="s">
        <v>4195</v>
      </c>
      <c r="B1651" s="613" t="s">
        <v>4169</v>
      </c>
      <c r="C1651" s="614" t="s">
        <v>1376</v>
      </c>
      <c r="D1651" s="160">
        <v>670.13</v>
      </c>
      <c r="E1651" s="616" t="s">
        <v>3700</v>
      </c>
      <c r="F1651" s="617">
        <v>44209</v>
      </c>
    </row>
    <row r="1652" spans="1:6" x14ac:dyDescent="0.3">
      <c r="A1652" s="169" t="s">
        <v>4196</v>
      </c>
      <c r="B1652" s="613" t="s">
        <v>4472</v>
      </c>
      <c r="C1652" s="614" t="s">
        <v>1376</v>
      </c>
      <c r="D1652" s="160">
        <v>160.41</v>
      </c>
      <c r="E1652" s="616" t="s">
        <v>3700</v>
      </c>
      <c r="F1652" s="617">
        <v>44209</v>
      </c>
    </row>
    <row r="1653" spans="1:6" x14ac:dyDescent="0.3">
      <c r="A1653" s="169" t="s">
        <v>4197</v>
      </c>
      <c r="B1653" s="613" t="s">
        <v>4473</v>
      </c>
      <c r="C1653" s="614" t="s">
        <v>1376</v>
      </c>
      <c r="D1653" s="160">
        <v>2389.44</v>
      </c>
      <c r="E1653" s="616" t="s">
        <v>3700</v>
      </c>
      <c r="F1653" s="617">
        <v>44209</v>
      </c>
    </row>
    <row r="1654" spans="1:6" x14ac:dyDescent="0.3">
      <c r="A1654" s="169" t="s">
        <v>4198</v>
      </c>
      <c r="B1654" s="613" t="s">
        <v>4474</v>
      </c>
      <c r="C1654" s="614" t="s">
        <v>1376</v>
      </c>
      <c r="D1654" s="160">
        <v>4400</v>
      </c>
      <c r="E1654" s="616" t="s">
        <v>3756</v>
      </c>
      <c r="F1654" s="617">
        <v>44209</v>
      </c>
    </row>
    <row r="1655" spans="1:6" x14ac:dyDescent="0.3">
      <c r="A1655" s="169" t="s">
        <v>4199</v>
      </c>
      <c r="B1655" s="613" t="s">
        <v>4475</v>
      </c>
      <c r="C1655" s="614" t="s">
        <v>1376</v>
      </c>
      <c r="D1655" s="160">
        <v>278.26</v>
      </c>
      <c r="E1655" s="616" t="s">
        <v>3700</v>
      </c>
      <c r="F1655" s="617">
        <v>44209</v>
      </c>
    </row>
    <row r="1656" spans="1:6" x14ac:dyDescent="0.3">
      <c r="A1656" s="169" t="s">
        <v>4200</v>
      </c>
      <c r="B1656" s="613" t="s">
        <v>4476</v>
      </c>
      <c r="C1656" s="614" t="s">
        <v>1376</v>
      </c>
      <c r="D1656" s="160">
        <v>676.68999999999994</v>
      </c>
      <c r="E1656" s="616" t="s">
        <v>3700</v>
      </c>
      <c r="F1656" s="617">
        <v>44209</v>
      </c>
    </row>
    <row r="1657" spans="1:6" x14ac:dyDescent="0.3">
      <c r="A1657" s="169" t="s">
        <v>4201</v>
      </c>
      <c r="B1657" s="613" t="s">
        <v>4170</v>
      </c>
      <c r="C1657" s="614" t="s">
        <v>1376</v>
      </c>
      <c r="D1657" s="160">
        <v>183.39</v>
      </c>
      <c r="E1657" s="616" t="s">
        <v>3700</v>
      </c>
      <c r="F1657" s="617">
        <v>44209</v>
      </c>
    </row>
    <row r="1658" spans="1:6" x14ac:dyDescent="0.3">
      <c r="A1658" s="169" t="s">
        <v>4202</v>
      </c>
      <c r="B1658" s="613" t="s">
        <v>4171</v>
      </c>
      <c r="C1658" s="614" t="s">
        <v>1376</v>
      </c>
      <c r="D1658" s="160">
        <v>2019.5499999999997</v>
      </c>
      <c r="E1658" s="616" t="s">
        <v>3700</v>
      </c>
      <c r="F1658" s="617">
        <v>44209</v>
      </c>
    </row>
    <row r="1659" spans="1:6" x14ac:dyDescent="0.3">
      <c r="A1659" s="169" t="s">
        <v>4203</v>
      </c>
      <c r="B1659" s="613" t="s">
        <v>4477</v>
      </c>
      <c r="C1659" s="614" t="s">
        <v>1376</v>
      </c>
      <c r="D1659" s="160">
        <v>322.83999999999997</v>
      </c>
      <c r="E1659" s="616" t="s">
        <v>3700</v>
      </c>
      <c r="F1659" s="617">
        <v>44209</v>
      </c>
    </row>
    <row r="1660" spans="1:6" x14ac:dyDescent="0.3">
      <c r="A1660" s="169" t="s">
        <v>4204</v>
      </c>
      <c r="B1660" s="613" t="s">
        <v>4172</v>
      </c>
      <c r="C1660" s="614" t="s">
        <v>1376</v>
      </c>
      <c r="D1660" s="160">
        <v>116.14</v>
      </c>
      <c r="E1660" s="616" t="s">
        <v>4480</v>
      </c>
      <c r="F1660" s="617">
        <v>44209</v>
      </c>
    </row>
    <row r="1661" spans="1:6" x14ac:dyDescent="0.3">
      <c r="A1661" s="169" t="s">
        <v>4205</v>
      </c>
      <c r="B1661" s="613" t="s">
        <v>4173</v>
      </c>
      <c r="C1661" s="614" t="s">
        <v>1376</v>
      </c>
      <c r="D1661" s="160">
        <v>34.68</v>
      </c>
      <c r="E1661" s="616" t="s">
        <v>4480</v>
      </c>
      <c r="F1661" s="617">
        <v>44209</v>
      </c>
    </row>
    <row r="1662" spans="1:6" x14ac:dyDescent="0.3">
      <c r="A1662" s="169" t="s">
        <v>4206</v>
      </c>
      <c r="B1662" s="613" t="s">
        <v>4174</v>
      </c>
      <c r="C1662" s="614" t="s">
        <v>1376</v>
      </c>
      <c r="D1662" s="160">
        <v>29.82</v>
      </c>
      <c r="E1662" s="616" t="s">
        <v>4480</v>
      </c>
      <c r="F1662" s="617">
        <v>44209</v>
      </c>
    </row>
    <row r="1663" spans="1:6" x14ac:dyDescent="0.3">
      <c r="A1663" s="169" t="s">
        <v>4207</v>
      </c>
      <c r="B1663" s="613" t="s">
        <v>4175</v>
      </c>
      <c r="C1663" s="614" t="s">
        <v>1376</v>
      </c>
      <c r="D1663" s="160">
        <v>92.37</v>
      </c>
      <c r="E1663" s="616" t="s">
        <v>4480</v>
      </c>
      <c r="F1663" s="617">
        <v>44209</v>
      </c>
    </row>
    <row r="1664" spans="1:6" x14ac:dyDescent="0.3">
      <c r="A1664" s="169" t="s">
        <v>4208</v>
      </c>
      <c r="B1664" s="613" t="s">
        <v>4176</v>
      </c>
      <c r="C1664" s="614" t="s">
        <v>1376</v>
      </c>
      <c r="D1664" s="160">
        <v>32.43</v>
      </c>
      <c r="E1664" s="616" t="s">
        <v>4480</v>
      </c>
      <c r="F1664" s="617">
        <v>44209</v>
      </c>
    </row>
    <row r="1665" spans="1:6" x14ac:dyDescent="0.3">
      <c r="A1665" s="169" t="s">
        <v>4209</v>
      </c>
      <c r="B1665" s="613" t="s">
        <v>4177</v>
      </c>
      <c r="C1665" s="614" t="s">
        <v>1376</v>
      </c>
      <c r="D1665" s="160">
        <v>60.96</v>
      </c>
      <c r="E1665" s="616" t="s">
        <v>4481</v>
      </c>
      <c r="F1665" s="617">
        <v>44209</v>
      </c>
    </row>
    <row r="1666" spans="1:6" x14ac:dyDescent="0.3">
      <c r="A1666" s="169" t="s">
        <v>4210</v>
      </c>
      <c r="B1666" s="613" t="s">
        <v>4178</v>
      </c>
      <c r="C1666" s="614" t="s">
        <v>1376</v>
      </c>
      <c r="D1666" s="160">
        <v>380</v>
      </c>
      <c r="E1666" s="616" t="s">
        <v>4494</v>
      </c>
      <c r="F1666" s="617">
        <v>44209</v>
      </c>
    </row>
    <row r="1667" spans="1:6" x14ac:dyDescent="0.3">
      <c r="A1667" s="169" t="s">
        <v>4211</v>
      </c>
      <c r="B1667" s="613" t="s">
        <v>4179</v>
      </c>
      <c r="C1667" s="614" t="s">
        <v>1376</v>
      </c>
      <c r="D1667" s="160">
        <v>125.4</v>
      </c>
      <c r="E1667" s="616" t="s">
        <v>4480</v>
      </c>
      <c r="F1667" s="617">
        <v>44209</v>
      </c>
    </row>
    <row r="1668" spans="1:6" x14ac:dyDescent="0.3">
      <c r="A1668" s="169" t="s">
        <v>4212</v>
      </c>
      <c r="B1668" s="613" t="s">
        <v>4180</v>
      </c>
      <c r="C1668" s="614" t="s">
        <v>1376</v>
      </c>
      <c r="D1668" s="160">
        <v>117.81</v>
      </c>
      <c r="E1668" s="616" t="s">
        <v>4480</v>
      </c>
      <c r="F1668" s="617">
        <v>44209</v>
      </c>
    </row>
    <row r="1669" spans="1:6" x14ac:dyDescent="0.3">
      <c r="A1669" s="169" t="s">
        <v>4213</v>
      </c>
      <c r="B1669" s="613" t="s">
        <v>4478</v>
      </c>
      <c r="C1669" s="614" t="s">
        <v>1376</v>
      </c>
      <c r="D1669" s="160">
        <v>322.83999999999997</v>
      </c>
      <c r="E1669" s="616" t="s">
        <v>3700</v>
      </c>
      <c r="F1669" s="617">
        <v>44209</v>
      </c>
    </row>
    <row r="1670" spans="1:6" x14ac:dyDescent="0.3">
      <c r="A1670" s="169" t="s">
        <v>4214</v>
      </c>
      <c r="B1670" s="613" t="s">
        <v>4479</v>
      </c>
      <c r="C1670" s="614" t="s">
        <v>1376</v>
      </c>
      <c r="D1670" s="160">
        <v>169.58</v>
      </c>
      <c r="E1670" s="616" t="s">
        <v>3700</v>
      </c>
      <c r="F1670" s="617">
        <v>44209</v>
      </c>
    </row>
    <row r="1671" spans="1:6" x14ac:dyDescent="0.3">
      <c r="A1671" s="169" t="s">
        <v>4215</v>
      </c>
      <c r="B1671" s="613" t="s">
        <v>4485</v>
      </c>
      <c r="C1671" s="614" t="s">
        <v>73</v>
      </c>
      <c r="D1671" s="160">
        <v>18</v>
      </c>
      <c r="E1671" s="616" t="s">
        <v>3591</v>
      </c>
      <c r="F1671" s="617">
        <v>44551</v>
      </c>
    </row>
    <row r="1672" spans="1:6" x14ac:dyDescent="0.3">
      <c r="A1672" s="169" t="s">
        <v>4216</v>
      </c>
      <c r="B1672" s="613" t="s">
        <v>4236</v>
      </c>
      <c r="C1672" s="614" t="s">
        <v>1376</v>
      </c>
      <c r="D1672" s="160">
        <v>0</v>
      </c>
      <c r="E1672" s="616"/>
      <c r="F1672" s="617"/>
    </row>
    <row r="1673" spans="1:6" x14ac:dyDescent="0.3">
      <c r="A1673" s="169" t="s">
        <v>4217</v>
      </c>
      <c r="B1673" s="613" t="s">
        <v>4232</v>
      </c>
      <c r="C1673" s="614" t="s">
        <v>1376</v>
      </c>
      <c r="D1673" s="160">
        <v>0</v>
      </c>
      <c r="E1673" s="616"/>
      <c r="F1673" s="617"/>
    </row>
    <row r="1674" spans="1:6" x14ac:dyDescent="0.3">
      <c r="A1674" s="169" t="s">
        <v>4218</v>
      </c>
      <c r="B1674" s="613" t="s">
        <v>4244</v>
      </c>
      <c r="C1674" s="614" t="s">
        <v>1376</v>
      </c>
      <c r="D1674" s="160">
        <v>0</v>
      </c>
      <c r="E1674" s="616"/>
      <c r="F1674" s="617"/>
    </row>
    <row r="1675" spans="1:6" x14ac:dyDescent="0.3">
      <c r="A1675" s="169" t="s">
        <v>4219</v>
      </c>
      <c r="B1675" s="613" t="s">
        <v>4244</v>
      </c>
      <c r="C1675" s="614" t="s">
        <v>1376</v>
      </c>
      <c r="D1675" s="160">
        <v>0</v>
      </c>
      <c r="E1675" s="616"/>
      <c r="F1675" s="617"/>
    </row>
    <row r="1676" spans="1:6" x14ac:dyDescent="0.3">
      <c r="A1676" s="169" t="s">
        <v>4220</v>
      </c>
      <c r="B1676" s="613" t="s">
        <v>4244</v>
      </c>
      <c r="C1676" s="614" t="s">
        <v>1376</v>
      </c>
      <c r="D1676" s="160">
        <v>0</v>
      </c>
      <c r="E1676" s="616"/>
      <c r="F1676" s="617"/>
    </row>
    <row r="1677" spans="1:6" x14ac:dyDescent="0.3">
      <c r="A1677" s="169" t="s">
        <v>4221</v>
      </c>
      <c r="B1677" s="613" t="s">
        <v>4241</v>
      </c>
      <c r="C1677" s="614" t="s">
        <v>1376</v>
      </c>
      <c r="D1677" s="160">
        <v>0</v>
      </c>
      <c r="E1677" s="616"/>
      <c r="F1677" s="617"/>
    </row>
    <row r="1678" spans="1:6" x14ac:dyDescent="0.3">
      <c r="A1678" s="169" t="s">
        <v>4222</v>
      </c>
      <c r="B1678" s="613" t="s">
        <v>4246</v>
      </c>
      <c r="C1678" s="614" t="s">
        <v>1376</v>
      </c>
      <c r="D1678" s="160">
        <v>0</v>
      </c>
      <c r="E1678" s="616"/>
      <c r="F1678" s="617"/>
    </row>
    <row r="1679" spans="1:6" x14ac:dyDescent="0.3">
      <c r="A1679" s="169" t="s">
        <v>4223</v>
      </c>
      <c r="B1679" s="613" t="s">
        <v>4238</v>
      </c>
      <c r="C1679" s="614" t="s">
        <v>1376</v>
      </c>
      <c r="D1679" s="160">
        <v>0</v>
      </c>
      <c r="E1679" s="616"/>
      <c r="F1679" s="617"/>
    </row>
    <row r="1680" spans="1:6" x14ac:dyDescent="0.3">
      <c r="A1680" s="169" t="s">
        <v>4224</v>
      </c>
      <c r="B1680" s="613" t="s">
        <v>4233</v>
      </c>
      <c r="C1680" s="614" t="s">
        <v>1376</v>
      </c>
      <c r="D1680" s="160">
        <v>0</v>
      </c>
      <c r="E1680" s="616"/>
      <c r="F1680" s="617"/>
    </row>
    <row r="1681" spans="1:6" x14ac:dyDescent="0.3">
      <c r="A1681" s="169" t="s">
        <v>4225</v>
      </c>
      <c r="B1681" s="613" t="s">
        <v>4234</v>
      </c>
      <c r="C1681" s="614" t="s">
        <v>1376</v>
      </c>
      <c r="D1681" s="160">
        <v>0</v>
      </c>
      <c r="E1681" s="616"/>
      <c r="F1681" s="617"/>
    </row>
    <row r="1682" spans="1:6" x14ac:dyDescent="0.3">
      <c r="A1682" s="169" t="s">
        <v>4226</v>
      </c>
      <c r="B1682" s="613" t="s">
        <v>4239</v>
      </c>
      <c r="C1682" s="614" t="s">
        <v>1376</v>
      </c>
      <c r="D1682" s="160">
        <v>0</v>
      </c>
      <c r="E1682" s="616"/>
      <c r="F1682" s="617"/>
    </row>
    <row r="1683" spans="1:6" x14ac:dyDescent="0.3">
      <c r="A1683" s="169" t="s">
        <v>4227</v>
      </c>
      <c r="B1683" s="613" t="s">
        <v>4235</v>
      </c>
      <c r="C1683" s="614" t="s">
        <v>1376</v>
      </c>
      <c r="D1683" s="160">
        <v>0</v>
      </c>
      <c r="E1683" s="616"/>
      <c r="F1683" s="617"/>
    </row>
    <row r="1684" spans="1:6" x14ac:dyDescent="0.3">
      <c r="A1684" s="169" t="s">
        <v>4228</v>
      </c>
      <c r="B1684" s="613" t="s">
        <v>4247</v>
      </c>
      <c r="C1684" s="614" t="s">
        <v>1376</v>
      </c>
      <c r="D1684" s="160">
        <v>0</v>
      </c>
      <c r="E1684" s="616"/>
      <c r="F1684" s="617"/>
    </row>
    <row r="1685" spans="1:6" x14ac:dyDescent="0.3">
      <c r="A1685" s="169" t="s">
        <v>4229</v>
      </c>
      <c r="B1685" s="613" t="s">
        <v>4242</v>
      </c>
      <c r="C1685" s="614" t="s">
        <v>73</v>
      </c>
      <c r="D1685" s="160">
        <v>0</v>
      </c>
      <c r="E1685" s="616"/>
      <c r="F1685" s="617"/>
    </row>
    <row r="1686" spans="1:6" x14ac:dyDescent="0.3">
      <c r="A1686" s="169" t="s">
        <v>4230</v>
      </c>
      <c r="B1686" s="613" t="s">
        <v>4242</v>
      </c>
      <c r="C1686" s="614" t="s">
        <v>73</v>
      </c>
      <c r="D1686" s="160">
        <v>0</v>
      </c>
      <c r="E1686" s="616"/>
      <c r="F1686" s="617"/>
    </row>
    <row r="1687" spans="1:6" x14ac:dyDescent="0.3">
      <c r="A1687" s="169" t="s">
        <v>4231</v>
      </c>
      <c r="B1687" s="613" t="s">
        <v>4243</v>
      </c>
      <c r="C1687" s="614" t="s">
        <v>73</v>
      </c>
      <c r="D1687" s="160">
        <v>0</v>
      </c>
      <c r="E1687" s="616"/>
      <c r="F1687" s="617"/>
    </row>
    <row r="1688" spans="1:6" x14ac:dyDescent="0.3">
      <c r="A1688" s="169" t="s">
        <v>4250</v>
      </c>
      <c r="B1688" s="613" t="s">
        <v>4243</v>
      </c>
      <c r="C1688" s="614" t="s">
        <v>73</v>
      </c>
      <c r="D1688" s="160">
        <v>0</v>
      </c>
      <c r="E1688" s="616"/>
      <c r="F1688" s="617"/>
    </row>
    <row r="1689" spans="1:6" x14ac:dyDescent="0.3">
      <c r="A1689" s="169" t="s">
        <v>4251</v>
      </c>
      <c r="B1689" s="613" t="s">
        <v>4243</v>
      </c>
      <c r="C1689" s="614" t="s">
        <v>73</v>
      </c>
      <c r="D1689" s="160">
        <v>0</v>
      </c>
      <c r="E1689" s="616"/>
      <c r="F1689" s="617"/>
    </row>
    <row r="1690" spans="1:6" x14ac:dyDescent="0.3">
      <c r="A1690" s="169" t="s">
        <v>4252</v>
      </c>
      <c r="B1690" s="613" t="s">
        <v>4245</v>
      </c>
      <c r="C1690" s="614" t="s">
        <v>73</v>
      </c>
      <c r="D1690" s="160">
        <v>0</v>
      </c>
      <c r="E1690" s="616"/>
      <c r="F1690" s="617"/>
    </row>
    <row r="1691" spans="1:6" x14ac:dyDescent="0.3">
      <c r="A1691" s="169" t="s">
        <v>4253</v>
      </c>
      <c r="B1691" s="613" t="s">
        <v>4237</v>
      </c>
      <c r="C1691" s="614" t="s">
        <v>73</v>
      </c>
      <c r="D1691" s="160">
        <v>0</v>
      </c>
      <c r="E1691" s="616"/>
      <c r="F1691" s="617"/>
    </row>
    <row r="1692" spans="1:6" x14ac:dyDescent="0.3">
      <c r="A1692" s="169" t="s">
        <v>4254</v>
      </c>
      <c r="B1692" s="613" t="s">
        <v>4240</v>
      </c>
      <c r="C1692" s="614" t="s">
        <v>73</v>
      </c>
      <c r="D1692" s="160">
        <v>0</v>
      </c>
      <c r="E1692" s="616"/>
      <c r="F1692" s="617"/>
    </row>
    <row r="1693" spans="1:6" x14ac:dyDescent="0.3">
      <c r="A1693" s="169" t="s">
        <v>4255</v>
      </c>
      <c r="B1693" s="613" t="s">
        <v>4248</v>
      </c>
      <c r="C1693" s="614" t="s">
        <v>1376</v>
      </c>
      <c r="D1693" s="160">
        <v>0</v>
      </c>
      <c r="E1693" s="616"/>
      <c r="F1693" s="617"/>
    </row>
    <row r="1694" spans="1:6" x14ac:dyDescent="0.3">
      <c r="A1694" s="169" t="s">
        <v>4256</v>
      </c>
      <c r="B1694" s="613" t="s">
        <v>4249</v>
      </c>
      <c r="C1694" s="614" t="s">
        <v>1376</v>
      </c>
      <c r="D1694" s="160">
        <v>0</v>
      </c>
      <c r="E1694" s="616"/>
      <c r="F1694" s="617"/>
    </row>
    <row r="1695" spans="1:6" ht="15" customHeight="1" x14ac:dyDescent="0.3">
      <c r="A1695" s="169" t="s">
        <v>4257</v>
      </c>
      <c r="B1695" s="190" t="s">
        <v>4452</v>
      </c>
      <c r="C1695" s="163" t="s">
        <v>73</v>
      </c>
      <c r="D1695" s="160">
        <v>38</v>
      </c>
      <c r="E1695" s="165" t="s">
        <v>4450</v>
      </c>
      <c r="F1695" s="166">
        <v>44208</v>
      </c>
    </row>
    <row r="1696" spans="1:6" ht="15" customHeight="1" x14ac:dyDescent="0.3">
      <c r="A1696" s="169" t="s">
        <v>4258</v>
      </c>
      <c r="B1696" s="190" t="s">
        <v>4453</v>
      </c>
      <c r="C1696" s="163" t="s">
        <v>73</v>
      </c>
      <c r="D1696" s="160">
        <v>50</v>
      </c>
      <c r="E1696" s="165" t="s">
        <v>4450</v>
      </c>
      <c r="F1696" s="166">
        <v>44208</v>
      </c>
    </row>
    <row r="1697" spans="1:6" x14ac:dyDescent="0.3">
      <c r="A1697" s="169" t="s">
        <v>4259</v>
      </c>
      <c r="B1697" s="613" t="s">
        <v>4457</v>
      </c>
      <c r="C1697" s="614" t="s">
        <v>2088</v>
      </c>
      <c r="D1697" s="160">
        <v>104</v>
      </c>
      <c r="E1697" s="616" t="s">
        <v>1772</v>
      </c>
      <c r="F1697" s="617"/>
    </row>
    <row r="1698" spans="1:6" x14ac:dyDescent="0.3">
      <c r="A1698" s="169" t="s">
        <v>4260</v>
      </c>
      <c r="B1698" s="156" t="s">
        <v>4460</v>
      </c>
      <c r="C1698" s="163" t="s">
        <v>4458</v>
      </c>
      <c r="D1698" s="160">
        <v>40.4</v>
      </c>
      <c r="E1698" s="165" t="s">
        <v>5794</v>
      </c>
      <c r="F1698" s="166">
        <v>410</v>
      </c>
    </row>
    <row r="1699" spans="1:6" x14ac:dyDescent="0.3">
      <c r="A1699" s="169" t="s">
        <v>4261</v>
      </c>
      <c r="B1699" s="613" t="s">
        <v>4461</v>
      </c>
      <c r="C1699" s="614" t="s">
        <v>2088</v>
      </c>
      <c r="D1699" s="160">
        <v>3.2</v>
      </c>
      <c r="E1699" s="616" t="s">
        <v>4462</v>
      </c>
      <c r="F1699" s="617">
        <v>44208</v>
      </c>
    </row>
    <row r="1700" spans="1:6" x14ac:dyDescent="0.3">
      <c r="A1700" s="169" t="s">
        <v>4262</v>
      </c>
      <c r="B1700" s="156" t="s">
        <v>4464</v>
      </c>
      <c r="C1700" s="614" t="s">
        <v>73</v>
      </c>
      <c r="D1700" s="160">
        <f>((((111.41+99.88)*1.03)/1.03)*1.02)/1.02</f>
        <v>211.29</v>
      </c>
      <c r="E1700" s="616" t="s">
        <v>3816</v>
      </c>
      <c r="F1700" s="617">
        <v>44208</v>
      </c>
    </row>
    <row r="1701" spans="1:6" x14ac:dyDescent="0.3">
      <c r="A1701" s="169" t="s">
        <v>4263</v>
      </c>
      <c r="B1701" s="613" t="s">
        <v>4465</v>
      </c>
      <c r="C1701" s="614" t="s">
        <v>73</v>
      </c>
      <c r="D1701" s="160">
        <v>440</v>
      </c>
      <c r="E1701" s="616" t="s">
        <v>1611</v>
      </c>
      <c r="F1701" s="617">
        <v>44210</v>
      </c>
    </row>
    <row r="1702" spans="1:6" x14ac:dyDescent="0.3">
      <c r="A1702" s="169" t="s">
        <v>4264</v>
      </c>
      <c r="B1702" s="190" t="s">
        <v>4466</v>
      </c>
      <c r="C1702" s="163" t="s">
        <v>73</v>
      </c>
      <c r="D1702" s="160">
        <v>139.11000000000001</v>
      </c>
      <c r="E1702" s="165" t="s">
        <v>3259</v>
      </c>
      <c r="F1702" s="166">
        <v>44173</v>
      </c>
    </row>
    <row r="1703" spans="1:6" x14ac:dyDescent="0.3">
      <c r="A1703" s="169" t="s">
        <v>4265</v>
      </c>
      <c r="B1703" s="613" t="s">
        <v>4633</v>
      </c>
      <c r="C1703" s="614" t="s">
        <v>1376</v>
      </c>
      <c r="D1703" s="160">
        <f>(((((740+180)*2)*1.03)/1.03)*1.02)/1.02</f>
        <v>1840</v>
      </c>
      <c r="E1703" s="616" t="s">
        <v>3086</v>
      </c>
      <c r="F1703" s="617">
        <v>44209</v>
      </c>
    </row>
    <row r="1704" spans="1:6" x14ac:dyDescent="0.3">
      <c r="A1704" s="169" t="s">
        <v>4266</v>
      </c>
      <c r="B1704" s="613" t="s">
        <v>4634</v>
      </c>
      <c r="C1704" s="614" t="s">
        <v>1376</v>
      </c>
      <c r="D1704" s="160">
        <f>(((((740+180)*2)*1.03)/1.03)*1.02)/1.02</f>
        <v>1840</v>
      </c>
      <c r="E1704" s="616" t="s">
        <v>3086</v>
      </c>
      <c r="F1704" s="617">
        <v>44209</v>
      </c>
    </row>
    <row r="1705" spans="1:6" x14ac:dyDescent="0.3">
      <c r="A1705" s="169" t="s">
        <v>4267</v>
      </c>
      <c r="B1705" s="613" t="s">
        <v>4635</v>
      </c>
      <c r="C1705" s="614" t="s">
        <v>1376</v>
      </c>
      <c r="D1705" s="160">
        <f>(((((740+180)*2)*1.03)/1.03)*1.02)/1.02</f>
        <v>1840</v>
      </c>
      <c r="E1705" s="616" t="s">
        <v>3086</v>
      </c>
      <c r="F1705" s="617">
        <v>44209</v>
      </c>
    </row>
    <row r="1706" spans="1:6" x14ac:dyDescent="0.3">
      <c r="A1706" s="169" t="s">
        <v>4268</v>
      </c>
      <c r="B1706" s="613" t="s">
        <v>4636</v>
      </c>
      <c r="C1706" s="614" t="s">
        <v>1376</v>
      </c>
      <c r="D1706" s="160">
        <f>(((((740+180)*2)*1.03)/1.03)*1.02)/1.02</f>
        <v>1840</v>
      </c>
      <c r="E1706" s="616" t="s">
        <v>3086</v>
      </c>
      <c r="F1706" s="617">
        <v>44209</v>
      </c>
    </row>
    <row r="1707" spans="1:6" x14ac:dyDescent="0.3">
      <c r="A1707" s="169" t="s">
        <v>4269</v>
      </c>
      <c r="B1707" s="613" t="s">
        <v>4487</v>
      </c>
      <c r="C1707" s="614" t="s">
        <v>1376</v>
      </c>
      <c r="D1707" s="160">
        <v>5000</v>
      </c>
      <c r="E1707" s="616" t="s">
        <v>3610</v>
      </c>
      <c r="F1707" s="617">
        <v>44209</v>
      </c>
    </row>
    <row r="1708" spans="1:6" x14ac:dyDescent="0.3">
      <c r="A1708" s="169" t="s">
        <v>4270</v>
      </c>
      <c r="B1708" s="613" t="s">
        <v>4488</v>
      </c>
      <c r="C1708" s="614" t="s">
        <v>1376</v>
      </c>
      <c r="D1708" s="160">
        <v>4000</v>
      </c>
      <c r="E1708" s="616" t="s">
        <v>3610</v>
      </c>
      <c r="F1708" s="617">
        <v>44209</v>
      </c>
    </row>
    <row r="1709" spans="1:6" x14ac:dyDescent="0.3">
      <c r="A1709" s="169" t="s">
        <v>4271</v>
      </c>
      <c r="B1709" s="613" t="s">
        <v>4489</v>
      </c>
      <c r="C1709" s="614" t="s">
        <v>1376</v>
      </c>
      <c r="D1709" s="160">
        <v>6000</v>
      </c>
      <c r="E1709" s="616" t="s">
        <v>3610</v>
      </c>
      <c r="F1709" s="617">
        <v>44209</v>
      </c>
    </row>
    <row r="1710" spans="1:6" x14ac:dyDescent="0.3">
      <c r="A1710" s="169" t="s">
        <v>4272</v>
      </c>
      <c r="B1710" s="613" t="s">
        <v>4490</v>
      </c>
      <c r="C1710" s="614" t="s">
        <v>1376</v>
      </c>
      <c r="D1710" s="160">
        <v>4500</v>
      </c>
      <c r="E1710" s="616" t="s">
        <v>3610</v>
      </c>
      <c r="F1710" s="617">
        <v>44209</v>
      </c>
    </row>
    <row r="1711" spans="1:6" x14ac:dyDescent="0.3">
      <c r="A1711" s="169" t="s">
        <v>4273</v>
      </c>
      <c r="B1711" s="613" t="s">
        <v>4491</v>
      </c>
      <c r="C1711" s="614" t="s">
        <v>1376</v>
      </c>
      <c r="D1711" s="160">
        <v>4000</v>
      </c>
      <c r="E1711" s="616" t="s">
        <v>3610</v>
      </c>
      <c r="F1711" s="617">
        <v>44209</v>
      </c>
    </row>
    <row r="1712" spans="1:6" x14ac:dyDescent="0.3">
      <c r="A1712" s="169" t="s">
        <v>4274</v>
      </c>
      <c r="B1712" s="613" t="s">
        <v>4495</v>
      </c>
      <c r="C1712" s="614" t="s">
        <v>1376</v>
      </c>
      <c r="D1712" s="160">
        <v>0</v>
      </c>
      <c r="E1712" s="616"/>
      <c r="F1712" s="617"/>
    </row>
    <row r="1713" spans="1:6" x14ac:dyDescent="0.3">
      <c r="A1713" s="169" t="s">
        <v>4275</v>
      </c>
      <c r="B1713" s="613" t="s">
        <v>4496</v>
      </c>
      <c r="C1713" s="614" t="s">
        <v>1376</v>
      </c>
      <c r="D1713" s="160">
        <v>0</v>
      </c>
      <c r="E1713" s="616"/>
      <c r="F1713" s="617"/>
    </row>
    <row r="1714" spans="1:6" x14ac:dyDescent="0.3">
      <c r="A1714" s="169" t="s">
        <v>4276</v>
      </c>
      <c r="B1714" s="613" t="s">
        <v>4497</v>
      </c>
      <c r="C1714" s="614" t="s">
        <v>1376</v>
      </c>
      <c r="D1714" s="160">
        <v>0</v>
      </c>
      <c r="E1714" s="616"/>
      <c r="F1714" s="617"/>
    </row>
    <row r="1715" spans="1:6" x14ac:dyDescent="0.3">
      <c r="A1715" s="169" t="s">
        <v>4277</v>
      </c>
      <c r="B1715" s="613" t="s">
        <v>4498</v>
      </c>
      <c r="C1715" s="614" t="s">
        <v>1376</v>
      </c>
      <c r="D1715" s="160">
        <v>0</v>
      </c>
      <c r="E1715" s="616"/>
      <c r="F1715" s="617"/>
    </row>
    <row r="1716" spans="1:6" x14ac:dyDescent="0.3">
      <c r="A1716" s="169" t="s">
        <v>4278</v>
      </c>
      <c r="B1716" s="613" t="s">
        <v>4499</v>
      </c>
      <c r="C1716" s="614" t="s">
        <v>1376</v>
      </c>
      <c r="D1716" s="160">
        <v>0</v>
      </c>
      <c r="E1716" s="616"/>
      <c r="F1716" s="617"/>
    </row>
    <row r="1717" spans="1:6" x14ac:dyDescent="0.3">
      <c r="A1717" s="169" t="s">
        <v>4279</v>
      </c>
      <c r="B1717" s="613" t="s">
        <v>4500</v>
      </c>
      <c r="C1717" s="614" t="s">
        <v>1376</v>
      </c>
      <c r="D1717" s="160">
        <v>0</v>
      </c>
      <c r="E1717" s="616"/>
      <c r="F1717" s="617"/>
    </row>
    <row r="1718" spans="1:6" x14ac:dyDescent="0.3">
      <c r="A1718" s="169" t="s">
        <v>4280</v>
      </c>
      <c r="B1718" s="613" t="s">
        <v>4501</v>
      </c>
      <c r="C1718" s="614" t="s">
        <v>1376</v>
      </c>
      <c r="D1718" s="160">
        <v>0</v>
      </c>
      <c r="E1718" s="616"/>
      <c r="F1718" s="617"/>
    </row>
    <row r="1719" spans="1:6" x14ac:dyDescent="0.3">
      <c r="A1719" s="169" t="s">
        <v>4281</v>
      </c>
      <c r="B1719" s="613" t="s">
        <v>4502</v>
      </c>
      <c r="C1719" s="614" t="s">
        <v>1376</v>
      </c>
      <c r="D1719" s="160">
        <v>0</v>
      </c>
      <c r="E1719" s="616"/>
      <c r="F1719" s="617"/>
    </row>
    <row r="1720" spans="1:6" x14ac:dyDescent="0.3">
      <c r="A1720" s="169" t="s">
        <v>4282</v>
      </c>
      <c r="B1720" s="613" t="s">
        <v>4503</v>
      </c>
      <c r="C1720" s="614" t="s">
        <v>1376</v>
      </c>
      <c r="D1720" s="160">
        <v>0</v>
      </c>
      <c r="E1720" s="616"/>
      <c r="F1720" s="617"/>
    </row>
    <row r="1721" spans="1:6" x14ac:dyDescent="0.3">
      <c r="A1721" s="169" t="s">
        <v>4283</v>
      </c>
      <c r="B1721" s="613" t="s">
        <v>4504</v>
      </c>
      <c r="C1721" s="614" t="s">
        <v>1376</v>
      </c>
      <c r="D1721" s="160">
        <v>0</v>
      </c>
      <c r="E1721" s="616"/>
      <c r="F1721" s="617"/>
    </row>
    <row r="1722" spans="1:6" x14ac:dyDescent="0.3">
      <c r="A1722" s="169" t="s">
        <v>4284</v>
      </c>
      <c r="B1722" s="613" t="s">
        <v>4505</v>
      </c>
      <c r="C1722" s="614" t="s">
        <v>1376</v>
      </c>
      <c r="D1722" s="160">
        <v>0</v>
      </c>
      <c r="E1722" s="616"/>
      <c r="F1722" s="617"/>
    </row>
    <row r="1723" spans="1:6" x14ac:dyDescent="0.3">
      <c r="A1723" s="169" t="s">
        <v>4285</v>
      </c>
      <c r="B1723" s="613" t="s">
        <v>4506</v>
      </c>
      <c r="C1723" s="614" t="s">
        <v>1376</v>
      </c>
      <c r="D1723" s="160">
        <v>0</v>
      </c>
      <c r="E1723" s="616"/>
      <c r="F1723" s="617"/>
    </row>
    <row r="1724" spans="1:6" x14ac:dyDescent="0.3">
      <c r="A1724" s="169" t="s">
        <v>4286</v>
      </c>
      <c r="B1724" s="613" t="s">
        <v>4507</v>
      </c>
      <c r="C1724" s="614" t="s">
        <v>1376</v>
      </c>
      <c r="D1724" s="160">
        <v>0</v>
      </c>
      <c r="E1724" s="616"/>
      <c r="F1724" s="617"/>
    </row>
    <row r="1725" spans="1:6" x14ac:dyDescent="0.3">
      <c r="A1725" s="169" t="s">
        <v>4287</v>
      </c>
      <c r="B1725" s="613" t="s">
        <v>4508</v>
      </c>
      <c r="C1725" s="614" t="s">
        <v>1376</v>
      </c>
      <c r="D1725" s="160">
        <v>0</v>
      </c>
      <c r="E1725" s="616"/>
      <c r="F1725" s="617"/>
    </row>
    <row r="1726" spans="1:6" x14ac:dyDescent="0.3">
      <c r="A1726" s="169" t="s">
        <v>4288</v>
      </c>
      <c r="B1726" s="613" t="s">
        <v>4509</v>
      </c>
      <c r="C1726" s="614" t="s">
        <v>1376</v>
      </c>
      <c r="D1726" s="160">
        <v>0</v>
      </c>
      <c r="E1726" s="616"/>
      <c r="F1726" s="617"/>
    </row>
    <row r="1727" spans="1:6" x14ac:dyDescent="0.3">
      <c r="A1727" s="169" t="s">
        <v>4289</v>
      </c>
      <c r="B1727" s="613" t="s">
        <v>4510</v>
      </c>
      <c r="C1727" s="614" t="s">
        <v>1376</v>
      </c>
      <c r="D1727" s="160">
        <v>0</v>
      </c>
      <c r="E1727" s="616"/>
      <c r="F1727" s="617"/>
    </row>
    <row r="1728" spans="1:6" x14ac:dyDescent="0.3">
      <c r="A1728" s="169" t="s">
        <v>4290</v>
      </c>
      <c r="B1728" s="613" t="s">
        <v>4511</v>
      </c>
      <c r="C1728" s="614" t="s">
        <v>1376</v>
      </c>
      <c r="D1728" s="160">
        <v>0</v>
      </c>
      <c r="E1728" s="616"/>
      <c r="F1728" s="617"/>
    </row>
    <row r="1729" spans="1:6" x14ac:dyDescent="0.3">
      <c r="A1729" s="169" t="s">
        <v>4291</v>
      </c>
      <c r="B1729" s="613" t="s">
        <v>4512</v>
      </c>
      <c r="C1729" s="614" t="s">
        <v>1376</v>
      </c>
      <c r="D1729" s="160">
        <v>0</v>
      </c>
      <c r="E1729" s="616"/>
      <c r="F1729" s="617"/>
    </row>
    <row r="1730" spans="1:6" x14ac:dyDescent="0.3">
      <c r="A1730" s="169" t="s">
        <v>4292</v>
      </c>
      <c r="B1730" s="613" t="s">
        <v>4513</v>
      </c>
      <c r="C1730" s="614" t="s">
        <v>1376</v>
      </c>
      <c r="D1730" s="160">
        <v>0</v>
      </c>
      <c r="E1730" s="616"/>
      <c r="F1730" s="617"/>
    </row>
    <row r="1731" spans="1:6" x14ac:dyDescent="0.3">
      <c r="A1731" s="169" t="s">
        <v>4293</v>
      </c>
      <c r="B1731" s="613" t="s">
        <v>4514</v>
      </c>
      <c r="C1731" s="614" t="s">
        <v>1376</v>
      </c>
      <c r="D1731" s="160">
        <v>0</v>
      </c>
      <c r="E1731" s="616"/>
      <c r="F1731" s="617"/>
    </row>
    <row r="1732" spans="1:6" x14ac:dyDescent="0.3">
      <c r="A1732" s="169" t="s">
        <v>4294</v>
      </c>
      <c r="B1732" s="613" t="s">
        <v>4515</v>
      </c>
      <c r="C1732" s="614" t="s">
        <v>1376</v>
      </c>
      <c r="D1732" s="160">
        <v>0</v>
      </c>
      <c r="E1732" s="616"/>
      <c r="F1732" s="617"/>
    </row>
    <row r="1733" spans="1:6" x14ac:dyDescent="0.3">
      <c r="A1733" s="169" t="s">
        <v>4295</v>
      </c>
      <c r="B1733" s="613" t="s">
        <v>4516</v>
      </c>
      <c r="C1733" s="614" t="s">
        <v>1376</v>
      </c>
      <c r="D1733" s="160">
        <v>0</v>
      </c>
      <c r="E1733" s="616"/>
      <c r="F1733" s="617"/>
    </row>
    <row r="1734" spans="1:6" x14ac:dyDescent="0.3">
      <c r="A1734" s="169" t="s">
        <v>4296</v>
      </c>
      <c r="B1734" s="613" t="s">
        <v>4517</v>
      </c>
      <c r="C1734" s="614" t="s">
        <v>1376</v>
      </c>
      <c r="D1734" s="160">
        <v>0</v>
      </c>
      <c r="E1734" s="616"/>
      <c r="F1734" s="617"/>
    </row>
    <row r="1735" spans="1:6" x14ac:dyDescent="0.3">
      <c r="A1735" s="169" t="s">
        <v>4297</v>
      </c>
      <c r="B1735" s="613" t="s">
        <v>4518</v>
      </c>
      <c r="C1735" s="614" t="s">
        <v>1376</v>
      </c>
      <c r="D1735" s="160">
        <v>0</v>
      </c>
      <c r="E1735" s="616"/>
      <c r="F1735" s="617"/>
    </row>
    <row r="1736" spans="1:6" x14ac:dyDescent="0.3">
      <c r="A1736" s="169" t="s">
        <v>4298</v>
      </c>
      <c r="B1736" s="613" t="s">
        <v>4519</v>
      </c>
      <c r="C1736" s="614" t="s">
        <v>1376</v>
      </c>
      <c r="D1736" s="160">
        <v>0</v>
      </c>
      <c r="E1736" s="616"/>
      <c r="F1736" s="617"/>
    </row>
    <row r="1737" spans="1:6" x14ac:dyDescent="0.3">
      <c r="A1737" s="169" t="s">
        <v>4299</v>
      </c>
      <c r="B1737" s="613" t="s">
        <v>4520</v>
      </c>
      <c r="C1737" s="614" t="s">
        <v>1376</v>
      </c>
      <c r="D1737" s="160">
        <v>0</v>
      </c>
      <c r="E1737" s="616"/>
      <c r="F1737" s="617"/>
    </row>
    <row r="1738" spans="1:6" x14ac:dyDescent="0.3">
      <c r="A1738" s="169" t="s">
        <v>4300</v>
      </c>
      <c r="B1738" s="613" t="s">
        <v>4521</v>
      </c>
      <c r="C1738" s="614" t="s">
        <v>1376</v>
      </c>
      <c r="D1738" s="160">
        <v>0</v>
      </c>
      <c r="E1738" s="616"/>
      <c r="F1738" s="617"/>
    </row>
    <row r="1739" spans="1:6" x14ac:dyDescent="0.3">
      <c r="A1739" s="169" t="s">
        <v>4301</v>
      </c>
      <c r="B1739" s="613" t="s">
        <v>4522</v>
      </c>
      <c r="C1739" s="614" t="s">
        <v>1376</v>
      </c>
      <c r="D1739" s="160">
        <v>0</v>
      </c>
      <c r="E1739" s="616"/>
      <c r="F1739" s="617"/>
    </row>
    <row r="1740" spans="1:6" x14ac:dyDescent="0.3">
      <c r="A1740" s="169" t="s">
        <v>4302</v>
      </c>
      <c r="B1740" s="613" t="s">
        <v>4523</v>
      </c>
      <c r="C1740" s="614" t="s">
        <v>1376</v>
      </c>
      <c r="D1740" s="160">
        <v>0</v>
      </c>
      <c r="E1740" s="616"/>
      <c r="F1740" s="617"/>
    </row>
    <row r="1741" spans="1:6" x14ac:dyDescent="0.3">
      <c r="A1741" s="169" t="s">
        <v>4303</v>
      </c>
      <c r="B1741" s="613" t="s">
        <v>4524</v>
      </c>
      <c r="C1741" s="614" t="s">
        <v>1376</v>
      </c>
      <c r="D1741" s="160">
        <v>0</v>
      </c>
      <c r="E1741" s="616"/>
      <c r="F1741" s="617"/>
    </row>
    <row r="1742" spans="1:6" x14ac:dyDescent="0.3">
      <c r="A1742" s="169" t="s">
        <v>4304</v>
      </c>
      <c r="B1742" s="613" t="s">
        <v>4525</v>
      </c>
      <c r="C1742" s="614" t="s">
        <v>1376</v>
      </c>
      <c r="D1742" s="160">
        <v>0</v>
      </c>
      <c r="E1742" s="616"/>
      <c r="F1742" s="617"/>
    </row>
    <row r="1743" spans="1:6" x14ac:dyDescent="0.3">
      <c r="A1743" s="169" t="s">
        <v>4305</v>
      </c>
      <c r="B1743" s="613" t="s">
        <v>4526</v>
      </c>
      <c r="C1743" s="614" t="s">
        <v>1376</v>
      </c>
      <c r="D1743" s="160">
        <v>0</v>
      </c>
      <c r="E1743" s="616"/>
      <c r="F1743" s="617"/>
    </row>
    <row r="1744" spans="1:6" x14ac:dyDescent="0.3">
      <c r="A1744" s="169" t="s">
        <v>4306</v>
      </c>
      <c r="B1744" s="613" t="s">
        <v>4527</v>
      </c>
      <c r="C1744" s="614" t="s">
        <v>1376</v>
      </c>
      <c r="D1744" s="160">
        <v>0</v>
      </c>
      <c r="E1744" s="616"/>
      <c r="F1744" s="617"/>
    </row>
    <row r="1745" spans="1:6" x14ac:dyDescent="0.3">
      <c r="A1745" s="169" t="s">
        <v>4307</v>
      </c>
      <c r="B1745" s="613" t="s">
        <v>4528</v>
      </c>
      <c r="C1745" s="614" t="s">
        <v>1376</v>
      </c>
      <c r="D1745" s="160">
        <v>0</v>
      </c>
      <c r="E1745" s="616"/>
      <c r="F1745" s="617"/>
    </row>
    <row r="1746" spans="1:6" x14ac:dyDescent="0.3">
      <c r="A1746" s="169" t="s">
        <v>4308</v>
      </c>
      <c r="B1746" s="190" t="s">
        <v>4532</v>
      </c>
      <c r="C1746" s="163" t="s">
        <v>73</v>
      </c>
      <c r="D1746" s="160">
        <v>100</v>
      </c>
      <c r="E1746" s="165" t="s">
        <v>3780</v>
      </c>
      <c r="F1746" s="166">
        <v>44209</v>
      </c>
    </row>
    <row r="1747" spans="1:6" x14ac:dyDescent="0.3">
      <c r="A1747" s="169" t="s">
        <v>4309</v>
      </c>
      <c r="B1747" s="190" t="s">
        <v>4533</v>
      </c>
      <c r="C1747" s="163" t="s">
        <v>73</v>
      </c>
      <c r="D1747" s="160">
        <v>48</v>
      </c>
      <c r="E1747" s="165" t="s">
        <v>4531</v>
      </c>
      <c r="F1747" s="166">
        <v>44209</v>
      </c>
    </row>
    <row r="1748" spans="1:6" x14ac:dyDescent="0.3">
      <c r="A1748" s="169" t="s">
        <v>4310</v>
      </c>
      <c r="B1748" s="190" t="s">
        <v>4534</v>
      </c>
      <c r="C1748" s="614" t="s">
        <v>73</v>
      </c>
      <c r="D1748" s="160">
        <v>52</v>
      </c>
      <c r="E1748" s="165" t="s">
        <v>4531</v>
      </c>
      <c r="F1748" s="166">
        <v>44209</v>
      </c>
    </row>
    <row r="1749" spans="1:6" x14ac:dyDescent="0.3">
      <c r="A1749" s="169" t="s">
        <v>4311</v>
      </c>
      <c r="B1749" s="613" t="s">
        <v>4535</v>
      </c>
      <c r="C1749" s="614" t="s">
        <v>1376</v>
      </c>
      <c r="D1749" s="160">
        <v>34.9</v>
      </c>
      <c r="E1749" s="616"/>
      <c r="F1749" s="617"/>
    </row>
    <row r="1750" spans="1:6" x14ac:dyDescent="0.3">
      <c r="A1750" s="169" t="s">
        <v>4312</v>
      </c>
      <c r="B1750" s="613" t="s">
        <v>4536</v>
      </c>
      <c r="C1750" s="614" t="s">
        <v>1376</v>
      </c>
      <c r="D1750" s="160">
        <v>299</v>
      </c>
      <c r="E1750" s="616" t="s">
        <v>1109</v>
      </c>
      <c r="F1750" s="617">
        <v>44210</v>
      </c>
    </row>
    <row r="1751" spans="1:6" x14ac:dyDescent="0.3">
      <c r="A1751" s="169" t="s">
        <v>4313</v>
      </c>
      <c r="B1751" s="613" t="s">
        <v>4537</v>
      </c>
      <c r="C1751" s="614" t="s">
        <v>1376</v>
      </c>
      <c r="D1751" s="160">
        <v>299</v>
      </c>
      <c r="E1751" s="616" t="s">
        <v>1109</v>
      </c>
      <c r="F1751" s="617">
        <v>44210</v>
      </c>
    </row>
    <row r="1752" spans="1:6" x14ac:dyDescent="0.3">
      <c r="A1752" s="169" t="s">
        <v>4314</v>
      </c>
      <c r="B1752" s="613" t="s">
        <v>4538</v>
      </c>
      <c r="C1752" s="614" t="s">
        <v>1376</v>
      </c>
      <c r="D1752" s="160">
        <v>350</v>
      </c>
      <c r="E1752" s="616" t="s">
        <v>3610</v>
      </c>
      <c r="F1752" s="617">
        <v>44210</v>
      </c>
    </row>
    <row r="1753" spans="1:6" x14ac:dyDescent="0.3">
      <c r="A1753" s="169" t="s">
        <v>4315</v>
      </c>
      <c r="B1753" s="613" t="s">
        <v>4540</v>
      </c>
      <c r="C1753" s="614" t="s">
        <v>1376</v>
      </c>
      <c r="D1753" s="160">
        <v>23285.01</v>
      </c>
      <c r="E1753" s="616" t="s">
        <v>2999</v>
      </c>
      <c r="F1753" s="617">
        <v>44210</v>
      </c>
    </row>
    <row r="1754" spans="1:6" x14ac:dyDescent="0.3">
      <c r="A1754" s="169" t="s">
        <v>4316</v>
      </c>
      <c r="B1754" s="613" t="s">
        <v>4541</v>
      </c>
      <c r="C1754" s="614" t="s">
        <v>1376</v>
      </c>
      <c r="D1754" s="160">
        <v>18516.16</v>
      </c>
      <c r="E1754" s="616" t="s">
        <v>2999</v>
      </c>
      <c r="F1754" s="617">
        <v>44210</v>
      </c>
    </row>
    <row r="1755" spans="1:6" x14ac:dyDescent="0.3">
      <c r="A1755" s="169" t="s">
        <v>4317</v>
      </c>
      <c r="B1755" s="613" t="s">
        <v>4542</v>
      </c>
      <c r="C1755" s="614" t="s">
        <v>1376</v>
      </c>
      <c r="D1755" s="160">
        <v>9489.52</v>
      </c>
      <c r="E1755" s="616" t="s">
        <v>2999</v>
      </c>
      <c r="F1755" s="617">
        <v>44210</v>
      </c>
    </row>
    <row r="1756" spans="1:6" x14ac:dyDescent="0.3">
      <c r="A1756" s="169" t="s">
        <v>4318</v>
      </c>
      <c r="B1756" s="613" t="s">
        <v>4543</v>
      </c>
      <c r="C1756" s="614" t="s">
        <v>1376</v>
      </c>
      <c r="D1756" s="160">
        <v>25751.599999999999</v>
      </c>
      <c r="E1756" s="616" t="s">
        <v>2999</v>
      </c>
      <c r="F1756" s="617">
        <v>44210</v>
      </c>
    </row>
    <row r="1757" spans="1:6" x14ac:dyDescent="0.3">
      <c r="A1757" s="169" t="s">
        <v>4319</v>
      </c>
      <c r="B1757" s="613" t="s">
        <v>4544</v>
      </c>
      <c r="C1757" s="614" t="s">
        <v>1376</v>
      </c>
      <c r="D1757" s="160">
        <v>95778.27</v>
      </c>
      <c r="E1757" s="616" t="s">
        <v>2999</v>
      </c>
      <c r="F1757" s="617">
        <v>44210</v>
      </c>
    </row>
    <row r="1758" spans="1:6" x14ac:dyDescent="0.3">
      <c r="A1758" s="169" t="s">
        <v>4320</v>
      </c>
      <c r="B1758" s="613" t="s">
        <v>4545</v>
      </c>
      <c r="C1758" s="614" t="s">
        <v>1376</v>
      </c>
      <c r="D1758" s="160">
        <v>450</v>
      </c>
      <c r="E1758" s="616" t="s">
        <v>2999</v>
      </c>
      <c r="F1758" s="617">
        <v>44210</v>
      </c>
    </row>
    <row r="1759" spans="1:6" x14ac:dyDescent="0.3">
      <c r="A1759" s="169" t="s">
        <v>4321</v>
      </c>
      <c r="B1759" s="613" t="s">
        <v>4546</v>
      </c>
      <c r="C1759" s="614" t="s">
        <v>1376</v>
      </c>
      <c r="D1759" s="160">
        <v>90</v>
      </c>
      <c r="E1759" s="616" t="s">
        <v>2999</v>
      </c>
      <c r="F1759" s="617">
        <v>44210</v>
      </c>
    </row>
    <row r="1760" spans="1:6" x14ac:dyDescent="0.3">
      <c r="A1760" s="169" t="s">
        <v>4322</v>
      </c>
      <c r="B1760" s="613" t="s">
        <v>4547</v>
      </c>
      <c r="C1760" s="614" t="s">
        <v>1376</v>
      </c>
      <c r="D1760" s="160">
        <v>4960.88</v>
      </c>
      <c r="E1760" s="616" t="s">
        <v>2999</v>
      </c>
      <c r="F1760" s="617">
        <v>44210</v>
      </c>
    </row>
    <row r="1761" spans="1:6" x14ac:dyDescent="0.3">
      <c r="A1761" s="169" t="s">
        <v>4323</v>
      </c>
      <c r="B1761" s="613" t="s">
        <v>4548</v>
      </c>
      <c r="C1761" s="614" t="s">
        <v>1376</v>
      </c>
      <c r="D1761" s="160">
        <v>2488.5300000000002</v>
      </c>
      <c r="E1761" s="616" t="s">
        <v>2999</v>
      </c>
      <c r="F1761" s="617">
        <v>44210</v>
      </c>
    </row>
    <row r="1762" spans="1:6" x14ac:dyDescent="0.3">
      <c r="A1762" s="169" t="s">
        <v>4324</v>
      </c>
      <c r="B1762" s="613" t="s">
        <v>4549</v>
      </c>
      <c r="C1762" s="614" t="s">
        <v>1376</v>
      </c>
      <c r="D1762" s="160">
        <v>2787.78</v>
      </c>
      <c r="E1762" s="616" t="s">
        <v>2999</v>
      </c>
      <c r="F1762" s="617">
        <v>44210</v>
      </c>
    </row>
    <row r="1763" spans="1:6" x14ac:dyDescent="0.3">
      <c r="A1763" s="169" t="s">
        <v>4325</v>
      </c>
      <c r="B1763" s="613" t="s">
        <v>4550</v>
      </c>
      <c r="C1763" s="614" t="s">
        <v>1376</v>
      </c>
      <c r="D1763" s="160">
        <v>2787.78</v>
      </c>
      <c r="E1763" s="616" t="s">
        <v>2999</v>
      </c>
      <c r="F1763" s="617">
        <v>44210</v>
      </c>
    </row>
    <row r="1764" spans="1:6" x14ac:dyDescent="0.3">
      <c r="A1764" s="169" t="s">
        <v>4326</v>
      </c>
      <c r="B1764" s="613" t="s">
        <v>4551</v>
      </c>
      <c r="C1764" s="614" t="s">
        <v>1376</v>
      </c>
      <c r="D1764" s="160">
        <v>2221.83</v>
      </c>
      <c r="E1764" s="616" t="s">
        <v>2999</v>
      </c>
      <c r="F1764" s="617">
        <v>44210</v>
      </c>
    </row>
    <row r="1765" spans="1:6" x14ac:dyDescent="0.3">
      <c r="A1765" s="169" t="s">
        <v>4327</v>
      </c>
      <c r="B1765" s="613" t="s">
        <v>4552</v>
      </c>
      <c r="C1765" s="614" t="s">
        <v>1376</v>
      </c>
      <c r="D1765" s="160">
        <v>1995.03</v>
      </c>
      <c r="E1765" s="616" t="s">
        <v>2999</v>
      </c>
      <c r="F1765" s="617">
        <v>44210</v>
      </c>
    </row>
    <row r="1766" spans="1:6" x14ac:dyDescent="0.3">
      <c r="A1766" s="169" t="s">
        <v>4328</v>
      </c>
      <c r="B1766" s="613" t="s">
        <v>4553</v>
      </c>
      <c r="C1766" s="614" t="s">
        <v>1376</v>
      </c>
      <c r="D1766" s="160">
        <v>101.25</v>
      </c>
      <c r="E1766" s="616" t="s">
        <v>2999</v>
      </c>
      <c r="F1766" s="617">
        <v>44210</v>
      </c>
    </row>
    <row r="1767" spans="1:6" x14ac:dyDescent="0.3">
      <c r="A1767" s="169" t="s">
        <v>4329</v>
      </c>
      <c r="B1767" s="613" t="s">
        <v>4554</v>
      </c>
      <c r="C1767" s="614" t="s">
        <v>1376</v>
      </c>
      <c r="D1767" s="160">
        <v>297.77</v>
      </c>
      <c r="E1767" s="616" t="s">
        <v>2999</v>
      </c>
      <c r="F1767" s="617">
        <v>44210</v>
      </c>
    </row>
    <row r="1768" spans="1:6" x14ac:dyDescent="0.3">
      <c r="A1768" s="169" t="s">
        <v>4330</v>
      </c>
      <c r="B1768" s="613" t="s">
        <v>4555</v>
      </c>
      <c r="C1768" s="614" t="s">
        <v>1376</v>
      </c>
      <c r="D1768" s="160">
        <v>25.9</v>
      </c>
      <c r="E1768" s="616" t="s">
        <v>2999</v>
      </c>
      <c r="F1768" s="617">
        <v>44210</v>
      </c>
    </row>
    <row r="1769" spans="1:6" x14ac:dyDescent="0.3">
      <c r="A1769" s="169" t="s">
        <v>4331</v>
      </c>
      <c r="B1769" s="619" t="s">
        <v>4584</v>
      </c>
      <c r="C1769" s="614" t="s">
        <v>1376</v>
      </c>
      <c r="D1769" s="160">
        <v>9629.2000000000007</v>
      </c>
      <c r="E1769" s="616" t="s">
        <v>2999</v>
      </c>
      <c r="F1769" s="617">
        <v>44210</v>
      </c>
    </row>
    <row r="1770" spans="1:6" x14ac:dyDescent="0.3">
      <c r="A1770" s="169" t="s">
        <v>4332</v>
      </c>
      <c r="B1770" s="613" t="s">
        <v>4556</v>
      </c>
      <c r="C1770" s="614" t="s">
        <v>1376</v>
      </c>
      <c r="D1770" s="160">
        <v>250.25</v>
      </c>
      <c r="E1770" s="616" t="s">
        <v>2999</v>
      </c>
      <c r="F1770" s="617">
        <v>44210</v>
      </c>
    </row>
    <row r="1771" spans="1:6" x14ac:dyDescent="0.3">
      <c r="A1771" s="169" t="s">
        <v>4333</v>
      </c>
      <c r="B1771" s="613" t="s">
        <v>4557</v>
      </c>
      <c r="C1771" s="614" t="s">
        <v>1376</v>
      </c>
      <c r="D1771" s="160">
        <v>916.8</v>
      </c>
      <c r="E1771" s="616" t="s">
        <v>2999</v>
      </c>
      <c r="F1771" s="617">
        <v>44210</v>
      </c>
    </row>
    <row r="1772" spans="1:6" x14ac:dyDescent="0.3">
      <c r="A1772" s="169" t="s">
        <v>4334</v>
      </c>
      <c r="B1772" s="613" t="s">
        <v>4558</v>
      </c>
      <c r="C1772" s="614" t="s">
        <v>1376</v>
      </c>
      <c r="D1772" s="160">
        <v>181.48</v>
      </c>
      <c r="E1772" s="616" t="s">
        <v>2999</v>
      </c>
      <c r="F1772" s="617">
        <v>44210</v>
      </c>
    </row>
    <row r="1773" spans="1:6" x14ac:dyDescent="0.3">
      <c r="A1773" s="169" t="s">
        <v>4335</v>
      </c>
      <c r="B1773" s="613" t="s">
        <v>4559</v>
      </c>
      <c r="C1773" s="614" t="s">
        <v>1376</v>
      </c>
      <c r="D1773" s="160">
        <v>25.9</v>
      </c>
      <c r="E1773" s="616" t="s">
        <v>2999</v>
      </c>
      <c r="F1773" s="617">
        <v>44210</v>
      </c>
    </row>
    <row r="1774" spans="1:6" x14ac:dyDescent="0.3">
      <c r="A1774" s="169" t="s">
        <v>4336</v>
      </c>
      <c r="B1774" s="613" t="s">
        <v>4560</v>
      </c>
      <c r="C1774" s="614" t="s">
        <v>1376</v>
      </c>
      <c r="D1774" s="160">
        <v>7511</v>
      </c>
      <c r="E1774" s="616" t="s">
        <v>2999</v>
      </c>
      <c r="F1774" s="617">
        <v>44210</v>
      </c>
    </row>
    <row r="1775" spans="1:6" x14ac:dyDescent="0.3">
      <c r="A1775" s="169" t="s">
        <v>4337</v>
      </c>
      <c r="B1775" s="613" t="s">
        <v>4561</v>
      </c>
      <c r="C1775" s="614" t="s">
        <v>1376</v>
      </c>
      <c r="D1775" s="160">
        <v>625.70000000000005</v>
      </c>
      <c r="E1775" s="616" t="s">
        <v>2999</v>
      </c>
      <c r="F1775" s="617">
        <v>44210</v>
      </c>
    </row>
    <row r="1776" spans="1:6" x14ac:dyDescent="0.3">
      <c r="A1776" s="169" t="s">
        <v>4338</v>
      </c>
      <c r="B1776" s="613" t="s">
        <v>4562</v>
      </c>
      <c r="C1776" s="614" t="s">
        <v>1376</v>
      </c>
      <c r="D1776" s="160">
        <v>241.54</v>
      </c>
      <c r="E1776" s="616" t="s">
        <v>2999</v>
      </c>
      <c r="F1776" s="617">
        <v>44210</v>
      </c>
    </row>
    <row r="1777" spans="1:6" x14ac:dyDescent="0.3">
      <c r="A1777" s="169" t="s">
        <v>4339</v>
      </c>
      <c r="B1777" s="613" t="s">
        <v>4563</v>
      </c>
      <c r="C1777" s="614" t="s">
        <v>1376</v>
      </c>
      <c r="D1777" s="160">
        <v>25.9</v>
      </c>
      <c r="E1777" s="616" t="s">
        <v>2999</v>
      </c>
      <c r="F1777" s="617">
        <v>44210</v>
      </c>
    </row>
    <row r="1778" spans="1:6" x14ac:dyDescent="0.3">
      <c r="A1778" s="169" t="s">
        <v>4340</v>
      </c>
      <c r="B1778" s="613" t="s">
        <v>4564</v>
      </c>
      <c r="C1778" s="614" t="s">
        <v>1376</v>
      </c>
      <c r="D1778" s="160">
        <v>7202.3</v>
      </c>
      <c r="E1778" s="616" t="s">
        <v>2999</v>
      </c>
      <c r="F1778" s="617">
        <v>44210</v>
      </c>
    </row>
    <row r="1779" spans="1:6" x14ac:dyDescent="0.3">
      <c r="A1779" s="169" t="s">
        <v>4341</v>
      </c>
      <c r="B1779" s="613" t="s">
        <v>4565</v>
      </c>
      <c r="C1779" s="614" t="s">
        <v>1376</v>
      </c>
      <c r="D1779" s="160">
        <v>166.25</v>
      </c>
      <c r="E1779" s="616" t="s">
        <v>2999</v>
      </c>
      <c r="F1779" s="617">
        <v>44210</v>
      </c>
    </row>
    <row r="1780" spans="1:6" x14ac:dyDescent="0.3">
      <c r="A1780" s="169" t="s">
        <v>4342</v>
      </c>
      <c r="B1780" s="613" t="s">
        <v>4566</v>
      </c>
      <c r="C1780" s="614" t="s">
        <v>1376</v>
      </c>
      <c r="D1780" s="160">
        <v>529.85</v>
      </c>
      <c r="E1780" s="616" t="s">
        <v>2999</v>
      </c>
      <c r="F1780" s="617">
        <v>44210</v>
      </c>
    </row>
    <row r="1781" spans="1:6" x14ac:dyDescent="0.3">
      <c r="A1781" s="169" t="s">
        <v>4343</v>
      </c>
      <c r="B1781" s="613" t="s">
        <v>4567</v>
      </c>
      <c r="C1781" s="614" t="s">
        <v>1376</v>
      </c>
      <c r="D1781" s="160">
        <v>241.54</v>
      </c>
      <c r="E1781" s="616" t="s">
        <v>2999</v>
      </c>
      <c r="F1781" s="617">
        <v>44210</v>
      </c>
    </row>
    <row r="1782" spans="1:6" x14ac:dyDescent="0.3">
      <c r="A1782" s="169" t="s">
        <v>4344</v>
      </c>
      <c r="B1782" s="613" t="s">
        <v>4568</v>
      </c>
      <c r="C1782" s="614" t="s">
        <v>1376</v>
      </c>
      <c r="D1782" s="160">
        <v>25.9</v>
      </c>
      <c r="E1782" s="616" t="s">
        <v>2999</v>
      </c>
      <c r="F1782" s="617">
        <v>44210</v>
      </c>
    </row>
    <row r="1783" spans="1:6" x14ac:dyDescent="0.3">
      <c r="A1783" s="169" t="s">
        <v>4345</v>
      </c>
      <c r="B1783" s="613" t="s">
        <v>4569</v>
      </c>
      <c r="C1783" s="614" t="s">
        <v>1376</v>
      </c>
      <c r="D1783" s="160">
        <v>7202.3</v>
      </c>
      <c r="E1783" s="616" t="s">
        <v>2999</v>
      </c>
      <c r="F1783" s="617">
        <v>44210</v>
      </c>
    </row>
    <row r="1784" spans="1:6" x14ac:dyDescent="0.3">
      <c r="A1784" s="169" t="s">
        <v>4346</v>
      </c>
      <c r="B1784" s="613" t="s">
        <v>4570</v>
      </c>
      <c r="C1784" s="614" t="s">
        <v>1376</v>
      </c>
      <c r="D1784" s="160">
        <v>166.25</v>
      </c>
      <c r="E1784" s="616" t="s">
        <v>2999</v>
      </c>
      <c r="F1784" s="617">
        <v>44210</v>
      </c>
    </row>
    <row r="1785" spans="1:6" x14ac:dyDescent="0.3">
      <c r="A1785" s="169" t="s">
        <v>4347</v>
      </c>
      <c r="B1785" s="613" t="s">
        <v>4571</v>
      </c>
      <c r="C1785" s="614" t="s">
        <v>1376</v>
      </c>
      <c r="D1785" s="160">
        <v>529.85</v>
      </c>
      <c r="E1785" s="616" t="s">
        <v>2999</v>
      </c>
      <c r="F1785" s="617">
        <v>44210</v>
      </c>
    </row>
    <row r="1786" spans="1:6" x14ac:dyDescent="0.3">
      <c r="A1786" s="169" t="s">
        <v>4348</v>
      </c>
      <c r="B1786" s="613" t="s">
        <v>4572</v>
      </c>
      <c r="C1786" s="614" t="s">
        <v>1376</v>
      </c>
      <c r="D1786" s="160">
        <v>181.48</v>
      </c>
      <c r="E1786" s="616" t="s">
        <v>2999</v>
      </c>
      <c r="F1786" s="617">
        <v>44210</v>
      </c>
    </row>
    <row r="1787" spans="1:6" x14ac:dyDescent="0.3">
      <c r="A1787" s="169" t="s">
        <v>4349</v>
      </c>
      <c r="B1787" s="613" t="s">
        <v>4573</v>
      </c>
      <c r="C1787" s="614" t="s">
        <v>1376</v>
      </c>
      <c r="D1787" s="160">
        <v>25.9</v>
      </c>
      <c r="E1787" s="616" t="s">
        <v>2999</v>
      </c>
      <c r="F1787" s="617">
        <v>44210</v>
      </c>
    </row>
    <row r="1788" spans="1:6" x14ac:dyDescent="0.3">
      <c r="A1788" s="169" t="s">
        <v>4350</v>
      </c>
      <c r="B1788" s="619" t="s">
        <v>4583</v>
      </c>
      <c r="C1788" s="614" t="s">
        <v>1376</v>
      </c>
      <c r="D1788" s="160">
        <v>5723.2</v>
      </c>
      <c r="E1788" s="616" t="s">
        <v>2999</v>
      </c>
      <c r="F1788" s="617">
        <v>44210</v>
      </c>
    </row>
    <row r="1789" spans="1:6" x14ac:dyDescent="0.3">
      <c r="A1789" s="169" t="s">
        <v>4351</v>
      </c>
      <c r="B1789" s="613" t="s">
        <v>4574</v>
      </c>
      <c r="C1789" s="614" t="s">
        <v>1376</v>
      </c>
      <c r="D1789" s="160">
        <v>590.20000000000005</v>
      </c>
      <c r="E1789" s="616" t="s">
        <v>2999</v>
      </c>
      <c r="F1789" s="617">
        <v>44210</v>
      </c>
    </row>
    <row r="1790" spans="1:6" x14ac:dyDescent="0.3">
      <c r="A1790" s="169" t="s">
        <v>4352</v>
      </c>
      <c r="B1790" s="613" t="s">
        <v>4575</v>
      </c>
      <c r="C1790" s="614" t="s">
        <v>1376</v>
      </c>
      <c r="D1790" s="160">
        <v>178.92</v>
      </c>
      <c r="E1790" s="616" t="s">
        <v>2999</v>
      </c>
      <c r="F1790" s="617">
        <v>44210</v>
      </c>
    </row>
    <row r="1791" spans="1:6" x14ac:dyDescent="0.3">
      <c r="A1791" s="169" t="s">
        <v>4353</v>
      </c>
      <c r="B1791" s="613" t="s">
        <v>4576</v>
      </c>
      <c r="C1791" s="614" t="s">
        <v>1376</v>
      </c>
      <c r="D1791" s="160">
        <v>25.9</v>
      </c>
      <c r="E1791" s="616" t="s">
        <v>2999</v>
      </c>
      <c r="F1791" s="617">
        <v>44210</v>
      </c>
    </row>
    <row r="1792" spans="1:6" x14ac:dyDescent="0.3">
      <c r="A1792" s="169" t="s">
        <v>4354</v>
      </c>
      <c r="B1792" s="613" t="s">
        <v>4577</v>
      </c>
      <c r="C1792" s="614" t="s">
        <v>1376</v>
      </c>
      <c r="D1792" s="615">
        <v>122.5</v>
      </c>
      <c r="E1792" s="616" t="s">
        <v>2999</v>
      </c>
      <c r="F1792" s="617">
        <v>44210</v>
      </c>
    </row>
    <row r="1793" spans="1:6" x14ac:dyDescent="0.3">
      <c r="A1793" s="169" t="s">
        <v>4355</v>
      </c>
      <c r="B1793" s="613" t="s">
        <v>4578</v>
      </c>
      <c r="C1793" s="614" t="s">
        <v>1376</v>
      </c>
      <c r="D1793" s="615">
        <v>618.6</v>
      </c>
      <c r="E1793" s="616" t="s">
        <v>2999</v>
      </c>
      <c r="F1793" s="617">
        <v>44210</v>
      </c>
    </row>
    <row r="1794" spans="1:6" x14ac:dyDescent="0.3">
      <c r="A1794" s="169" t="s">
        <v>4356</v>
      </c>
      <c r="B1794" s="613" t="s">
        <v>4579</v>
      </c>
      <c r="C1794" s="614" t="s">
        <v>1376</v>
      </c>
      <c r="D1794" s="615">
        <v>485.64</v>
      </c>
      <c r="E1794" s="616" t="s">
        <v>2999</v>
      </c>
      <c r="F1794" s="617">
        <v>44210</v>
      </c>
    </row>
    <row r="1795" spans="1:6" x14ac:dyDescent="0.3">
      <c r="A1795" s="169" t="s">
        <v>4357</v>
      </c>
      <c r="B1795" s="613" t="s">
        <v>4580</v>
      </c>
      <c r="C1795" s="614" t="s">
        <v>1376</v>
      </c>
      <c r="D1795" s="615">
        <v>25.9</v>
      </c>
      <c r="E1795" s="616" t="s">
        <v>2999</v>
      </c>
      <c r="F1795" s="617">
        <v>44210</v>
      </c>
    </row>
    <row r="1796" spans="1:6" x14ac:dyDescent="0.3">
      <c r="A1796" s="169" t="s">
        <v>4358</v>
      </c>
      <c r="B1796" s="613" t="s">
        <v>4581</v>
      </c>
      <c r="C1796" s="614" t="s">
        <v>1376</v>
      </c>
      <c r="D1796" s="615">
        <v>515.65</v>
      </c>
      <c r="E1796" s="616" t="s">
        <v>2999</v>
      </c>
      <c r="F1796" s="617">
        <v>44210</v>
      </c>
    </row>
    <row r="1797" spans="1:6" x14ac:dyDescent="0.3">
      <c r="A1797" s="169" t="s">
        <v>4359</v>
      </c>
      <c r="B1797" s="613" t="s">
        <v>4582</v>
      </c>
      <c r="C1797" s="614" t="s">
        <v>1376</v>
      </c>
      <c r="D1797" s="615">
        <v>565.35</v>
      </c>
      <c r="E1797" s="616" t="s">
        <v>2999</v>
      </c>
      <c r="F1797" s="617">
        <v>44210</v>
      </c>
    </row>
    <row r="1798" spans="1:6" x14ac:dyDescent="0.3">
      <c r="A1798" s="169" t="s">
        <v>4360</v>
      </c>
      <c r="B1798" s="613" t="s">
        <v>4585</v>
      </c>
      <c r="C1798" s="614" t="s">
        <v>29</v>
      </c>
      <c r="D1798" s="615">
        <v>8077.5000000000009</v>
      </c>
      <c r="E1798" s="616" t="s">
        <v>2999</v>
      </c>
      <c r="F1798" s="617">
        <v>44210</v>
      </c>
    </row>
    <row r="1799" spans="1:6" x14ac:dyDescent="0.3">
      <c r="A1799" s="169" t="s">
        <v>4361</v>
      </c>
      <c r="B1799" s="613" t="s">
        <v>4586</v>
      </c>
      <c r="C1799" s="614" t="s">
        <v>29</v>
      </c>
      <c r="D1799" s="615">
        <v>2001.0000000000002</v>
      </c>
      <c r="E1799" s="616" t="s">
        <v>2999</v>
      </c>
      <c r="F1799" s="617">
        <v>44210</v>
      </c>
    </row>
    <row r="1800" spans="1:6" x14ac:dyDescent="0.3">
      <c r="A1800" s="169" t="s">
        <v>4362</v>
      </c>
      <c r="B1800" s="613" t="s">
        <v>4587</v>
      </c>
      <c r="C1800" s="614" t="s">
        <v>29</v>
      </c>
      <c r="D1800" s="615">
        <v>28000</v>
      </c>
      <c r="E1800" s="616" t="s">
        <v>4849</v>
      </c>
      <c r="F1800" s="617">
        <v>44258</v>
      </c>
    </row>
    <row r="1801" spans="1:6" x14ac:dyDescent="0.3">
      <c r="A1801" s="169" t="s">
        <v>4363</v>
      </c>
      <c r="B1801" s="613" t="s">
        <v>4588</v>
      </c>
      <c r="C1801" s="614" t="s">
        <v>73</v>
      </c>
      <c r="D1801" s="615">
        <v>182.9</v>
      </c>
      <c r="E1801" s="616" t="s">
        <v>4148</v>
      </c>
      <c r="F1801" s="617">
        <v>44210</v>
      </c>
    </row>
    <row r="1802" spans="1:6" x14ac:dyDescent="0.3">
      <c r="A1802" s="169" t="s">
        <v>4364</v>
      </c>
      <c r="B1802" s="613" t="s">
        <v>4589</v>
      </c>
      <c r="C1802" s="614" t="s">
        <v>1376</v>
      </c>
      <c r="D1802" s="615">
        <v>9411</v>
      </c>
      <c r="E1802" s="616" t="s">
        <v>2141</v>
      </c>
      <c r="F1802" s="617">
        <v>44210</v>
      </c>
    </row>
    <row r="1803" spans="1:6" x14ac:dyDescent="0.3">
      <c r="A1803" s="169" t="s">
        <v>4365</v>
      </c>
      <c r="B1803" s="613" t="s">
        <v>4590</v>
      </c>
      <c r="C1803" s="614" t="s">
        <v>1376</v>
      </c>
      <c r="D1803" s="615">
        <v>39432</v>
      </c>
      <c r="E1803" s="616" t="s">
        <v>2141</v>
      </c>
      <c r="F1803" s="617">
        <v>44210</v>
      </c>
    </row>
    <row r="1804" spans="1:6" x14ac:dyDescent="0.3">
      <c r="A1804" s="169" t="s">
        <v>4366</v>
      </c>
      <c r="B1804" s="613" t="s">
        <v>4591</v>
      </c>
      <c r="C1804" s="614" t="s">
        <v>1376</v>
      </c>
      <c r="D1804" s="615">
        <v>32457.999999999996</v>
      </c>
      <c r="E1804" s="616" t="s">
        <v>2141</v>
      </c>
      <c r="F1804" s="617">
        <v>44210</v>
      </c>
    </row>
    <row r="1805" spans="1:6" x14ac:dyDescent="0.3">
      <c r="A1805" s="169" t="s">
        <v>4367</v>
      </c>
      <c r="B1805" s="613" t="s">
        <v>4592</v>
      </c>
      <c r="C1805" s="614" t="s">
        <v>1376</v>
      </c>
      <c r="D1805" s="615">
        <v>18538</v>
      </c>
      <c r="E1805" s="616" t="s">
        <v>2141</v>
      </c>
      <c r="F1805" s="617">
        <v>44210</v>
      </c>
    </row>
    <row r="1806" spans="1:6" x14ac:dyDescent="0.3">
      <c r="A1806" s="169" t="s">
        <v>4368</v>
      </c>
      <c r="B1806" s="613" t="s">
        <v>4593</v>
      </c>
      <c r="C1806" s="614" t="s">
        <v>1376</v>
      </c>
      <c r="D1806" s="615">
        <v>11847</v>
      </c>
      <c r="E1806" s="616" t="s">
        <v>2141</v>
      </c>
      <c r="F1806" s="617">
        <v>44210</v>
      </c>
    </row>
    <row r="1807" spans="1:6" x14ac:dyDescent="0.3">
      <c r="A1807" s="169" t="s">
        <v>4369</v>
      </c>
      <c r="B1807" s="613" t="s">
        <v>4594</v>
      </c>
      <c r="C1807" s="614" t="s">
        <v>1376</v>
      </c>
      <c r="D1807" s="615">
        <v>8948</v>
      </c>
      <c r="E1807" s="616" t="s">
        <v>2141</v>
      </c>
      <c r="F1807" s="617">
        <v>44210</v>
      </c>
    </row>
    <row r="1808" spans="1:6" x14ac:dyDescent="0.3">
      <c r="A1808" s="169" t="s">
        <v>4370</v>
      </c>
      <c r="B1808" s="613" t="s">
        <v>4595</v>
      </c>
      <c r="C1808" s="614" t="s">
        <v>1376</v>
      </c>
      <c r="D1808" s="615">
        <v>1963</v>
      </c>
      <c r="E1808" s="616" t="s">
        <v>2141</v>
      </c>
      <c r="F1808" s="617">
        <v>44210</v>
      </c>
    </row>
    <row r="1809" spans="1:6" x14ac:dyDescent="0.3">
      <c r="A1809" s="169" t="s">
        <v>4371</v>
      </c>
      <c r="B1809" s="613" t="s">
        <v>4618</v>
      </c>
      <c r="C1809" s="614" t="s">
        <v>1376</v>
      </c>
      <c r="D1809" s="615">
        <v>1333</v>
      </c>
      <c r="E1809" s="616" t="s">
        <v>2141</v>
      </c>
      <c r="F1809" s="617">
        <v>44210</v>
      </c>
    </row>
    <row r="1810" spans="1:6" x14ac:dyDescent="0.3">
      <c r="A1810" s="169" t="s">
        <v>4372</v>
      </c>
      <c r="B1810" s="613" t="s">
        <v>4596</v>
      </c>
      <c r="C1810" s="614" t="s">
        <v>1376</v>
      </c>
      <c r="D1810" s="615">
        <v>4355</v>
      </c>
      <c r="E1810" s="616" t="s">
        <v>2141</v>
      </c>
      <c r="F1810" s="617">
        <v>44210</v>
      </c>
    </row>
    <row r="1811" spans="1:6" x14ac:dyDescent="0.3">
      <c r="A1811" s="169" t="s">
        <v>4373</v>
      </c>
      <c r="B1811" s="613" t="s">
        <v>4597</v>
      </c>
      <c r="C1811" s="614" t="s">
        <v>1376</v>
      </c>
      <c r="D1811" s="615">
        <v>9703</v>
      </c>
      <c r="E1811" s="616" t="s">
        <v>2141</v>
      </c>
      <c r="F1811" s="617">
        <v>44210</v>
      </c>
    </row>
    <row r="1812" spans="1:6" x14ac:dyDescent="0.3">
      <c r="A1812" s="169" t="s">
        <v>4374</v>
      </c>
      <c r="B1812" s="613" t="s">
        <v>4598</v>
      </c>
      <c r="C1812" s="614" t="s">
        <v>1376</v>
      </c>
      <c r="D1812" s="615">
        <v>10595</v>
      </c>
      <c r="E1812" s="616" t="s">
        <v>2141</v>
      </c>
      <c r="F1812" s="617">
        <v>44210</v>
      </c>
    </row>
    <row r="1813" spans="1:6" x14ac:dyDescent="0.3">
      <c r="A1813" s="169" t="s">
        <v>4375</v>
      </c>
      <c r="B1813" s="613" t="s">
        <v>4599</v>
      </c>
      <c r="C1813" s="614" t="s">
        <v>1376</v>
      </c>
      <c r="D1813" s="615">
        <v>2379</v>
      </c>
      <c r="E1813" s="616" t="s">
        <v>2141</v>
      </c>
      <c r="F1813" s="617">
        <v>44210</v>
      </c>
    </row>
    <row r="1814" spans="1:6" x14ac:dyDescent="0.3">
      <c r="A1814" s="169" t="s">
        <v>4376</v>
      </c>
      <c r="B1814" s="613" t="s">
        <v>4600</v>
      </c>
      <c r="C1814" s="614" t="s">
        <v>1376</v>
      </c>
      <c r="D1814" s="615">
        <v>16874</v>
      </c>
      <c r="E1814" s="616" t="s">
        <v>2141</v>
      </c>
      <c r="F1814" s="617">
        <v>44210</v>
      </c>
    </row>
    <row r="1815" spans="1:6" x14ac:dyDescent="0.3">
      <c r="A1815" s="169" t="s">
        <v>4377</v>
      </c>
      <c r="B1815" s="613" t="s">
        <v>4601</v>
      </c>
      <c r="C1815" s="614" t="s">
        <v>1376</v>
      </c>
      <c r="D1815" s="615">
        <v>25736</v>
      </c>
      <c r="E1815" s="616" t="s">
        <v>2141</v>
      </c>
      <c r="F1815" s="617">
        <v>44210</v>
      </c>
    </row>
    <row r="1816" spans="1:6" x14ac:dyDescent="0.3">
      <c r="A1816" s="169" t="s">
        <v>4378</v>
      </c>
      <c r="B1816" s="613" t="s">
        <v>4602</v>
      </c>
      <c r="C1816" s="614" t="s">
        <v>1376</v>
      </c>
      <c r="D1816" s="615">
        <v>16431</v>
      </c>
      <c r="E1816" s="616" t="s">
        <v>2141</v>
      </c>
      <c r="F1816" s="617">
        <v>44210</v>
      </c>
    </row>
    <row r="1817" spans="1:6" x14ac:dyDescent="0.3">
      <c r="A1817" s="169" t="s">
        <v>4379</v>
      </c>
      <c r="B1817" s="613" t="s">
        <v>4603</v>
      </c>
      <c r="C1817" s="614" t="s">
        <v>1376</v>
      </c>
      <c r="D1817" s="615">
        <v>23656</v>
      </c>
      <c r="E1817" s="616" t="s">
        <v>2141</v>
      </c>
      <c r="F1817" s="617">
        <v>44210</v>
      </c>
    </row>
    <row r="1818" spans="1:6" x14ac:dyDescent="0.3">
      <c r="A1818" s="169" t="s">
        <v>4380</v>
      </c>
      <c r="B1818" s="613" t="s">
        <v>4604</v>
      </c>
      <c r="C1818" s="614" t="s">
        <v>1376</v>
      </c>
      <c r="D1818" s="615">
        <v>9142</v>
      </c>
      <c r="E1818" s="616" t="s">
        <v>2141</v>
      </c>
      <c r="F1818" s="617">
        <v>44210</v>
      </c>
    </row>
    <row r="1819" spans="1:6" x14ac:dyDescent="0.3">
      <c r="A1819" s="169" t="s">
        <v>4381</v>
      </c>
      <c r="B1819" s="613" t="s">
        <v>4605</v>
      </c>
      <c r="C1819" s="614" t="s">
        <v>1376</v>
      </c>
      <c r="D1819" s="615">
        <v>16874</v>
      </c>
      <c r="E1819" s="616" t="s">
        <v>2141</v>
      </c>
      <c r="F1819" s="617">
        <v>44210</v>
      </c>
    </row>
    <row r="1820" spans="1:6" x14ac:dyDescent="0.3">
      <c r="A1820" s="169" t="s">
        <v>4382</v>
      </c>
      <c r="B1820" s="613" t="s">
        <v>4606</v>
      </c>
      <c r="C1820" s="614" t="s">
        <v>1376</v>
      </c>
      <c r="D1820" s="615">
        <v>17651</v>
      </c>
      <c r="E1820" s="616" t="s">
        <v>2141</v>
      </c>
      <c r="F1820" s="617">
        <v>44210</v>
      </c>
    </row>
    <row r="1821" spans="1:6" x14ac:dyDescent="0.3">
      <c r="A1821" s="169" t="s">
        <v>4383</v>
      </c>
      <c r="B1821" s="613" t="s">
        <v>4607</v>
      </c>
      <c r="C1821" s="614" t="s">
        <v>1376</v>
      </c>
      <c r="D1821" s="615">
        <v>2100</v>
      </c>
      <c r="E1821" s="616" t="s">
        <v>2141</v>
      </c>
      <c r="F1821" s="617">
        <v>44210</v>
      </c>
    </row>
    <row r="1822" spans="1:6" x14ac:dyDescent="0.3">
      <c r="A1822" s="169" t="s">
        <v>4384</v>
      </c>
      <c r="B1822" s="613" t="s">
        <v>4608</v>
      </c>
      <c r="C1822" s="614" t="s">
        <v>1376</v>
      </c>
      <c r="D1822" s="615">
        <f>((((D1823*2)*1.03)/1.03)*1.02)/1.02</f>
        <v>2090</v>
      </c>
      <c r="E1822" s="616" t="s">
        <v>2141</v>
      </c>
      <c r="F1822" s="617">
        <v>44210</v>
      </c>
    </row>
    <row r="1823" spans="1:6" x14ac:dyDescent="0.3">
      <c r="A1823" s="169" t="s">
        <v>4385</v>
      </c>
      <c r="B1823" s="613" t="s">
        <v>4609</v>
      </c>
      <c r="C1823" s="614" t="s">
        <v>1376</v>
      </c>
      <c r="D1823" s="615">
        <v>1045</v>
      </c>
      <c r="E1823" s="616" t="s">
        <v>2141</v>
      </c>
      <c r="F1823" s="617">
        <v>44210</v>
      </c>
    </row>
    <row r="1824" spans="1:6" x14ac:dyDescent="0.3">
      <c r="A1824" s="169" t="s">
        <v>4386</v>
      </c>
      <c r="B1824" s="613" t="s">
        <v>4610</v>
      </c>
      <c r="C1824" s="614" t="s">
        <v>1376</v>
      </c>
      <c r="D1824" s="615">
        <f>((((2184*2)*1.03)/1.03)*1.02)/1.02</f>
        <v>4368</v>
      </c>
      <c r="E1824" s="616" t="s">
        <v>2141</v>
      </c>
      <c r="F1824" s="617">
        <v>44210</v>
      </c>
    </row>
    <row r="1825" spans="1:6" x14ac:dyDescent="0.3">
      <c r="A1825" s="169" t="s">
        <v>4387</v>
      </c>
      <c r="B1825" s="613" t="s">
        <v>4612</v>
      </c>
      <c r="C1825" s="614" t="s">
        <v>1376</v>
      </c>
      <c r="D1825" s="615">
        <v>6229</v>
      </c>
      <c r="E1825" s="616" t="s">
        <v>2141</v>
      </c>
      <c r="F1825" s="617">
        <v>44210</v>
      </c>
    </row>
    <row r="1826" spans="1:6" x14ac:dyDescent="0.3">
      <c r="A1826" s="169" t="s">
        <v>4388</v>
      </c>
      <c r="B1826" s="613" t="s">
        <v>4611</v>
      </c>
      <c r="C1826" s="614" t="s">
        <v>1376</v>
      </c>
      <c r="D1826" s="615">
        <v>2188</v>
      </c>
      <c r="E1826" s="616" t="s">
        <v>2141</v>
      </c>
      <c r="F1826" s="617">
        <v>44210</v>
      </c>
    </row>
    <row r="1827" spans="1:6" x14ac:dyDescent="0.3">
      <c r="A1827" s="169" t="s">
        <v>4389</v>
      </c>
      <c r="B1827" s="613" t="s">
        <v>4613</v>
      </c>
      <c r="C1827" s="614" t="s">
        <v>1376</v>
      </c>
      <c r="D1827" s="615">
        <v>1836</v>
      </c>
      <c r="E1827" s="616" t="s">
        <v>2141</v>
      </c>
      <c r="F1827" s="617">
        <v>44210</v>
      </c>
    </row>
    <row r="1828" spans="1:6" x14ac:dyDescent="0.3">
      <c r="A1828" s="169" t="s">
        <v>4390</v>
      </c>
      <c r="B1828" s="613" t="s">
        <v>4614</v>
      </c>
      <c r="C1828" s="614" t="s">
        <v>1376</v>
      </c>
      <c r="D1828" s="615">
        <v>1478</v>
      </c>
      <c r="E1828" s="616" t="s">
        <v>2141</v>
      </c>
      <c r="F1828" s="617">
        <v>44210</v>
      </c>
    </row>
    <row r="1829" spans="1:6" x14ac:dyDescent="0.3">
      <c r="A1829" s="169" t="s">
        <v>4391</v>
      </c>
      <c r="B1829" s="613" t="s">
        <v>4615</v>
      </c>
      <c r="C1829" s="614" t="s">
        <v>1376</v>
      </c>
      <c r="D1829" s="615">
        <v>1702</v>
      </c>
      <c r="E1829" s="616" t="s">
        <v>2141</v>
      </c>
      <c r="F1829" s="617">
        <v>44210</v>
      </c>
    </row>
    <row r="1830" spans="1:6" x14ac:dyDescent="0.3">
      <c r="A1830" s="169" t="s">
        <v>4392</v>
      </c>
      <c r="B1830" s="613" t="s">
        <v>4616</v>
      </c>
      <c r="C1830" s="614" t="s">
        <v>1376</v>
      </c>
      <c r="D1830" s="615">
        <v>1508</v>
      </c>
      <c r="E1830" s="616" t="s">
        <v>2141</v>
      </c>
      <c r="F1830" s="617">
        <v>44210</v>
      </c>
    </row>
    <row r="1831" spans="1:6" x14ac:dyDescent="0.3">
      <c r="A1831" s="169" t="s">
        <v>4393</v>
      </c>
      <c r="B1831" s="613" t="s">
        <v>4617</v>
      </c>
      <c r="C1831" s="614" t="s">
        <v>1376</v>
      </c>
      <c r="D1831" s="615">
        <v>1246</v>
      </c>
      <c r="E1831" s="616" t="s">
        <v>2141</v>
      </c>
      <c r="F1831" s="617">
        <v>44210</v>
      </c>
    </row>
    <row r="1832" spans="1:6" x14ac:dyDescent="0.3">
      <c r="A1832" s="169" t="s">
        <v>4394</v>
      </c>
      <c r="B1832" s="613" t="s">
        <v>4619</v>
      </c>
      <c r="C1832" s="614" t="s">
        <v>1376</v>
      </c>
      <c r="D1832" s="615">
        <v>40524</v>
      </c>
      <c r="E1832" s="616" t="s">
        <v>2141</v>
      </c>
      <c r="F1832" s="617">
        <v>44210</v>
      </c>
    </row>
    <row r="1833" spans="1:6" x14ac:dyDescent="0.3">
      <c r="A1833" s="169" t="s">
        <v>4395</v>
      </c>
      <c r="B1833" s="613" t="s">
        <v>4620</v>
      </c>
      <c r="C1833" s="614" t="s">
        <v>1376</v>
      </c>
      <c r="D1833" s="615">
        <v>47263</v>
      </c>
      <c r="E1833" s="616" t="s">
        <v>2141</v>
      </c>
      <c r="F1833" s="617">
        <v>44210</v>
      </c>
    </row>
    <row r="1834" spans="1:6" x14ac:dyDescent="0.3">
      <c r="A1834" s="169" t="s">
        <v>4396</v>
      </c>
      <c r="B1834" s="613" t="s">
        <v>4621</v>
      </c>
      <c r="C1834" s="614" t="s">
        <v>1376</v>
      </c>
      <c r="D1834" s="615">
        <v>24872</v>
      </c>
      <c r="E1834" s="616" t="s">
        <v>2141</v>
      </c>
      <c r="F1834" s="617">
        <v>44210</v>
      </c>
    </row>
    <row r="1835" spans="1:6" x14ac:dyDescent="0.3">
      <c r="A1835" s="169" t="s">
        <v>4397</v>
      </c>
      <c r="B1835" s="613" t="s">
        <v>4622</v>
      </c>
      <c r="C1835" s="614" t="s">
        <v>1376</v>
      </c>
      <c r="D1835" s="615">
        <v>90936</v>
      </c>
      <c r="E1835" s="616" t="s">
        <v>2141</v>
      </c>
      <c r="F1835" s="617">
        <v>44210</v>
      </c>
    </row>
    <row r="1836" spans="1:6" x14ac:dyDescent="0.3">
      <c r="A1836" s="169" t="s">
        <v>4398</v>
      </c>
      <c r="B1836" s="613" t="s">
        <v>4623</v>
      </c>
      <c r="C1836" s="614" t="s">
        <v>1376</v>
      </c>
      <c r="D1836" s="615">
        <v>82825</v>
      </c>
      <c r="E1836" s="616" t="s">
        <v>2141</v>
      </c>
      <c r="F1836" s="617">
        <v>44210</v>
      </c>
    </row>
    <row r="1837" spans="1:6" x14ac:dyDescent="0.3">
      <c r="A1837" s="169" t="s">
        <v>4399</v>
      </c>
      <c r="B1837" s="613" t="s">
        <v>4624</v>
      </c>
      <c r="C1837" s="614" t="s">
        <v>1376</v>
      </c>
      <c r="D1837" s="615">
        <v>18952</v>
      </c>
      <c r="E1837" s="616" t="s">
        <v>2141</v>
      </c>
      <c r="F1837" s="617">
        <v>44210</v>
      </c>
    </row>
    <row r="1838" spans="1:6" x14ac:dyDescent="0.3">
      <c r="A1838" s="169" t="s">
        <v>4400</v>
      </c>
      <c r="B1838" s="613" t="s">
        <v>4625</v>
      </c>
      <c r="C1838" s="614" t="s">
        <v>1376</v>
      </c>
      <c r="D1838" s="615">
        <v>54809</v>
      </c>
      <c r="E1838" s="616" t="s">
        <v>2141</v>
      </c>
      <c r="F1838" s="617">
        <v>44210</v>
      </c>
    </row>
    <row r="1839" spans="1:6" x14ac:dyDescent="0.3">
      <c r="A1839" s="169" t="s">
        <v>4401</v>
      </c>
      <c r="B1839" s="613" t="s">
        <v>4626</v>
      </c>
      <c r="C1839" s="614" t="s">
        <v>1376</v>
      </c>
      <c r="D1839" s="615">
        <v>149165</v>
      </c>
      <c r="E1839" s="616" t="s">
        <v>2141</v>
      </c>
      <c r="F1839" s="617">
        <v>44210</v>
      </c>
    </row>
    <row r="1840" spans="1:6" x14ac:dyDescent="0.3">
      <c r="A1840" s="169" t="s">
        <v>4402</v>
      </c>
      <c r="B1840" s="613" t="s">
        <v>4627</v>
      </c>
      <c r="C1840" s="614" t="s">
        <v>1376</v>
      </c>
      <c r="D1840" s="615">
        <v>14802</v>
      </c>
      <c r="E1840" s="616" t="s">
        <v>2141</v>
      </c>
      <c r="F1840" s="617">
        <v>44210</v>
      </c>
    </row>
    <row r="1841" spans="1:6" x14ac:dyDescent="0.3">
      <c r="A1841" s="169" t="s">
        <v>4403</v>
      </c>
      <c r="B1841" s="613" t="s">
        <v>4628</v>
      </c>
      <c r="C1841" s="614" t="s">
        <v>1376</v>
      </c>
      <c r="D1841" s="615">
        <v>17076</v>
      </c>
      <c r="E1841" s="616" t="s">
        <v>2141</v>
      </c>
      <c r="F1841" s="617">
        <v>44210</v>
      </c>
    </row>
    <row r="1842" spans="1:6" x14ac:dyDescent="0.3">
      <c r="A1842" s="169" t="s">
        <v>4404</v>
      </c>
      <c r="B1842" s="613" t="s">
        <v>4629</v>
      </c>
      <c r="C1842" s="614" t="s">
        <v>1376</v>
      </c>
      <c r="D1842" s="615">
        <v>27479</v>
      </c>
      <c r="E1842" s="616" t="s">
        <v>2141</v>
      </c>
      <c r="F1842" s="617">
        <v>44210</v>
      </c>
    </row>
    <row r="1843" spans="1:6" x14ac:dyDescent="0.3">
      <c r="A1843" s="169" t="s">
        <v>4405</v>
      </c>
      <c r="B1843" s="613" t="s">
        <v>4630</v>
      </c>
      <c r="C1843" s="614" t="s">
        <v>1376</v>
      </c>
      <c r="D1843" s="615">
        <v>17401</v>
      </c>
      <c r="E1843" s="616" t="s">
        <v>2141</v>
      </c>
      <c r="F1843" s="617">
        <v>44210</v>
      </c>
    </row>
    <row r="1844" spans="1:6" x14ac:dyDescent="0.3">
      <c r="A1844" s="169" t="s">
        <v>4406</v>
      </c>
      <c r="B1844" s="613" t="s">
        <v>4631</v>
      </c>
      <c r="C1844" s="614" t="s">
        <v>1376</v>
      </c>
      <c r="D1844" s="615">
        <f>((((D1843)*1.03)/1.03)*1.02)/1.02</f>
        <v>17401</v>
      </c>
      <c r="E1844" s="616" t="s">
        <v>2141</v>
      </c>
      <c r="F1844" s="617">
        <v>44210</v>
      </c>
    </row>
    <row r="1845" spans="1:6" x14ac:dyDescent="0.3">
      <c r="A1845" s="169" t="s">
        <v>4407</v>
      </c>
      <c r="B1845" s="613" t="s">
        <v>4632</v>
      </c>
      <c r="C1845" s="614" t="s">
        <v>1376</v>
      </c>
      <c r="D1845" s="615">
        <v>44812</v>
      </c>
      <c r="E1845" s="616" t="s">
        <v>2141</v>
      </c>
      <c r="F1845" s="617">
        <v>44210</v>
      </c>
    </row>
    <row r="1846" spans="1:6" x14ac:dyDescent="0.3">
      <c r="A1846" s="169" t="s">
        <v>4408</v>
      </c>
      <c r="B1846" s="613" t="s">
        <v>4638</v>
      </c>
      <c r="C1846" s="614" t="s">
        <v>73</v>
      </c>
      <c r="D1846" s="615">
        <v>151</v>
      </c>
      <c r="E1846" s="616" t="s">
        <v>3543</v>
      </c>
      <c r="F1846" s="617">
        <v>44210</v>
      </c>
    </row>
    <row r="1847" spans="1:6" x14ac:dyDescent="0.3">
      <c r="A1847" s="169" t="s">
        <v>4409</v>
      </c>
      <c r="B1847" s="613" t="s">
        <v>4641</v>
      </c>
      <c r="C1847" s="614" t="s">
        <v>1376</v>
      </c>
      <c r="D1847" s="615">
        <v>7184.31</v>
      </c>
      <c r="E1847" s="616" t="s">
        <v>2999</v>
      </c>
      <c r="F1847" s="617">
        <v>44224</v>
      </c>
    </row>
    <row r="1848" spans="1:6" x14ac:dyDescent="0.3">
      <c r="A1848" s="169" t="s">
        <v>4410</v>
      </c>
      <c r="B1848" s="613" t="s">
        <v>4642</v>
      </c>
      <c r="C1848" s="614" t="s">
        <v>1376</v>
      </c>
      <c r="D1848" s="615">
        <v>5727.16</v>
      </c>
      <c r="E1848" s="616" t="s">
        <v>2999</v>
      </c>
      <c r="F1848" s="617">
        <v>44224</v>
      </c>
    </row>
    <row r="1849" spans="1:6" x14ac:dyDescent="0.3">
      <c r="A1849" s="169" t="s">
        <v>4411</v>
      </c>
      <c r="B1849" s="613" t="s">
        <v>4643</v>
      </c>
      <c r="C1849" s="614" t="s">
        <v>1376</v>
      </c>
      <c r="D1849" s="615">
        <v>2969.02</v>
      </c>
      <c r="E1849" s="616" t="s">
        <v>2999</v>
      </c>
      <c r="F1849" s="617">
        <v>44224</v>
      </c>
    </row>
    <row r="1850" spans="1:6" x14ac:dyDescent="0.3">
      <c r="A1850" s="169" t="s">
        <v>4412</v>
      </c>
      <c r="B1850" s="613" t="s">
        <v>4644</v>
      </c>
      <c r="C1850" s="614" t="s">
        <v>1376</v>
      </c>
      <c r="D1850" s="615">
        <v>25751.599999999999</v>
      </c>
      <c r="E1850" s="616" t="s">
        <v>2999</v>
      </c>
      <c r="F1850" s="617">
        <v>44224</v>
      </c>
    </row>
    <row r="1851" spans="1:6" x14ac:dyDescent="0.3">
      <c r="A1851" s="169" t="s">
        <v>4413</v>
      </c>
      <c r="B1851" s="613" t="s">
        <v>4645</v>
      </c>
      <c r="C1851" s="614" t="s">
        <v>1376</v>
      </c>
      <c r="D1851" s="615">
        <v>27137.18</v>
      </c>
      <c r="E1851" s="616" t="s">
        <v>2999</v>
      </c>
      <c r="F1851" s="617">
        <v>44224</v>
      </c>
    </row>
    <row r="1852" spans="1:6" x14ac:dyDescent="0.3">
      <c r="A1852" s="169" t="s">
        <v>4414</v>
      </c>
      <c r="B1852" s="613" t="s">
        <v>4646</v>
      </c>
      <c r="C1852" s="614" t="s">
        <v>1376</v>
      </c>
      <c r="D1852" s="615">
        <v>127.50000000000001</v>
      </c>
      <c r="E1852" s="616" t="s">
        <v>2999</v>
      </c>
      <c r="F1852" s="617">
        <v>44224</v>
      </c>
    </row>
    <row r="1853" spans="1:6" x14ac:dyDescent="0.3">
      <c r="A1853" s="169" t="s">
        <v>4415</v>
      </c>
      <c r="B1853" s="613" t="s">
        <v>4647</v>
      </c>
      <c r="C1853" s="614" t="s">
        <v>1376</v>
      </c>
      <c r="D1853" s="615">
        <v>25.5</v>
      </c>
      <c r="E1853" s="616" t="s">
        <v>2999</v>
      </c>
      <c r="F1853" s="617">
        <v>44224</v>
      </c>
    </row>
    <row r="1854" spans="1:6" x14ac:dyDescent="0.3">
      <c r="A1854" s="169" t="s">
        <v>4416</v>
      </c>
      <c r="B1854" s="613" t="s">
        <v>4787</v>
      </c>
      <c r="C1854" s="614" t="s">
        <v>1376</v>
      </c>
      <c r="D1854" s="615">
        <v>1918.36</v>
      </c>
      <c r="E1854" s="616" t="s">
        <v>2999</v>
      </c>
      <c r="F1854" s="617">
        <v>44230</v>
      </c>
    </row>
    <row r="1855" spans="1:6" x14ac:dyDescent="0.3">
      <c r="A1855" s="169" t="s">
        <v>4417</v>
      </c>
      <c r="B1855" s="613" t="s">
        <v>4788</v>
      </c>
      <c r="C1855" s="614" t="s">
        <v>1376</v>
      </c>
      <c r="D1855" s="615">
        <v>1730.3</v>
      </c>
      <c r="E1855" s="616" t="s">
        <v>2999</v>
      </c>
      <c r="F1855" s="617">
        <v>44230</v>
      </c>
    </row>
    <row r="1856" spans="1:6" x14ac:dyDescent="0.3">
      <c r="A1856" s="169" t="s">
        <v>4418</v>
      </c>
      <c r="B1856" s="613" t="s">
        <v>4789</v>
      </c>
      <c r="C1856" s="614" t="s">
        <v>1376</v>
      </c>
      <c r="D1856" s="615">
        <v>2069.4499999999998</v>
      </c>
      <c r="E1856" s="616" t="s">
        <v>2999</v>
      </c>
      <c r="F1856" s="617">
        <v>44230</v>
      </c>
    </row>
    <row r="1857" spans="1:6" x14ac:dyDescent="0.3">
      <c r="A1857" s="169" t="s">
        <v>4419</v>
      </c>
      <c r="B1857" s="613" t="s">
        <v>4790</v>
      </c>
      <c r="C1857" s="614" t="s">
        <v>1376</v>
      </c>
      <c r="D1857" s="615">
        <v>2069.4499999999998</v>
      </c>
      <c r="E1857" s="616" t="s">
        <v>2999</v>
      </c>
      <c r="F1857" s="617">
        <v>44230</v>
      </c>
    </row>
    <row r="1858" spans="1:6" x14ac:dyDescent="0.3">
      <c r="A1858" s="169" t="s">
        <v>4420</v>
      </c>
      <c r="B1858" s="613" t="s">
        <v>4791</v>
      </c>
      <c r="C1858" s="614" t="s">
        <v>1376</v>
      </c>
      <c r="D1858" s="615">
        <v>916.34</v>
      </c>
      <c r="E1858" s="616" t="s">
        <v>2999</v>
      </c>
      <c r="F1858" s="617">
        <v>44230</v>
      </c>
    </row>
    <row r="1859" spans="1:6" x14ac:dyDescent="0.3">
      <c r="A1859" s="169" t="s">
        <v>4421</v>
      </c>
      <c r="B1859" s="613" t="s">
        <v>4792</v>
      </c>
      <c r="C1859" s="614" t="s">
        <v>1376</v>
      </c>
      <c r="D1859" s="615">
        <v>659.3</v>
      </c>
      <c r="E1859" s="616" t="s">
        <v>2999</v>
      </c>
      <c r="F1859" s="617">
        <v>44230</v>
      </c>
    </row>
    <row r="1860" spans="1:6" x14ac:dyDescent="0.3">
      <c r="A1860" s="169" t="s">
        <v>4422</v>
      </c>
      <c r="B1860" s="613" t="s">
        <v>4793</v>
      </c>
      <c r="C1860" s="614" t="s">
        <v>1376</v>
      </c>
      <c r="D1860" s="615">
        <v>114.75</v>
      </c>
      <c r="E1860" s="616" t="s">
        <v>2999</v>
      </c>
      <c r="F1860" s="617">
        <v>44230</v>
      </c>
    </row>
    <row r="1861" spans="1:6" x14ac:dyDescent="0.3">
      <c r="A1861" s="169" t="s">
        <v>4423</v>
      </c>
      <c r="B1861" s="613" t="s">
        <v>4795</v>
      </c>
      <c r="C1861" s="614" t="s">
        <v>1376</v>
      </c>
      <c r="D1861" s="615">
        <v>297.77</v>
      </c>
      <c r="E1861" s="616" t="s">
        <v>2999</v>
      </c>
      <c r="F1861" s="617">
        <v>44224</v>
      </c>
    </row>
    <row r="1862" spans="1:6" x14ac:dyDescent="0.3">
      <c r="A1862" s="169" t="s">
        <v>4424</v>
      </c>
      <c r="B1862" s="613" t="s">
        <v>4796</v>
      </c>
      <c r="C1862" s="614" t="s">
        <v>1376</v>
      </c>
      <c r="D1862" s="615">
        <v>25.9</v>
      </c>
      <c r="E1862" s="616" t="s">
        <v>2999</v>
      </c>
      <c r="F1862" s="617">
        <v>44224</v>
      </c>
    </row>
    <row r="1863" spans="1:6" ht="24.6" x14ac:dyDescent="0.3">
      <c r="A1863" s="169" t="s">
        <v>4425</v>
      </c>
      <c r="B1863" s="619" t="s">
        <v>4797</v>
      </c>
      <c r="C1863" s="614" t="s">
        <v>1376</v>
      </c>
      <c r="D1863" s="615">
        <v>9629.2000000000007</v>
      </c>
      <c r="E1863" s="616" t="s">
        <v>2999</v>
      </c>
      <c r="F1863" s="617">
        <v>44224</v>
      </c>
    </row>
    <row r="1864" spans="1:6" x14ac:dyDescent="0.3">
      <c r="A1864" s="169" t="s">
        <v>4426</v>
      </c>
      <c r="B1864" s="613" t="s">
        <v>4798</v>
      </c>
      <c r="C1864" s="614" t="s">
        <v>1376</v>
      </c>
      <c r="D1864" s="615">
        <v>250.25</v>
      </c>
      <c r="E1864" s="616" t="s">
        <v>2999</v>
      </c>
      <c r="F1864" s="617">
        <v>44224</v>
      </c>
    </row>
    <row r="1865" spans="1:6" x14ac:dyDescent="0.3">
      <c r="A1865" s="169" t="s">
        <v>4427</v>
      </c>
      <c r="B1865" s="613" t="s">
        <v>4799</v>
      </c>
      <c r="C1865" s="614" t="s">
        <v>1376</v>
      </c>
      <c r="D1865" s="615">
        <v>916.8</v>
      </c>
      <c r="E1865" s="616" t="s">
        <v>2999</v>
      </c>
      <c r="F1865" s="617">
        <v>44224</v>
      </c>
    </row>
    <row r="1866" spans="1:6" x14ac:dyDescent="0.3">
      <c r="A1866" s="169" t="s">
        <v>4428</v>
      </c>
      <c r="B1866" s="613" t="s">
        <v>4800</v>
      </c>
      <c r="C1866" s="614" t="s">
        <v>1376</v>
      </c>
      <c r="D1866" s="615">
        <v>181.48</v>
      </c>
      <c r="E1866" s="616" t="s">
        <v>2999</v>
      </c>
      <c r="F1866" s="617">
        <v>44224</v>
      </c>
    </row>
    <row r="1867" spans="1:6" x14ac:dyDescent="0.3">
      <c r="A1867" s="169" t="s">
        <v>4429</v>
      </c>
      <c r="B1867" s="613" t="s">
        <v>4801</v>
      </c>
      <c r="C1867" s="614" t="s">
        <v>1376</v>
      </c>
      <c r="D1867" s="615">
        <v>25.9</v>
      </c>
      <c r="E1867" s="616" t="s">
        <v>2999</v>
      </c>
      <c r="F1867" s="617">
        <v>44224</v>
      </c>
    </row>
    <row r="1868" spans="1:6" x14ac:dyDescent="0.3">
      <c r="A1868" s="169" t="s">
        <v>4430</v>
      </c>
      <c r="B1868" s="613" t="s">
        <v>4802</v>
      </c>
      <c r="C1868" s="614" t="s">
        <v>1376</v>
      </c>
      <c r="D1868" s="615">
        <v>7511</v>
      </c>
      <c r="E1868" s="616" t="s">
        <v>2999</v>
      </c>
      <c r="F1868" s="617">
        <v>44224</v>
      </c>
    </row>
    <row r="1869" spans="1:6" x14ac:dyDescent="0.3">
      <c r="A1869" s="169" t="s">
        <v>4431</v>
      </c>
      <c r="B1869" s="613" t="s">
        <v>4803</v>
      </c>
      <c r="C1869" s="614" t="s">
        <v>1376</v>
      </c>
      <c r="D1869" s="615">
        <v>625.70000000000005</v>
      </c>
      <c r="E1869" s="616" t="s">
        <v>2999</v>
      </c>
      <c r="F1869" s="617">
        <v>44224</v>
      </c>
    </row>
    <row r="1870" spans="1:6" x14ac:dyDescent="0.3">
      <c r="A1870" s="169" t="s">
        <v>4432</v>
      </c>
      <c r="B1870" s="613" t="s">
        <v>4804</v>
      </c>
      <c r="C1870" s="614" t="s">
        <v>1376</v>
      </c>
      <c r="D1870" s="615">
        <v>241.54</v>
      </c>
      <c r="E1870" s="616" t="s">
        <v>2999</v>
      </c>
      <c r="F1870" s="617">
        <v>44224</v>
      </c>
    </row>
    <row r="1871" spans="1:6" x14ac:dyDescent="0.3">
      <c r="A1871" s="169" t="s">
        <v>4433</v>
      </c>
      <c r="B1871" s="613" t="s">
        <v>4805</v>
      </c>
      <c r="C1871" s="614" t="s">
        <v>1376</v>
      </c>
      <c r="D1871" s="615">
        <v>25.9</v>
      </c>
      <c r="E1871" s="616" t="s">
        <v>2999</v>
      </c>
      <c r="F1871" s="617">
        <v>44224</v>
      </c>
    </row>
    <row r="1872" spans="1:6" x14ac:dyDescent="0.3">
      <c r="A1872" s="169" t="s">
        <v>4434</v>
      </c>
      <c r="B1872" s="613" t="s">
        <v>4806</v>
      </c>
      <c r="C1872" s="614" t="s">
        <v>1376</v>
      </c>
      <c r="D1872" s="615">
        <v>7202.3</v>
      </c>
      <c r="E1872" s="616" t="s">
        <v>2999</v>
      </c>
      <c r="F1872" s="617">
        <v>44224</v>
      </c>
    </row>
    <row r="1873" spans="1:6" x14ac:dyDescent="0.3">
      <c r="A1873" s="169" t="s">
        <v>4435</v>
      </c>
      <c r="B1873" s="613" t="s">
        <v>4807</v>
      </c>
      <c r="C1873" s="614" t="s">
        <v>1376</v>
      </c>
      <c r="D1873" s="615">
        <v>166.25</v>
      </c>
      <c r="E1873" s="616" t="s">
        <v>2999</v>
      </c>
      <c r="F1873" s="617">
        <v>44224</v>
      </c>
    </row>
    <row r="1874" spans="1:6" x14ac:dyDescent="0.3">
      <c r="A1874" s="169" t="s">
        <v>4436</v>
      </c>
      <c r="B1874" s="613" t="s">
        <v>4808</v>
      </c>
      <c r="C1874" s="614" t="s">
        <v>1376</v>
      </c>
      <c r="D1874" s="615">
        <v>529.85</v>
      </c>
      <c r="E1874" s="616" t="s">
        <v>2999</v>
      </c>
      <c r="F1874" s="617">
        <v>44224</v>
      </c>
    </row>
    <row r="1875" spans="1:6" x14ac:dyDescent="0.3">
      <c r="A1875" s="169" t="s">
        <v>4437</v>
      </c>
      <c r="B1875" s="613" t="s">
        <v>4809</v>
      </c>
      <c r="C1875" s="614" t="s">
        <v>1376</v>
      </c>
      <c r="D1875" s="615">
        <v>241.54</v>
      </c>
      <c r="E1875" s="616" t="s">
        <v>2999</v>
      </c>
      <c r="F1875" s="617">
        <v>44224</v>
      </c>
    </row>
    <row r="1876" spans="1:6" x14ac:dyDescent="0.3">
      <c r="A1876" s="169" t="s">
        <v>4438</v>
      </c>
      <c r="B1876" s="613" t="s">
        <v>4810</v>
      </c>
      <c r="C1876" s="614" t="s">
        <v>1376</v>
      </c>
      <c r="D1876" s="615">
        <v>25.9</v>
      </c>
      <c r="E1876" s="616" t="s">
        <v>2999</v>
      </c>
      <c r="F1876" s="617">
        <v>44224</v>
      </c>
    </row>
    <row r="1877" spans="1:6" x14ac:dyDescent="0.3">
      <c r="A1877" s="169" t="s">
        <v>4439</v>
      </c>
      <c r="B1877" s="613" t="s">
        <v>4811</v>
      </c>
      <c r="C1877" s="614" t="s">
        <v>1376</v>
      </c>
      <c r="D1877" s="615">
        <v>7202.3</v>
      </c>
      <c r="E1877" s="616" t="s">
        <v>2999</v>
      </c>
      <c r="F1877" s="617">
        <v>44224</v>
      </c>
    </row>
    <row r="1878" spans="1:6" x14ac:dyDescent="0.3">
      <c r="A1878" s="169" t="s">
        <v>4440</v>
      </c>
      <c r="B1878" s="613" t="s">
        <v>4812</v>
      </c>
      <c r="C1878" s="614" t="s">
        <v>1376</v>
      </c>
      <c r="D1878" s="615">
        <v>166.25</v>
      </c>
      <c r="E1878" s="616" t="s">
        <v>2999</v>
      </c>
      <c r="F1878" s="617">
        <v>44224</v>
      </c>
    </row>
    <row r="1879" spans="1:6" x14ac:dyDescent="0.3">
      <c r="A1879" s="169" t="s">
        <v>4441</v>
      </c>
      <c r="B1879" s="613" t="s">
        <v>4813</v>
      </c>
      <c r="C1879" s="614" t="s">
        <v>1376</v>
      </c>
      <c r="D1879" s="615">
        <v>529.85</v>
      </c>
      <c r="E1879" s="616" t="s">
        <v>2999</v>
      </c>
      <c r="F1879" s="617">
        <v>44224</v>
      </c>
    </row>
    <row r="1880" spans="1:6" x14ac:dyDescent="0.3">
      <c r="A1880" s="169" t="s">
        <v>4442</v>
      </c>
      <c r="B1880" s="613" t="s">
        <v>4814</v>
      </c>
      <c r="C1880" s="614" t="s">
        <v>1376</v>
      </c>
      <c r="D1880" s="615">
        <v>181.48</v>
      </c>
      <c r="E1880" s="616" t="s">
        <v>2999</v>
      </c>
      <c r="F1880" s="617">
        <v>44224</v>
      </c>
    </row>
    <row r="1881" spans="1:6" x14ac:dyDescent="0.3">
      <c r="A1881" s="169" t="s">
        <v>4443</v>
      </c>
      <c r="B1881" s="613" t="s">
        <v>4815</v>
      </c>
      <c r="C1881" s="614" t="s">
        <v>1376</v>
      </c>
      <c r="D1881" s="615">
        <v>25.9</v>
      </c>
      <c r="E1881" s="616" t="s">
        <v>2999</v>
      </c>
      <c r="F1881" s="617">
        <v>44224</v>
      </c>
    </row>
    <row r="1882" spans="1:6" ht="24.6" x14ac:dyDescent="0.3">
      <c r="A1882" s="169" t="s">
        <v>4444</v>
      </c>
      <c r="B1882" s="619" t="s">
        <v>4816</v>
      </c>
      <c r="C1882" s="614" t="s">
        <v>1376</v>
      </c>
      <c r="D1882" s="615">
        <v>5723.2</v>
      </c>
      <c r="E1882" s="616" t="s">
        <v>2999</v>
      </c>
      <c r="F1882" s="617">
        <v>44224</v>
      </c>
    </row>
    <row r="1883" spans="1:6" x14ac:dyDescent="0.3">
      <c r="A1883" s="169" t="s">
        <v>4445</v>
      </c>
      <c r="B1883" s="613" t="s">
        <v>4817</v>
      </c>
      <c r="C1883" s="614" t="s">
        <v>1376</v>
      </c>
      <c r="D1883" s="615">
        <v>590.20000000000005</v>
      </c>
      <c r="E1883" s="616" t="s">
        <v>2999</v>
      </c>
      <c r="F1883" s="617">
        <v>44224</v>
      </c>
    </row>
    <row r="1884" spans="1:6" x14ac:dyDescent="0.3">
      <c r="A1884" s="169" t="s">
        <v>4446</v>
      </c>
      <c r="B1884" s="613" t="s">
        <v>4818</v>
      </c>
      <c r="C1884" s="614" t="s">
        <v>1376</v>
      </c>
      <c r="D1884" s="615">
        <v>178.92</v>
      </c>
      <c r="E1884" s="616" t="s">
        <v>2999</v>
      </c>
      <c r="F1884" s="617">
        <v>44224</v>
      </c>
    </row>
    <row r="1885" spans="1:6" x14ac:dyDescent="0.3">
      <c r="A1885" s="169" t="s">
        <v>4447</v>
      </c>
      <c r="B1885" s="613" t="s">
        <v>4819</v>
      </c>
      <c r="C1885" s="614" t="s">
        <v>1376</v>
      </c>
      <c r="D1885" s="615">
        <v>25.9</v>
      </c>
      <c r="E1885" s="616" t="s">
        <v>2999</v>
      </c>
      <c r="F1885" s="617">
        <v>44224</v>
      </c>
    </row>
    <row r="1886" spans="1:6" x14ac:dyDescent="0.3">
      <c r="A1886" s="169" t="s">
        <v>4448</v>
      </c>
      <c r="B1886" s="613" t="s">
        <v>4820</v>
      </c>
      <c r="C1886" s="614" t="s">
        <v>1376</v>
      </c>
      <c r="D1886" s="615">
        <v>122.5</v>
      </c>
      <c r="E1886" s="616" t="s">
        <v>2999</v>
      </c>
      <c r="F1886" s="617">
        <v>44224</v>
      </c>
    </row>
    <row r="1887" spans="1:6" x14ac:dyDescent="0.3">
      <c r="A1887" s="169" t="s">
        <v>4449</v>
      </c>
      <c r="B1887" s="613" t="s">
        <v>4821</v>
      </c>
      <c r="C1887" s="614" t="s">
        <v>1376</v>
      </c>
      <c r="D1887" s="615">
        <v>618.6</v>
      </c>
      <c r="E1887" s="616" t="s">
        <v>2999</v>
      </c>
      <c r="F1887" s="617">
        <v>44224</v>
      </c>
    </row>
    <row r="1888" spans="1:6" x14ac:dyDescent="0.3">
      <c r="A1888" s="169" t="s">
        <v>4650</v>
      </c>
      <c r="B1888" s="613" t="s">
        <v>4822</v>
      </c>
      <c r="C1888" s="614" t="s">
        <v>1376</v>
      </c>
      <c r="D1888" s="615">
        <v>485.64</v>
      </c>
      <c r="E1888" s="616" t="s">
        <v>2999</v>
      </c>
      <c r="F1888" s="617">
        <v>44224</v>
      </c>
    </row>
    <row r="1889" spans="1:7" x14ac:dyDescent="0.3">
      <c r="A1889" s="169" t="s">
        <v>4651</v>
      </c>
      <c r="B1889" s="613" t="s">
        <v>4823</v>
      </c>
      <c r="C1889" s="614" t="s">
        <v>1376</v>
      </c>
      <c r="D1889" s="615">
        <v>25.9</v>
      </c>
      <c r="E1889" s="616" t="s">
        <v>2999</v>
      </c>
      <c r="F1889" s="617">
        <v>44224</v>
      </c>
    </row>
    <row r="1890" spans="1:7" x14ac:dyDescent="0.3">
      <c r="A1890" s="169" t="s">
        <v>4652</v>
      </c>
      <c r="B1890" s="613" t="s">
        <v>4824</v>
      </c>
      <c r="C1890" s="614" t="s">
        <v>1376</v>
      </c>
      <c r="D1890" s="615">
        <v>515.65</v>
      </c>
      <c r="E1890" s="616" t="s">
        <v>2999</v>
      </c>
      <c r="F1890" s="617">
        <v>44224</v>
      </c>
    </row>
    <row r="1891" spans="1:7" x14ac:dyDescent="0.3">
      <c r="A1891" s="169" t="s">
        <v>4653</v>
      </c>
      <c r="B1891" s="613" t="s">
        <v>4794</v>
      </c>
      <c r="C1891" s="614" t="s">
        <v>1376</v>
      </c>
      <c r="D1891" s="615">
        <v>565.35</v>
      </c>
      <c r="E1891" s="616" t="s">
        <v>2999</v>
      </c>
      <c r="F1891" s="617">
        <v>44224</v>
      </c>
    </row>
    <row r="1892" spans="1:7" x14ac:dyDescent="0.3">
      <c r="A1892" s="169" t="s">
        <v>4654</v>
      </c>
      <c r="B1892" s="613" t="s">
        <v>4648</v>
      </c>
      <c r="C1892" s="614" t="s">
        <v>1376</v>
      </c>
      <c r="D1892" s="615">
        <v>8077.5000000000009</v>
      </c>
      <c r="E1892" s="616" t="s">
        <v>2999</v>
      </c>
      <c r="F1892" s="617">
        <v>44224</v>
      </c>
    </row>
    <row r="1893" spans="1:7" x14ac:dyDescent="0.3">
      <c r="A1893" s="169" t="s">
        <v>4655</v>
      </c>
      <c r="B1893" s="613" t="s">
        <v>4649</v>
      </c>
      <c r="C1893" s="614" t="s">
        <v>1376</v>
      </c>
      <c r="D1893" s="615">
        <v>2001.0000000000002</v>
      </c>
      <c r="E1893" s="616" t="s">
        <v>2999</v>
      </c>
      <c r="F1893" s="617">
        <v>44224</v>
      </c>
    </row>
    <row r="1894" spans="1:7" x14ac:dyDescent="0.3">
      <c r="A1894" s="169" t="s">
        <v>4656</v>
      </c>
      <c r="B1894" s="613" t="s">
        <v>4587</v>
      </c>
      <c r="C1894" s="614" t="s">
        <v>29</v>
      </c>
      <c r="D1894" s="615">
        <v>46666.77</v>
      </c>
      <c r="E1894" s="616" t="s">
        <v>2999</v>
      </c>
      <c r="F1894" s="617">
        <v>44230</v>
      </c>
    </row>
    <row r="1895" spans="1:7" x14ac:dyDescent="0.3">
      <c r="A1895" s="169" t="s">
        <v>4657</v>
      </c>
      <c r="B1895" s="613" t="s">
        <v>6185</v>
      </c>
      <c r="C1895" s="614" t="s">
        <v>29</v>
      </c>
      <c r="D1895" s="615">
        <v>4625</v>
      </c>
      <c r="E1895" s="616" t="s">
        <v>2335</v>
      </c>
      <c r="F1895" s="617">
        <v>44550</v>
      </c>
    </row>
    <row r="1896" spans="1:7" x14ac:dyDescent="0.3">
      <c r="A1896" s="169" t="s">
        <v>4658</v>
      </c>
      <c r="B1896" s="613" t="s">
        <v>6184</v>
      </c>
      <c r="C1896" s="614" t="s">
        <v>29</v>
      </c>
      <c r="D1896" s="615">
        <v>2460</v>
      </c>
      <c r="E1896" s="616" t="s">
        <v>2335</v>
      </c>
      <c r="F1896" s="617">
        <v>44550</v>
      </c>
    </row>
    <row r="1897" spans="1:7" x14ac:dyDescent="0.3">
      <c r="A1897" s="169" t="s">
        <v>4659</v>
      </c>
      <c r="B1897" s="613" t="s">
        <v>6183</v>
      </c>
      <c r="C1897" s="614" t="s">
        <v>29</v>
      </c>
      <c r="D1897" s="615">
        <v>26470</v>
      </c>
      <c r="E1897" s="616" t="s">
        <v>2335</v>
      </c>
      <c r="F1897" s="617">
        <v>44550</v>
      </c>
    </row>
    <row r="1898" spans="1:7" x14ac:dyDescent="0.3">
      <c r="A1898" s="169" t="s">
        <v>4660</v>
      </c>
      <c r="B1898" s="613" t="s">
        <v>6186</v>
      </c>
      <c r="C1898" s="614" t="s">
        <v>29</v>
      </c>
      <c r="D1898" s="615">
        <v>38</v>
      </c>
      <c r="E1898" s="616" t="s">
        <v>2335</v>
      </c>
      <c r="F1898" s="617">
        <v>44550</v>
      </c>
      <c r="G1898" s="616"/>
    </row>
    <row r="1899" spans="1:7" x14ac:dyDescent="0.3">
      <c r="A1899" s="169" t="s">
        <v>4661</v>
      </c>
      <c r="B1899" s="613" t="s">
        <v>6187</v>
      </c>
      <c r="C1899" s="614" t="s">
        <v>29</v>
      </c>
      <c r="D1899" s="615">
        <v>3450</v>
      </c>
      <c r="E1899" s="616" t="s">
        <v>2335</v>
      </c>
      <c r="F1899" s="617">
        <v>44550</v>
      </c>
    </row>
    <row r="1900" spans="1:7" x14ac:dyDescent="0.3">
      <c r="A1900" s="169" t="s">
        <v>4662</v>
      </c>
      <c r="B1900" s="613" t="s">
        <v>6207</v>
      </c>
      <c r="C1900" s="614" t="s">
        <v>29</v>
      </c>
      <c r="D1900" s="615">
        <v>4500</v>
      </c>
      <c r="E1900" s="616" t="s">
        <v>2335</v>
      </c>
      <c r="F1900" s="617">
        <v>44550</v>
      </c>
    </row>
    <row r="1901" spans="1:7" x14ac:dyDescent="0.3">
      <c r="A1901" s="169" t="s">
        <v>4663</v>
      </c>
      <c r="B1901" s="613" t="s">
        <v>6208</v>
      </c>
      <c r="C1901" s="614" t="s">
        <v>29</v>
      </c>
      <c r="D1901" s="615">
        <v>5700</v>
      </c>
      <c r="E1901" s="616" t="s">
        <v>2335</v>
      </c>
      <c r="F1901" s="617">
        <v>44550</v>
      </c>
    </row>
    <row r="1902" spans="1:7" x14ac:dyDescent="0.3">
      <c r="A1902" s="169" t="s">
        <v>4664</v>
      </c>
      <c r="B1902" s="613"/>
      <c r="C1902" s="614" t="s">
        <v>29</v>
      </c>
      <c r="D1902" s="615">
        <v>6000</v>
      </c>
      <c r="E1902" s="616" t="s">
        <v>2335</v>
      </c>
      <c r="F1902" s="617">
        <v>44550</v>
      </c>
    </row>
    <row r="1903" spans="1:7" x14ac:dyDescent="0.3">
      <c r="A1903" s="169" t="s">
        <v>4665</v>
      </c>
      <c r="B1903" s="613"/>
      <c r="C1903" s="614" t="s">
        <v>29</v>
      </c>
      <c r="D1903" s="615">
        <v>600</v>
      </c>
      <c r="E1903" s="616" t="s">
        <v>2335</v>
      </c>
      <c r="F1903" s="617">
        <v>44550</v>
      </c>
    </row>
    <row r="1904" spans="1:7" x14ac:dyDescent="0.3">
      <c r="A1904" s="169" t="s">
        <v>4666</v>
      </c>
      <c r="B1904" s="613"/>
      <c r="C1904" s="614" t="s">
        <v>29</v>
      </c>
      <c r="D1904" s="615">
        <v>3778</v>
      </c>
      <c r="E1904" s="616" t="s">
        <v>2335</v>
      </c>
      <c r="F1904" s="617">
        <v>44550</v>
      </c>
    </row>
    <row r="1905" spans="1:6" x14ac:dyDescent="0.3">
      <c r="A1905" s="169" t="s">
        <v>4667</v>
      </c>
      <c r="B1905" s="613"/>
      <c r="C1905" s="614" t="s">
        <v>29</v>
      </c>
      <c r="D1905" s="615">
        <v>22280</v>
      </c>
      <c r="E1905" s="616" t="s">
        <v>2335</v>
      </c>
      <c r="F1905" s="617">
        <v>44550</v>
      </c>
    </row>
    <row r="1906" spans="1:6" x14ac:dyDescent="0.3">
      <c r="A1906" s="169" t="s">
        <v>4668</v>
      </c>
      <c r="B1906" s="613" t="s">
        <v>4775</v>
      </c>
      <c r="C1906" s="614" t="s">
        <v>1376</v>
      </c>
      <c r="D1906" s="615">
        <v>60517</v>
      </c>
      <c r="E1906" s="616" t="s">
        <v>4767</v>
      </c>
      <c r="F1906" s="617">
        <v>44224</v>
      </c>
    </row>
    <row r="1907" spans="1:6" x14ac:dyDescent="0.3">
      <c r="A1907" s="169" t="s">
        <v>4669</v>
      </c>
      <c r="B1907" s="613" t="s">
        <v>4776</v>
      </c>
      <c r="C1907" s="614" t="s">
        <v>1376</v>
      </c>
      <c r="D1907" s="615">
        <v>52802</v>
      </c>
      <c r="E1907" s="616" t="s">
        <v>4767</v>
      </c>
      <c r="F1907" s="617">
        <v>44224</v>
      </c>
    </row>
    <row r="1908" spans="1:6" x14ac:dyDescent="0.3">
      <c r="A1908" s="169" t="s">
        <v>4670</v>
      </c>
      <c r="B1908" s="613" t="s">
        <v>4777</v>
      </c>
      <c r="C1908" s="614" t="s">
        <v>1376</v>
      </c>
      <c r="D1908" s="615">
        <v>9472</v>
      </c>
      <c r="E1908" s="616" t="s">
        <v>4767</v>
      </c>
      <c r="F1908" s="617">
        <v>44224</v>
      </c>
    </row>
    <row r="1909" spans="1:6" x14ac:dyDescent="0.3">
      <c r="A1909" s="169" t="s">
        <v>4671</v>
      </c>
      <c r="B1909" s="613" t="s">
        <v>4778</v>
      </c>
      <c r="C1909" s="614" t="s">
        <v>1376</v>
      </c>
      <c r="D1909" s="615">
        <v>15714</v>
      </c>
      <c r="E1909" s="616" t="s">
        <v>4767</v>
      </c>
      <c r="F1909" s="617">
        <v>44224</v>
      </c>
    </row>
    <row r="1910" spans="1:6" x14ac:dyDescent="0.3">
      <c r="A1910" s="169" t="s">
        <v>4672</v>
      </c>
      <c r="B1910" s="613" t="s">
        <v>4779</v>
      </c>
      <c r="C1910" s="614" t="s">
        <v>1376</v>
      </c>
      <c r="D1910" s="615">
        <v>93907</v>
      </c>
      <c r="E1910" s="616" t="s">
        <v>4767</v>
      </c>
      <c r="F1910" s="617">
        <v>44224</v>
      </c>
    </row>
    <row r="1911" spans="1:6" x14ac:dyDescent="0.3">
      <c r="A1911" s="169" t="s">
        <v>4673</v>
      </c>
      <c r="B1911" s="613" t="s">
        <v>4780</v>
      </c>
      <c r="C1911" s="614" t="s">
        <v>1376</v>
      </c>
      <c r="D1911" s="615">
        <v>6981</v>
      </c>
      <c r="E1911" s="616" t="s">
        <v>4767</v>
      </c>
      <c r="F1911" s="617">
        <v>44224</v>
      </c>
    </row>
    <row r="1912" spans="1:6" x14ac:dyDescent="0.3">
      <c r="A1912" s="169" t="s">
        <v>4674</v>
      </c>
      <c r="B1912" s="613" t="s">
        <v>4781</v>
      </c>
      <c r="C1912" s="614" t="s">
        <v>1376</v>
      </c>
      <c r="D1912" s="615">
        <v>8083</v>
      </c>
      <c r="E1912" s="616" t="s">
        <v>4767</v>
      </c>
      <c r="F1912" s="617">
        <v>44224</v>
      </c>
    </row>
    <row r="1913" spans="1:6" x14ac:dyDescent="0.3">
      <c r="A1913" s="169" t="s">
        <v>4675</v>
      </c>
      <c r="B1913" s="613" t="s">
        <v>4782</v>
      </c>
      <c r="C1913" s="614" t="s">
        <v>1376</v>
      </c>
      <c r="D1913" s="615">
        <v>13215</v>
      </c>
      <c r="E1913" s="616" t="s">
        <v>4767</v>
      </c>
      <c r="F1913" s="617">
        <v>44224</v>
      </c>
    </row>
    <row r="1914" spans="1:6" x14ac:dyDescent="0.3">
      <c r="A1914" s="169" t="s">
        <v>4676</v>
      </c>
      <c r="B1914" s="613" t="s">
        <v>4783</v>
      </c>
      <c r="C1914" s="614" t="s">
        <v>1376</v>
      </c>
      <c r="D1914" s="615">
        <v>8284</v>
      </c>
      <c r="E1914" s="616" t="s">
        <v>4767</v>
      </c>
      <c r="F1914" s="617">
        <v>44224</v>
      </c>
    </row>
    <row r="1915" spans="1:6" x14ac:dyDescent="0.3">
      <c r="A1915" s="169" t="s">
        <v>4677</v>
      </c>
      <c r="B1915" s="613" t="s">
        <v>4784</v>
      </c>
      <c r="C1915" s="614" t="s">
        <v>1376</v>
      </c>
      <c r="D1915" s="615">
        <v>8284</v>
      </c>
      <c r="E1915" s="616" t="s">
        <v>4767</v>
      </c>
      <c r="F1915" s="617">
        <v>44224</v>
      </c>
    </row>
    <row r="1916" spans="1:6" x14ac:dyDescent="0.3">
      <c r="A1916" s="169" t="s">
        <v>4678</v>
      </c>
      <c r="B1916" s="613" t="s">
        <v>4753</v>
      </c>
      <c r="C1916" s="614" t="s">
        <v>73</v>
      </c>
      <c r="D1916" s="615">
        <v>340</v>
      </c>
      <c r="E1916" s="616" t="s">
        <v>4767</v>
      </c>
      <c r="F1916" s="617">
        <v>44224</v>
      </c>
    </row>
    <row r="1917" spans="1:6" x14ac:dyDescent="0.3">
      <c r="A1917" s="169" t="s">
        <v>4679</v>
      </c>
      <c r="B1917" s="613" t="s">
        <v>4754</v>
      </c>
      <c r="C1917" s="614" t="s">
        <v>73</v>
      </c>
      <c r="D1917" s="615">
        <v>340</v>
      </c>
      <c r="E1917" s="616" t="s">
        <v>4767</v>
      </c>
      <c r="F1917" s="617">
        <v>44224</v>
      </c>
    </row>
    <row r="1918" spans="1:6" x14ac:dyDescent="0.3">
      <c r="A1918" s="169" t="s">
        <v>4680</v>
      </c>
      <c r="B1918" s="613" t="s">
        <v>4755</v>
      </c>
      <c r="C1918" s="614" t="s">
        <v>73</v>
      </c>
      <c r="D1918" s="615">
        <v>340</v>
      </c>
      <c r="E1918" s="616" t="s">
        <v>4767</v>
      </c>
      <c r="F1918" s="617">
        <v>44224</v>
      </c>
    </row>
    <row r="1919" spans="1:6" x14ac:dyDescent="0.3">
      <c r="A1919" s="169" t="s">
        <v>4681</v>
      </c>
      <c r="B1919" s="613" t="s">
        <v>4756</v>
      </c>
      <c r="C1919" s="614" t="s">
        <v>73</v>
      </c>
      <c r="D1919" s="615">
        <v>1300</v>
      </c>
      <c r="E1919" s="616" t="s">
        <v>4767</v>
      </c>
      <c r="F1919" s="617">
        <v>44224</v>
      </c>
    </row>
    <row r="1920" spans="1:6" x14ac:dyDescent="0.3">
      <c r="A1920" s="169" t="s">
        <v>4682</v>
      </c>
      <c r="B1920" s="613" t="s">
        <v>4757</v>
      </c>
      <c r="C1920" s="614" t="s">
        <v>73</v>
      </c>
      <c r="D1920" s="615">
        <v>1300</v>
      </c>
      <c r="E1920" s="616" t="s">
        <v>4767</v>
      </c>
      <c r="F1920" s="617">
        <v>44224</v>
      </c>
    </row>
    <row r="1921" spans="1:6" x14ac:dyDescent="0.3">
      <c r="A1921" s="169" t="s">
        <v>4683</v>
      </c>
      <c r="B1921" s="613" t="s">
        <v>4758</v>
      </c>
      <c r="C1921" s="614" t="s">
        <v>73</v>
      </c>
      <c r="D1921" s="615">
        <v>340</v>
      </c>
      <c r="E1921" s="616" t="s">
        <v>4767</v>
      </c>
      <c r="F1921" s="617">
        <v>44224</v>
      </c>
    </row>
    <row r="1922" spans="1:6" x14ac:dyDescent="0.3">
      <c r="A1922" s="169" t="s">
        <v>4684</v>
      </c>
      <c r="B1922" s="613" t="s">
        <v>4759</v>
      </c>
      <c r="C1922" s="614" t="s">
        <v>73</v>
      </c>
      <c r="D1922" s="615">
        <v>340</v>
      </c>
      <c r="E1922" s="616" t="s">
        <v>4767</v>
      </c>
      <c r="F1922" s="617">
        <v>44224</v>
      </c>
    </row>
    <row r="1923" spans="1:6" x14ac:dyDescent="0.3">
      <c r="A1923" s="169" t="s">
        <v>4685</v>
      </c>
      <c r="B1923" s="613" t="s">
        <v>4760</v>
      </c>
      <c r="C1923" s="614" t="s">
        <v>73</v>
      </c>
      <c r="D1923" s="615">
        <v>340</v>
      </c>
      <c r="E1923" s="616" t="s">
        <v>4767</v>
      </c>
      <c r="F1923" s="617">
        <v>44224</v>
      </c>
    </row>
    <row r="1924" spans="1:6" x14ac:dyDescent="0.3">
      <c r="A1924" s="169" t="s">
        <v>4686</v>
      </c>
      <c r="B1924" s="613" t="s">
        <v>4761</v>
      </c>
      <c r="C1924" s="614" t="s">
        <v>73</v>
      </c>
      <c r="D1924" s="615">
        <v>340</v>
      </c>
      <c r="E1924" s="616" t="s">
        <v>4767</v>
      </c>
      <c r="F1924" s="617">
        <v>44224</v>
      </c>
    </row>
    <row r="1925" spans="1:6" x14ac:dyDescent="0.3">
      <c r="A1925" s="169" t="s">
        <v>4687</v>
      </c>
      <c r="B1925" s="613" t="s">
        <v>4762</v>
      </c>
      <c r="C1925" s="614" t="s">
        <v>73</v>
      </c>
      <c r="D1925" s="615">
        <v>340</v>
      </c>
      <c r="E1925" s="616" t="s">
        <v>4767</v>
      </c>
      <c r="F1925" s="617">
        <v>44224</v>
      </c>
    </row>
    <row r="1926" spans="1:6" x14ac:dyDescent="0.3">
      <c r="A1926" s="169" t="s">
        <v>4688</v>
      </c>
      <c r="B1926" s="613" t="s">
        <v>4763</v>
      </c>
      <c r="C1926" s="614" t="s">
        <v>73</v>
      </c>
      <c r="D1926" s="615">
        <v>567</v>
      </c>
      <c r="E1926" s="616" t="s">
        <v>4767</v>
      </c>
      <c r="F1926" s="617">
        <v>44224</v>
      </c>
    </row>
    <row r="1927" spans="1:6" x14ac:dyDescent="0.3">
      <c r="A1927" s="169" t="s">
        <v>4689</v>
      </c>
      <c r="B1927" s="613" t="s">
        <v>4764</v>
      </c>
      <c r="C1927" s="614" t="s">
        <v>73</v>
      </c>
      <c r="D1927" s="615">
        <v>567</v>
      </c>
      <c r="E1927" s="616" t="s">
        <v>4767</v>
      </c>
      <c r="F1927" s="617">
        <v>44224</v>
      </c>
    </row>
    <row r="1928" spans="1:6" x14ac:dyDescent="0.3">
      <c r="A1928" s="169" t="s">
        <v>4690</v>
      </c>
      <c r="B1928" s="613" t="s">
        <v>4765</v>
      </c>
      <c r="C1928" s="614" t="s">
        <v>73</v>
      </c>
      <c r="D1928" s="615">
        <v>340</v>
      </c>
      <c r="E1928" s="616" t="s">
        <v>4767</v>
      </c>
      <c r="F1928" s="617">
        <v>44224</v>
      </c>
    </row>
    <row r="1929" spans="1:6" x14ac:dyDescent="0.3">
      <c r="A1929" s="169" t="s">
        <v>4691</v>
      </c>
      <c r="B1929" s="613" t="s">
        <v>4766</v>
      </c>
      <c r="C1929" s="614" t="s">
        <v>73</v>
      </c>
      <c r="D1929" s="615">
        <v>340</v>
      </c>
      <c r="E1929" s="616" t="s">
        <v>4767</v>
      </c>
      <c r="F1929" s="617">
        <v>44224</v>
      </c>
    </row>
    <row r="1930" spans="1:6" x14ac:dyDescent="0.3">
      <c r="A1930" s="169" t="s">
        <v>4692</v>
      </c>
      <c r="B1930" s="613" t="s">
        <v>5003</v>
      </c>
      <c r="C1930" s="614" t="s">
        <v>73</v>
      </c>
      <c r="D1930" s="615">
        <v>249.99</v>
      </c>
      <c r="E1930" s="616" t="s">
        <v>5009</v>
      </c>
      <c r="F1930" s="617">
        <v>44308</v>
      </c>
    </row>
    <row r="1931" spans="1:6" x14ac:dyDescent="0.3">
      <c r="A1931" s="169" t="s">
        <v>4693</v>
      </c>
      <c r="B1931" s="613" t="s">
        <v>4996</v>
      </c>
      <c r="C1931" s="614" t="s">
        <v>73</v>
      </c>
      <c r="D1931" s="615">
        <v>169.99</v>
      </c>
      <c r="E1931" s="616" t="s">
        <v>5128</v>
      </c>
      <c r="F1931" s="617">
        <v>44308</v>
      </c>
    </row>
    <row r="1932" spans="1:6" x14ac:dyDescent="0.3">
      <c r="A1932" s="169" t="s">
        <v>4694</v>
      </c>
      <c r="B1932" s="613" t="s">
        <v>4995</v>
      </c>
      <c r="C1932" s="614" t="s">
        <v>73</v>
      </c>
      <c r="D1932" s="615">
        <v>159.99</v>
      </c>
      <c r="E1932" s="616" t="s">
        <v>5009</v>
      </c>
      <c r="F1932" s="617">
        <v>44308</v>
      </c>
    </row>
    <row r="1933" spans="1:6" x14ac:dyDescent="0.3">
      <c r="A1933" s="169" t="s">
        <v>4695</v>
      </c>
      <c r="B1933" s="613" t="s">
        <v>4769</v>
      </c>
      <c r="C1933" s="614" t="s">
        <v>73</v>
      </c>
      <c r="D1933" s="615">
        <v>179</v>
      </c>
      <c r="E1933" s="616" t="s">
        <v>4768</v>
      </c>
      <c r="F1933" s="617"/>
    </row>
    <row r="1934" spans="1:6" x14ac:dyDescent="0.3">
      <c r="A1934" s="169" t="s">
        <v>4696</v>
      </c>
      <c r="B1934" s="613" t="s">
        <v>4770</v>
      </c>
      <c r="C1934" s="614" t="s">
        <v>73</v>
      </c>
      <c r="D1934" s="615">
        <v>45</v>
      </c>
      <c r="E1934" s="616" t="s">
        <v>4768</v>
      </c>
      <c r="F1934" s="617"/>
    </row>
    <row r="1935" spans="1:6" x14ac:dyDescent="0.3">
      <c r="A1935" s="169" t="s">
        <v>4697</v>
      </c>
      <c r="B1935" s="613" t="s">
        <v>1135</v>
      </c>
      <c r="C1935" s="614" t="s">
        <v>29</v>
      </c>
      <c r="D1935" s="615">
        <f>((((5362+299)*1.03)/1.03)*1.02)/1.02</f>
        <v>5661</v>
      </c>
      <c r="E1935" s="616" t="s">
        <v>5124</v>
      </c>
      <c r="F1935" s="617">
        <v>44484</v>
      </c>
    </row>
    <row r="1936" spans="1:6" x14ac:dyDescent="0.3">
      <c r="A1936" s="169" t="s">
        <v>4698</v>
      </c>
      <c r="B1936" s="613" t="s">
        <v>4772</v>
      </c>
      <c r="C1936" s="614" t="s">
        <v>73</v>
      </c>
      <c r="D1936" s="615">
        <v>340</v>
      </c>
      <c r="E1936" s="616" t="s">
        <v>4771</v>
      </c>
      <c r="F1936" s="617">
        <v>44229</v>
      </c>
    </row>
    <row r="1937" spans="1:6" x14ac:dyDescent="0.3">
      <c r="A1937" s="169" t="s">
        <v>4699</v>
      </c>
      <c r="B1937" s="613" t="s">
        <v>3623</v>
      </c>
      <c r="C1937" s="614" t="s">
        <v>73</v>
      </c>
      <c r="D1937" s="615">
        <v>107</v>
      </c>
      <c r="E1937" s="616" t="s">
        <v>3624</v>
      </c>
      <c r="F1937" s="617">
        <v>44162</v>
      </c>
    </row>
    <row r="1938" spans="1:6" x14ac:dyDescent="0.3">
      <c r="A1938" s="169" t="s">
        <v>4700</v>
      </c>
      <c r="B1938" s="613" t="s">
        <v>4785</v>
      </c>
      <c r="C1938" s="614" t="s">
        <v>1376</v>
      </c>
      <c r="D1938" s="615">
        <v>1876.98</v>
      </c>
      <c r="E1938" s="616" t="s">
        <v>1058</v>
      </c>
      <c r="F1938" s="617">
        <v>44230</v>
      </c>
    </row>
    <row r="1939" spans="1:6" x14ac:dyDescent="0.3">
      <c r="A1939" s="169" t="s">
        <v>4701</v>
      </c>
      <c r="B1939" s="613" t="s">
        <v>4786</v>
      </c>
      <c r="C1939" s="614" t="s">
        <v>1376</v>
      </c>
      <c r="D1939" s="615">
        <v>1311.45</v>
      </c>
      <c r="E1939" s="616" t="s">
        <v>1058</v>
      </c>
      <c r="F1939" s="617">
        <v>44230</v>
      </c>
    </row>
    <row r="1940" spans="1:6" x14ac:dyDescent="0.3">
      <c r="A1940" s="169" t="s">
        <v>4702</v>
      </c>
      <c r="B1940" s="613" t="s">
        <v>4825</v>
      </c>
      <c r="C1940" s="614" t="s">
        <v>29</v>
      </c>
      <c r="D1940" s="615">
        <v>90000</v>
      </c>
      <c r="E1940" s="616"/>
      <c r="F1940" s="617"/>
    </row>
    <row r="1941" spans="1:6" x14ac:dyDescent="0.3">
      <c r="A1941" s="169" t="s">
        <v>4703</v>
      </c>
      <c r="B1941" s="613" t="s">
        <v>4826</v>
      </c>
      <c r="C1941" s="614" t="s">
        <v>1376</v>
      </c>
      <c r="D1941" s="615">
        <v>1034.5899999999999</v>
      </c>
      <c r="E1941" s="616" t="s">
        <v>1058</v>
      </c>
      <c r="F1941" s="617">
        <v>44231</v>
      </c>
    </row>
    <row r="1942" spans="1:6" x14ac:dyDescent="0.3">
      <c r="A1942" s="169" t="s">
        <v>4704</v>
      </c>
      <c r="B1942" s="613" t="s">
        <v>4827</v>
      </c>
      <c r="C1942" s="614" t="s">
        <v>29</v>
      </c>
      <c r="D1942" s="615">
        <v>11000</v>
      </c>
      <c r="E1942" s="616" t="s">
        <v>3471</v>
      </c>
      <c r="F1942" s="617">
        <v>44231</v>
      </c>
    </row>
    <row r="1943" spans="1:6" x14ac:dyDescent="0.3">
      <c r="A1943" s="169" t="s">
        <v>4705</v>
      </c>
      <c r="B1943" s="613" t="s">
        <v>4828</v>
      </c>
      <c r="C1943" s="614" t="s">
        <v>29</v>
      </c>
      <c r="D1943" s="615">
        <v>49000</v>
      </c>
      <c r="E1943" s="616" t="s">
        <v>3471</v>
      </c>
      <c r="F1943" s="617">
        <v>44231</v>
      </c>
    </row>
    <row r="1944" spans="1:6" x14ac:dyDescent="0.3">
      <c r="A1944" s="169" t="s">
        <v>4706</v>
      </c>
      <c r="B1944" s="613" t="s">
        <v>4830</v>
      </c>
      <c r="C1944" s="614" t="s">
        <v>73</v>
      </c>
      <c r="D1944" s="615">
        <v>273.58999999999997</v>
      </c>
      <c r="E1944" s="616" t="s">
        <v>3816</v>
      </c>
      <c r="F1944" s="617">
        <v>44231</v>
      </c>
    </row>
    <row r="1945" spans="1:6" x14ac:dyDescent="0.3">
      <c r="A1945" s="169" t="s">
        <v>4707</v>
      </c>
      <c r="B1945" s="613" t="s">
        <v>4831</v>
      </c>
      <c r="C1945" s="614" t="s">
        <v>73</v>
      </c>
      <c r="D1945" s="615">
        <v>111.41</v>
      </c>
      <c r="E1945" s="616" t="s">
        <v>3816</v>
      </c>
      <c r="F1945" s="617">
        <v>44231</v>
      </c>
    </row>
    <row r="1946" spans="1:6" x14ac:dyDescent="0.3">
      <c r="A1946" s="169" t="s">
        <v>4708</v>
      </c>
      <c r="B1946" s="663" t="s">
        <v>5013</v>
      </c>
      <c r="C1946" s="664" t="s">
        <v>89</v>
      </c>
      <c r="D1946" s="665">
        <v>0</v>
      </c>
      <c r="E1946" s="666" t="s">
        <v>5012</v>
      </c>
      <c r="F1946" s="667">
        <v>44308</v>
      </c>
    </row>
    <row r="1947" spans="1:6" x14ac:dyDescent="0.3">
      <c r="A1947" s="169" t="s">
        <v>4709</v>
      </c>
      <c r="B1947" s="663" t="s">
        <v>4846</v>
      </c>
      <c r="C1947" s="664" t="s">
        <v>74</v>
      </c>
      <c r="D1947" s="665">
        <v>35</v>
      </c>
      <c r="E1947" s="666" t="s">
        <v>3809</v>
      </c>
      <c r="F1947" s="667">
        <v>44245</v>
      </c>
    </row>
    <row r="1948" spans="1:6" x14ac:dyDescent="0.3">
      <c r="A1948" s="169" t="s">
        <v>4710</v>
      </c>
      <c r="B1948" s="663" t="s">
        <v>4847</v>
      </c>
      <c r="C1948" s="664" t="s">
        <v>1389</v>
      </c>
      <c r="D1948" s="665">
        <v>45</v>
      </c>
      <c r="E1948" s="666" t="s">
        <v>4848</v>
      </c>
      <c r="F1948" s="667">
        <v>44245</v>
      </c>
    </row>
    <row r="1949" spans="1:6" x14ac:dyDescent="0.3">
      <c r="A1949" s="169" t="s">
        <v>4711</v>
      </c>
      <c r="B1949" s="613" t="s">
        <v>5708</v>
      </c>
      <c r="C1949" s="614" t="s">
        <v>1376</v>
      </c>
      <c r="D1949" s="615">
        <f>((((5950/8)*1.03)/1.03)*1.02)/1.02</f>
        <v>743.75</v>
      </c>
      <c r="E1949" s="616" t="s">
        <v>3521</v>
      </c>
      <c r="F1949" s="617">
        <v>44550</v>
      </c>
    </row>
    <row r="1950" spans="1:6" x14ac:dyDescent="0.3">
      <c r="A1950" s="169" t="s">
        <v>4712</v>
      </c>
      <c r="B1950" s="613" t="s">
        <v>5004</v>
      </c>
      <c r="C1950" s="614" t="s">
        <v>1376</v>
      </c>
      <c r="D1950" s="615">
        <v>88.9</v>
      </c>
      <c r="E1950" s="666" t="s">
        <v>5012</v>
      </c>
      <c r="F1950" s="617">
        <v>44308</v>
      </c>
    </row>
    <row r="1951" spans="1:6" x14ac:dyDescent="0.3">
      <c r="A1951" s="169" t="s">
        <v>4713</v>
      </c>
      <c r="B1951" s="613" t="s">
        <v>5102</v>
      </c>
      <c r="C1951" s="614" t="s">
        <v>936</v>
      </c>
      <c r="D1951" s="615">
        <v>56.99</v>
      </c>
      <c r="E1951" s="666" t="s">
        <v>5012</v>
      </c>
      <c r="F1951" s="617">
        <v>44308</v>
      </c>
    </row>
    <row r="1952" spans="1:6" x14ac:dyDescent="0.3">
      <c r="A1952" s="169" t="s">
        <v>4714</v>
      </c>
      <c r="B1952" s="613" t="s">
        <v>5010</v>
      </c>
      <c r="C1952" s="614" t="s">
        <v>73</v>
      </c>
      <c r="D1952" s="615">
        <v>79.989999999999995</v>
      </c>
      <c r="E1952" s="616" t="s">
        <v>5009</v>
      </c>
      <c r="F1952" s="617">
        <v>44308</v>
      </c>
    </row>
    <row r="1953" spans="1:6" x14ac:dyDescent="0.3">
      <c r="A1953" s="169" t="s">
        <v>4715</v>
      </c>
      <c r="B1953" s="613" t="s">
        <v>5005</v>
      </c>
      <c r="C1953" s="614" t="s">
        <v>73</v>
      </c>
      <c r="D1953" s="615">
        <v>30</v>
      </c>
      <c r="E1953" s="616" t="s">
        <v>5011</v>
      </c>
      <c r="F1953" s="617">
        <v>44308</v>
      </c>
    </row>
    <row r="1954" spans="1:6" x14ac:dyDescent="0.3">
      <c r="A1954" s="169" t="s">
        <v>4716</v>
      </c>
      <c r="B1954" s="613" t="s">
        <v>5682</v>
      </c>
      <c r="C1954" s="614" t="s">
        <v>2088</v>
      </c>
      <c r="D1954" s="615">
        <v>23.63</v>
      </c>
      <c r="E1954" s="616" t="s">
        <v>1024</v>
      </c>
      <c r="F1954" s="617">
        <v>44308</v>
      </c>
    </row>
    <row r="1955" spans="1:6" x14ac:dyDescent="0.3">
      <c r="A1955" s="169" t="s">
        <v>4717</v>
      </c>
      <c r="B1955" s="613" t="s">
        <v>5007</v>
      </c>
      <c r="C1955" s="614" t="s">
        <v>2088</v>
      </c>
      <c r="D1955" s="615">
        <v>12</v>
      </c>
      <c r="E1955" s="616" t="s">
        <v>5006</v>
      </c>
      <c r="F1955" s="617">
        <v>44308</v>
      </c>
    </row>
    <row r="1956" spans="1:6" x14ac:dyDescent="0.3">
      <c r="A1956" s="169" t="s">
        <v>4718</v>
      </c>
      <c r="B1956" s="613" t="s">
        <v>5008</v>
      </c>
      <c r="C1956" s="614" t="s">
        <v>2088</v>
      </c>
      <c r="D1956" s="615">
        <v>26.99</v>
      </c>
      <c r="E1956" s="616" t="s">
        <v>3802</v>
      </c>
      <c r="F1956" s="617">
        <v>44308</v>
      </c>
    </row>
    <row r="1957" spans="1:6" x14ac:dyDescent="0.3">
      <c r="A1957" s="169" t="s">
        <v>4719</v>
      </c>
      <c r="B1957" s="613" t="s">
        <v>4850</v>
      </c>
      <c r="C1957" s="614" t="s">
        <v>1376</v>
      </c>
      <c r="D1957" s="615">
        <v>840</v>
      </c>
      <c r="E1957" s="616" t="s">
        <v>4856</v>
      </c>
      <c r="F1957" s="617">
        <v>44259</v>
      </c>
    </row>
    <row r="1958" spans="1:6" x14ac:dyDescent="0.3">
      <c r="A1958" s="169" t="s">
        <v>4720</v>
      </c>
      <c r="B1958" s="613" t="s">
        <v>4851</v>
      </c>
      <c r="C1958" s="614" t="s">
        <v>1376</v>
      </c>
      <c r="D1958" s="615">
        <v>840</v>
      </c>
      <c r="E1958" s="616" t="s">
        <v>4856</v>
      </c>
      <c r="F1958" s="617">
        <v>44259</v>
      </c>
    </row>
    <row r="1959" spans="1:6" x14ac:dyDescent="0.3">
      <c r="A1959" s="169" t="s">
        <v>4721</v>
      </c>
      <c r="B1959" s="613" t="s">
        <v>4852</v>
      </c>
      <c r="C1959" s="614" t="s">
        <v>1376</v>
      </c>
      <c r="D1959" s="615">
        <v>806.904</v>
      </c>
      <c r="E1959" s="616" t="s">
        <v>4856</v>
      </c>
      <c r="F1959" s="617">
        <v>44259</v>
      </c>
    </row>
    <row r="1960" spans="1:6" x14ac:dyDescent="0.3">
      <c r="A1960" s="169" t="s">
        <v>4722</v>
      </c>
      <c r="B1960" s="613" t="s">
        <v>4853</v>
      </c>
      <c r="C1960" s="614" t="s">
        <v>1376</v>
      </c>
      <c r="D1960" s="615">
        <v>806.904</v>
      </c>
      <c r="E1960" s="616" t="s">
        <v>4856</v>
      </c>
      <c r="F1960" s="617">
        <v>44259</v>
      </c>
    </row>
    <row r="1961" spans="1:6" x14ac:dyDescent="0.3">
      <c r="A1961" s="169" t="s">
        <v>4723</v>
      </c>
      <c r="B1961" s="613" t="s">
        <v>4854</v>
      </c>
      <c r="C1961" s="614" t="s">
        <v>1376</v>
      </c>
      <c r="D1961" s="615">
        <v>806.904</v>
      </c>
      <c r="E1961" s="616" t="s">
        <v>4856</v>
      </c>
      <c r="F1961" s="617">
        <v>44259</v>
      </c>
    </row>
    <row r="1962" spans="1:6" x14ac:dyDescent="0.3">
      <c r="A1962" s="169" t="s">
        <v>4724</v>
      </c>
      <c r="B1962" s="613" t="s">
        <v>4855</v>
      </c>
      <c r="C1962" s="614" t="s">
        <v>1376</v>
      </c>
      <c r="D1962" s="615">
        <v>806.904</v>
      </c>
      <c r="E1962" s="616" t="s">
        <v>4856</v>
      </c>
      <c r="F1962" s="617">
        <v>44259</v>
      </c>
    </row>
    <row r="1963" spans="1:6" x14ac:dyDescent="0.3">
      <c r="A1963" s="169" t="s">
        <v>4725</v>
      </c>
      <c r="B1963" s="613" t="s">
        <v>4857</v>
      </c>
      <c r="C1963" s="614" t="s">
        <v>1376</v>
      </c>
      <c r="D1963" s="615">
        <v>66582.625592417055</v>
      </c>
      <c r="E1963" s="616" t="s">
        <v>4859</v>
      </c>
      <c r="F1963" s="617">
        <v>44259</v>
      </c>
    </row>
    <row r="1964" spans="1:6" x14ac:dyDescent="0.3">
      <c r="A1964" s="169" t="s">
        <v>4726</v>
      </c>
      <c r="B1964" s="613" t="s">
        <v>4858</v>
      </c>
      <c r="C1964" s="614" t="s">
        <v>1376</v>
      </c>
      <c r="D1964" s="615">
        <v>8729.8578199052135</v>
      </c>
      <c r="E1964" s="616" t="s">
        <v>4859</v>
      </c>
      <c r="F1964" s="617">
        <v>44259</v>
      </c>
    </row>
    <row r="1965" spans="1:6" x14ac:dyDescent="0.3">
      <c r="A1965" s="169" t="s">
        <v>4727</v>
      </c>
      <c r="B1965" s="613" t="s">
        <v>4860</v>
      </c>
      <c r="C1965" s="614" t="s">
        <v>73</v>
      </c>
      <c r="D1965" s="615">
        <v>920</v>
      </c>
      <c r="E1965" s="616" t="s">
        <v>4865</v>
      </c>
      <c r="F1965" s="617">
        <v>44259</v>
      </c>
    </row>
    <row r="1966" spans="1:6" x14ac:dyDescent="0.3">
      <c r="A1966" s="169" t="s">
        <v>4728</v>
      </c>
      <c r="B1966" s="613" t="s">
        <v>4860</v>
      </c>
      <c r="C1966" s="614" t="s">
        <v>73</v>
      </c>
      <c r="D1966" s="615">
        <v>920</v>
      </c>
      <c r="E1966" s="616" t="s">
        <v>4865</v>
      </c>
      <c r="F1966" s="617">
        <v>44259</v>
      </c>
    </row>
    <row r="1967" spans="1:6" x14ac:dyDescent="0.3">
      <c r="A1967" s="169" t="s">
        <v>4729</v>
      </c>
      <c r="B1967" s="613" t="s">
        <v>4861</v>
      </c>
      <c r="C1967" s="614" t="s">
        <v>73</v>
      </c>
      <c r="D1967" s="615">
        <v>920</v>
      </c>
      <c r="E1967" s="616" t="s">
        <v>4865</v>
      </c>
      <c r="F1967" s="617">
        <v>44259</v>
      </c>
    </row>
    <row r="1968" spans="1:6" x14ac:dyDescent="0.3">
      <c r="A1968" s="169" t="s">
        <v>4730</v>
      </c>
      <c r="B1968" s="613" t="s">
        <v>4862</v>
      </c>
      <c r="C1968" s="614" t="s">
        <v>73</v>
      </c>
      <c r="D1968" s="615">
        <v>920</v>
      </c>
      <c r="E1968" s="616" t="s">
        <v>4865</v>
      </c>
      <c r="F1968" s="617">
        <v>44259</v>
      </c>
    </row>
    <row r="1969" spans="1:6" x14ac:dyDescent="0.3">
      <c r="A1969" s="169" t="s">
        <v>4731</v>
      </c>
      <c r="B1969" s="613" t="s">
        <v>4863</v>
      </c>
      <c r="C1969" s="614" t="s">
        <v>73</v>
      </c>
      <c r="D1969" s="615">
        <v>920</v>
      </c>
      <c r="E1969" s="616" t="s">
        <v>4865</v>
      </c>
      <c r="F1969" s="617">
        <v>44259</v>
      </c>
    </row>
    <row r="1970" spans="1:6" x14ac:dyDescent="0.3">
      <c r="A1970" s="169" t="s">
        <v>4732</v>
      </c>
      <c r="B1970" s="613" t="s">
        <v>4864</v>
      </c>
      <c r="C1970" s="614" t="s">
        <v>73</v>
      </c>
      <c r="D1970" s="615">
        <v>920</v>
      </c>
      <c r="E1970" s="616" t="s">
        <v>4865</v>
      </c>
      <c r="F1970" s="617">
        <v>44259</v>
      </c>
    </row>
    <row r="1971" spans="1:6" x14ac:dyDescent="0.3">
      <c r="A1971" s="169" t="s">
        <v>4733</v>
      </c>
      <c r="B1971" s="613" t="s">
        <v>4864</v>
      </c>
      <c r="C1971" s="614" t="s">
        <v>73</v>
      </c>
      <c r="D1971" s="615">
        <v>920</v>
      </c>
      <c r="E1971" s="616" t="s">
        <v>4865</v>
      </c>
      <c r="F1971" s="617">
        <v>44259</v>
      </c>
    </row>
    <row r="1972" spans="1:6" x14ac:dyDescent="0.3">
      <c r="A1972" s="169" t="s">
        <v>4734</v>
      </c>
      <c r="B1972" s="613" t="s">
        <v>4853</v>
      </c>
      <c r="C1972" s="614" t="s">
        <v>73</v>
      </c>
      <c r="D1972" s="615">
        <v>920</v>
      </c>
      <c r="E1972" s="616" t="s">
        <v>4865</v>
      </c>
      <c r="F1972" s="617">
        <v>44259</v>
      </c>
    </row>
    <row r="1973" spans="1:6" x14ac:dyDescent="0.3">
      <c r="A1973" s="169" t="s">
        <v>4735</v>
      </c>
      <c r="B1973" s="613" t="s">
        <v>4987</v>
      </c>
      <c r="C1973" s="614" t="s">
        <v>73</v>
      </c>
      <c r="D1973" s="615">
        <v>1500</v>
      </c>
      <c r="E1973" s="616" t="s">
        <v>4865</v>
      </c>
      <c r="F1973" s="617">
        <v>44259</v>
      </c>
    </row>
    <row r="1974" spans="1:6" x14ac:dyDescent="0.3">
      <c r="A1974" s="169" t="s">
        <v>4736</v>
      </c>
      <c r="B1974" s="613" t="s">
        <v>4866</v>
      </c>
      <c r="C1974" s="614" t="s">
        <v>1376</v>
      </c>
      <c r="D1974" s="615">
        <v>253.63000000000002</v>
      </c>
      <c r="E1974" s="616" t="s">
        <v>4963</v>
      </c>
      <c r="F1974" s="617">
        <v>44259</v>
      </c>
    </row>
    <row r="1975" spans="1:6" x14ac:dyDescent="0.3">
      <c r="A1975" s="169" t="s">
        <v>4737</v>
      </c>
      <c r="B1975" s="613" t="s">
        <v>4867</v>
      </c>
      <c r="C1975" s="614" t="s">
        <v>1376</v>
      </c>
      <c r="D1975" s="615">
        <v>125.4</v>
      </c>
      <c r="E1975" s="616" t="s">
        <v>4963</v>
      </c>
      <c r="F1975" s="617">
        <v>44259</v>
      </c>
    </row>
    <row r="1976" spans="1:6" x14ac:dyDescent="0.3">
      <c r="A1976" s="169" t="s">
        <v>4738</v>
      </c>
      <c r="B1976" s="613" t="s">
        <v>4868</v>
      </c>
      <c r="C1976" s="614" t="s">
        <v>1376</v>
      </c>
      <c r="D1976" s="615">
        <v>1034.5899999999999</v>
      </c>
      <c r="E1976" s="616" t="s">
        <v>4963</v>
      </c>
      <c r="F1976" s="617">
        <v>44259</v>
      </c>
    </row>
    <row r="1977" spans="1:6" x14ac:dyDescent="0.3">
      <c r="A1977" s="169" t="s">
        <v>4739</v>
      </c>
      <c r="B1977" s="613" t="s">
        <v>4164</v>
      </c>
      <c r="C1977" s="614" t="s">
        <v>1376</v>
      </c>
      <c r="D1977" s="615">
        <v>3313.85</v>
      </c>
      <c r="E1977" s="616" t="s">
        <v>4963</v>
      </c>
      <c r="F1977" s="617">
        <v>44259</v>
      </c>
    </row>
    <row r="1978" spans="1:6" x14ac:dyDescent="0.3">
      <c r="A1978" s="169" t="s">
        <v>4740</v>
      </c>
      <c r="B1978" s="613" t="s">
        <v>4869</v>
      </c>
      <c r="C1978" s="614" t="s">
        <v>1376</v>
      </c>
      <c r="D1978" s="615">
        <v>432.62</v>
      </c>
      <c r="E1978" s="616" t="s">
        <v>4963</v>
      </c>
      <c r="F1978" s="617">
        <v>44259</v>
      </c>
    </row>
    <row r="1979" spans="1:6" x14ac:dyDescent="0.3">
      <c r="A1979" s="169" t="s">
        <v>4741</v>
      </c>
      <c r="B1979" s="613" t="s">
        <v>4870</v>
      </c>
      <c r="C1979" s="614" t="s">
        <v>1376</v>
      </c>
      <c r="D1979" s="615">
        <v>2389.44</v>
      </c>
      <c r="E1979" s="616" t="s">
        <v>4963</v>
      </c>
      <c r="F1979" s="617">
        <v>44259</v>
      </c>
    </row>
    <row r="1980" spans="1:6" x14ac:dyDescent="0.3">
      <c r="A1980" s="169" t="s">
        <v>4742</v>
      </c>
      <c r="B1980" s="613" t="s">
        <v>4871</v>
      </c>
      <c r="C1980" s="614" t="s">
        <v>1376</v>
      </c>
      <c r="D1980" s="615">
        <v>4400</v>
      </c>
      <c r="E1980" s="616" t="s">
        <v>4963</v>
      </c>
      <c r="F1980" s="617">
        <v>44259</v>
      </c>
    </row>
    <row r="1981" spans="1:6" x14ac:dyDescent="0.3">
      <c r="A1981" s="169" t="s">
        <v>4743</v>
      </c>
      <c r="B1981" s="613" t="s">
        <v>4872</v>
      </c>
      <c r="C1981" s="614" t="s">
        <v>1376</v>
      </c>
      <c r="D1981" s="615">
        <v>32.43</v>
      </c>
      <c r="E1981" s="616" t="s">
        <v>4963</v>
      </c>
      <c r="F1981" s="617">
        <v>44259</v>
      </c>
    </row>
    <row r="1982" spans="1:6" x14ac:dyDescent="0.3">
      <c r="A1982" s="169" t="s">
        <v>4744</v>
      </c>
      <c r="B1982" s="613" t="s">
        <v>4873</v>
      </c>
      <c r="C1982" s="614" t="s">
        <v>1376</v>
      </c>
      <c r="D1982" s="615">
        <v>29.82</v>
      </c>
      <c r="E1982" s="616" t="s">
        <v>4963</v>
      </c>
      <c r="F1982" s="617">
        <v>44259</v>
      </c>
    </row>
    <row r="1983" spans="1:6" x14ac:dyDescent="0.3">
      <c r="A1983" s="169" t="s">
        <v>4745</v>
      </c>
      <c r="B1983" s="613" t="s">
        <v>4874</v>
      </c>
      <c r="C1983" s="614" t="s">
        <v>1376</v>
      </c>
      <c r="D1983" s="615">
        <v>322.83999999999997</v>
      </c>
      <c r="E1983" s="616" t="s">
        <v>4963</v>
      </c>
      <c r="F1983" s="617">
        <v>44259</v>
      </c>
    </row>
    <row r="1984" spans="1:6" x14ac:dyDescent="0.3">
      <c r="A1984" s="169" t="s">
        <v>4746</v>
      </c>
      <c r="B1984" s="613" t="s">
        <v>4875</v>
      </c>
      <c r="C1984" s="614" t="s">
        <v>1376</v>
      </c>
      <c r="D1984" s="615">
        <v>55.58</v>
      </c>
      <c r="E1984" s="616" t="s">
        <v>4963</v>
      </c>
      <c r="F1984" s="617">
        <v>44259</v>
      </c>
    </row>
    <row r="1985" spans="1:6" x14ac:dyDescent="0.3">
      <c r="A1985" s="169" t="s">
        <v>4747</v>
      </c>
      <c r="B1985" s="613" t="s">
        <v>4876</v>
      </c>
      <c r="C1985" s="614" t="s">
        <v>1376</v>
      </c>
      <c r="D1985" s="615">
        <v>92.37</v>
      </c>
      <c r="E1985" s="616" t="s">
        <v>4963</v>
      </c>
      <c r="F1985" s="617">
        <v>44259</v>
      </c>
    </row>
    <row r="1986" spans="1:6" x14ac:dyDescent="0.3">
      <c r="A1986" s="169" t="s">
        <v>4748</v>
      </c>
      <c r="B1986" s="613" t="s">
        <v>4877</v>
      </c>
      <c r="C1986" s="614" t="s">
        <v>1376</v>
      </c>
      <c r="D1986" s="615">
        <v>776.75</v>
      </c>
      <c r="E1986" s="616" t="s">
        <v>4963</v>
      </c>
      <c r="F1986" s="617">
        <v>44259</v>
      </c>
    </row>
    <row r="1987" spans="1:6" x14ac:dyDescent="0.3">
      <c r="A1987" s="169" t="s">
        <v>4749</v>
      </c>
      <c r="B1987" s="613" t="s">
        <v>4878</v>
      </c>
      <c r="C1987" s="614" t="s">
        <v>1376</v>
      </c>
      <c r="D1987" s="615">
        <v>346.92</v>
      </c>
      <c r="E1987" s="616" t="s">
        <v>4963</v>
      </c>
      <c r="F1987" s="617">
        <v>44259</v>
      </c>
    </row>
    <row r="1988" spans="1:6" x14ac:dyDescent="0.3">
      <c r="A1988" s="169" t="s">
        <v>4750</v>
      </c>
      <c r="B1988" s="613" t="s">
        <v>4879</v>
      </c>
      <c r="C1988" s="614" t="s">
        <v>1376</v>
      </c>
      <c r="D1988" s="615">
        <v>986.81</v>
      </c>
      <c r="E1988" s="616" t="s">
        <v>4963</v>
      </c>
      <c r="F1988" s="617">
        <v>44259</v>
      </c>
    </row>
    <row r="1989" spans="1:6" x14ac:dyDescent="0.3">
      <c r="A1989" s="169" t="s">
        <v>4751</v>
      </c>
      <c r="B1989" s="613" t="s">
        <v>4880</v>
      </c>
      <c r="C1989" s="614" t="s">
        <v>1376</v>
      </c>
      <c r="D1989" s="615">
        <v>871.2399999999999</v>
      </c>
      <c r="E1989" s="616" t="s">
        <v>4963</v>
      </c>
      <c r="F1989" s="617">
        <v>44259</v>
      </c>
    </row>
    <row r="1990" spans="1:6" x14ac:dyDescent="0.3">
      <c r="A1990" s="169" t="s">
        <v>4882</v>
      </c>
      <c r="B1990" s="613" t="s">
        <v>4881</v>
      </c>
      <c r="C1990" s="614" t="s">
        <v>1376</v>
      </c>
      <c r="D1990" s="615">
        <v>60.96</v>
      </c>
      <c r="E1990" s="616" t="s">
        <v>4963</v>
      </c>
      <c r="F1990" s="617">
        <v>44259</v>
      </c>
    </row>
    <row r="1991" spans="1:6" x14ac:dyDescent="0.3">
      <c r="A1991" s="169" t="s">
        <v>4883</v>
      </c>
      <c r="B1991" s="613" t="s">
        <v>2786</v>
      </c>
      <c r="C1991" s="614" t="s">
        <v>29</v>
      </c>
      <c r="D1991" s="160">
        <v>1</v>
      </c>
      <c r="E1991" s="616"/>
      <c r="F1991" s="617"/>
    </row>
    <row r="1992" spans="1:6" x14ac:dyDescent="0.3">
      <c r="A1992" s="169" t="s">
        <v>4884</v>
      </c>
      <c r="B1992" s="613" t="s">
        <v>4969</v>
      </c>
      <c r="C1992" s="614" t="s">
        <v>74</v>
      </c>
      <c r="D1992" s="615">
        <f>(((((41.9/0.9)*1.5)*1.03)/1.03)*1.02)/1.02</f>
        <v>69.833333333333329</v>
      </c>
      <c r="E1992" s="616" t="s">
        <v>4968</v>
      </c>
      <c r="F1992" s="617">
        <v>44274</v>
      </c>
    </row>
    <row r="1993" spans="1:6" x14ac:dyDescent="0.3">
      <c r="A1993" s="169" t="s">
        <v>4885</v>
      </c>
      <c r="B1993" s="613" t="s">
        <v>4971</v>
      </c>
      <c r="C1993" s="614" t="s">
        <v>74</v>
      </c>
      <c r="D1993" s="615">
        <v>50</v>
      </c>
      <c r="E1993" s="616" t="s">
        <v>3497</v>
      </c>
      <c r="F1993" s="617">
        <v>44277</v>
      </c>
    </row>
    <row r="1994" spans="1:6" x14ac:dyDescent="0.3">
      <c r="A1994" s="169" t="s">
        <v>4886</v>
      </c>
      <c r="B1994" s="613" t="s">
        <v>4973</v>
      </c>
      <c r="C1994" s="614" t="s">
        <v>2088</v>
      </c>
      <c r="D1994" s="615">
        <v>55</v>
      </c>
      <c r="E1994" s="616" t="s">
        <v>4848</v>
      </c>
      <c r="F1994" s="617">
        <v>44278</v>
      </c>
    </row>
    <row r="1995" spans="1:6" x14ac:dyDescent="0.3">
      <c r="A1995" s="169" t="s">
        <v>4887</v>
      </c>
      <c r="B1995" s="613" t="s">
        <v>4975</v>
      </c>
      <c r="C1995" s="614" t="s">
        <v>73</v>
      </c>
      <c r="D1995" s="615">
        <v>400</v>
      </c>
      <c r="E1995" s="616" t="s">
        <v>3610</v>
      </c>
      <c r="F1995" s="617">
        <v>44278</v>
      </c>
    </row>
    <row r="1996" spans="1:6" x14ac:dyDescent="0.3">
      <c r="A1996" s="169" t="s">
        <v>4888</v>
      </c>
      <c r="B1996" s="613" t="s">
        <v>4978</v>
      </c>
      <c r="C1996" s="614" t="s">
        <v>73</v>
      </c>
      <c r="D1996" s="615">
        <v>64.27</v>
      </c>
      <c r="E1996" s="616" t="s">
        <v>947</v>
      </c>
      <c r="F1996" s="617">
        <v>44224</v>
      </c>
    </row>
    <row r="1997" spans="1:6" x14ac:dyDescent="0.3">
      <c r="A1997" s="169" t="s">
        <v>4889</v>
      </c>
      <c r="B1997" s="613" t="s">
        <v>4979</v>
      </c>
      <c r="C1997" s="614" t="s">
        <v>73</v>
      </c>
      <c r="D1997" s="615">
        <v>780.90326086956532</v>
      </c>
      <c r="E1997" s="616" t="s">
        <v>4859</v>
      </c>
      <c r="F1997" s="617">
        <v>44278</v>
      </c>
    </row>
    <row r="1998" spans="1:6" x14ac:dyDescent="0.3">
      <c r="A1998" s="169" t="s">
        <v>4890</v>
      </c>
      <c r="B1998" s="613" t="s">
        <v>4980</v>
      </c>
      <c r="C1998" s="614" t="s">
        <v>73</v>
      </c>
      <c r="D1998" s="615">
        <v>783.68363437328958</v>
      </c>
      <c r="E1998" s="616" t="s">
        <v>4859</v>
      </c>
      <c r="F1998" s="617">
        <v>44278</v>
      </c>
    </row>
    <row r="1999" spans="1:6" x14ac:dyDescent="0.3">
      <c r="A1999" s="169" t="s">
        <v>4891</v>
      </c>
      <c r="B1999" s="613" t="s">
        <v>4981</v>
      </c>
      <c r="C1999" s="614" t="s">
        <v>73</v>
      </c>
      <c r="D1999" s="615">
        <v>780.90326086956532</v>
      </c>
      <c r="E1999" s="616" t="s">
        <v>4859</v>
      </c>
      <c r="F1999" s="617">
        <v>44278</v>
      </c>
    </row>
    <row r="2000" spans="1:6" x14ac:dyDescent="0.3">
      <c r="A2000" s="169" t="s">
        <v>4892</v>
      </c>
      <c r="B2000" s="613" t="s">
        <v>4982</v>
      </c>
      <c r="C2000" s="614" t="s">
        <v>73</v>
      </c>
      <c r="D2000" s="615">
        <v>783.68363437328958</v>
      </c>
      <c r="E2000" s="616" t="s">
        <v>4859</v>
      </c>
      <c r="F2000" s="617">
        <v>44278</v>
      </c>
    </row>
    <row r="2001" spans="1:6" x14ac:dyDescent="0.3">
      <c r="A2001" s="169" t="s">
        <v>4893</v>
      </c>
      <c r="B2001" s="613" t="s">
        <v>4983</v>
      </c>
      <c r="C2001" s="614" t="s">
        <v>73</v>
      </c>
      <c r="D2001" s="615">
        <v>780.90326086956532</v>
      </c>
      <c r="E2001" s="616" t="s">
        <v>4859</v>
      </c>
      <c r="F2001" s="617">
        <v>44278</v>
      </c>
    </row>
    <row r="2002" spans="1:6" x14ac:dyDescent="0.3">
      <c r="A2002" s="169" t="s">
        <v>4894</v>
      </c>
      <c r="B2002" s="613" t="s">
        <v>4984</v>
      </c>
      <c r="C2002" s="614" t="s">
        <v>73</v>
      </c>
      <c r="D2002" s="615">
        <v>780.90326086956532</v>
      </c>
      <c r="E2002" s="616" t="s">
        <v>4859</v>
      </c>
      <c r="F2002" s="617">
        <v>44278</v>
      </c>
    </row>
    <row r="2003" spans="1:6" x14ac:dyDescent="0.3">
      <c r="A2003" s="169" t="s">
        <v>4895</v>
      </c>
      <c r="B2003" s="613" t="s">
        <v>4992</v>
      </c>
      <c r="C2003" s="614" t="s">
        <v>73</v>
      </c>
      <c r="D2003" s="615">
        <v>850.00250579465023</v>
      </c>
      <c r="E2003" s="616" t="s">
        <v>4859</v>
      </c>
      <c r="F2003" s="617">
        <v>44278</v>
      </c>
    </row>
    <row r="2004" spans="1:6" x14ac:dyDescent="0.3">
      <c r="A2004" s="169" t="s">
        <v>4896</v>
      </c>
      <c r="B2004" s="613" t="s">
        <v>4985</v>
      </c>
      <c r="C2004" s="614" t="s">
        <v>73</v>
      </c>
      <c r="D2004" s="615">
        <v>780.90326086956532</v>
      </c>
      <c r="E2004" s="616" t="s">
        <v>4859</v>
      </c>
      <c r="F2004" s="617">
        <v>44278</v>
      </c>
    </row>
    <row r="2005" spans="1:6" x14ac:dyDescent="0.3">
      <c r="A2005" s="169" t="s">
        <v>4897</v>
      </c>
      <c r="B2005" s="613" t="s">
        <v>4990</v>
      </c>
      <c r="C2005" s="614" t="s">
        <v>73</v>
      </c>
      <c r="D2005" s="615">
        <v>700</v>
      </c>
      <c r="E2005" s="616" t="s">
        <v>4859</v>
      </c>
      <c r="F2005" s="617">
        <v>44278</v>
      </c>
    </row>
    <row r="2006" spans="1:6" x14ac:dyDescent="0.3">
      <c r="A2006" s="169" t="s">
        <v>4898</v>
      </c>
      <c r="B2006" s="613" t="s">
        <v>4986</v>
      </c>
      <c r="C2006" s="614" t="s">
        <v>73</v>
      </c>
      <c r="D2006" s="615">
        <v>850.00250579465023</v>
      </c>
      <c r="E2006" s="616" t="s">
        <v>4859</v>
      </c>
      <c r="F2006" s="617">
        <v>44278</v>
      </c>
    </row>
    <row r="2007" spans="1:6" x14ac:dyDescent="0.3">
      <c r="A2007" s="169" t="s">
        <v>4899</v>
      </c>
      <c r="B2007" s="613" t="s">
        <v>4989</v>
      </c>
      <c r="C2007" s="614" t="s">
        <v>73</v>
      </c>
      <c r="D2007" s="615">
        <v>1500</v>
      </c>
      <c r="E2007" s="616" t="s">
        <v>4865</v>
      </c>
      <c r="F2007" s="617">
        <v>44259</v>
      </c>
    </row>
    <row r="2008" spans="1:6" x14ac:dyDescent="0.3">
      <c r="A2008" s="169" t="s">
        <v>4900</v>
      </c>
      <c r="B2008" s="613" t="s">
        <v>4977</v>
      </c>
      <c r="C2008" s="614" t="s">
        <v>73</v>
      </c>
      <c r="D2008" s="615">
        <v>1500</v>
      </c>
      <c r="E2008" s="616" t="s">
        <v>4865</v>
      </c>
      <c r="F2008" s="617">
        <v>44259</v>
      </c>
    </row>
    <row r="2009" spans="1:6" x14ac:dyDescent="0.3">
      <c r="A2009" s="169" t="s">
        <v>4901</v>
      </c>
      <c r="B2009" s="613" t="s">
        <v>4988</v>
      </c>
      <c r="C2009" s="614" t="s">
        <v>73</v>
      </c>
      <c r="D2009" s="615">
        <v>1500</v>
      </c>
      <c r="E2009" s="616" t="s">
        <v>4865</v>
      </c>
      <c r="F2009" s="617">
        <v>44259</v>
      </c>
    </row>
    <row r="2010" spans="1:6" x14ac:dyDescent="0.3">
      <c r="A2010" s="169" t="s">
        <v>4902</v>
      </c>
      <c r="B2010" s="613" t="s">
        <v>4991</v>
      </c>
      <c r="C2010" s="614" t="s">
        <v>74</v>
      </c>
      <c r="D2010" s="615">
        <v>150</v>
      </c>
      <c r="E2010" s="616" t="s">
        <v>3610</v>
      </c>
      <c r="F2010" s="617">
        <v>44286</v>
      </c>
    </row>
    <row r="2011" spans="1:6" x14ac:dyDescent="0.3">
      <c r="A2011" s="169" t="s">
        <v>4903</v>
      </c>
      <c r="B2011" s="613" t="s">
        <v>4993</v>
      </c>
      <c r="C2011" s="614" t="s">
        <v>73</v>
      </c>
      <c r="D2011" s="615">
        <v>920</v>
      </c>
      <c r="E2011" s="616" t="s">
        <v>4865</v>
      </c>
      <c r="F2011" s="617">
        <v>44259</v>
      </c>
    </row>
    <row r="2012" spans="1:6" x14ac:dyDescent="0.3">
      <c r="A2012" s="169" t="s">
        <v>4904</v>
      </c>
      <c r="B2012" s="613" t="s">
        <v>4997</v>
      </c>
      <c r="C2012" s="614" t="s">
        <v>73</v>
      </c>
      <c r="D2012" s="615">
        <v>0</v>
      </c>
      <c r="E2012" s="616" t="s">
        <v>3578</v>
      </c>
      <c r="F2012" s="617">
        <v>44308</v>
      </c>
    </row>
    <row r="2013" spans="1:6" x14ac:dyDescent="0.3">
      <c r="A2013" s="169" t="s">
        <v>4905</v>
      </c>
      <c r="B2013" s="613" t="s">
        <v>5035</v>
      </c>
      <c r="C2013" s="614" t="s">
        <v>73</v>
      </c>
      <c r="D2013" s="615">
        <v>110</v>
      </c>
      <c r="E2013" s="165" t="s">
        <v>4123</v>
      </c>
      <c r="F2013" s="617">
        <v>44308</v>
      </c>
    </row>
    <row r="2014" spans="1:6" x14ac:dyDescent="0.3">
      <c r="A2014" s="169" t="s">
        <v>4906</v>
      </c>
      <c r="B2014" s="613" t="s">
        <v>5036</v>
      </c>
      <c r="C2014" s="614" t="s">
        <v>73</v>
      </c>
      <c r="D2014" s="615">
        <v>130</v>
      </c>
      <c r="E2014" s="165" t="s">
        <v>4123</v>
      </c>
      <c r="F2014" s="617">
        <v>44308</v>
      </c>
    </row>
    <row r="2015" spans="1:6" x14ac:dyDescent="0.3">
      <c r="A2015" s="169" t="s">
        <v>4907</v>
      </c>
      <c r="B2015" s="613" t="s">
        <v>4999</v>
      </c>
      <c r="C2015" s="614" t="s">
        <v>73</v>
      </c>
      <c r="D2015" s="615">
        <v>30</v>
      </c>
      <c r="E2015" s="165" t="s">
        <v>4123</v>
      </c>
      <c r="F2015" s="617">
        <v>44308</v>
      </c>
    </row>
    <row r="2016" spans="1:6" x14ac:dyDescent="0.3">
      <c r="A2016" s="169" t="s">
        <v>4908</v>
      </c>
      <c r="B2016" s="156" t="s">
        <v>5002</v>
      </c>
      <c r="C2016" s="614" t="s">
        <v>73</v>
      </c>
      <c r="D2016" s="615">
        <v>85</v>
      </c>
      <c r="E2016" s="165" t="s">
        <v>4123</v>
      </c>
      <c r="F2016" s="617">
        <v>44308</v>
      </c>
    </row>
    <row r="2017" spans="1:6" ht="29.25" customHeight="1" x14ac:dyDescent="0.3">
      <c r="A2017" s="169" t="s">
        <v>4909</v>
      </c>
      <c r="B2017" s="619" t="s">
        <v>5046</v>
      </c>
      <c r="C2017" s="614" t="s">
        <v>1376</v>
      </c>
      <c r="D2017" s="677">
        <v>1208.7</v>
      </c>
      <c r="E2017" s="616" t="s">
        <v>5047</v>
      </c>
      <c r="F2017" s="617">
        <v>44308</v>
      </c>
    </row>
    <row r="2018" spans="1:6" s="675" customFormat="1" ht="40.5" customHeight="1" x14ac:dyDescent="0.3">
      <c r="A2018" s="674" t="s">
        <v>4910</v>
      </c>
      <c r="B2018" s="619" t="s">
        <v>5048</v>
      </c>
      <c r="C2018" s="614" t="s">
        <v>1376</v>
      </c>
      <c r="D2018" s="677">
        <f>((((6016.2-D2019)*1.03)/1.03)*1.02)/1.02</f>
        <v>5407.2</v>
      </c>
      <c r="E2018" s="616" t="s">
        <v>5047</v>
      </c>
      <c r="F2018" s="617">
        <v>44308</v>
      </c>
    </row>
    <row r="2019" spans="1:6" s="675" customFormat="1" ht="12.75" customHeight="1" x14ac:dyDescent="0.3">
      <c r="A2019" s="674" t="s">
        <v>4911</v>
      </c>
      <c r="B2019" s="613" t="s">
        <v>5056</v>
      </c>
      <c r="C2019" s="614" t="s">
        <v>1376</v>
      </c>
      <c r="D2019" s="676">
        <v>609</v>
      </c>
      <c r="E2019" s="616" t="s">
        <v>5047</v>
      </c>
      <c r="F2019" s="617">
        <v>44308</v>
      </c>
    </row>
    <row r="2020" spans="1:6" s="675" customFormat="1" ht="12.75" customHeight="1" x14ac:dyDescent="0.3">
      <c r="A2020" s="674" t="s">
        <v>4912</v>
      </c>
      <c r="B2020" s="613" t="s">
        <v>5057</v>
      </c>
      <c r="C2020" s="614" t="s">
        <v>1376</v>
      </c>
      <c r="D2020" s="676">
        <v>2291</v>
      </c>
      <c r="E2020" s="616" t="s">
        <v>5047</v>
      </c>
      <c r="F2020" s="617">
        <v>44308</v>
      </c>
    </row>
    <row r="2021" spans="1:6" s="675" customFormat="1" ht="29.25" customHeight="1" x14ac:dyDescent="0.3">
      <c r="A2021" s="674" t="s">
        <v>4913</v>
      </c>
      <c r="B2021" s="619" t="s">
        <v>5055</v>
      </c>
      <c r="C2021" s="614" t="s">
        <v>1376</v>
      </c>
      <c r="D2021" s="676">
        <v>3832.5</v>
      </c>
      <c r="E2021" s="616" t="s">
        <v>5047</v>
      </c>
      <c r="F2021" s="617">
        <v>44308</v>
      </c>
    </row>
    <row r="2022" spans="1:6" s="675" customFormat="1" ht="13.5" customHeight="1" x14ac:dyDescent="0.3">
      <c r="A2022" s="674" t="s">
        <v>4914</v>
      </c>
      <c r="B2022" s="613" t="s">
        <v>5053</v>
      </c>
      <c r="C2022" s="614" t="s">
        <v>1376</v>
      </c>
      <c r="D2022" s="676">
        <v>159.5</v>
      </c>
      <c r="E2022" s="616" t="s">
        <v>5047</v>
      </c>
      <c r="F2022" s="617">
        <v>44308</v>
      </c>
    </row>
    <row r="2023" spans="1:6" s="675" customFormat="1" ht="14.25" customHeight="1" x14ac:dyDescent="0.3">
      <c r="A2023" s="674" t="s">
        <v>4915</v>
      </c>
      <c r="B2023" s="613" t="s">
        <v>5054</v>
      </c>
      <c r="C2023" s="614" t="s">
        <v>1376</v>
      </c>
      <c r="D2023" s="676">
        <v>188.5</v>
      </c>
      <c r="E2023" s="616" t="s">
        <v>5047</v>
      </c>
      <c r="F2023" s="617">
        <v>44308</v>
      </c>
    </row>
    <row r="2024" spans="1:6" s="675" customFormat="1" ht="36.75" customHeight="1" x14ac:dyDescent="0.3">
      <c r="A2024" s="674" t="s">
        <v>4916</v>
      </c>
      <c r="B2024" s="619" t="s">
        <v>5049</v>
      </c>
      <c r="C2024" s="614" t="s">
        <v>1376</v>
      </c>
      <c r="D2024" s="676">
        <f>(((((D2013/1.88)*2.44)*1.03)/1.03)*1.02)/1.02</f>
        <v>142.7659574468085</v>
      </c>
      <c r="E2024" s="616" t="s">
        <v>5047</v>
      </c>
      <c r="F2024" s="617">
        <v>44308</v>
      </c>
    </row>
    <row r="2025" spans="1:6" s="675" customFormat="1" ht="15" customHeight="1" x14ac:dyDescent="0.3">
      <c r="A2025" s="674" t="s">
        <v>4917</v>
      </c>
      <c r="B2025" s="613" t="s">
        <v>5052</v>
      </c>
      <c r="C2025" s="614" t="s">
        <v>1376</v>
      </c>
      <c r="D2025" s="676">
        <v>1488.9</v>
      </c>
      <c r="E2025" s="616" t="s">
        <v>5047</v>
      </c>
      <c r="F2025" s="617">
        <v>44308</v>
      </c>
    </row>
    <row r="2026" spans="1:6" s="675" customFormat="1" ht="25.5" customHeight="1" x14ac:dyDescent="0.3">
      <c r="A2026" s="674" t="s">
        <v>4918</v>
      </c>
      <c r="B2026" s="619" t="s">
        <v>5051</v>
      </c>
      <c r="C2026" s="614" t="s">
        <v>1376</v>
      </c>
      <c r="D2026" s="676">
        <f>((((4050-D2027)*1.03)/1.03)*1.02)/1.02</f>
        <v>3629.5</v>
      </c>
      <c r="E2026" s="616" t="s">
        <v>5047</v>
      </c>
      <c r="F2026" s="617">
        <v>44308</v>
      </c>
    </row>
    <row r="2027" spans="1:6" s="675" customFormat="1" ht="14.25" customHeight="1" x14ac:dyDescent="0.3">
      <c r="A2027" s="674" t="s">
        <v>4919</v>
      </c>
      <c r="B2027" s="613" t="s">
        <v>5050</v>
      </c>
      <c r="C2027" s="614" t="s">
        <v>1376</v>
      </c>
      <c r="D2027" s="676">
        <v>420.5</v>
      </c>
      <c r="E2027" s="616" t="s">
        <v>5047</v>
      </c>
      <c r="F2027" s="617">
        <v>44308</v>
      </c>
    </row>
    <row r="2028" spans="1:6" s="675" customFormat="1" ht="25.5" customHeight="1" x14ac:dyDescent="0.3">
      <c r="A2028" s="674" t="s">
        <v>4920</v>
      </c>
      <c r="B2028" s="619" t="s">
        <v>5045</v>
      </c>
      <c r="C2028" s="614" t="s">
        <v>1376</v>
      </c>
      <c r="D2028" s="676">
        <v>613.03</v>
      </c>
      <c r="E2028" s="616" t="s">
        <v>5047</v>
      </c>
      <c r="F2028" s="617">
        <v>44308</v>
      </c>
    </row>
    <row r="2029" spans="1:6" s="675" customFormat="1" ht="15.75" customHeight="1" x14ac:dyDescent="0.3">
      <c r="A2029" s="674" t="s">
        <v>4921</v>
      </c>
      <c r="B2029" s="613" t="s">
        <v>5050</v>
      </c>
      <c r="C2029" s="614" t="s">
        <v>1376</v>
      </c>
      <c r="D2029" s="676">
        <v>420.5</v>
      </c>
      <c r="E2029" s="616" t="s">
        <v>5047</v>
      </c>
      <c r="F2029" s="617">
        <v>44308</v>
      </c>
    </row>
    <row r="2030" spans="1:6" s="675" customFormat="1" ht="15.75" customHeight="1" x14ac:dyDescent="0.3">
      <c r="A2030" s="674" t="s">
        <v>4922</v>
      </c>
      <c r="B2030" s="613" t="s">
        <v>5014</v>
      </c>
      <c r="C2030" s="614" t="s">
        <v>29</v>
      </c>
      <c r="D2030" s="615">
        <v>4742.5</v>
      </c>
      <c r="E2030" s="616" t="s">
        <v>5047</v>
      </c>
      <c r="F2030" s="617">
        <v>44308</v>
      </c>
    </row>
    <row r="2031" spans="1:6" x14ac:dyDescent="0.3">
      <c r="A2031" s="169" t="s">
        <v>4923</v>
      </c>
      <c r="B2031" s="613" t="s">
        <v>6313</v>
      </c>
      <c r="C2031" s="614" t="s">
        <v>5285</v>
      </c>
      <c r="D2031" s="615">
        <v>330</v>
      </c>
      <c r="E2031" s="616" t="s">
        <v>6178</v>
      </c>
      <c r="F2031" s="617">
        <v>44551</v>
      </c>
    </row>
    <row r="2032" spans="1:6" x14ac:dyDescent="0.3">
      <c r="A2032" s="169" t="s">
        <v>4924</v>
      </c>
      <c r="B2032" s="613" t="s">
        <v>5023</v>
      </c>
      <c r="C2032" s="614" t="s">
        <v>1376</v>
      </c>
      <c r="D2032" s="615">
        <v>1176.99</v>
      </c>
      <c r="E2032" s="616" t="s">
        <v>5118</v>
      </c>
      <c r="F2032" s="617">
        <v>44313</v>
      </c>
    </row>
    <row r="2033" spans="1:6" x14ac:dyDescent="0.3">
      <c r="A2033" s="169" t="s">
        <v>4925</v>
      </c>
      <c r="B2033" s="613" t="s">
        <v>5022</v>
      </c>
      <c r="C2033" s="614" t="s">
        <v>1376</v>
      </c>
      <c r="D2033" s="615">
        <v>1176.99</v>
      </c>
      <c r="E2033" s="616" t="s">
        <v>5118</v>
      </c>
      <c r="F2033" s="617">
        <v>44313</v>
      </c>
    </row>
    <row r="2034" spans="1:6" x14ac:dyDescent="0.3">
      <c r="A2034" s="169" t="s">
        <v>4926</v>
      </c>
      <c r="B2034" s="613" t="s">
        <v>5021</v>
      </c>
      <c r="C2034" s="614" t="s">
        <v>1376</v>
      </c>
      <c r="D2034" s="615">
        <v>1176.99</v>
      </c>
      <c r="E2034" s="616" t="s">
        <v>5118</v>
      </c>
      <c r="F2034" s="617">
        <v>44313</v>
      </c>
    </row>
    <row r="2035" spans="1:6" x14ac:dyDescent="0.3">
      <c r="A2035" s="169" t="s">
        <v>4927</v>
      </c>
      <c r="B2035" s="613" t="s">
        <v>5020</v>
      </c>
      <c r="C2035" s="614" t="s">
        <v>1376</v>
      </c>
      <c r="D2035" s="615">
        <f>((((2*1030.75)*1.03)/1.03)*1.02)/1.02</f>
        <v>2061.5</v>
      </c>
      <c r="E2035" s="616" t="s">
        <v>5118</v>
      </c>
      <c r="F2035" s="617">
        <v>44313</v>
      </c>
    </row>
    <row r="2036" spans="1:6" x14ac:dyDescent="0.3">
      <c r="A2036" s="169" t="s">
        <v>4928</v>
      </c>
      <c r="B2036" s="613" t="s">
        <v>5019</v>
      </c>
      <c r="C2036" s="614" t="s">
        <v>1376</v>
      </c>
      <c r="D2036" s="615">
        <f>((((2*1030.75)*1.03)/1.03)*1.02)/1.02</f>
        <v>2061.5</v>
      </c>
      <c r="E2036" s="616" t="s">
        <v>5118</v>
      </c>
      <c r="F2036" s="617">
        <v>44313</v>
      </c>
    </row>
    <row r="2037" spans="1:6" x14ac:dyDescent="0.3">
      <c r="A2037" s="169" t="s">
        <v>4929</v>
      </c>
      <c r="B2037" s="613" t="s">
        <v>5016</v>
      </c>
      <c r="C2037" s="614" t="s">
        <v>1376</v>
      </c>
      <c r="D2037" s="615">
        <f>((((2*1030.75)*1.03)/1.03)*1.02)/1.02</f>
        <v>2061.5</v>
      </c>
      <c r="E2037" s="616" t="s">
        <v>5118</v>
      </c>
      <c r="F2037" s="617">
        <v>44313</v>
      </c>
    </row>
    <row r="2038" spans="1:6" x14ac:dyDescent="0.3">
      <c r="A2038" s="169" t="s">
        <v>4930</v>
      </c>
      <c r="B2038" s="613" t="s">
        <v>5017</v>
      </c>
      <c r="C2038" s="614" t="s">
        <v>1376</v>
      </c>
      <c r="D2038" s="615">
        <f>((((2*1030.75)*1.03)/1.03)*1.02)/1.02</f>
        <v>2061.5</v>
      </c>
      <c r="E2038" s="616" t="s">
        <v>5118</v>
      </c>
      <c r="F2038" s="617">
        <v>44313</v>
      </c>
    </row>
    <row r="2039" spans="1:6" x14ac:dyDescent="0.3">
      <c r="A2039" s="169" t="s">
        <v>4931</v>
      </c>
      <c r="B2039" s="613" t="s">
        <v>5018</v>
      </c>
      <c r="C2039" s="614" t="s">
        <v>1376</v>
      </c>
      <c r="D2039" s="615">
        <v>2829.75</v>
      </c>
      <c r="E2039" s="616" t="s">
        <v>5118</v>
      </c>
      <c r="F2039" s="617">
        <v>44313</v>
      </c>
    </row>
    <row r="2040" spans="1:6" x14ac:dyDescent="0.3">
      <c r="A2040" s="169" t="s">
        <v>4932</v>
      </c>
      <c r="B2040" s="613" t="s">
        <v>5015</v>
      </c>
      <c r="C2040" s="614" t="s">
        <v>1376</v>
      </c>
      <c r="D2040" s="615">
        <v>250</v>
      </c>
      <c r="E2040" s="616" t="s">
        <v>5119</v>
      </c>
      <c r="F2040" s="617">
        <v>44313</v>
      </c>
    </row>
    <row r="2041" spans="1:6" x14ac:dyDescent="0.3">
      <c r="A2041" s="169" t="s">
        <v>4933</v>
      </c>
      <c r="B2041" s="613" t="s">
        <v>5025</v>
      </c>
      <c r="C2041" s="614" t="s">
        <v>1376</v>
      </c>
      <c r="D2041" s="615">
        <v>950</v>
      </c>
      <c r="E2041" s="616"/>
      <c r="F2041" s="617">
        <v>44313</v>
      </c>
    </row>
    <row r="2042" spans="1:6" x14ac:dyDescent="0.3">
      <c r="A2042" s="169" t="s">
        <v>4934</v>
      </c>
      <c r="B2042" s="613" t="s">
        <v>5026</v>
      </c>
      <c r="C2042" s="614" t="s">
        <v>1376</v>
      </c>
      <c r="D2042" s="615">
        <v>1030</v>
      </c>
      <c r="E2042" s="616"/>
      <c r="F2042" s="617">
        <v>44313</v>
      </c>
    </row>
    <row r="2043" spans="1:6" x14ac:dyDescent="0.3">
      <c r="A2043" s="169" t="s">
        <v>4935</v>
      </c>
      <c r="B2043" s="613" t="s">
        <v>5027</v>
      </c>
      <c r="C2043" s="614" t="s">
        <v>1376</v>
      </c>
      <c r="D2043" s="615">
        <v>5775</v>
      </c>
      <c r="E2043" s="616"/>
      <c r="F2043" s="617">
        <v>44313</v>
      </c>
    </row>
    <row r="2044" spans="1:6" x14ac:dyDescent="0.3">
      <c r="A2044" s="169" t="s">
        <v>4936</v>
      </c>
      <c r="B2044" s="613" t="s">
        <v>5044</v>
      </c>
      <c r="C2044" s="614" t="s">
        <v>1376</v>
      </c>
      <c r="D2044" s="615">
        <v>2105.69</v>
      </c>
      <c r="E2044" s="616" t="s">
        <v>5043</v>
      </c>
      <c r="F2044" s="617">
        <v>44313</v>
      </c>
    </row>
    <row r="2045" spans="1:6" x14ac:dyDescent="0.3">
      <c r="A2045" s="169" t="s">
        <v>4937</v>
      </c>
      <c r="B2045" s="613" t="s">
        <v>5028</v>
      </c>
      <c r="C2045" s="614" t="s">
        <v>1376</v>
      </c>
      <c r="D2045" s="615">
        <v>0</v>
      </c>
      <c r="E2045" s="616"/>
      <c r="F2045" s="617">
        <v>44313</v>
      </c>
    </row>
    <row r="2046" spans="1:6" x14ac:dyDescent="0.3">
      <c r="A2046" s="169" t="s">
        <v>4938</v>
      </c>
      <c r="B2046" s="613" t="s">
        <v>5101</v>
      </c>
      <c r="C2046" s="614" t="s">
        <v>73</v>
      </c>
      <c r="D2046" s="615">
        <v>32</v>
      </c>
      <c r="E2046" s="616" t="s">
        <v>5033</v>
      </c>
      <c r="F2046" s="617">
        <v>44313</v>
      </c>
    </row>
    <row r="2047" spans="1:6" x14ac:dyDescent="0.3">
      <c r="A2047" s="169" t="s">
        <v>4939</v>
      </c>
      <c r="B2047" s="613" t="s">
        <v>5030</v>
      </c>
      <c r="C2047" s="614" t="s">
        <v>73</v>
      </c>
      <c r="D2047" s="615">
        <v>40</v>
      </c>
      <c r="E2047" s="616" t="s">
        <v>5033</v>
      </c>
      <c r="F2047" s="617">
        <v>44313</v>
      </c>
    </row>
    <row r="2048" spans="1:6" x14ac:dyDescent="0.3">
      <c r="A2048" s="169" t="s">
        <v>4940</v>
      </c>
      <c r="B2048" s="613" t="s">
        <v>5031</v>
      </c>
      <c r="C2048" s="614" t="s">
        <v>73</v>
      </c>
      <c r="D2048" s="615">
        <v>75.960000000000008</v>
      </c>
      <c r="E2048" s="616" t="s">
        <v>5033</v>
      </c>
      <c r="F2048" s="617">
        <v>44313</v>
      </c>
    </row>
    <row r="2049" spans="1:7" x14ac:dyDescent="0.3">
      <c r="A2049" s="169" t="s">
        <v>4941</v>
      </c>
      <c r="B2049" s="613" t="s">
        <v>3567</v>
      </c>
      <c r="C2049" s="614" t="s">
        <v>73</v>
      </c>
      <c r="D2049" s="615">
        <v>89</v>
      </c>
      <c r="E2049" s="616" t="s">
        <v>5321</v>
      </c>
      <c r="F2049" s="617">
        <v>44551</v>
      </c>
    </row>
    <row r="2050" spans="1:7" x14ac:dyDescent="0.3">
      <c r="A2050" s="169" t="s">
        <v>4942</v>
      </c>
      <c r="B2050" s="613" t="s">
        <v>5032</v>
      </c>
      <c r="C2050" s="614" t="s">
        <v>1376</v>
      </c>
      <c r="D2050" s="615">
        <v>16.5</v>
      </c>
      <c r="E2050" s="616" t="s">
        <v>5033</v>
      </c>
      <c r="F2050" s="617">
        <v>44313</v>
      </c>
    </row>
    <row r="2051" spans="1:7" x14ac:dyDescent="0.3">
      <c r="A2051" s="169" t="s">
        <v>4943</v>
      </c>
      <c r="B2051" s="613" t="s">
        <v>5034</v>
      </c>
      <c r="C2051" s="614" t="s">
        <v>3778</v>
      </c>
      <c r="D2051" s="615">
        <v>20</v>
      </c>
      <c r="E2051" s="616" t="s">
        <v>5043</v>
      </c>
      <c r="F2051" s="617">
        <v>44313</v>
      </c>
    </row>
    <row r="2052" spans="1:7" x14ac:dyDescent="0.3">
      <c r="A2052" s="169" t="s">
        <v>4944</v>
      </c>
      <c r="B2052" s="156"/>
      <c r="C2052" s="163"/>
      <c r="D2052" s="164">
        <v>0</v>
      </c>
      <c r="E2052" s="165"/>
      <c r="F2052" s="159" t="s">
        <v>7041</v>
      </c>
      <c r="G2052" s="166">
        <v>44650</v>
      </c>
    </row>
    <row r="2053" spans="1:7" x14ac:dyDescent="0.3">
      <c r="A2053" s="169" t="s">
        <v>4945</v>
      </c>
      <c r="B2053" s="613" t="s">
        <v>5039</v>
      </c>
      <c r="C2053" s="614" t="s">
        <v>73</v>
      </c>
      <c r="D2053" s="615">
        <v>140</v>
      </c>
      <c r="E2053" s="165" t="s">
        <v>5033</v>
      </c>
      <c r="F2053" s="617">
        <v>44313</v>
      </c>
    </row>
    <row r="2054" spans="1:7" x14ac:dyDescent="0.3">
      <c r="A2054" s="169" t="s">
        <v>4946</v>
      </c>
      <c r="B2054" s="613" t="s">
        <v>5040</v>
      </c>
      <c r="C2054" s="614" t="s">
        <v>73</v>
      </c>
      <c r="D2054" s="615">
        <v>180</v>
      </c>
      <c r="E2054" s="165" t="s">
        <v>5033</v>
      </c>
      <c r="F2054" s="617">
        <v>44313</v>
      </c>
    </row>
    <row r="2055" spans="1:7" x14ac:dyDescent="0.3">
      <c r="A2055" s="169" t="s">
        <v>4947</v>
      </c>
      <c r="B2055" s="613" t="s">
        <v>5037</v>
      </c>
      <c r="C2055" s="614" t="s">
        <v>73</v>
      </c>
      <c r="D2055" s="615">
        <v>110</v>
      </c>
      <c r="E2055" s="165" t="s">
        <v>5033</v>
      </c>
      <c r="F2055" s="617">
        <v>44313</v>
      </c>
    </row>
    <row r="2056" spans="1:7" x14ac:dyDescent="0.3">
      <c r="A2056" s="169" t="s">
        <v>4948</v>
      </c>
      <c r="B2056" s="613" t="s">
        <v>5038</v>
      </c>
      <c r="C2056" s="614" t="s">
        <v>73</v>
      </c>
      <c r="D2056" s="615">
        <v>130</v>
      </c>
      <c r="E2056" s="165" t="s">
        <v>5033</v>
      </c>
      <c r="F2056" s="617">
        <v>44313</v>
      </c>
    </row>
    <row r="2057" spans="1:7" x14ac:dyDescent="0.3">
      <c r="A2057" s="169" t="s">
        <v>4949</v>
      </c>
      <c r="B2057" s="613" t="s">
        <v>5041</v>
      </c>
      <c r="C2057" s="614" t="s">
        <v>73</v>
      </c>
      <c r="D2057" s="615">
        <v>30</v>
      </c>
      <c r="E2057" s="679" t="s">
        <v>5033</v>
      </c>
      <c r="F2057" s="617">
        <v>44313</v>
      </c>
    </row>
    <row r="2058" spans="1:7" x14ac:dyDescent="0.3">
      <c r="A2058" s="169" t="s">
        <v>4950</v>
      </c>
      <c r="B2058" s="613" t="s">
        <v>5001</v>
      </c>
      <c r="C2058" s="614" t="s">
        <v>73</v>
      </c>
      <c r="D2058" s="615">
        <v>65</v>
      </c>
      <c r="E2058" s="679" t="s">
        <v>5033</v>
      </c>
      <c r="F2058" s="617">
        <v>44313</v>
      </c>
    </row>
    <row r="2059" spans="1:7" x14ac:dyDescent="0.3">
      <c r="A2059" s="169" t="s">
        <v>4951</v>
      </c>
      <c r="B2059" s="613" t="s">
        <v>5002</v>
      </c>
      <c r="C2059" s="614" t="s">
        <v>73</v>
      </c>
      <c r="D2059" s="615">
        <v>85</v>
      </c>
      <c r="E2059" s="679" t="s">
        <v>5033</v>
      </c>
      <c r="F2059" s="617">
        <v>44313</v>
      </c>
    </row>
    <row r="2060" spans="1:7" x14ac:dyDescent="0.3">
      <c r="A2060" s="169" t="s">
        <v>4952</v>
      </c>
      <c r="B2060" s="613" t="s">
        <v>5042</v>
      </c>
      <c r="C2060" s="614" t="s">
        <v>73</v>
      </c>
      <c r="D2060" s="615">
        <v>37.5</v>
      </c>
      <c r="E2060" s="679" t="s">
        <v>5033</v>
      </c>
      <c r="F2060" s="617">
        <v>44313</v>
      </c>
    </row>
    <row r="2061" spans="1:7" x14ac:dyDescent="0.3">
      <c r="A2061" s="169" t="s">
        <v>4953</v>
      </c>
      <c r="B2061" s="613" t="s">
        <v>5058</v>
      </c>
      <c r="C2061" s="614" t="s">
        <v>1590</v>
      </c>
      <c r="D2061" s="615">
        <v>1000.2</v>
      </c>
      <c r="E2061" s="616" t="s">
        <v>5043</v>
      </c>
      <c r="F2061" s="617">
        <v>44313</v>
      </c>
    </row>
    <row r="2062" spans="1:7" x14ac:dyDescent="0.3">
      <c r="A2062" s="169" t="s">
        <v>4954</v>
      </c>
      <c r="B2062" s="613" t="s">
        <v>5100</v>
      </c>
      <c r="C2062" s="614" t="s">
        <v>29</v>
      </c>
      <c r="D2062" s="615">
        <v>500</v>
      </c>
      <c r="E2062" s="616" t="s">
        <v>5033</v>
      </c>
      <c r="F2062" s="617">
        <v>44313</v>
      </c>
    </row>
    <row r="2063" spans="1:7" x14ac:dyDescent="0.3">
      <c r="A2063" s="169" t="s">
        <v>4955</v>
      </c>
      <c r="B2063" s="613" t="s">
        <v>5060</v>
      </c>
      <c r="C2063" s="614" t="s">
        <v>2088</v>
      </c>
      <c r="D2063" s="615">
        <v>1.7</v>
      </c>
      <c r="E2063" s="616" t="s">
        <v>5061</v>
      </c>
      <c r="F2063" s="617">
        <v>44313</v>
      </c>
    </row>
    <row r="2064" spans="1:7" x14ac:dyDescent="0.3">
      <c r="A2064" s="169" t="s">
        <v>4956</v>
      </c>
      <c r="B2064" s="613" t="s">
        <v>5062</v>
      </c>
      <c r="C2064" s="614" t="s">
        <v>2088</v>
      </c>
      <c r="D2064" s="615">
        <v>2.8</v>
      </c>
      <c r="E2064" s="616" t="s">
        <v>5061</v>
      </c>
      <c r="F2064" s="617">
        <v>44313</v>
      </c>
    </row>
    <row r="2065" spans="1:6" x14ac:dyDescent="0.3">
      <c r="A2065" s="169" t="s">
        <v>4957</v>
      </c>
      <c r="B2065" s="613" t="s">
        <v>5063</v>
      </c>
      <c r="C2065" s="614" t="s">
        <v>2088</v>
      </c>
      <c r="D2065" s="615">
        <v>2.5</v>
      </c>
      <c r="E2065" s="616" t="s">
        <v>5061</v>
      </c>
      <c r="F2065" s="617">
        <v>44313</v>
      </c>
    </row>
    <row r="2066" spans="1:6" x14ac:dyDescent="0.3">
      <c r="A2066" s="169" t="s">
        <v>4958</v>
      </c>
      <c r="B2066" s="613" t="s">
        <v>5064</v>
      </c>
      <c r="C2066" s="614" t="s">
        <v>2088</v>
      </c>
      <c r="D2066" s="615">
        <v>45</v>
      </c>
      <c r="E2066" s="616" t="s">
        <v>2185</v>
      </c>
      <c r="F2066" s="617">
        <v>44313</v>
      </c>
    </row>
    <row r="2067" spans="1:6" x14ac:dyDescent="0.3">
      <c r="A2067" s="169" t="s">
        <v>4959</v>
      </c>
      <c r="B2067" s="613" t="s">
        <v>5065</v>
      </c>
      <c r="C2067" s="614" t="s">
        <v>2088</v>
      </c>
      <c r="D2067" s="615">
        <v>17.2</v>
      </c>
      <c r="E2067" s="616" t="s">
        <v>2185</v>
      </c>
      <c r="F2067" s="617">
        <v>44313</v>
      </c>
    </row>
    <row r="2068" spans="1:6" x14ac:dyDescent="0.3">
      <c r="A2068" s="169" t="s">
        <v>4960</v>
      </c>
      <c r="B2068" s="613" t="s">
        <v>5066</v>
      </c>
      <c r="C2068" s="614" t="s">
        <v>1389</v>
      </c>
      <c r="D2068" s="615">
        <v>124</v>
      </c>
      <c r="E2068" s="616" t="s">
        <v>5061</v>
      </c>
      <c r="F2068" s="617">
        <v>44313</v>
      </c>
    </row>
    <row r="2069" spans="1:6" x14ac:dyDescent="0.3">
      <c r="A2069" s="169" t="s">
        <v>4961</v>
      </c>
      <c r="B2069" s="613" t="s">
        <v>5059</v>
      </c>
      <c r="C2069" s="614" t="s">
        <v>2088</v>
      </c>
      <c r="D2069" s="615">
        <v>35.5</v>
      </c>
      <c r="E2069" s="616" t="s">
        <v>2185</v>
      </c>
      <c r="F2069" s="617">
        <v>44313</v>
      </c>
    </row>
    <row r="2070" spans="1:6" x14ac:dyDescent="0.3">
      <c r="A2070" s="169" t="s">
        <v>4962</v>
      </c>
      <c r="B2070" s="613" t="s">
        <v>5103</v>
      </c>
      <c r="C2070" s="614" t="s">
        <v>3778</v>
      </c>
      <c r="D2070" s="615">
        <v>515.08000000000004</v>
      </c>
      <c r="E2070" s="616" t="s">
        <v>5110</v>
      </c>
      <c r="F2070" s="617">
        <v>44313</v>
      </c>
    </row>
    <row r="2071" spans="1:6" x14ac:dyDescent="0.3">
      <c r="A2071" s="169" t="s">
        <v>5067</v>
      </c>
      <c r="B2071" s="613" t="s">
        <v>5104</v>
      </c>
      <c r="C2071" s="614" t="s">
        <v>3778</v>
      </c>
      <c r="D2071" s="615">
        <v>79.790000000000006</v>
      </c>
      <c r="E2071" s="616" t="s">
        <v>5110</v>
      </c>
      <c r="F2071" s="617">
        <v>44313</v>
      </c>
    </row>
    <row r="2072" spans="1:6" x14ac:dyDescent="0.3">
      <c r="A2072" s="169" t="s">
        <v>5068</v>
      </c>
      <c r="B2072" s="613" t="s">
        <v>5105</v>
      </c>
      <c r="C2072" s="614" t="s">
        <v>3778</v>
      </c>
      <c r="D2072" s="615">
        <v>551.84</v>
      </c>
      <c r="E2072" s="616" t="s">
        <v>5110</v>
      </c>
      <c r="F2072" s="617">
        <v>44313</v>
      </c>
    </row>
    <row r="2073" spans="1:6" x14ac:dyDescent="0.3">
      <c r="A2073" s="169" t="s">
        <v>5069</v>
      </c>
      <c r="B2073" s="613" t="s">
        <v>5106</v>
      </c>
      <c r="C2073" s="614" t="s">
        <v>3778</v>
      </c>
      <c r="D2073" s="615">
        <v>302.27</v>
      </c>
      <c r="E2073" s="616" t="s">
        <v>5110</v>
      </c>
      <c r="F2073" s="617">
        <v>44313</v>
      </c>
    </row>
    <row r="2074" spans="1:6" x14ac:dyDescent="0.3">
      <c r="A2074" s="169" t="s">
        <v>5070</v>
      </c>
      <c r="B2074" s="613" t="s">
        <v>5107</v>
      </c>
      <c r="C2074" s="614" t="s">
        <v>3778</v>
      </c>
      <c r="D2074" s="615">
        <v>69.38</v>
      </c>
      <c r="E2074" s="616" t="s">
        <v>5110</v>
      </c>
      <c r="F2074" s="617">
        <v>44313</v>
      </c>
    </row>
    <row r="2075" spans="1:6" x14ac:dyDescent="0.3">
      <c r="A2075" s="169" t="s">
        <v>5071</v>
      </c>
      <c r="B2075" s="613" t="s">
        <v>5108</v>
      </c>
      <c r="C2075" s="614" t="s">
        <v>3778</v>
      </c>
      <c r="D2075" s="615">
        <v>280.08999999999997</v>
      </c>
      <c r="E2075" s="616" t="s">
        <v>5110</v>
      </c>
      <c r="F2075" s="617">
        <v>44313</v>
      </c>
    </row>
    <row r="2076" spans="1:6" x14ac:dyDescent="0.3">
      <c r="A2076" s="169" t="s">
        <v>5072</v>
      </c>
      <c r="B2076" s="613" t="s">
        <v>5130</v>
      </c>
      <c r="C2076" s="614" t="s">
        <v>3778</v>
      </c>
      <c r="D2076" s="615">
        <v>499.98999999999995</v>
      </c>
      <c r="E2076" s="616" t="s">
        <v>5129</v>
      </c>
      <c r="F2076" s="617">
        <v>44313</v>
      </c>
    </row>
    <row r="2077" spans="1:6" x14ac:dyDescent="0.3">
      <c r="A2077" s="169" t="s">
        <v>5073</v>
      </c>
      <c r="B2077" s="613" t="s">
        <v>5109</v>
      </c>
      <c r="C2077" s="614" t="s">
        <v>3778</v>
      </c>
      <c r="D2077" s="615">
        <v>380.6</v>
      </c>
      <c r="E2077" s="616" t="s">
        <v>5110</v>
      </c>
      <c r="F2077" s="617">
        <v>44313</v>
      </c>
    </row>
    <row r="2078" spans="1:6" x14ac:dyDescent="0.3">
      <c r="A2078" s="169" t="s">
        <v>5074</v>
      </c>
      <c r="B2078" s="613" t="s">
        <v>5111</v>
      </c>
      <c r="C2078" s="614" t="s">
        <v>3778</v>
      </c>
      <c r="D2078" s="615">
        <v>125.4</v>
      </c>
      <c r="E2078" s="616" t="s">
        <v>5110</v>
      </c>
      <c r="F2078" s="617">
        <v>44313</v>
      </c>
    </row>
    <row r="2079" spans="1:6" x14ac:dyDescent="0.3">
      <c r="A2079" s="169" t="s">
        <v>5075</v>
      </c>
      <c r="B2079" s="613" t="s">
        <v>5115</v>
      </c>
      <c r="C2079" s="614" t="s">
        <v>3778</v>
      </c>
      <c r="D2079" s="615">
        <v>125.4</v>
      </c>
      <c r="E2079" s="616" t="s">
        <v>5110</v>
      </c>
      <c r="F2079" s="617">
        <v>44313</v>
      </c>
    </row>
    <row r="2080" spans="1:6" x14ac:dyDescent="0.3">
      <c r="A2080" s="169" t="s">
        <v>5076</v>
      </c>
      <c r="B2080" s="613" t="s">
        <v>5112</v>
      </c>
      <c r="C2080" s="614" t="s">
        <v>3778</v>
      </c>
      <c r="D2080" s="615">
        <v>54.64</v>
      </c>
      <c r="E2080" s="616" t="s">
        <v>5110</v>
      </c>
      <c r="F2080" s="617">
        <v>44313</v>
      </c>
    </row>
    <row r="2081" spans="1:6" x14ac:dyDescent="0.3">
      <c r="A2081" s="169" t="s">
        <v>5077</v>
      </c>
      <c r="B2081" s="613" t="s">
        <v>5113</v>
      </c>
      <c r="C2081" s="614" t="s">
        <v>3778</v>
      </c>
      <c r="D2081" s="615">
        <v>26.6</v>
      </c>
      <c r="E2081" s="616" t="s">
        <v>5110</v>
      </c>
      <c r="F2081" s="617">
        <v>44313</v>
      </c>
    </row>
    <row r="2082" spans="1:6" x14ac:dyDescent="0.3">
      <c r="A2082" s="169" t="s">
        <v>5078</v>
      </c>
      <c r="B2082" s="613" t="s">
        <v>5114</v>
      </c>
      <c r="C2082" s="614" t="s">
        <v>3778</v>
      </c>
      <c r="D2082" s="615">
        <v>43.94</v>
      </c>
      <c r="E2082" s="616" t="s">
        <v>5110</v>
      </c>
      <c r="F2082" s="617">
        <v>44313</v>
      </c>
    </row>
    <row r="2083" spans="1:6" x14ac:dyDescent="0.3">
      <c r="A2083" s="169" t="s">
        <v>5079</v>
      </c>
      <c r="B2083" s="613" t="s">
        <v>5120</v>
      </c>
      <c r="C2083" s="614" t="s">
        <v>3778</v>
      </c>
      <c r="D2083" s="615">
        <v>117.81</v>
      </c>
      <c r="E2083" s="616" t="s">
        <v>5110</v>
      </c>
      <c r="F2083" s="617">
        <v>44313</v>
      </c>
    </row>
    <row r="2084" spans="1:6" x14ac:dyDescent="0.3">
      <c r="A2084" s="169" t="s">
        <v>5080</v>
      </c>
      <c r="B2084" s="613" t="s">
        <v>5116</v>
      </c>
      <c r="C2084" s="614" t="s">
        <v>3778</v>
      </c>
      <c r="D2084" s="615">
        <v>125.4</v>
      </c>
      <c r="E2084" s="616" t="s">
        <v>5110</v>
      </c>
      <c r="F2084" s="617">
        <v>44313</v>
      </c>
    </row>
    <row r="2085" spans="1:6" x14ac:dyDescent="0.3">
      <c r="A2085" s="169" t="s">
        <v>5081</v>
      </c>
      <c r="B2085" s="613" t="s">
        <v>5117</v>
      </c>
      <c r="C2085" s="614" t="s">
        <v>3778</v>
      </c>
      <c r="D2085" s="615">
        <v>407.18</v>
      </c>
      <c r="E2085" s="616" t="s">
        <v>5110</v>
      </c>
      <c r="F2085" s="617">
        <v>44313</v>
      </c>
    </row>
    <row r="2086" spans="1:6" x14ac:dyDescent="0.3">
      <c r="A2086" s="169" t="s">
        <v>5082</v>
      </c>
      <c r="B2086" s="613" t="s">
        <v>5121</v>
      </c>
      <c r="C2086" s="614" t="s">
        <v>3778</v>
      </c>
      <c r="D2086" s="615">
        <v>659.9</v>
      </c>
      <c r="E2086" s="616" t="s">
        <v>1184</v>
      </c>
      <c r="F2086" s="617">
        <v>44313</v>
      </c>
    </row>
    <row r="2087" spans="1:6" x14ac:dyDescent="0.3">
      <c r="A2087" s="169" t="s">
        <v>5083</v>
      </c>
      <c r="B2087" s="613" t="s">
        <v>5123</v>
      </c>
      <c r="C2087" s="614" t="s">
        <v>29</v>
      </c>
      <c r="D2087" s="615">
        <v>700</v>
      </c>
      <c r="E2087" s="616" t="s">
        <v>5122</v>
      </c>
      <c r="F2087" s="617">
        <v>44314</v>
      </c>
    </row>
    <row r="2088" spans="1:6" x14ac:dyDescent="0.3">
      <c r="A2088" s="169" t="s">
        <v>5084</v>
      </c>
      <c r="B2088" s="613" t="s">
        <v>5125</v>
      </c>
      <c r="C2088" s="614" t="s">
        <v>29</v>
      </c>
      <c r="D2088" s="615">
        <v>1000</v>
      </c>
      <c r="E2088" s="616" t="s">
        <v>3610</v>
      </c>
      <c r="F2088" s="617">
        <v>44314</v>
      </c>
    </row>
    <row r="2089" spans="1:6" x14ac:dyDescent="0.3">
      <c r="A2089" s="169" t="s">
        <v>5085</v>
      </c>
      <c r="B2089" s="613" t="s">
        <v>5709</v>
      </c>
      <c r="C2089" s="614" t="s">
        <v>29</v>
      </c>
      <c r="D2089" s="615">
        <v>11800</v>
      </c>
      <c r="E2089" s="616" t="s">
        <v>3521</v>
      </c>
      <c r="F2089" s="617">
        <v>44316</v>
      </c>
    </row>
    <row r="2090" spans="1:6" x14ac:dyDescent="0.3">
      <c r="A2090" s="169" t="s">
        <v>5086</v>
      </c>
      <c r="B2090" s="613" t="s">
        <v>5127</v>
      </c>
      <c r="C2090" s="614" t="s">
        <v>73</v>
      </c>
      <c r="D2090" s="615">
        <v>35</v>
      </c>
      <c r="E2090" s="616" t="s">
        <v>5033</v>
      </c>
      <c r="F2090" s="617">
        <v>44475</v>
      </c>
    </row>
    <row r="2091" spans="1:6" x14ac:dyDescent="0.3">
      <c r="A2091" s="169" t="s">
        <v>5087</v>
      </c>
      <c r="B2091" s="613" t="s">
        <v>5131</v>
      </c>
      <c r="C2091" s="614" t="s">
        <v>1376</v>
      </c>
      <c r="D2091" s="615">
        <v>750</v>
      </c>
      <c r="E2091" s="616" t="s">
        <v>3359</v>
      </c>
      <c r="F2091" s="617">
        <v>44321</v>
      </c>
    </row>
    <row r="2092" spans="1:6" x14ac:dyDescent="0.3">
      <c r="A2092" s="169" t="s">
        <v>5088</v>
      </c>
      <c r="B2092" s="613" t="s">
        <v>5132</v>
      </c>
      <c r="C2092" s="614" t="s">
        <v>1376</v>
      </c>
      <c r="D2092" s="615">
        <v>524.29999999999995</v>
      </c>
      <c r="E2092" s="616" t="s">
        <v>3359</v>
      </c>
      <c r="F2092" s="617">
        <v>44321</v>
      </c>
    </row>
    <row r="2093" spans="1:6" x14ac:dyDescent="0.3">
      <c r="A2093" s="169" t="s">
        <v>5089</v>
      </c>
      <c r="B2093" s="613" t="s">
        <v>5134</v>
      </c>
      <c r="C2093" s="614" t="s">
        <v>1389</v>
      </c>
      <c r="D2093" s="615">
        <v>167.5</v>
      </c>
      <c r="E2093" s="616" t="s">
        <v>2185</v>
      </c>
      <c r="F2093" s="617">
        <v>44321</v>
      </c>
    </row>
    <row r="2094" spans="1:6" x14ac:dyDescent="0.3">
      <c r="A2094" s="169" t="s">
        <v>5090</v>
      </c>
      <c r="B2094" s="613" t="s">
        <v>5135</v>
      </c>
      <c r="C2094" s="614" t="s">
        <v>1376</v>
      </c>
      <c r="D2094" s="615">
        <f>(((((38+10.95)*2)*1.03)/1.03)*1.02)/1.02</f>
        <v>97.9</v>
      </c>
      <c r="E2094" s="616" t="s">
        <v>2185</v>
      </c>
      <c r="F2094" s="617">
        <v>44321</v>
      </c>
    </row>
    <row r="2095" spans="1:6" x14ac:dyDescent="0.3">
      <c r="A2095" s="169" t="s">
        <v>5091</v>
      </c>
      <c r="B2095" s="613" t="s">
        <v>5136</v>
      </c>
      <c r="C2095" s="614" t="s">
        <v>73</v>
      </c>
      <c r="D2095" s="615">
        <v>18</v>
      </c>
      <c r="E2095" s="616" t="s">
        <v>3578</v>
      </c>
      <c r="F2095" s="617">
        <v>44386</v>
      </c>
    </row>
    <row r="2096" spans="1:6" x14ac:dyDescent="0.3">
      <c r="A2096" s="169" t="s">
        <v>5092</v>
      </c>
      <c r="B2096" s="613" t="s">
        <v>5137</v>
      </c>
      <c r="C2096" s="614" t="s">
        <v>73</v>
      </c>
      <c r="D2096" s="615">
        <v>18</v>
      </c>
      <c r="E2096" s="616" t="s">
        <v>3578</v>
      </c>
      <c r="F2096" s="617">
        <v>44386</v>
      </c>
    </row>
    <row r="2097" spans="1:6" x14ac:dyDescent="0.3">
      <c r="A2097" s="169" t="s">
        <v>5093</v>
      </c>
      <c r="B2097" s="613" t="s">
        <v>5138</v>
      </c>
      <c r="C2097" s="614" t="s">
        <v>73</v>
      </c>
      <c r="D2097" s="615">
        <v>18</v>
      </c>
      <c r="E2097" s="616" t="s">
        <v>3578</v>
      </c>
      <c r="F2097" s="617">
        <v>44386</v>
      </c>
    </row>
    <row r="2098" spans="1:6" x14ac:dyDescent="0.3">
      <c r="A2098" s="169" t="s">
        <v>5094</v>
      </c>
      <c r="B2098" s="613" t="s">
        <v>5142</v>
      </c>
      <c r="C2098" s="614" t="s">
        <v>1376</v>
      </c>
      <c r="D2098" s="615">
        <v>272</v>
      </c>
      <c r="E2098" s="616" t="s">
        <v>5139</v>
      </c>
      <c r="F2098" s="617">
        <v>44203</v>
      </c>
    </row>
    <row r="2099" spans="1:6" x14ac:dyDescent="0.3">
      <c r="A2099" s="169" t="s">
        <v>5095</v>
      </c>
      <c r="B2099" s="613" t="s">
        <v>5140</v>
      </c>
      <c r="C2099" s="614" t="s">
        <v>1376</v>
      </c>
      <c r="D2099" s="615">
        <v>0.7</v>
      </c>
      <c r="E2099" s="616" t="s">
        <v>5139</v>
      </c>
      <c r="F2099" s="617">
        <v>44203</v>
      </c>
    </row>
    <row r="2100" spans="1:6" x14ac:dyDescent="0.3">
      <c r="A2100" s="169" t="s">
        <v>5096</v>
      </c>
      <c r="B2100" s="613" t="s">
        <v>5141</v>
      </c>
      <c r="C2100" s="614" t="s">
        <v>1376</v>
      </c>
      <c r="D2100" s="160">
        <v>1</v>
      </c>
      <c r="E2100" s="616" t="s">
        <v>5139</v>
      </c>
      <c r="F2100" s="617">
        <v>44203</v>
      </c>
    </row>
    <row r="2101" spans="1:6" x14ac:dyDescent="0.3">
      <c r="A2101" s="169" t="s">
        <v>5097</v>
      </c>
      <c r="B2101" s="613" t="s">
        <v>5143</v>
      </c>
      <c r="C2101" s="614" t="s">
        <v>2088</v>
      </c>
      <c r="D2101" s="615">
        <v>23.5</v>
      </c>
      <c r="E2101" s="616" t="s">
        <v>7788</v>
      </c>
      <c r="F2101" s="617"/>
    </row>
    <row r="2102" spans="1:6" x14ac:dyDescent="0.3">
      <c r="A2102" s="169" t="s">
        <v>5098</v>
      </c>
      <c r="B2102" s="613" t="s">
        <v>5144</v>
      </c>
      <c r="C2102" s="614" t="s">
        <v>1376</v>
      </c>
      <c r="D2102" s="615">
        <v>0</v>
      </c>
      <c r="E2102" s="616"/>
      <c r="F2102" s="617"/>
    </row>
    <row r="2103" spans="1:6" x14ac:dyDescent="0.3">
      <c r="A2103" s="169" t="s">
        <v>5099</v>
      </c>
      <c r="B2103" s="613" t="s">
        <v>5145</v>
      </c>
      <c r="C2103" s="614" t="s">
        <v>73</v>
      </c>
      <c r="D2103" s="615">
        <v>150</v>
      </c>
      <c r="E2103" s="616" t="s">
        <v>5164</v>
      </c>
      <c r="F2103" s="617">
        <v>44386</v>
      </c>
    </row>
    <row r="2104" spans="1:6" x14ac:dyDescent="0.3">
      <c r="A2104" s="169" t="s">
        <v>5146</v>
      </c>
      <c r="B2104" s="613" t="s">
        <v>5148</v>
      </c>
      <c r="C2104" s="614" t="s">
        <v>73</v>
      </c>
      <c r="D2104" s="615">
        <v>135</v>
      </c>
      <c r="E2104" s="158" t="s">
        <v>5164</v>
      </c>
      <c r="F2104" s="617">
        <v>44386</v>
      </c>
    </row>
    <row r="2105" spans="1:6" x14ac:dyDescent="0.3">
      <c r="A2105" s="169" t="s">
        <v>5147</v>
      </c>
      <c r="B2105" s="613" t="s">
        <v>5150</v>
      </c>
      <c r="C2105" s="614" t="s">
        <v>73</v>
      </c>
      <c r="D2105" s="615">
        <v>160</v>
      </c>
      <c r="E2105" s="158" t="s">
        <v>5164</v>
      </c>
      <c r="F2105" s="617">
        <v>44386</v>
      </c>
    </row>
    <row r="2106" spans="1:6" x14ac:dyDescent="0.3">
      <c r="A2106" s="169" t="s">
        <v>5149</v>
      </c>
      <c r="B2106" s="613" t="s">
        <v>5334</v>
      </c>
      <c r="C2106" s="614" t="s">
        <v>1376</v>
      </c>
      <c r="D2106" s="615">
        <v>25</v>
      </c>
      <c r="E2106" s="158" t="s">
        <v>5164</v>
      </c>
      <c r="F2106" s="617">
        <v>44386</v>
      </c>
    </row>
    <row r="2107" spans="1:6" x14ac:dyDescent="0.3">
      <c r="A2107" s="169" t="s">
        <v>5157</v>
      </c>
      <c r="B2107" s="613" t="s">
        <v>5151</v>
      </c>
      <c r="C2107" s="614" t="s">
        <v>73</v>
      </c>
      <c r="D2107" s="615">
        <f>((((93.9*1.1)*1.03)/1.03)*1.02)/1.02</f>
        <v>103.29000000000002</v>
      </c>
      <c r="E2107" s="158" t="s">
        <v>5210</v>
      </c>
      <c r="F2107" s="617">
        <v>44386</v>
      </c>
    </row>
    <row r="2108" spans="1:6" x14ac:dyDescent="0.3">
      <c r="A2108" s="169" t="s">
        <v>5158</v>
      </c>
      <c r="B2108" s="613" t="s">
        <v>5152</v>
      </c>
      <c r="C2108" s="614" t="s">
        <v>73</v>
      </c>
      <c r="D2108" s="615">
        <v>159.99</v>
      </c>
      <c r="E2108" s="158" t="s">
        <v>3630</v>
      </c>
      <c r="F2108" s="617">
        <v>44386</v>
      </c>
    </row>
    <row r="2109" spans="1:6" x14ac:dyDescent="0.3">
      <c r="A2109" s="169" t="s">
        <v>5159</v>
      </c>
      <c r="B2109" s="613" t="s">
        <v>5153</v>
      </c>
      <c r="C2109" s="614" t="s">
        <v>73</v>
      </c>
      <c r="D2109" s="615">
        <v>188.9</v>
      </c>
      <c r="E2109" s="158" t="s">
        <v>5210</v>
      </c>
      <c r="F2109" s="617">
        <v>44386</v>
      </c>
    </row>
    <row r="2110" spans="1:6" x14ac:dyDescent="0.3">
      <c r="A2110" s="169" t="s">
        <v>5160</v>
      </c>
      <c r="B2110" s="613" t="s">
        <v>5154</v>
      </c>
      <c r="C2110" s="614" t="s">
        <v>73</v>
      </c>
      <c r="D2110" s="615">
        <v>119</v>
      </c>
      <c r="E2110" s="158" t="s">
        <v>4768</v>
      </c>
      <c r="F2110" s="617">
        <v>44386</v>
      </c>
    </row>
    <row r="2111" spans="1:6" x14ac:dyDescent="0.3">
      <c r="A2111" s="169" t="s">
        <v>5161</v>
      </c>
      <c r="B2111" s="613" t="s">
        <v>5155</v>
      </c>
      <c r="C2111" s="614" t="s">
        <v>73</v>
      </c>
      <c r="D2111" s="615">
        <v>124.99</v>
      </c>
      <c r="E2111" s="158" t="s">
        <v>3630</v>
      </c>
      <c r="F2111" s="617">
        <v>44386</v>
      </c>
    </row>
    <row r="2112" spans="1:6" x14ac:dyDescent="0.3">
      <c r="A2112" s="169" t="s">
        <v>5162</v>
      </c>
      <c r="B2112" s="613" t="s">
        <v>5156</v>
      </c>
      <c r="C2112" s="614" t="s">
        <v>73</v>
      </c>
      <c r="D2112" s="615">
        <v>119</v>
      </c>
      <c r="E2112" s="158" t="s">
        <v>4768</v>
      </c>
      <c r="F2112" s="617">
        <v>44386</v>
      </c>
    </row>
    <row r="2113" spans="1:6" x14ac:dyDescent="0.3">
      <c r="A2113" s="169" t="s">
        <v>5165</v>
      </c>
      <c r="B2113" s="613" t="s">
        <v>5166</v>
      </c>
      <c r="C2113" s="614" t="s">
        <v>1376</v>
      </c>
      <c r="D2113" s="615">
        <v>25</v>
      </c>
      <c r="E2113" s="158" t="s">
        <v>5164</v>
      </c>
      <c r="F2113" s="617">
        <v>44386</v>
      </c>
    </row>
    <row r="2114" spans="1:6" x14ac:dyDescent="0.3">
      <c r="A2114" s="169" t="s">
        <v>5167</v>
      </c>
      <c r="B2114" s="613" t="s">
        <v>5214</v>
      </c>
      <c r="C2114" s="614" t="s">
        <v>29</v>
      </c>
      <c r="D2114" s="615">
        <v>18860</v>
      </c>
      <c r="E2114" s="158" t="s">
        <v>5215</v>
      </c>
      <c r="F2114" s="617">
        <v>44386</v>
      </c>
    </row>
    <row r="2115" spans="1:6" x14ac:dyDescent="0.3">
      <c r="A2115" s="169" t="s">
        <v>5173</v>
      </c>
      <c r="B2115" s="613" t="s">
        <v>5168</v>
      </c>
      <c r="C2115" s="614" t="s">
        <v>1376</v>
      </c>
      <c r="D2115" s="615">
        <v>64.900000000000006</v>
      </c>
      <c r="E2115" s="158" t="s">
        <v>5304</v>
      </c>
      <c r="F2115" s="617">
        <v>44386</v>
      </c>
    </row>
    <row r="2116" spans="1:6" x14ac:dyDescent="0.3">
      <c r="A2116" s="169" t="s">
        <v>5174</v>
      </c>
      <c r="B2116" s="613" t="s">
        <v>5169</v>
      </c>
      <c r="C2116" s="614" t="s">
        <v>1376</v>
      </c>
      <c r="D2116" s="615">
        <v>79.87</v>
      </c>
      <c r="E2116" s="158" t="s">
        <v>5304</v>
      </c>
      <c r="F2116" s="617">
        <v>44386</v>
      </c>
    </row>
    <row r="2117" spans="1:6" x14ac:dyDescent="0.3">
      <c r="A2117" s="169" t="s">
        <v>5175</v>
      </c>
      <c r="B2117" s="613" t="s">
        <v>5170</v>
      </c>
      <c r="C2117" s="614" t="s">
        <v>1376</v>
      </c>
      <c r="D2117" s="615">
        <v>47.9</v>
      </c>
      <c r="E2117" s="158" t="s">
        <v>5304</v>
      </c>
      <c r="F2117" s="617">
        <v>44386</v>
      </c>
    </row>
    <row r="2118" spans="1:6" x14ac:dyDescent="0.3">
      <c r="A2118" s="169" t="s">
        <v>5176</v>
      </c>
      <c r="B2118" s="613" t="s">
        <v>5305</v>
      </c>
      <c r="C2118" s="614" t="s">
        <v>1376</v>
      </c>
      <c r="D2118" s="615">
        <v>87.4</v>
      </c>
      <c r="E2118" s="158" t="s">
        <v>5304</v>
      </c>
      <c r="F2118" s="617">
        <v>44386</v>
      </c>
    </row>
    <row r="2119" spans="1:6" x14ac:dyDescent="0.3">
      <c r="A2119" s="169" t="s">
        <v>5177</v>
      </c>
      <c r="B2119" s="613" t="s">
        <v>5172</v>
      </c>
      <c r="C2119" s="614" t="s">
        <v>1376</v>
      </c>
      <c r="D2119" s="615">
        <v>579.9</v>
      </c>
      <c r="E2119" s="158" t="s">
        <v>5304</v>
      </c>
      <c r="F2119" s="617">
        <v>44386</v>
      </c>
    </row>
    <row r="2120" spans="1:6" x14ac:dyDescent="0.3">
      <c r="A2120" s="169" t="s">
        <v>5178</v>
      </c>
      <c r="B2120" s="613" t="s">
        <v>5171</v>
      </c>
      <c r="C2120" s="614" t="s">
        <v>1376</v>
      </c>
      <c r="D2120" s="615">
        <v>59.9</v>
      </c>
      <c r="E2120" s="158" t="s">
        <v>5304</v>
      </c>
      <c r="F2120" s="617">
        <v>44386</v>
      </c>
    </row>
    <row r="2121" spans="1:6" x14ac:dyDescent="0.3">
      <c r="A2121" s="169" t="s">
        <v>5179</v>
      </c>
      <c r="B2121" s="613" t="s">
        <v>6281</v>
      </c>
      <c r="C2121" s="614" t="s">
        <v>73</v>
      </c>
      <c r="D2121" s="615">
        <f>((((35+68*1.2)*1.03)/1.03)*1.02)/1.02</f>
        <v>116.6</v>
      </c>
      <c r="E2121" s="158" t="s">
        <v>5703</v>
      </c>
      <c r="F2121" s="617">
        <v>44433</v>
      </c>
    </row>
    <row r="2122" spans="1:6" x14ac:dyDescent="0.3">
      <c r="A2122" s="169" t="s">
        <v>5180</v>
      </c>
      <c r="B2122" s="613" t="s">
        <v>6280</v>
      </c>
      <c r="C2122" s="614" t="s">
        <v>73</v>
      </c>
      <c r="D2122" s="615">
        <v>85</v>
      </c>
      <c r="E2122" s="158" t="s">
        <v>5183</v>
      </c>
      <c r="F2122" s="617">
        <v>44386</v>
      </c>
    </row>
    <row r="2123" spans="1:6" x14ac:dyDescent="0.3">
      <c r="A2123" s="169" t="s">
        <v>5181</v>
      </c>
      <c r="B2123" s="613" t="s">
        <v>6279</v>
      </c>
      <c r="C2123" s="614" t="s">
        <v>73</v>
      </c>
      <c r="D2123" s="615">
        <v>90</v>
      </c>
      <c r="E2123" s="158" t="s">
        <v>5183</v>
      </c>
      <c r="F2123" s="617">
        <v>44386</v>
      </c>
    </row>
    <row r="2124" spans="1:6" x14ac:dyDescent="0.3">
      <c r="A2124" s="169" t="s">
        <v>5182</v>
      </c>
      <c r="B2124" s="613" t="s">
        <v>5485</v>
      </c>
      <c r="C2124" s="138" t="s">
        <v>73</v>
      </c>
      <c r="D2124" s="615">
        <v>90</v>
      </c>
      <c r="E2124" s="158" t="s">
        <v>5183</v>
      </c>
      <c r="F2124" s="617">
        <v>44386</v>
      </c>
    </row>
    <row r="2125" spans="1:6" x14ac:dyDescent="0.3">
      <c r="A2125" s="169" t="s">
        <v>5185</v>
      </c>
      <c r="B2125" s="613" t="s">
        <v>5486</v>
      </c>
      <c r="C2125" s="138" t="s">
        <v>73</v>
      </c>
      <c r="D2125" s="615">
        <v>120</v>
      </c>
      <c r="E2125" s="158" t="s">
        <v>5183</v>
      </c>
      <c r="F2125" s="617">
        <v>44386</v>
      </c>
    </row>
    <row r="2126" spans="1:6" x14ac:dyDescent="0.3">
      <c r="A2126" s="169" t="s">
        <v>5186</v>
      </c>
      <c r="B2126" s="613" t="s">
        <v>5187</v>
      </c>
      <c r="C2126" s="138" t="s">
        <v>29</v>
      </c>
      <c r="D2126" s="615">
        <v>11900</v>
      </c>
      <c r="E2126" s="158" t="s">
        <v>5188</v>
      </c>
      <c r="F2126" s="617">
        <v>44393</v>
      </c>
    </row>
    <row r="2127" spans="1:6" x14ac:dyDescent="0.3">
      <c r="A2127" s="169" t="s">
        <v>5189</v>
      </c>
      <c r="B2127" s="613" t="s">
        <v>5202</v>
      </c>
      <c r="C2127" s="138" t="s">
        <v>29</v>
      </c>
      <c r="D2127" s="615">
        <v>2550</v>
      </c>
      <c r="E2127" s="158" t="s">
        <v>5188</v>
      </c>
      <c r="F2127" s="617">
        <v>44393</v>
      </c>
    </row>
    <row r="2128" spans="1:6" x14ac:dyDescent="0.3">
      <c r="A2128" s="169" t="s">
        <v>5190</v>
      </c>
      <c r="B2128" s="613" t="s">
        <v>5205</v>
      </c>
      <c r="C2128" s="138" t="s">
        <v>29</v>
      </c>
      <c r="D2128" s="615">
        <v>7998</v>
      </c>
      <c r="E2128" s="158" t="s">
        <v>5206</v>
      </c>
      <c r="F2128" s="617">
        <v>44386</v>
      </c>
    </row>
    <row r="2129" spans="1:6" x14ac:dyDescent="0.3">
      <c r="A2129" s="169" t="s">
        <v>5191</v>
      </c>
      <c r="B2129" s="613" t="s">
        <v>5207</v>
      </c>
      <c r="C2129" s="138" t="s">
        <v>29</v>
      </c>
      <c r="D2129" s="615">
        <v>2196.6</v>
      </c>
      <c r="E2129" s="158" t="s">
        <v>3047</v>
      </c>
      <c r="F2129" s="617">
        <v>44386</v>
      </c>
    </row>
    <row r="2130" spans="1:6" x14ac:dyDescent="0.3">
      <c r="A2130" s="169" t="s">
        <v>5192</v>
      </c>
      <c r="B2130" s="613" t="s">
        <v>5208</v>
      </c>
      <c r="C2130" s="138" t="s">
        <v>29</v>
      </c>
      <c r="D2130" s="615">
        <f>((((1528+100)*1.03)/1.03)*1.02)/1.02</f>
        <v>1628</v>
      </c>
      <c r="E2130" s="158" t="s">
        <v>3047</v>
      </c>
      <c r="F2130" s="617">
        <v>44386</v>
      </c>
    </row>
    <row r="2131" spans="1:6" x14ac:dyDescent="0.3">
      <c r="A2131" s="169" t="s">
        <v>5193</v>
      </c>
      <c r="B2131" s="613" t="s">
        <v>5208</v>
      </c>
      <c r="C2131" s="138" t="s">
        <v>29</v>
      </c>
      <c r="D2131" s="615">
        <f>((((1528+100)*1.03)/1.03)*1.02)/1.02</f>
        <v>1628</v>
      </c>
      <c r="E2131" s="158" t="s">
        <v>3047</v>
      </c>
      <c r="F2131" s="617">
        <v>44386</v>
      </c>
    </row>
    <row r="2132" spans="1:6" x14ac:dyDescent="0.3">
      <c r="A2132" s="169" t="s">
        <v>5194</v>
      </c>
      <c r="B2132" s="613" t="s">
        <v>5209</v>
      </c>
      <c r="C2132" s="138" t="s">
        <v>29</v>
      </c>
      <c r="D2132" s="615">
        <f>((((429.6+100)*1.03)/1.03)*1.02)/1.02</f>
        <v>529.6</v>
      </c>
      <c r="E2132" s="158" t="s">
        <v>3047</v>
      </c>
      <c r="F2132" s="617">
        <v>44386</v>
      </c>
    </row>
    <row r="2133" spans="1:6" x14ac:dyDescent="0.3">
      <c r="A2133" s="169" t="s">
        <v>5195</v>
      </c>
      <c r="B2133" s="613" t="s">
        <v>5211</v>
      </c>
      <c r="C2133" s="138" t="s">
        <v>2088</v>
      </c>
      <c r="D2133" s="615">
        <v>20.55</v>
      </c>
      <c r="E2133" s="158" t="s">
        <v>5212</v>
      </c>
      <c r="F2133" s="617">
        <v>44378</v>
      </c>
    </row>
    <row r="2134" spans="1:6" x14ac:dyDescent="0.3">
      <c r="A2134" s="169" t="s">
        <v>5196</v>
      </c>
      <c r="B2134" s="613" t="s">
        <v>5213</v>
      </c>
      <c r="C2134" s="138" t="s">
        <v>2088</v>
      </c>
      <c r="D2134" s="615">
        <v>44.44</v>
      </c>
      <c r="E2134" s="158" t="s">
        <v>5212</v>
      </c>
      <c r="F2134" s="617">
        <v>44378</v>
      </c>
    </row>
    <row r="2135" spans="1:6" x14ac:dyDescent="0.3">
      <c r="A2135" s="169" t="s">
        <v>5197</v>
      </c>
      <c r="B2135" s="613" t="s">
        <v>5216</v>
      </c>
      <c r="C2135" s="138" t="s">
        <v>29</v>
      </c>
      <c r="D2135" s="615">
        <v>447.53</v>
      </c>
      <c r="E2135" s="158" t="s">
        <v>3047</v>
      </c>
      <c r="F2135" s="617">
        <v>44386</v>
      </c>
    </row>
    <row r="2136" spans="1:6" x14ac:dyDescent="0.3">
      <c r="A2136" s="169" t="s">
        <v>5198</v>
      </c>
      <c r="B2136" s="613" t="s">
        <v>5217</v>
      </c>
      <c r="C2136" s="138" t="s">
        <v>29</v>
      </c>
      <c r="D2136" s="615">
        <f>((((8*250)*1.03)/1.03)*1.02)/1.02</f>
        <v>2000</v>
      </c>
      <c r="E2136" s="158" t="s">
        <v>3047</v>
      </c>
      <c r="F2136" s="617">
        <v>44393</v>
      </c>
    </row>
    <row r="2137" spans="1:6" x14ac:dyDescent="0.3">
      <c r="A2137" s="169" t="s">
        <v>5199</v>
      </c>
      <c r="B2137" s="613" t="s">
        <v>5229</v>
      </c>
      <c r="C2137" s="163" t="s">
        <v>241</v>
      </c>
      <c r="D2137" s="615">
        <v>9.5</v>
      </c>
      <c r="F2137" s="617"/>
    </row>
    <row r="2138" spans="1:6" x14ac:dyDescent="0.3">
      <c r="A2138" s="169" t="s">
        <v>5200</v>
      </c>
      <c r="B2138" s="156" t="s">
        <v>5230</v>
      </c>
      <c r="C2138" s="163" t="s">
        <v>2051</v>
      </c>
      <c r="D2138" s="164">
        <v>184.5</v>
      </c>
      <c r="E2138" s="165" t="s">
        <v>2185</v>
      </c>
      <c r="F2138" s="166">
        <v>44340</v>
      </c>
    </row>
    <row r="2139" spans="1:6" x14ac:dyDescent="0.3">
      <c r="A2139" s="169" t="s">
        <v>5201</v>
      </c>
      <c r="B2139" s="156" t="s">
        <v>5385</v>
      </c>
      <c r="C2139" s="163" t="s">
        <v>3238</v>
      </c>
      <c r="D2139" s="164">
        <v>75618.509999999995</v>
      </c>
      <c r="E2139" s="165" t="s">
        <v>5231</v>
      </c>
      <c r="F2139" s="617">
        <v>44386</v>
      </c>
    </row>
    <row r="2140" spans="1:6" x14ac:dyDescent="0.3">
      <c r="A2140" s="169" t="s">
        <v>5238</v>
      </c>
      <c r="B2140" s="156" t="s">
        <v>5233</v>
      </c>
      <c r="C2140" s="163" t="s">
        <v>241</v>
      </c>
      <c r="D2140" s="164">
        <v>2000</v>
      </c>
      <c r="E2140" s="165" t="s">
        <v>5237</v>
      </c>
      <c r="F2140" s="617">
        <v>44386</v>
      </c>
    </row>
    <row r="2141" spans="1:6" x14ac:dyDescent="0.3">
      <c r="A2141" s="169" t="s">
        <v>5239</v>
      </c>
      <c r="B2141" s="156" t="s">
        <v>5234</v>
      </c>
      <c r="C2141" s="163" t="s">
        <v>241</v>
      </c>
      <c r="D2141" s="164">
        <v>900</v>
      </c>
      <c r="E2141" s="165" t="s">
        <v>5237</v>
      </c>
      <c r="F2141" s="617">
        <v>44386</v>
      </c>
    </row>
    <row r="2142" spans="1:6" x14ac:dyDescent="0.3">
      <c r="A2142" s="169" t="s">
        <v>5240</v>
      </c>
      <c r="B2142" s="156" t="s">
        <v>5270</v>
      </c>
      <c r="C2142" s="163" t="s">
        <v>74</v>
      </c>
      <c r="D2142" s="164">
        <v>3</v>
      </c>
      <c r="E2142" s="165" t="s">
        <v>5237</v>
      </c>
      <c r="F2142" s="617">
        <v>44386</v>
      </c>
    </row>
    <row r="2143" spans="1:6" x14ac:dyDescent="0.3">
      <c r="A2143" s="169" t="s">
        <v>5241</v>
      </c>
      <c r="B2143" s="156" t="s">
        <v>5271</v>
      </c>
      <c r="C2143" s="163" t="s">
        <v>241</v>
      </c>
      <c r="D2143" s="164">
        <v>300</v>
      </c>
      <c r="E2143" s="165" t="s">
        <v>5237</v>
      </c>
      <c r="F2143" s="617">
        <v>44386</v>
      </c>
    </row>
    <row r="2144" spans="1:6" x14ac:dyDescent="0.3">
      <c r="A2144" s="169" t="s">
        <v>5242</v>
      </c>
      <c r="B2144" s="156" t="s">
        <v>5272</v>
      </c>
      <c r="C2144" s="163" t="s">
        <v>241</v>
      </c>
      <c r="D2144" s="164">
        <v>3</v>
      </c>
      <c r="E2144" s="165" t="s">
        <v>5237</v>
      </c>
      <c r="F2144" s="617">
        <v>44386</v>
      </c>
    </row>
    <row r="2145" spans="1:6" x14ac:dyDescent="0.3">
      <c r="A2145" s="169" t="s">
        <v>5243</v>
      </c>
      <c r="B2145" s="156" t="s">
        <v>5273</v>
      </c>
      <c r="C2145" s="163" t="s">
        <v>241</v>
      </c>
      <c r="D2145" s="164">
        <v>2.5</v>
      </c>
      <c r="E2145" s="165" t="s">
        <v>5237</v>
      </c>
      <c r="F2145" s="617">
        <v>44386</v>
      </c>
    </row>
    <row r="2146" spans="1:6" x14ac:dyDescent="0.3">
      <c r="A2146" s="169" t="s">
        <v>5228</v>
      </c>
      <c r="B2146" s="156" t="s">
        <v>5274</v>
      </c>
      <c r="C2146" s="163" t="s">
        <v>241</v>
      </c>
      <c r="D2146" s="164">
        <v>100</v>
      </c>
      <c r="E2146" s="165" t="s">
        <v>5237</v>
      </c>
      <c r="F2146" s="617">
        <v>44386</v>
      </c>
    </row>
    <row r="2147" spans="1:6" x14ac:dyDescent="0.3">
      <c r="A2147" s="169" t="s">
        <v>5251</v>
      </c>
      <c r="B2147" s="156" t="s">
        <v>5236</v>
      </c>
      <c r="C2147" s="163" t="s">
        <v>29</v>
      </c>
      <c r="D2147" s="164">
        <v>1000</v>
      </c>
      <c r="E2147" s="165" t="s">
        <v>5237</v>
      </c>
      <c r="F2147" s="617">
        <v>44386</v>
      </c>
    </row>
    <row r="2148" spans="1:6" x14ac:dyDescent="0.3">
      <c r="A2148" s="169" t="s">
        <v>5252</v>
      </c>
      <c r="B2148" s="156" t="s">
        <v>5235</v>
      </c>
      <c r="C2148" s="163" t="s">
        <v>74</v>
      </c>
      <c r="D2148" s="164">
        <v>3</v>
      </c>
      <c r="E2148" s="165" t="s">
        <v>5237</v>
      </c>
      <c r="F2148" s="617">
        <v>44386</v>
      </c>
    </row>
    <row r="2149" spans="1:6" x14ac:dyDescent="0.3">
      <c r="A2149" s="169" t="s">
        <v>5253</v>
      </c>
      <c r="B2149" s="156" t="s">
        <v>5244</v>
      </c>
      <c r="C2149" s="163" t="s">
        <v>241</v>
      </c>
      <c r="D2149" s="164">
        <v>20</v>
      </c>
      <c r="E2149" s="165" t="s">
        <v>5237</v>
      </c>
      <c r="F2149" s="617">
        <v>44386</v>
      </c>
    </row>
    <row r="2150" spans="1:6" x14ac:dyDescent="0.3">
      <c r="A2150" s="169" t="s">
        <v>5254</v>
      </c>
      <c r="B2150" s="156" t="s">
        <v>5245</v>
      </c>
      <c r="C2150" s="163" t="s">
        <v>241</v>
      </c>
      <c r="D2150" s="164">
        <v>400</v>
      </c>
      <c r="E2150" s="165" t="s">
        <v>5237</v>
      </c>
      <c r="F2150" s="617">
        <v>44386</v>
      </c>
    </row>
    <row r="2151" spans="1:6" x14ac:dyDescent="0.3">
      <c r="A2151" s="169" t="s">
        <v>5255</v>
      </c>
      <c r="B2151" s="156" t="s">
        <v>5275</v>
      </c>
      <c r="C2151" s="163" t="s">
        <v>241</v>
      </c>
      <c r="D2151" s="164">
        <v>50</v>
      </c>
      <c r="E2151" s="165" t="s">
        <v>5237</v>
      </c>
      <c r="F2151" s="617">
        <v>44386</v>
      </c>
    </row>
    <row r="2152" spans="1:6" x14ac:dyDescent="0.3">
      <c r="A2152" s="169" t="s">
        <v>5256</v>
      </c>
      <c r="B2152" s="156" t="s">
        <v>5246</v>
      </c>
      <c r="C2152" s="163" t="s">
        <v>241</v>
      </c>
      <c r="D2152" s="164">
        <v>500</v>
      </c>
      <c r="E2152" s="165" t="s">
        <v>5237</v>
      </c>
      <c r="F2152" s="617">
        <v>44386</v>
      </c>
    </row>
    <row r="2153" spans="1:6" x14ac:dyDescent="0.3">
      <c r="A2153" s="169" t="s">
        <v>5257</v>
      </c>
      <c r="B2153" s="156" t="s">
        <v>5247</v>
      </c>
      <c r="C2153" s="163" t="s">
        <v>241</v>
      </c>
      <c r="D2153" s="164">
        <v>80</v>
      </c>
      <c r="E2153" s="165" t="s">
        <v>5237</v>
      </c>
      <c r="F2153" s="617">
        <v>44386</v>
      </c>
    </row>
    <row r="2154" spans="1:6" x14ac:dyDescent="0.3">
      <c r="A2154" s="169" t="s">
        <v>5258</v>
      </c>
      <c r="B2154" s="156" t="s">
        <v>5276</v>
      </c>
      <c r="C2154" s="163" t="s">
        <v>241</v>
      </c>
      <c r="D2154" s="164">
        <v>250</v>
      </c>
      <c r="E2154" s="165" t="s">
        <v>5237</v>
      </c>
      <c r="F2154" s="617">
        <v>44386</v>
      </c>
    </row>
    <row r="2155" spans="1:6" x14ac:dyDescent="0.3">
      <c r="A2155" s="169" t="s">
        <v>5259</v>
      </c>
      <c r="B2155" s="156" t="s">
        <v>5277</v>
      </c>
      <c r="C2155" s="163" t="s">
        <v>241</v>
      </c>
      <c r="D2155" s="164">
        <v>100</v>
      </c>
      <c r="E2155" s="165" t="s">
        <v>5237</v>
      </c>
      <c r="F2155" s="617">
        <v>44386</v>
      </c>
    </row>
    <row r="2156" spans="1:6" x14ac:dyDescent="0.3">
      <c r="A2156" s="169" t="s">
        <v>5263</v>
      </c>
      <c r="B2156" s="156" t="s">
        <v>5236</v>
      </c>
      <c r="C2156" s="163" t="s">
        <v>29</v>
      </c>
      <c r="D2156" s="164">
        <v>1700</v>
      </c>
      <c r="E2156" s="165" t="s">
        <v>5237</v>
      </c>
      <c r="F2156" s="617">
        <v>44386</v>
      </c>
    </row>
    <row r="2157" spans="1:6" x14ac:dyDescent="0.3">
      <c r="A2157" s="169" t="s">
        <v>5264</v>
      </c>
      <c r="B2157" s="156" t="s">
        <v>5248</v>
      </c>
      <c r="C2157" s="163" t="s">
        <v>74</v>
      </c>
      <c r="D2157" s="164">
        <v>4.5</v>
      </c>
      <c r="E2157" s="165" t="s">
        <v>5237</v>
      </c>
      <c r="F2157" s="617">
        <v>44386</v>
      </c>
    </row>
    <row r="2158" spans="1:6" x14ac:dyDescent="0.3">
      <c r="A2158" s="169" t="s">
        <v>5265</v>
      </c>
      <c r="B2158" s="156" t="s">
        <v>5249</v>
      </c>
      <c r="C2158" s="163" t="s">
        <v>241</v>
      </c>
      <c r="D2158" s="164">
        <v>4</v>
      </c>
      <c r="E2158" s="165" t="s">
        <v>5237</v>
      </c>
      <c r="F2158" s="617">
        <v>44386</v>
      </c>
    </row>
    <row r="2159" spans="1:6" x14ac:dyDescent="0.3">
      <c r="A2159" s="169" t="s">
        <v>5266</v>
      </c>
      <c r="B2159" s="156" t="s">
        <v>5250</v>
      </c>
      <c r="C2159" s="163" t="s">
        <v>241</v>
      </c>
      <c r="D2159" s="164">
        <v>49</v>
      </c>
      <c r="E2159" s="165" t="s">
        <v>5237</v>
      </c>
      <c r="F2159" s="617">
        <v>44386</v>
      </c>
    </row>
    <row r="2160" spans="1:6" x14ac:dyDescent="0.3">
      <c r="A2160" s="169" t="s">
        <v>5267</v>
      </c>
      <c r="B2160" s="156" t="s">
        <v>5236</v>
      </c>
      <c r="C2160" s="163" t="s">
        <v>29</v>
      </c>
      <c r="D2160" s="164">
        <v>500</v>
      </c>
      <c r="E2160" s="165" t="s">
        <v>5237</v>
      </c>
      <c r="F2160" s="617">
        <v>44386</v>
      </c>
    </row>
    <row r="2161" spans="1:6" x14ac:dyDescent="0.3">
      <c r="A2161" s="169" t="s">
        <v>5268</v>
      </c>
      <c r="B2161" s="156" t="s">
        <v>5260</v>
      </c>
      <c r="C2161" s="163" t="s">
        <v>74</v>
      </c>
      <c r="D2161" s="164">
        <v>1500</v>
      </c>
      <c r="E2161" s="165" t="s">
        <v>5237</v>
      </c>
      <c r="F2161" s="617">
        <v>44386</v>
      </c>
    </row>
    <row r="2162" spans="1:6" x14ac:dyDescent="0.3">
      <c r="A2162" s="169" t="s">
        <v>5269</v>
      </c>
      <c r="B2162" s="156" t="s">
        <v>5261</v>
      </c>
      <c r="C2162" s="163" t="s">
        <v>241</v>
      </c>
      <c r="D2162" s="164">
        <v>150</v>
      </c>
      <c r="E2162" s="165" t="s">
        <v>5237</v>
      </c>
      <c r="F2162" s="617">
        <v>44386</v>
      </c>
    </row>
    <row r="2163" spans="1:6" x14ac:dyDescent="0.3">
      <c r="A2163" s="169" t="s">
        <v>5278</v>
      </c>
      <c r="B2163" s="156" t="s">
        <v>5262</v>
      </c>
      <c r="C2163" s="163" t="s">
        <v>74</v>
      </c>
      <c r="D2163" s="164">
        <v>2</v>
      </c>
      <c r="E2163" s="165" t="s">
        <v>5237</v>
      </c>
      <c r="F2163" s="617">
        <v>44386</v>
      </c>
    </row>
    <row r="2164" spans="1:6" x14ac:dyDescent="0.3">
      <c r="A2164" s="169" t="s">
        <v>5279</v>
      </c>
      <c r="B2164" s="156" t="s">
        <v>5236</v>
      </c>
      <c r="C2164" s="163" t="s">
        <v>29</v>
      </c>
      <c r="D2164" s="164">
        <v>1800</v>
      </c>
      <c r="E2164" s="165" t="s">
        <v>5237</v>
      </c>
      <c r="F2164" s="617">
        <v>44386</v>
      </c>
    </row>
    <row r="2165" spans="1:6" x14ac:dyDescent="0.3">
      <c r="A2165" s="169" t="s">
        <v>5280</v>
      </c>
      <c r="B2165" s="156" t="s">
        <v>5281</v>
      </c>
      <c r="C2165" s="163" t="s">
        <v>5282</v>
      </c>
      <c r="D2165" s="164">
        <v>340</v>
      </c>
      <c r="E2165" s="165" t="s">
        <v>5283</v>
      </c>
      <c r="F2165" s="617">
        <v>44389</v>
      </c>
    </row>
    <row r="2166" spans="1:6" x14ac:dyDescent="0.3">
      <c r="A2166" s="169" t="s">
        <v>5287</v>
      </c>
      <c r="B2166" s="156" t="s">
        <v>5284</v>
      </c>
      <c r="C2166" s="163" t="s">
        <v>5285</v>
      </c>
      <c r="D2166" s="164">
        <v>350</v>
      </c>
      <c r="E2166" s="165" t="s">
        <v>5286</v>
      </c>
      <c r="F2166" s="617">
        <v>44340</v>
      </c>
    </row>
    <row r="2167" spans="1:6" x14ac:dyDescent="0.3">
      <c r="A2167" s="169" t="s">
        <v>5288</v>
      </c>
      <c r="B2167" s="156" t="s">
        <v>5299</v>
      </c>
      <c r="C2167" s="163" t="s">
        <v>29</v>
      </c>
      <c r="D2167" s="164">
        <f>(((((1259.78))*1.03)/1.03)*1.02)/1.02</f>
        <v>1259.78</v>
      </c>
      <c r="E2167" s="165" t="s">
        <v>3086</v>
      </c>
      <c r="F2167" s="617">
        <v>44389</v>
      </c>
    </row>
    <row r="2168" spans="1:6" x14ac:dyDescent="0.3">
      <c r="A2168" s="169" t="s">
        <v>5289</v>
      </c>
      <c r="B2168" s="156" t="s">
        <v>5299</v>
      </c>
      <c r="C2168" s="163" t="s">
        <v>29</v>
      </c>
      <c r="D2168" s="164">
        <f>(((((1259.78))*1.03)/1.03)*1.02)/1.02</f>
        <v>1259.78</v>
      </c>
      <c r="E2168" s="165" t="s">
        <v>3086</v>
      </c>
      <c r="F2168" s="617">
        <v>44389</v>
      </c>
    </row>
    <row r="2169" spans="1:6" x14ac:dyDescent="0.3">
      <c r="A2169" s="169" t="s">
        <v>5290</v>
      </c>
      <c r="B2169" s="156" t="s">
        <v>5300</v>
      </c>
      <c r="C2169" s="163" t="s">
        <v>29</v>
      </c>
      <c r="D2169" s="164">
        <f>(((((1259.78))*1.03)/1.03)*1.02)/1.02</f>
        <v>1259.78</v>
      </c>
      <c r="E2169" s="165" t="s">
        <v>3086</v>
      </c>
      <c r="F2169" s="617">
        <v>44389</v>
      </c>
    </row>
    <row r="2170" spans="1:6" x14ac:dyDescent="0.3">
      <c r="A2170" s="169" t="s">
        <v>5291</v>
      </c>
      <c r="B2170" s="156" t="s">
        <v>5301</v>
      </c>
      <c r="C2170" s="163" t="s">
        <v>29</v>
      </c>
      <c r="D2170" s="164">
        <f>(((((949.4))*1.03)/1.03)*1.02)/1.02</f>
        <v>949.4</v>
      </c>
      <c r="E2170" s="165" t="s">
        <v>3086</v>
      </c>
      <c r="F2170" s="617">
        <v>44389</v>
      </c>
    </row>
    <row r="2171" spans="1:6" x14ac:dyDescent="0.3">
      <c r="A2171" s="169" t="s">
        <v>5292</v>
      </c>
      <c r="B2171" s="156" t="s">
        <v>5301</v>
      </c>
      <c r="C2171" s="163" t="s">
        <v>29</v>
      </c>
      <c r="D2171" s="164">
        <f>(((((949.4))*1.03)/1.03)*1.02)/1.02</f>
        <v>949.4</v>
      </c>
      <c r="E2171" s="165" t="s">
        <v>3086</v>
      </c>
      <c r="F2171" s="617">
        <v>44389</v>
      </c>
    </row>
    <row r="2172" spans="1:6" x14ac:dyDescent="0.3">
      <c r="A2172" s="169" t="s">
        <v>5293</v>
      </c>
      <c r="B2172" s="156" t="s">
        <v>5301</v>
      </c>
      <c r="C2172" s="163" t="s">
        <v>29</v>
      </c>
      <c r="D2172" s="164">
        <f>(((((949.4))*1.03)/1.03)*1.02)/1.02</f>
        <v>949.4</v>
      </c>
      <c r="E2172" s="165" t="s">
        <v>3086</v>
      </c>
      <c r="F2172" s="617">
        <v>44389</v>
      </c>
    </row>
    <row r="2173" spans="1:6" x14ac:dyDescent="0.3">
      <c r="A2173" s="169" t="s">
        <v>5294</v>
      </c>
      <c r="B2173" s="156" t="s">
        <v>5303</v>
      </c>
      <c r="C2173" s="163" t="s">
        <v>3238</v>
      </c>
      <c r="D2173" s="164">
        <v>27525</v>
      </c>
      <c r="E2173" s="165" t="s">
        <v>5302</v>
      </c>
      <c r="F2173" s="617">
        <v>44389</v>
      </c>
    </row>
    <row r="2174" spans="1:6" x14ac:dyDescent="0.3">
      <c r="A2174" s="169" t="s">
        <v>5295</v>
      </c>
      <c r="B2174" s="156" t="s">
        <v>5306</v>
      </c>
      <c r="C2174" s="163" t="s">
        <v>3238</v>
      </c>
      <c r="D2174" s="164">
        <v>129.9</v>
      </c>
      <c r="E2174" s="165" t="s">
        <v>5307</v>
      </c>
      <c r="F2174" s="617">
        <v>44391</v>
      </c>
    </row>
    <row r="2175" spans="1:6" x14ac:dyDescent="0.3">
      <c r="A2175" s="169" t="s">
        <v>5296</v>
      </c>
      <c r="B2175" s="156" t="s">
        <v>5308</v>
      </c>
      <c r="C2175" s="163" t="s">
        <v>3238</v>
      </c>
      <c r="D2175" s="164">
        <v>40.99</v>
      </c>
      <c r="E2175" s="165" t="s">
        <v>5307</v>
      </c>
      <c r="F2175" s="617">
        <v>44391</v>
      </c>
    </row>
    <row r="2176" spans="1:6" x14ac:dyDescent="0.3">
      <c r="A2176" s="169" t="s">
        <v>5297</v>
      </c>
      <c r="B2176" s="156" t="s">
        <v>5309</v>
      </c>
      <c r="C2176" s="163" t="s">
        <v>3238</v>
      </c>
      <c r="D2176" s="164">
        <v>264.89999999999998</v>
      </c>
      <c r="E2176" s="165" t="s">
        <v>5307</v>
      </c>
      <c r="F2176" s="617">
        <v>44391</v>
      </c>
    </row>
    <row r="2177" spans="1:10" x14ac:dyDescent="0.3">
      <c r="A2177" s="169" t="s">
        <v>5298</v>
      </c>
      <c r="B2177" s="156" t="s">
        <v>5315</v>
      </c>
      <c r="C2177" s="163" t="s">
        <v>3238</v>
      </c>
      <c r="D2177" s="164">
        <v>93.47</v>
      </c>
      <c r="E2177" s="165" t="s">
        <v>5314</v>
      </c>
      <c r="F2177" s="617">
        <v>44391</v>
      </c>
    </row>
    <row r="2178" spans="1:10" x14ac:dyDescent="0.3">
      <c r="A2178" s="169" t="s">
        <v>5310</v>
      </c>
      <c r="B2178" s="156" t="s">
        <v>5317</v>
      </c>
      <c r="C2178" s="163" t="s">
        <v>3238</v>
      </c>
      <c r="D2178" s="164">
        <f>((((500*1.15)*1.03)/1.03)*1.02)/1.02</f>
        <v>575</v>
      </c>
      <c r="E2178" s="165" t="s">
        <v>5183</v>
      </c>
      <c r="F2178" s="617">
        <v>44391</v>
      </c>
    </row>
    <row r="2179" spans="1:10" x14ac:dyDescent="0.3">
      <c r="A2179" s="169" t="s">
        <v>5311</v>
      </c>
      <c r="B2179" s="156" t="s">
        <v>5318</v>
      </c>
      <c r="C2179" s="163" t="s">
        <v>3238</v>
      </c>
      <c r="D2179" s="164">
        <v>189</v>
      </c>
      <c r="E2179" s="165" t="s">
        <v>3086</v>
      </c>
      <c r="F2179" s="617">
        <v>44389</v>
      </c>
    </row>
    <row r="2180" spans="1:10" x14ac:dyDescent="0.3">
      <c r="A2180" s="169" t="s">
        <v>5312</v>
      </c>
      <c r="B2180" s="156" t="s">
        <v>5319</v>
      </c>
      <c r="C2180" s="163" t="s">
        <v>3238</v>
      </c>
      <c r="D2180" s="164">
        <v>469</v>
      </c>
      <c r="E2180" s="165" t="s">
        <v>3086</v>
      </c>
      <c r="F2180" s="617">
        <v>44389</v>
      </c>
    </row>
    <row r="2181" spans="1:10" x14ac:dyDescent="0.3">
      <c r="A2181" s="169" t="s">
        <v>5313</v>
      </c>
      <c r="B2181" s="156" t="s">
        <v>5322</v>
      </c>
      <c r="C2181" s="163" t="s">
        <v>73</v>
      </c>
      <c r="D2181" s="164">
        <v>18</v>
      </c>
      <c r="E2181" s="165" t="s">
        <v>3578</v>
      </c>
      <c r="F2181" s="617">
        <v>44389</v>
      </c>
    </row>
    <row r="2182" spans="1:10" x14ac:dyDescent="0.3">
      <c r="A2182" s="169" t="s">
        <v>5328</v>
      </c>
      <c r="B2182" s="156" t="s">
        <v>5323</v>
      </c>
      <c r="C2182" s="163" t="s">
        <v>73</v>
      </c>
      <c r="D2182" s="164">
        <f>((((165+10)*1.03)/1.03)*1.02)/1.02</f>
        <v>175</v>
      </c>
      <c r="E2182" s="165" t="s">
        <v>5164</v>
      </c>
      <c r="F2182" s="617">
        <v>44393</v>
      </c>
    </row>
    <row r="2183" spans="1:10" x14ac:dyDescent="0.3">
      <c r="A2183" s="169" t="s">
        <v>5329</v>
      </c>
      <c r="B2183" s="156" t="s">
        <v>5324</v>
      </c>
      <c r="C2183" s="163" t="s">
        <v>73</v>
      </c>
      <c r="D2183" s="164">
        <f>((((120+10)*1.03)/1.03)*1.02)/1.02</f>
        <v>130</v>
      </c>
      <c r="E2183" s="165" t="s">
        <v>5164</v>
      </c>
      <c r="F2183" s="617">
        <v>44393</v>
      </c>
    </row>
    <row r="2184" spans="1:10" x14ac:dyDescent="0.3">
      <c r="A2184" s="169" t="s">
        <v>5330</v>
      </c>
      <c r="B2184" s="156" t="s">
        <v>5325</v>
      </c>
      <c r="C2184" s="163" t="s">
        <v>73</v>
      </c>
      <c r="D2184" s="164">
        <f>((((140+10)*1.03)/1.03)*1.02)/1.02</f>
        <v>150</v>
      </c>
      <c r="E2184" s="165" t="s">
        <v>5164</v>
      </c>
      <c r="F2184" s="617">
        <v>44393</v>
      </c>
    </row>
    <row r="2185" spans="1:10" x14ac:dyDescent="0.3">
      <c r="A2185" s="169" t="s">
        <v>5331</v>
      </c>
      <c r="B2185" s="156" t="s">
        <v>5326</v>
      </c>
      <c r="C2185" s="163" t="s">
        <v>73</v>
      </c>
      <c r="D2185" s="164">
        <f>((((140+10)*1.03)/1.03)*1.02)/1.02</f>
        <v>150</v>
      </c>
      <c r="E2185" s="165" t="s">
        <v>5164</v>
      </c>
      <c r="F2185" s="617">
        <v>44393</v>
      </c>
    </row>
    <row r="2186" spans="1:10" x14ac:dyDescent="0.3">
      <c r="A2186" s="169" t="s">
        <v>5332</v>
      </c>
      <c r="B2186" s="156" t="s">
        <v>7107</v>
      </c>
      <c r="C2186" s="163" t="s">
        <v>73</v>
      </c>
      <c r="D2186" s="164">
        <f>((((150+10)*1.03)/1.03)*1.02)/1.02</f>
        <v>160</v>
      </c>
      <c r="E2186" s="165" t="s">
        <v>5164</v>
      </c>
      <c r="F2186" s="617">
        <v>44393</v>
      </c>
    </row>
    <row r="2187" spans="1:10" x14ac:dyDescent="0.3">
      <c r="A2187" s="169" t="s">
        <v>5333</v>
      </c>
      <c r="B2187" s="156" t="s">
        <v>5327</v>
      </c>
      <c r="C2187" s="163" t="s">
        <v>73</v>
      </c>
      <c r="D2187" s="164">
        <f>((((100+10)*1.03)/1.03)*1.02)/1.02</f>
        <v>110</v>
      </c>
      <c r="E2187" s="165" t="s">
        <v>5164</v>
      </c>
      <c r="F2187" s="617">
        <v>44393</v>
      </c>
    </row>
    <row r="2188" spans="1:10" x14ac:dyDescent="0.3">
      <c r="A2188" s="169" t="s">
        <v>5335</v>
      </c>
      <c r="B2188" s="156" t="s">
        <v>5347</v>
      </c>
      <c r="C2188" s="163" t="s">
        <v>29</v>
      </c>
      <c r="D2188" s="164">
        <f>((((5916/3)*1.03)/1.03)*1.02)/1.02</f>
        <v>1972</v>
      </c>
      <c r="E2188" s="165" t="s">
        <v>5350</v>
      </c>
      <c r="F2188" s="617">
        <v>44393</v>
      </c>
    </row>
    <row r="2189" spans="1:10" x14ac:dyDescent="0.3">
      <c r="A2189" s="169" t="s">
        <v>5336</v>
      </c>
      <c r="B2189" s="156" t="s">
        <v>5348</v>
      </c>
      <c r="C2189" s="163" t="s">
        <v>29</v>
      </c>
      <c r="D2189" s="164">
        <v>520.21</v>
      </c>
      <c r="E2189" s="165" t="s">
        <v>5350</v>
      </c>
      <c r="F2189" s="617">
        <v>44393</v>
      </c>
    </row>
    <row r="2190" spans="1:10" x14ac:dyDescent="0.3">
      <c r="A2190" s="169" t="s">
        <v>5337</v>
      </c>
      <c r="B2190" s="156" t="s">
        <v>5349</v>
      </c>
      <c r="C2190" s="163" t="s">
        <v>29</v>
      </c>
      <c r="D2190" s="164">
        <f>((((2078.4/3)*1.03)/1.03)*1.02)/1.02</f>
        <v>692.80000000000007</v>
      </c>
      <c r="E2190" s="165" t="s">
        <v>5350</v>
      </c>
      <c r="F2190" s="617">
        <v>44393</v>
      </c>
    </row>
    <row r="2191" spans="1:10" x14ac:dyDescent="0.3">
      <c r="A2191" s="169" t="s">
        <v>5338</v>
      </c>
      <c r="B2191" s="156" t="s">
        <v>5351</v>
      </c>
      <c r="C2191" s="163" t="s">
        <v>29</v>
      </c>
      <c r="D2191" s="164">
        <f>((((949.4*1.05)*1.03)/1.03)*1.02)/1.02</f>
        <v>996.87</v>
      </c>
      <c r="E2191" s="165" t="s">
        <v>3086</v>
      </c>
      <c r="F2191" s="617">
        <v>44393</v>
      </c>
      <c r="H2191">
        <f>0.7*2.1</f>
        <v>1.47</v>
      </c>
      <c r="I2191">
        <v>949.4</v>
      </c>
      <c r="J2191">
        <f>I2191/H2191</f>
        <v>645.85034013605446</v>
      </c>
    </row>
    <row r="2192" spans="1:10" x14ac:dyDescent="0.3">
      <c r="A2192" s="169" t="s">
        <v>5339</v>
      </c>
      <c r="B2192" s="156" t="s">
        <v>5352</v>
      </c>
      <c r="C2192" s="163" t="s">
        <v>29</v>
      </c>
      <c r="D2192" s="164">
        <f>(((((0.8*2.1)*J2191)*1.03)/1.03)*1.02)/1.02</f>
        <v>1085.0285714285717</v>
      </c>
      <c r="E2192" s="165" t="s">
        <v>3086</v>
      </c>
      <c r="F2192" s="617">
        <v>44393</v>
      </c>
    </row>
    <row r="2193" spans="1:6" x14ac:dyDescent="0.3">
      <c r="A2193" s="169" t="s">
        <v>5340</v>
      </c>
      <c r="B2193" s="156" t="s">
        <v>5353</v>
      </c>
      <c r="C2193" s="163" t="s">
        <v>29</v>
      </c>
      <c r="D2193" s="164">
        <f>(((((0.9*2.1)*J2191)*1.03)/1.03)*1.02)/1.02</f>
        <v>1220.6571428571431</v>
      </c>
      <c r="E2193" s="165" t="s">
        <v>3086</v>
      </c>
      <c r="F2193" s="617">
        <v>44393</v>
      </c>
    </row>
    <row r="2194" spans="1:6" x14ac:dyDescent="0.3">
      <c r="A2194" s="169" t="s">
        <v>5341</v>
      </c>
      <c r="B2194" s="156" t="s">
        <v>5354</v>
      </c>
      <c r="C2194" s="163" t="s">
        <v>29</v>
      </c>
      <c r="D2194" s="164">
        <v>41.57</v>
      </c>
      <c r="E2194" s="165" t="s">
        <v>1058</v>
      </c>
      <c r="F2194" s="617">
        <v>44393</v>
      </c>
    </row>
    <row r="2195" spans="1:6" x14ac:dyDescent="0.3">
      <c r="A2195" s="169" t="s">
        <v>5342</v>
      </c>
      <c r="B2195" s="156" t="s">
        <v>5355</v>
      </c>
      <c r="C2195" s="163" t="s">
        <v>29</v>
      </c>
      <c r="D2195" s="164">
        <v>325.52999999999997</v>
      </c>
      <c r="E2195" s="165" t="s">
        <v>1058</v>
      </c>
      <c r="F2195" s="617">
        <v>44393</v>
      </c>
    </row>
    <row r="2196" spans="1:6" x14ac:dyDescent="0.3">
      <c r="A2196" s="169" t="s">
        <v>5343</v>
      </c>
      <c r="B2196" s="156" t="s">
        <v>5356</v>
      </c>
      <c r="C2196" s="163" t="s">
        <v>29</v>
      </c>
      <c r="D2196" s="164">
        <v>479.24</v>
      </c>
      <c r="E2196" s="165" t="s">
        <v>1058</v>
      </c>
      <c r="F2196" s="617">
        <v>44393</v>
      </c>
    </row>
    <row r="2197" spans="1:6" x14ac:dyDescent="0.3">
      <c r="A2197" s="169" t="s">
        <v>5344</v>
      </c>
      <c r="B2197" s="156" t="s">
        <v>5357</v>
      </c>
      <c r="C2197" s="163" t="s">
        <v>29</v>
      </c>
      <c r="D2197" s="164">
        <v>345.23500000000001</v>
      </c>
      <c r="E2197" s="165" t="s">
        <v>1058</v>
      </c>
      <c r="F2197" s="617">
        <v>44393</v>
      </c>
    </row>
    <row r="2198" spans="1:6" x14ac:dyDescent="0.3">
      <c r="A2198" s="169" t="s">
        <v>5345</v>
      </c>
      <c r="B2198" s="156" t="s">
        <v>5358</v>
      </c>
      <c r="C2198" s="163" t="s">
        <v>29</v>
      </c>
      <c r="D2198" s="164">
        <v>383.7</v>
      </c>
      <c r="E2198" s="165" t="s">
        <v>1058</v>
      </c>
      <c r="F2198" s="617">
        <v>44393</v>
      </c>
    </row>
    <row r="2199" spans="1:6" x14ac:dyDescent="0.3">
      <c r="A2199" s="169" t="s">
        <v>5346</v>
      </c>
      <c r="B2199" s="156" t="s">
        <v>5359</v>
      </c>
      <c r="C2199" s="163" t="s">
        <v>29</v>
      </c>
      <c r="D2199" s="164">
        <v>419.8</v>
      </c>
      <c r="E2199" s="165" t="s">
        <v>1058</v>
      </c>
      <c r="F2199" s="617">
        <v>44393</v>
      </c>
    </row>
    <row r="2200" spans="1:6" x14ac:dyDescent="0.3">
      <c r="A2200" s="169" t="s">
        <v>5371</v>
      </c>
      <c r="B2200" s="156" t="s">
        <v>5360</v>
      </c>
      <c r="C2200" s="163" t="s">
        <v>29</v>
      </c>
      <c r="D2200" s="164">
        <v>296.20999999999998</v>
      </c>
      <c r="E2200" s="165" t="s">
        <v>1058</v>
      </c>
      <c r="F2200" s="617">
        <v>44393</v>
      </c>
    </row>
    <row r="2201" spans="1:6" x14ac:dyDescent="0.3">
      <c r="A2201" s="169" t="s">
        <v>5372</v>
      </c>
      <c r="B2201" s="156" t="s">
        <v>5361</v>
      </c>
      <c r="C2201" s="163" t="s">
        <v>29</v>
      </c>
      <c r="D2201" s="164">
        <v>64.959999999999994</v>
      </c>
      <c r="E2201" s="165" t="s">
        <v>1058</v>
      </c>
      <c r="F2201" s="617">
        <v>44393</v>
      </c>
    </row>
    <row r="2202" spans="1:6" x14ac:dyDescent="0.3">
      <c r="A2202" s="169" t="s">
        <v>5373</v>
      </c>
      <c r="B2202" s="156" t="s">
        <v>5362</v>
      </c>
      <c r="C2202" s="163" t="s">
        <v>29</v>
      </c>
      <c r="D2202" s="164">
        <v>70.004999999999995</v>
      </c>
      <c r="E2202" s="165" t="s">
        <v>1058</v>
      </c>
      <c r="F2202" s="617">
        <v>44393</v>
      </c>
    </row>
    <row r="2203" spans="1:6" x14ac:dyDescent="0.3">
      <c r="A2203" s="169" t="s">
        <v>5374</v>
      </c>
      <c r="B2203" s="156" t="s">
        <v>5363</v>
      </c>
      <c r="C2203" s="163" t="s">
        <v>29</v>
      </c>
      <c r="D2203" s="164">
        <v>25.431666666666668</v>
      </c>
      <c r="E2203" s="165" t="s">
        <v>1058</v>
      </c>
      <c r="F2203" s="617">
        <v>44393</v>
      </c>
    </row>
    <row r="2204" spans="1:6" x14ac:dyDescent="0.3">
      <c r="A2204" s="169" t="s">
        <v>5375</v>
      </c>
      <c r="B2204" s="156" t="s">
        <v>5364</v>
      </c>
      <c r="C2204" s="163" t="s">
        <v>29</v>
      </c>
      <c r="D2204" s="164">
        <v>35</v>
      </c>
      <c r="E2204" s="165" t="s">
        <v>1058</v>
      </c>
      <c r="F2204" s="617">
        <v>44393</v>
      </c>
    </row>
    <row r="2205" spans="1:6" x14ac:dyDescent="0.3">
      <c r="A2205" s="169" t="s">
        <v>5376</v>
      </c>
      <c r="B2205" s="156" t="s">
        <v>5365</v>
      </c>
      <c r="C2205" s="163" t="s">
        <v>29</v>
      </c>
      <c r="D2205" s="164">
        <v>153.77000000000001</v>
      </c>
      <c r="E2205" s="165" t="s">
        <v>1058</v>
      </c>
      <c r="F2205" s="617">
        <v>44393</v>
      </c>
    </row>
    <row r="2206" spans="1:6" x14ac:dyDescent="0.3">
      <c r="A2206" s="169" t="s">
        <v>5377</v>
      </c>
      <c r="B2206" s="156" t="s">
        <v>5366</v>
      </c>
      <c r="C2206" s="163" t="s">
        <v>29</v>
      </c>
      <c r="D2206" s="164">
        <v>744.44666666666672</v>
      </c>
      <c r="E2206" s="165" t="s">
        <v>1058</v>
      </c>
      <c r="F2206" s="617">
        <v>44393</v>
      </c>
    </row>
    <row r="2207" spans="1:6" x14ac:dyDescent="0.3">
      <c r="A2207" s="169" t="s">
        <v>5378</v>
      </c>
      <c r="B2207" s="156" t="s">
        <v>5367</v>
      </c>
      <c r="C2207" s="163" t="s">
        <v>29</v>
      </c>
      <c r="D2207" s="164">
        <v>188.48</v>
      </c>
      <c r="E2207" s="165" t="s">
        <v>1058</v>
      </c>
      <c r="F2207" s="617">
        <v>44393</v>
      </c>
    </row>
    <row r="2208" spans="1:6" x14ac:dyDescent="0.3">
      <c r="A2208" s="169" t="s">
        <v>5379</v>
      </c>
      <c r="B2208" s="156" t="s">
        <v>5368</v>
      </c>
      <c r="C2208" s="163" t="s">
        <v>29</v>
      </c>
      <c r="D2208" s="164">
        <v>336.65666666666669</v>
      </c>
      <c r="E2208" s="165" t="s">
        <v>1058</v>
      </c>
      <c r="F2208" s="617">
        <v>44393</v>
      </c>
    </row>
    <row r="2209" spans="1:6" x14ac:dyDescent="0.3">
      <c r="A2209" s="169" t="s">
        <v>5380</v>
      </c>
      <c r="B2209" s="156" t="s">
        <v>5369</v>
      </c>
      <c r="C2209" s="163" t="s">
        <v>29</v>
      </c>
      <c r="D2209" s="164">
        <v>172.4</v>
      </c>
      <c r="E2209" s="165" t="s">
        <v>1058</v>
      </c>
      <c r="F2209" s="617">
        <v>44393</v>
      </c>
    </row>
    <row r="2210" spans="1:6" x14ac:dyDescent="0.3">
      <c r="A2210" s="169" t="s">
        <v>5381</v>
      </c>
      <c r="B2210" s="156" t="s">
        <v>5370</v>
      </c>
      <c r="C2210" s="163" t="s">
        <v>29</v>
      </c>
      <c r="D2210" s="164">
        <v>29.882857142857144</v>
      </c>
      <c r="E2210" s="165" t="s">
        <v>1058</v>
      </c>
      <c r="F2210" s="617">
        <v>44393</v>
      </c>
    </row>
    <row r="2211" spans="1:6" x14ac:dyDescent="0.3">
      <c r="A2211" s="169" t="s">
        <v>5384</v>
      </c>
      <c r="B2211" s="156" t="s">
        <v>5382</v>
      </c>
      <c r="C2211" s="163" t="s">
        <v>29</v>
      </c>
      <c r="D2211" s="164">
        <v>222.99</v>
      </c>
      <c r="E2211" s="165" t="s">
        <v>5383</v>
      </c>
      <c r="F2211" s="617">
        <v>44393</v>
      </c>
    </row>
    <row r="2212" spans="1:6" x14ac:dyDescent="0.3">
      <c r="A2212" s="169" t="s">
        <v>5387</v>
      </c>
      <c r="B2212" s="156" t="s">
        <v>5388</v>
      </c>
      <c r="C2212" s="163" t="s">
        <v>29</v>
      </c>
      <c r="D2212" s="164">
        <v>0</v>
      </c>
      <c r="E2212" s="165"/>
      <c r="F2212" s="617"/>
    </row>
    <row r="2213" spans="1:6" x14ac:dyDescent="0.3">
      <c r="A2213" s="169" t="s">
        <v>5389</v>
      </c>
      <c r="B2213" s="156" t="s">
        <v>5390</v>
      </c>
      <c r="C2213" s="163" t="s">
        <v>72</v>
      </c>
      <c r="D2213" s="164">
        <v>0</v>
      </c>
      <c r="E2213" s="165"/>
      <c r="F2213" s="617"/>
    </row>
    <row r="2214" spans="1:6" x14ac:dyDescent="0.3">
      <c r="A2214" s="169" t="s">
        <v>5392</v>
      </c>
      <c r="B2214" s="156" t="s">
        <v>5404</v>
      </c>
      <c r="C2214" s="163" t="s">
        <v>2088</v>
      </c>
      <c r="D2214" s="164">
        <v>36.26</v>
      </c>
      <c r="E2214" s="165" t="s">
        <v>5383</v>
      </c>
      <c r="F2214" s="617">
        <v>44419</v>
      </c>
    </row>
    <row r="2215" spans="1:6" x14ac:dyDescent="0.3">
      <c r="A2215" s="169" t="s">
        <v>5393</v>
      </c>
      <c r="B2215" s="156" t="s">
        <v>5406</v>
      </c>
      <c r="C2215" s="163" t="s">
        <v>74</v>
      </c>
      <c r="D2215" s="164">
        <v>35</v>
      </c>
      <c r="E2215" s="165" t="s">
        <v>3578</v>
      </c>
      <c r="F2215" s="617">
        <v>44413</v>
      </c>
    </row>
    <row r="2216" spans="1:6" x14ac:dyDescent="0.3">
      <c r="A2216" s="169" t="s">
        <v>5394</v>
      </c>
      <c r="B2216" s="156" t="s">
        <v>5407</v>
      </c>
      <c r="C2216" s="163" t="s">
        <v>74</v>
      </c>
      <c r="D2216" s="164">
        <v>0</v>
      </c>
      <c r="E2216" s="165"/>
      <c r="F2216" s="617"/>
    </row>
    <row r="2217" spans="1:6" x14ac:dyDescent="0.3">
      <c r="A2217" s="169" t="s">
        <v>5395</v>
      </c>
      <c r="B2217" s="156" t="s">
        <v>5408</v>
      </c>
      <c r="C2217" s="163" t="s">
        <v>74</v>
      </c>
      <c r="D2217" s="164">
        <v>10</v>
      </c>
      <c r="E2217" s="165" t="s">
        <v>5410</v>
      </c>
      <c r="F2217" s="617">
        <v>44413</v>
      </c>
    </row>
    <row r="2218" spans="1:6" x14ac:dyDescent="0.3">
      <c r="A2218" s="169" t="s">
        <v>5396</v>
      </c>
      <c r="B2218" s="156" t="s">
        <v>5409</v>
      </c>
      <c r="C2218" s="163" t="s">
        <v>74</v>
      </c>
      <c r="D2218" s="164">
        <v>10</v>
      </c>
      <c r="E2218" s="165" t="s">
        <v>5410</v>
      </c>
      <c r="F2218" s="617">
        <v>44413</v>
      </c>
    </row>
    <row r="2219" spans="1:6" x14ac:dyDescent="0.3">
      <c r="A2219" s="169" t="s">
        <v>5397</v>
      </c>
      <c r="B2219" s="156" t="s">
        <v>6195</v>
      </c>
      <c r="C2219" s="163" t="s">
        <v>74</v>
      </c>
      <c r="D2219" s="164">
        <f>((((40*1.15)*1.03)/1.03)*1.02)/1.02</f>
        <v>46</v>
      </c>
      <c r="E2219" s="165" t="s">
        <v>5410</v>
      </c>
      <c r="F2219" s="617">
        <v>44413</v>
      </c>
    </row>
    <row r="2220" spans="1:6" x14ac:dyDescent="0.3">
      <c r="A2220" s="169" t="s">
        <v>5398</v>
      </c>
      <c r="B2220" s="156" t="s">
        <v>6317</v>
      </c>
      <c r="C2220" s="163" t="s">
        <v>74</v>
      </c>
      <c r="D2220" s="164">
        <f>((((40*1.15)*1.03)/1.03)*1.02)/1.02</f>
        <v>46</v>
      </c>
      <c r="E2220" s="165" t="s">
        <v>5410</v>
      </c>
      <c r="F2220" s="617">
        <v>44551</v>
      </c>
    </row>
    <row r="2221" spans="1:6" x14ac:dyDescent="0.3">
      <c r="A2221" s="169" t="s">
        <v>5399</v>
      </c>
      <c r="B2221" s="156" t="s">
        <v>6196</v>
      </c>
      <c r="C2221" s="614" t="s">
        <v>1376</v>
      </c>
      <c r="D2221" s="164">
        <f>((((20*1.15)*1.03)/1.03)*1.02)/1.02</f>
        <v>23</v>
      </c>
      <c r="E2221" s="165" t="s">
        <v>5410</v>
      </c>
      <c r="F2221" s="617">
        <v>44551</v>
      </c>
    </row>
    <row r="2222" spans="1:6" x14ac:dyDescent="0.3">
      <c r="A2222" s="169" t="s">
        <v>5400</v>
      </c>
      <c r="B2222" s="156" t="s">
        <v>5412</v>
      </c>
      <c r="C2222" s="163" t="s">
        <v>73</v>
      </c>
      <c r="D2222" s="164">
        <v>90</v>
      </c>
      <c r="E2222" s="165" t="s">
        <v>5410</v>
      </c>
      <c r="F2222" s="617">
        <v>44413</v>
      </c>
    </row>
    <row r="2223" spans="1:6" x14ac:dyDescent="0.3">
      <c r="A2223" s="169" t="s">
        <v>5401</v>
      </c>
      <c r="B2223" s="156" t="s">
        <v>5712</v>
      </c>
      <c r="C2223" s="163" t="s">
        <v>73</v>
      </c>
      <c r="D2223" s="164">
        <f>((((2000/16)*1.03)/1.03)*1.02)/1.02</f>
        <v>125</v>
      </c>
      <c r="E2223" s="165" t="s">
        <v>5685</v>
      </c>
      <c r="F2223" s="617">
        <v>44420</v>
      </c>
    </row>
    <row r="2224" spans="1:6" x14ac:dyDescent="0.3">
      <c r="A2224" s="169" t="s">
        <v>5402</v>
      </c>
      <c r="B2224" s="156" t="s">
        <v>5713</v>
      </c>
      <c r="C2224" s="163" t="s">
        <v>73</v>
      </c>
      <c r="D2224" s="164">
        <v>600</v>
      </c>
      <c r="E2224" s="165" t="s">
        <v>3578</v>
      </c>
      <c r="F2224" s="617"/>
    </row>
    <row r="2225" spans="1:6" x14ac:dyDescent="0.3">
      <c r="A2225" s="169" t="s">
        <v>5413</v>
      </c>
      <c r="B2225" s="156" t="s">
        <v>5421</v>
      </c>
      <c r="C2225" s="163" t="s">
        <v>74</v>
      </c>
      <c r="D2225" s="164">
        <v>50</v>
      </c>
      <c r="E2225" s="165" t="s">
        <v>5410</v>
      </c>
      <c r="F2225" s="617">
        <v>44413</v>
      </c>
    </row>
    <row r="2226" spans="1:6" x14ac:dyDescent="0.3">
      <c r="A2226" s="169" t="s">
        <v>5414</v>
      </c>
      <c r="B2226" s="156" t="s">
        <v>5422</v>
      </c>
      <c r="C2226" s="163" t="s">
        <v>73</v>
      </c>
      <c r="D2226" s="164">
        <f>((((36*2)*1.03)/1.03)*1.02)/1.02</f>
        <v>72</v>
      </c>
      <c r="E2226" s="165" t="s">
        <v>3578</v>
      </c>
      <c r="F2226" s="617">
        <v>44413</v>
      </c>
    </row>
    <row r="2227" spans="1:6" x14ac:dyDescent="0.3">
      <c r="A2227" s="169" t="s">
        <v>5415</v>
      </c>
      <c r="B2227" s="156" t="s">
        <v>5425</v>
      </c>
      <c r="C2227" s="163" t="s">
        <v>74</v>
      </c>
      <c r="D2227" s="164">
        <f>((((9.88372093023256*2)*1.03)/1.03)*1.02)/1.02</f>
        <v>19.767441860465119</v>
      </c>
      <c r="E2227" s="165" t="s">
        <v>3578</v>
      </c>
      <c r="F2227" s="617">
        <v>44413</v>
      </c>
    </row>
    <row r="2228" spans="1:6" x14ac:dyDescent="0.3">
      <c r="A2228" s="169" t="s">
        <v>5416</v>
      </c>
      <c r="B2228" s="156" t="s">
        <v>6173</v>
      </c>
      <c r="C2228" s="163" t="s">
        <v>73</v>
      </c>
      <c r="D2228" s="164">
        <v>38</v>
      </c>
      <c r="E2228" s="165" t="s">
        <v>3578</v>
      </c>
      <c r="F2228" s="617"/>
    </row>
    <row r="2229" spans="1:6" x14ac:dyDescent="0.3">
      <c r="A2229" s="169" t="s">
        <v>5417</v>
      </c>
      <c r="B2229" s="156" t="s">
        <v>5437</v>
      </c>
      <c r="C2229" s="163" t="s">
        <v>73</v>
      </c>
      <c r="D2229" s="164">
        <v>97.5</v>
      </c>
      <c r="E2229" s="165" t="s">
        <v>5428</v>
      </c>
      <c r="F2229" s="617">
        <v>44414</v>
      </c>
    </row>
    <row r="2230" spans="1:6" x14ac:dyDescent="0.3">
      <c r="A2230" s="169" t="s">
        <v>5418</v>
      </c>
      <c r="B2230" s="156" t="s">
        <v>5438</v>
      </c>
      <c r="C2230" s="163" t="s">
        <v>73</v>
      </c>
      <c r="D2230" s="164">
        <v>103.5</v>
      </c>
      <c r="E2230" s="165" t="s">
        <v>5428</v>
      </c>
      <c r="F2230" s="617">
        <v>44414</v>
      </c>
    </row>
    <row r="2231" spans="1:6" x14ac:dyDescent="0.3">
      <c r="A2231" s="169" t="s">
        <v>5419</v>
      </c>
      <c r="B2231" s="156" t="s">
        <v>5439</v>
      </c>
      <c r="C2231" s="163" t="s">
        <v>73</v>
      </c>
      <c r="D2231" s="164">
        <v>109.5</v>
      </c>
      <c r="E2231" s="165" t="s">
        <v>5428</v>
      </c>
      <c r="F2231" s="617">
        <v>44414</v>
      </c>
    </row>
    <row r="2232" spans="1:6" x14ac:dyDescent="0.3">
      <c r="A2232" s="169" t="s">
        <v>5420</v>
      </c>
      <c r="B2232" s="156" t="s">
        <v>5427</v>
      </c>
      <c r="C2232" s="163" t="s">
        <v>29</v>
      </c>
      <c r="D2232" s="160">
        <v>1</v>
      </c>
      <c r="E2232" s="165" t="s">
        <v>5428</v>
      </c>
      <c r="F2232" s="617">
        <v>44414</v>
      </c>
    </row>
    <row r="2233" spans="1:6" x14ac:dyDescent="0.3">
      <c r="A2233" s="169" t="s">
        <v>5429</v>
      </c>
      <c r="B2233" s="156" t="s">
        <v>5434</v>
      </c>
      <c r="C2233" s="163" t="s">
        <v>74</v>
      </c>
      <c r="D2233" s="164">
        <v>12</v>
      </c>
      <c r="E2233" s="165" t="s">
        <v>3578</v>
      </c>
      <c r="F2233" s="617">
        <v>44414</v>
      </c>
    </row>
    <row r="2234" spans="1:6" x14ac:dyDescent="0.3">
      <c r="A2234" s="169" t="s">
        <v>5430</v>
      </c>
      <c r="B2234" s="156" t="s">
        <v>5435</v>
      </c>
      <c r="C2234" s="163" t="s">
        <v>73</v>
      </c>
      <c r="D2234" s="164">
        <v>10</v>
      </c>
      <c r="E2234" s="165" t="s">
        <v>3578</v>
      </c>
      <c r="F2234" s="617">
        <v>44414</v>
      </c>
    </row>
    <row r="2235" spans="1:6" x14ac:dyDescent="0.3">
      <c r="A2235" s="169" t="s">
        <v>5431</v>
      </c>
      <c r="B2235" s="156" t="s">
        <v>5436</v>
      </c>
      <c r="C2235" s="163" t="s">
        <v>73</v>
      </c>
      <c r="D2235" s="164">
        <v>185</v>
      </c>
      <c r="E2235" s="165" t="s">
        <v>3578</v>
      </c>
      <c r="F2235" s="617">
        <v>44414</v>
      </c>
    </row>
    <row r="2236" spans="1:6" x14ac:dyDescent="0.3">
      <c r="A2236" s="169" t="s">
        <v>5432</v>
      </c>
      <c r="B2236" s="156" t="s">
        <v>5442</v>
      </c>
      <c r="C2236" s="163" t="s">
        <v>72</v>
      </c>
      <c r="D2236" s="837">
        <v>365</v>
      </c>
      <c r="E2236" s="165"/>
      <c r="F2236" s="617"/>
    </row>
    <row r="2237" spans="1:6" x14ac:dyDescent="0.3">
      <c r="A2237" s="169" t="s">
        <v>5433</v>
      </c>
      <c r="B2237" s="156" t="s">
        <v>7267</v>
      </c>
      <c r="C2237" s="163" t="s">
        <v>89</v>
      </c>
      <c r="D2237" s="837">
        <v>6.03667</v>
      </c>
      <c r="E2237" s="165" t="s">
        <v>7027</v>
      </c>
      <c r="F2237" s="166">
        <v>45597</v>
      </c>
    </row>
    <row r="2238" spans="1:6" x14ac:dyDescent="0.3">
      <c r="A2238" s="169" t="s">
        <v>5444</v>
      </c>
      <c r="B2238" s="156" t="s">
        <v>5450</v>
      </c>
      <c r="C2238" s="163" t="s">
        <v>73</v>
      </c>
      <c r="D2238" s="164">
        <v>78</v>
      </c>
      <c r="E2238" s="165" t="s">
        <v>5321</v>
      </c>
      <c r="F2238" s="617">
        <v>44551</v>
      </c>
    </row>
    <row r="2239" spans="1:6" x14ac:dyDescent="0.3">
      <c r="A2239" s="169" t="s">
        <v>5445</v>
      </c>
      <c r="B2239" s="156" t="s">
        <v>5451</v>
      </c>
      <c r="C2239" s="163" t="s">
        <v>37</v>
      </c>
      <c r="D2239" s="164">
        <v>750</v>
      </c>
      <c r="E2239" s="165"/>
      <c r="F2239" s="617">
        <v>44420</v>
      </c>
    </row>
    <row r="2240" spans="1:6" x14ac:dyDescent="0.3">
      <c r="A2240" s="169" t="s">
        <v>5446</v>
      </c>
      <c r="B2240" s="156" t="s">
        <v>5452</v>
      </c>
      <c r="C2240" s="163" t="s">
        <v>37</v>
      </c>
      <c r="D2240" s="164">
        <v>345</v>
      </c>
      <c r="E2240" s="165" t="s">
        <v>5453</v>
      </c>
      <c r="F2240" s="617">
        <v>44421</v>
      </c>
    </row>
    <row r="2241" spans="1:7" ht="24.6" x14ac:dyDescent="0.3">
      <c r="A2241" s="169" t="s">
        <v>5447</v>
      </c>
      <c r="B2241" s="190" t="s">
        <v>5454</v>
      </c>
      <c r="C2241" s="163" t="s">
        <v>37</v>
      </c>
      <c r="D2241" s="164">
        <v>3145.34</v>
      </c>
      <c r="E2241" s="165" t="s">
        <v>5453</v>
      </c>
      <c r="F2241" s="617">
        <v>44421</v>
      </c>
    </row>
    <row r="2242" spans="1:7" ht="24.6" x14ac:dyDescent="0.3">
      <c r="A2242" s="169" t="s">
        <v>5448</v>
      </c>
      <c r="B2242" s="190" t="s">
        <v>5455</v>
      </c>
      <c r="C2242" s="163" t="s">
        <v>37</v>
      </c>
      <c r="D2242" s="164">
        <v>2973.7</v>
      </c>
      <c r="E2242" s="165" t="s">
        <v>5453</v>
      </c>
      <c r="F2242" s="617">
        <v>44421</v>
      </c>
    </row>
    <row r="2243" spans="1:7" x14ac:dyDescent="0.3">
      <c r="A2243" s="169" t="s">
        <v>5449</v>
      </c>
      <c r="B2243" s="156" t="s">
        <v>5456</v>
      </c>
      <c r="C2243" s="163" t="s">
        <v>29</v>
      </c>
      <c r="D2243" s="164">
        <v>654</v>
      </c>
      <c r="E2243" s="165" t="s">
        <v>5453</v>
      </c>
      <c r="F2243" s="617">
        <v>44421</v>
      </c>
    </row>
    <row r="2244" spans="1:7" x14ac:dyDescent="0.3">
      <c r="A2244" s="169" t="s">
        <v>5457</v>
      </c>
      <c r="B2244" s="156" t="s">
        <v>5467</v>
      </c>
      <c r="C2244" s="163" t="s">
        <v>29</v>
      </c>
      <c r="D2244" s="164">
        <v>1500</v>
      </c>
      <c r="E2244" s="165" t="s">
        <v>5460</v>
      </c>
      <c r="F2244" s="617">
        <v>44421</v>
      </c>
    </row>
    <row r="2245" spans="1:7" x14ac:dyDescent="0.3">
      <c r="A2245" s="169" t="s">
        <v>5458</v>
      </c>
      <c r="B2245" s="156" t="s">
        <v>5466</v>
      </c>
      <c r="C2245" s="163" t="s">
        <v>29</v>
      </c>
      <c r="D2245" s="164">
        <v>6435</v>
      </c>
      <c r="E2245" s="165" t="s">
        <v>5460</v>
      </c>
      <c r="F2245" s="617">
        <v>44421</v>
      </c>
    </row>
    <row r="2246" spans="1:7" x14ac:dyDescent="0.3">
      <c r="A2246" s="169" t="s">
        <v>5459</v>
      </c>
      <c r="B2246" s="156" t="s">
        <v>5468</v>
      </c>
      <c r="C2246" s="163" t="s">
        <v>29</v>
      </c>
      <c r="D2246" s="164">
        <v>5280</v>
      </c>
      <c r="E2246" s="165" t="s">
        <v>5460</v>
      </c>
      <c r="F2246" s="617">
        <v>44421</v>
      </c>
    </row>
    <row r="2247" spans="1:7" x14ac:dyDescent="0.3">
      <c r="A2247" s="169" t="s">
        <v>5461</v>
      </c>
      <c r="B2247" s="156" t="s">
        <v>5469</v>
      </c>
      <c r="C2247" s="163" t="s">
        <v>29</v>
      </c>
      <c r="D2247" s="164">
        <v>1000</v>
      </c>
      <c r="E2247" s="165" t="s">
        <v>5460</v>
      </c>
      <c r="F2247" s="617">
        <v>44421</v>
      </c>
    </row>
    <row r="2248" spans="1:7" x14ac:dyDescent="0.3">
      <c r="A2248" s="169" t="s">
        <v>5462</v>
      </c>
      <c r="B2248" s="156" t="s">
        <v>5470</v>
      </c>
      <c r="C2248" s="163" t="s">
        <v>29</v>
      </c>
      <c r="D2248" s="164">
        <v>3465</v>
      </c>
      <c r="E2248" s="165" t="s">
        <v>5460</v>
      </c>
      <c r="F2248" s="617">
        <v>44421</v>
      </c>
    </row>
    <row r="2249" spans="1:7" x14ac:dyDescent="0.3">
      <c r="A2249" s="169" t="s">
        <v>5463</v>
      </c>
      <c r="B2249" s="156" t="s">
        <v>5471</v>
      </c>
      <c r="C2249" s="163" t="s">
        <v>29</v>
      </c>
      <c r="D2249" s="164">
        <v>3960</v>
      </c>
      <c r="E2249" s="165" t="s">
        <v>5460</v>
      </c>
      <c r="F2249" s="617">
        <v>44421</v>
      </c>
    </row>
    <row r="2250" spans="1:7" x14ac:dyDescent="0.3">
      <c r="A2250" s="169" t="s">
        <v>5464</v>
      </c>
      <c r="B2250" s="156" t="s">
        <v>7399</v>
      </c>
      <c r="C2250" s="163" t="s">
        <v>73</v>
      </c>
      <c r="D2250" s="164">
        <v>13</v>
      </c>
      <c r="E2250" s="165" t="s">
        <v>5460</v>
      </c>
      <c r="F2250" s="617">
        <v>44421</v>
      </c>
      <c r="G2250">
        <v>1.03</v>
      </c>
    </row>
    <row r="2251" spans="1:7" x14ac:dyDescent="0.3">
      <c r="A2251" s="169" t="s">
        <v>5465</v>
      </c>
      <c r="B2251" s="156" t="s">
        <v>5799</v>
      </c>
      <c r="C2251" s="614" t="s">
        <v>1376</v>
      </c>
      <c r="D2251" s="164">
        <v>170</v>
      </c>
      <c r="E2251" s="165" t="s">
        <v>3578</v>
      </c>
      <c r="F2251" s="617">
        <v>44426</v>
      </c>
    </row>
    <row r="2252" spans="1:7" x14ac:dyDescent="0.3">
      <c r="A2252" s="169" t="s">
        <v>5474</v>
      </c>
      <c r="B2252" s="156" t="s">
        <v>5806</v>
      </c>
      <c r="C2252" s="614" t="s">
        <v>1376</v>
      </c>
      <c r="D2252" s="164">
        <v>15</v>
      </c>
      <c r="E2252" s="165" t="s">
        <v>3578</v>
      </c>
      <c r="F2252" s="617">
        <v>44426</v>
      </c>
    </row>
    <row r="2253" spans="1:7" x14ac:dyDescent="0.3">
      <c r="A2253" s="169" t="s">
        <v>5475</v>
      </c>
      <c r="B2253" s="156" t="s">
        <v>5482</v>
      </c>
      <c r="C2253" s="163" t="s">
        <v>73</v>
      </c>
      <c r="D2253" s="164">
        <v>15</v>
      </c>
      <c r="E2253" s="165" t="s">
        <v>3578</v>
      </c>
      <c r="F2253" s="617">
        <v>44426</v>
      </c>
    </row>
    <row r="2254" spans="1:7" x14ac:dyDescent="0.3">
      <c r="A2254" s="169" t="s">
        <v>5476</v>
      </c>
      <c r="B2254" s="156" t="s">
        <v>5487</v>
      </c>
      <c r="C2254" s="163" t="s">
        <v>74</v>
      </c>
      <c r="D2254" s="164">
        <f>((((25.9*1.5)*1.03)/1.03)*1.02)/1.02</f>
        <v>38.849999999999994</v>
      </c>
      <c r="E2254" s="165" t="s">
        <v>5488</v>
      </c>
      <c r="F2254" s="617">
        <v>44426</v>
      </c>
    </row>
    <row r="2255" spans="1:7" ht="48.6" x14ac:dyDescent="0.3">
      <c r="A2255" s="169" t="s">
        <v>5477</v>
      </c>
      <c r="B2255" s="190" t="s">
        <v>5586</v>
      </c>
      <c r="C2255" s="163" t="s">
        <v>3238</v>
      </c>
      <c r="D2255" s="164">
        <v>8842.7900000000009</v>
      </c>
      <c r="E2255" s="165" t="s">
        <v>5350</v>
      </c>
      <c r="F2255" s="617">
        <v>44427</v>
      </c>
    </row>
    <row r="2256" spans="1:7" ht="24.6" x14ac:dyDescent="0.3">
      <c r="A2256" s="169" t="s">
        <v>5478</v>
      </c>
      <c r="B2256" s="190" t="s">
        <v>5587</v>
      </c>
      <c r="C2256" s="163" t="s">
        <v>3238</v>
      </c>
      <c r="D2256" s="164">
        <v>521</v>
      </c>
      <c r="E2256" s="165" t="s">
        <v>5350</v>
      </c>
      <c r="F2256" s="617">
        <v>44427</v>
      </c>
    </row>
    <row r="2257" spans="1:6" x14ac:dyDescent="0.3">
      <c r="A2257" s="169" t="s">
        <v>5479</v>
      </c>
      <c r="B2257" s="190" t="s">
        <v>5588</v>
      </c>
      <c r="C2257" s="163" t="s">
        <v>3238</v>
      </c>
      <c r="D2257" s="164">
        <v>138.6</v>
      </c>
      <c r="E2257" s="165" t="s">
        <v>5350</v>
      </c>
      <c r="F2257" s="617">
        <v>44427</v>
      </c>
    </row>
    <row r="2258" spans="1:6" ht="24.6" x14ac:dyDescent="0.3">
      <c r="A2258" s="169" t="s">
        <v>5480</v>
      </c>
      <c r="B2258" s="190" t="s">
        <v>5697</v>
      </c>
      <c r="C2258" s="163" t="s">
        <v>3238</v>
      </c>
      <c r="D2258" s="164">
        <v>1050</v>
      </c>
      <c r="E2258" s="165" t="s">
        <v>5350</v>
      </c>
      <c r="F2258" s="617">
        <v>44427</v>
      </c>
    </row>
    <row r="2259" spans="1:6" ht="24.6" x14ac:dyDescent="0.3">
      <c r="A2259" s="169" t="s">
        <v>5481</v>
      </c>
      <c r="B2259" s="190" t="s">
        <v>5589</v>
      </c>
      <c r="C2259" s="163" t="s">
        <v>3238</v>
      </c>
      <c r="D2259" s="164">
        <v>1222.9000000000001</v>
      </c>
      <c r="E2259" s="165" t="s">
        <v>5350</v>
      </c>
      <c r="F2259" s="617">
        <v>44427</v>
      </c>
    </row>
    <row r="2260" spans="1:6" x14ac:dyDescent="0.3">
      <c r="A2260" s="169" t="s">
        <v>5490</v>
      </c>
      <c r="B2260" s="190" t="s">
        <v>5698</v>
      </c>
      <c r="C2260" s="163" t="s">
        <v>3238</v>
      </c>
      <c r="D2260" s="164">
        <v>236.4</v>
      </c>
      <c r="E2260" s="165" t="s">
        <v>5350</v>
      </c>
      <c r="F2260" s="617">
        <v>44427</v>
      </c>
    </row>
    <row r="2261" spans="1:6" x14ac:dyDescent="0.3">
      <c r="A2261" s="169" t="s">
        <v>5491</v>
      </c>
      <c r="B2261" s="190" t="s">
        <v>5590</v>
      </c>
      <c r="C2261" s="163" t="s">
        <v>3238</v>
      </c>
      <c r="D2261" s="164">
        <v>184.8</v>
      </c>
      <c r="E2261" s="165" t="s">
        <v>5350</v>
      </c>
      <c r="F2261" s="617">
        <v>44427</v>
      </c>
    </row>
    <row r="2262" spans="1:6" ht="24.6" x14ac:dyDescent="0.3">
      <c r="A2262" s="169" t="s">
        <v>5492</v>
      </c>
      <c r="B2262" s="190" t="s">
        <v>5591</v>
      </c>
      <c r="C2262" s="163" t="s">
        <v>3238</v>
      </c>
      <c r="D2262" s="164">
        <v>60</v>
      </c>
      <c r="E2262" s="165" t="s">
        <v>5350</v>
      </c>
      <c r="F2262" s="617">
        <v>44427</v>
      </c>
    </row>
    <row r="2263" spans="1:6" x14ac:dyDescent="0.3">
      <c r="A2263" s="169" t="s">
        <v>5493</v>
      </c>
      <c r="B2263" s="190" t="s">
        <v>5593</v>
      </c>
      <c r="C2263" s="163" t="s">
        <v>3238</v>
      </c>
      <c r="D2263" s="164">
        <v>60</v>
      </c>
      <c r="E2263" s="165" t="s">
        <v>5350</v>
      </c>
      <c r="F2263" s="617">
        <v>44427</v>
      </c>
    </row>
    <row r="2264" spans="1:6" x14ac:dyDescent="0.3">
      <c r="A2264" s="169" t="s">
        <v>5494</v>
      </c>
      <c r="B2264" s="190" t="s">
        <v>5592</v>
      </c>
      <c r="C2264" s="163" t="s">
        <v>3238</v>
      </c>
      <c r="D2264" s="164">
        <v>1707.55</v>
      </c>
      <c r="E2264" s="165" t="s">
        <v>5350</v>
      </c>
      <c r="F2264" s="617">
        <v>44427</v>
      </c>
    </row>
    <row r="2265" spans="1:6" ht="24.6" x14ac:dyDescent="0.3">
      <c r="A2265" s="169" t="s">
        <v>5495</v>
      </c>
      <c r="B2265" s="190" t="s">
        <v>5699</v>
      </c>
      <c r="C2265" s="163" t="s">
        <v>3238</v>
      </c>
      <c r="D2265" s="164">
        <v>314.59999999999997</v>
      </c>
      <c r="E2265" s="165" t="s">
        <v>5350</v>
      </c>
      <c r="F2265" s="617">
        <v>44427</v>
      </c>
    </row>
    <row r="2266" spans="1:6" ht="24.6" x14ac:dyDescent="0.3">
      <c r="A2266" s="169" t="s">
        <v>5496</v>
      </c>
      <c r="B2266" s="190" t="s">
        <v>5700</v>
      </c>
      <c r="C2266" s="163" t="s">
        <v>3238</v>
      </c>
      <c r="D2266" s="164">
        <v>88.8</v>
      </c>
      <c r="E2266" s="165" t="s">
        <v>5350</v>
      </c>
      <c r="F2266" s="617">
        <v>44427</v>
      </c>
    </row>
    <row r="2267" spans="1:6" ht="24.6" x14ac:dyDescent="0.3">
      <c r="A2267" s="169" t="s">
        <v>5497</v>
      </c>
      <c r="B2267" s="190" t="s">
        <v>5701</v>
      </c>
      <c r="C2267" s="163" t="s">
        <v>3238</v>
      </c>
      <c r="D2267" s="164">
        <v>1223.0999999999999</v>
      </c>
      <c r="E2267" s="165" t="s">
        <v>5350</v>
      </c>
      <c r="F2267" s="617">
        <v>44427</v>
      </c>
    </row>
    <row r="2268" spans="1:6" ht="24.6" x14ac:dyDescent="0.3">
      <c r="A2268" s="169" t="s">
        <v>5498</v>
      </c>
      <c r="B2268" s="190" t="s">
        <v>5594</v>
      </c>
      <c r="C2268" s="163" t="s">
        <v>3238</v>
      </c>
      <c r="D2268" s="164">
        <v>302.72000000000003</v>
      </c>
      <c r="E2268" s="165" t="s">
        <v>5350</v>
      </c>
      <c r="F2268" s="617">
        <v>44427</v>
      </c>
    </row>
    <row r="2269" spans="1:6" ht="24.6" x14ac:dyDescent="0.3">
      <c r="A2269" s="169" t="s">
        <v>5499</v>
      </c>
      <c r="B2269" s="190" t="s">
        <v>5595</v>
      </c>
      <c r="C2269" s="163" t="s">
        <v>3238</v>
      </c>
      <c r="D2269" s="164">
        <v>156.75</v>
      </c>
      <c r="E2269" s="165" t="s">
        <v>5350</v>
      </c>
      <c r="F2269" s="617">
        <v>44427</v>
      </c>
    </row>
    <row r="2270" spans="1:6" ht="24.6" x14ac:dyDescent="0.3">
      <c r="A2270" s="169" t="s">
        <v>5500</v>
      </c>
      <c r="B2270" s="190" t="s">
        <v>5596</v>
      </c>
      <c r="C2270" s="163" t="s">
        <v>3238</v>
      </c>
      <c r="D2270" s="164">
        <v>4023.0100000000007</v>
      </c>
      <c r="E2270" s="165" t="s">
        <v>5350</v>
      </c>
      <c r="F2270" s="617">
        <v>44427</v>
      </c>
    </row>
    <row r="2271" spans="1:6" x14ac:dyDescent="0.3">
      <c r="A2271" s="169" t="s">
        <v>5501</v>
      </c>
      <c r="B2271" s="156" t="s">
        <v>5597</v>
      </c>
      <c r="C2271" s="163" t="s">
        <v>73</v>
      </c>
      <c r="D2271" s="164">
        <v>65</v>
      </c>
      <c r="E2271" s="165" t="s">
        <v>5706</v>
      </c>
      <c r="F2271" s="617">
        <v>44434</v>
      </c>
    </row>
    <row r="2272" spans="1:6" x14ac:dyDescent="0.3">
      <c r="A2272" s="169" t="s">
        <v>5502</v>
      </c>
      <c r="B2272" s="156" t="s">
        <v>5715</v>
      </c>
      <c r="C2272" s="163" t="s">
        <v>73</v>
      </c>
      <c r="D2272" s="164">
        <v>500</v>
      </c>
      <c r="E2272" s="165" t="s">
        <v>5350</v>
      </c>
      <c r="F2272" s="617">
        <v>44427</v>
      </c>
    </row>
    <row r="2273" spans="1:8" x14ac:dyDescent="0.3">
      <c r="A2273" s="169" t="s">
        <v>5503</v>
      </c>
      <c r="B2273" s="190" t="s">
        <v>5598</v>
      </c>
      <c r="C2273" s="614" t="s">
        <v>1376</v>
      </c>
      <c r="D2273" s="164">
        <f>((((936.7+390+149)*1.03)/1.03)*1.02)/1.02</f>
        <v>1475.7</v>
      </c>
      <c r="E2273" s="165" t="s">
        <v>5694</v>
      </c>
      <c r="F2273" s="617">
        <v>44427</v>
      </c>
    </row>
    <row r="2274" spans="1:8" x14ac:dyDescent="0.3">
      <c r="A2274" s="169" t="s">
        <v>5504</v>
      </c>
      <c r="B2274" s="190" t="s">
        <v>5599</v>
      </c>
      <c r="C2274" s="614" t="s">
        <v>1376</v>
      </c>
      <c r="D2274" s="164">
        <f>((((932.88+390+149)*1.03)/1.03)*1.02)/1.02</f>
        <v>1471.88</v>
      </c>
      <c r="E2274" s="165" t="s">
        <v>5694</v>
      </c>
      <c r="F2274" s="617">
        <v>44427</v>
      </c>
    </row>
    <row r="2275" spans="1:8" x14ac:dyDescent="0.3">
      <c r="A2275" s="169" t="s">
        <v>5505</v>
      </c>
      <c r="B2275" s="190" t="s">
        <v>5600</v>
      </c>
      <c r="C2275" s="614" t="s">
        <v>1376</v>
      </c>
      <c r="D2275" s="164">
        <f>((((936.7+390+149+(99.9/2))*1.03)/1.03)*1.02)/1.02</f>
        <v>1525.65</v>
      </c>
      <c r="E2275" s="165" t="s">
        <v>5695</v>
      </c>
      <c r="F2275" s="617">
        <v>44427</v>
      </c>
    </row>
    <row r="2276" spans="1:8" x14ac:dyDescent="0.3">
      <c r="A2276" s="169" t="s">
        <v>5506</v>
      </c>
      <c r="B2276" s="190" t="s">
        <v>5601</v>
      </c>
      <c r="C2276" s="614" t="s">
        <v>1376</v>
      </c>
      <c r="D2276" s="164">
        <f>((((932.88+390+149)*1.03)/1.03)*1.02)/1.02</f>
        <v>1471.88</v>
      </c>
      <c r="E2276" s="165" t="s">
        <v>5696</v>
      </c>
      <c r="F2276" s="617">
        <v>44427</v>
      </c>
    </row>
    <row r="2277" spans="1:8" ht="24.6" x14ac:dyDescent="0.3">
      <c r="A2277" s="169" t="s">
        <v>5507</v>
      </c>
      <c r="B2277" s="190" t="s">
        <v>5602</v>
      </c>
      <c r="C2277" s="163" t="s">
        <v>29</v>
      </c>
      <c r="D2277" s="164">
        <v>18558</v>
      </c>
      <c r="E2277" s="165" t="s">
        <v>5664</v>
      </c>
      <c r="F2277" s="617">
        <v>44427</v>
      </c>
      <c r="G2277">
        <v>1</v>
      </c>
      <c r="H2277">
        <v>25981.9</v>
      </c>
    </row>
    <row r="2278" spans="1:8" x14ac:dyDescent="0.3">
      <c r="A2278" s="169" t="s">
        <v>5508</v>
      </c>
      <c r="B2278" s="190" t="s">
        <v>5603</v>
      </c>
      <c r="C2278" s="163" t="s">
        <v>29</v>
      </c>
      <c r="D2278" s="164">
        <v>3680.9999999999995</v>
      </c>
      <c r="E2278" s="165" t="s">
        <v>5664</v>
      </c>
      <c r="F2278" s="617">
        <v>44427</v>
      </c>
      <c r="G2278">
        <v>1</v>
      </c>
      <c r="H2278">
        <v>5135.92</v>
      </c>
    </row>
    <row r="2279" spans="1:8" x14ac:dyDescent="0.3">
      <c r="A2279" s="169" t="s">
        <v>5509</v>
      </c>
      <c r="B2279" s="190" t="s">
        <v>5604</v>
      </c>
      <c r="C2279" s="163" t="s">
        <v>29</v>
      </c>
      <c r="D2279" s="164">
        <v>2238.6</v>
      </c>
      <c r="E2279" s="165" t="s">
        <v>5664</v>
      </c>
      <c r="F2279" s="617">
        <v>44427</v>
      </c>
      <c r="G2279">
        <v>1</v>
      </c>
      <c r="H2279">
        <v>3616.2</v>
      </c>
    </row>
    <row r="2280" spans="1:8" x14ac:dyDescent="0.3">
      <c r="A2280" s="169" t="s">
        <v>5510</v>
      </c>
      <c r="B2280" s="190" t="s">
        <v>5605</v>
      </c>
      <c r="C2280" s="163" t="s">
        <v>29</v>
      </c>
      <c r="D2280" s="164">
        <v>760.50000000000011</v>
      </c>
      <c r="E2280" s="165" t="s">
        <v>5664</v>
      </c>
      <c r="F2280" s="617">
        <v>44427</v>
      </c>
      <c r="G2280">
        <v>1</v>
      </c>
      <c r="H2280">
        <v>1228.5</v>
      </c>
    </row>
    <row r="2281" spans="1:8" x14ac:dyDescent="0.3">
      <c r="A2281" s="169" t="s">
        <v>5511</v>
      </c>
      <c r="B2281" s="190" t="s">
        <v>5606</v>
      </c>
      <c r="C2281" s="163" t="s">
        <v>29</v>
      </c>
      <c r="D2281" s="164">
        <v>659.1</v>
      </c>
      <c r="E2281" s="165" t="s">
        <v>5664</v>
      </c>
      <c r="F2281" s="617">
        <v>44427</v>
      </c>
      <c r="G2281">
        <v>1</v>
      </c>
      <c r="H2281">
        <v>1064.7</v>
      </c>
    </row>
    <row r="2282" spans="1:8" x14ac:dyDescent="0.3">
      <c r="A2282" s="169" t="s">
        <v>5512</v>
      </c>
      <c r="B2282" s="190" t="s">
        <v>5607</v>
      </c>
      <c r="C2282" s="163" t="s">
        <v>29</v>
      </c>
      <c r="D2282" s="164">
        <v>490.1</v>
      </c>
      <c r="E2282" s="165" t="s">
        <v>5664</v>
      </c>
      <c r="F2282" s="617">
        <v>44427</v>
      </c>
      <c r="G2282">
        <v>1</v>
      </c>
      <c r="H2282">
        <v>791.7</v>
      </c>
    </row>
    <row r="2283" spans="1:8" ht="24.6" x14ac:dyDescent="0.3">
      <c r="A2283" s="169" t="s">
        <v>5513</v>
      </c>
      <c r="B2283" s="190" t="s">
        <v>5702</v>
      </c>
      <c r="C2283" s="163" t="s">
        <v>29</v>
      </c>
      <c r="D2283" s="164">
        <v>7581</v>
      </c>
      <c r="E2283" s="165" t="s">
        <v>5664</v>
      </c>
      <c r="F2283" s="617">
        <v>44427</v>
      </c>
      <c r="G2283">
        <v>2</v>
      </c>
      <c r="H2283">
        <v>5148.6000000000004</v>
      </c>
    </row>
    <row r="2284" spans="1:8" ht="24.6" x14ac:dyDescent="0.3">
      <c r="A2284" s="169" t="s">
        <v>5514</v>
      </c>
      <c r="B2284" s="190" t="s">
        <v>5608</v>
      </c>
      <c r="C2284" s="163" t="s">
        <v>29</v>
      </c>
      <c r="D2284" s="164">
        <v>739.86249999999995</v>
      </c>
      <c r="E2284" s="165" t="s">
        <v>5664</v>
      </c>
      <c r="F2284" s="617">
        <v>44427</v>
      </c>
      <c r="G2284">
        <v>1</v>
      </c>
      <c r="H2284">
        <v>1195.1600000000001</v>
      </c>
    </row>
    <row r="2285" spans="1:8" ht="24.6" x14ac:dyDescent="0.3">
      <c r="A2285" s="169" t="s">
        <v>5515</v>
      </c>
      <c r="B2285" s="190" t="s">
        <v>5609</v>
      </c>
      <c r="C2285" s="163" t="s">
        <v>29</v>
      </c>
      <c r="D2285" s="164">
        <v>4197.8755000000001</v>
      </c>
      <c r="E2285" s="165" t="s">
        <v>5664</v>
      </c>
      <c r="F2285" s="617">
        <v>44427</v>
      </c>
      <c r="G2285">
        <v>1</v>
      </c>
      <c r="H2285">
        <v>6781.18</v>
      </c>
    </row>
    <row r="2286" spans="1:8" x14ac:dyDescent="0.3">
      <c r="A2286" s="169" t="s">
        <v>5516</v>
      </c>
      <c r="B2286" s="190" t="s">
        <v>5610</v>
      </c>
      <c r="C2286" s="163" t="s">
        <v>29</v>
      </c>
      <c r="D2286" s="164">
        <v>779.64250000000004</v>
      </c>
      <c r="E2286" s="165" t="s">
        <v>5664</v>
      </c>
      <c r="F2286" s="617">
        <v>44427</v>
      </c>
      <c r="G2286">
        <v>1</v>
      </c>
      <c r="H2286">
        <v>1259.22</v>
      </c>
    </row>
    <row r="2287" spans="1:8" x14ac:dyDescent="0.3">
      <c r="A2287" s="169" t="s">
        <v>5517</v>
      </c>
      <c r="B2287" s="190" t="s">
        <v>5617</v>
      </c>
      <c r="C2287" s="163" t="s">
        <v>29</v>
      </c>
      <c r="D2287" s="164">
        <v>3510</v>
      </c>
      <c r="E2287" s="165" t="s">
        <v>5664</v>
      </c>
      <c r="F2287" s="617">
        <v>44427</v>
      </c>
      <c r="G2287">
        <v>1</v>
      </c>
      <c r="H2287">
        <v>3510</v>
      </c>
    </row>
    <row r="2288" spans="1:8" x14ac:dyDescent="0.3">
      <c r="A2288" s="169" t="s">
        <v>5518</v>
      </c>
      <c r="B2288" s="190" t="s">
        <v>5663</v>
      </c>
      <c r="C2288" s="163" t="s">
        <v>29</v>
      </c>
      <c r="D2288" s="164">
        <v>513</v>
      </c>
      <c r="E2288" s="165" t="s">
        <v>5664</v>
      </c>
      <c r="F2288" s="617">
        <v>44427</v>
      </c>
      <c r="G2288">
        <v>1</v>
      </c>
      <c r="H2288">
        <v>513</v>
      </c>
    </row>
    <row r="2289" spans="1:8" x14ac:dyDescent="0.3">
      <c r="A2289" s="169" t="s">
        <v>5519</v>
      </c>
      <c r="B2289" s="190" t="s">
        <v>5611</v>
      </c>
      <c r="C2289" s="163" t="s">
        <v>29</v>
      </c>
      <c r="D2289" s="164">
        <v>849</v>
      </c>
      <c r="E2289" s="165" t="s">
        <v>5664</v>
      </c>
      <c r="F2289" s="617">
        <v>44427</v>
      </c>
      <c r="G2289">
        <v>1</v>
      </c>
      <c r="H2289">
        <v>849</v>
      </c>
    </row>
    <row r="2290" spans="1:8" x14ac:dyDescent="0.3">
      <c r="A2290" s="169" t="s">
        <v>5520</v>
      </c>
      <c r="B2290" s="190" t="s">
        <v>5612</v>
      </c>
      <c r="C2290" s="163" t="s">
        <v>29</v>
      </c>
      <c r="D2290" s="164">
        <v>789</v>
      </c>
      <c r="E2290" s="165" t="s">
        <v>5664</v>
      </c>
      <c r="F2290" s="617">
        <v>44427</v>
      </c>
      <c r="G2290">
        <v>1</v>
      </c>
      <c r="H2290">
        <v>789</v>
      </c>
    </row>
    <row r="2291" spans="1:8" x14ac:dyDescent="0.3">
      <c r="A2291" s="169" t="s">
        <v>5521</v>
      </c>
      <c r="B2291" s="190" t="s">
        <v>5613</v>
      </c>
      <c r="C2291" s="163" t="s">
        <v>29</v>
      </c>
      <c r="D2291" s="164">
        <v>228</v>
      </c>
      <c r="E2291" s="165" t="s">
        <v>5664</v>
      </c>
      <c r="F2291" s="617">
        <v>44427</v>
      </c>
      <c r="G2291">
        <v>1</v>
      </c>
      <c r="H2291">
        <v>228</v>
      </c>
    </row>
    <row r="2292" spans="1:8" ht="24.6" x14ac:dyDescent="0.3">
      <c r="A2292" s="169" t="s">
        <v>5522</v>
      </c>
      <c r="B2292" s="190" t="s">
        <v>5614</v>
      </c>
      <c r="C2292" s="163" t="s">
        <v>29</v>
      </c>
      <c r="D2292" s="164">
        <v>3850</v>
      </c>
      <c r="E2292" s="165" t="s">
        <v>5664</v>
      </c>
      <c r="F2292" s="617">
        <v>44427</v>
      </c>
      <c r="G2292">
        <v>1</v>
      </c>
      <c r="H2292">
        <v>3850</v>
      </c>
    </row>
    <row r="2293" spans="1:8" ht="24.6" x14ac:dyDescent="0.3">
      <c r="A2293" s="169" t="s">
        <v>5523</v>
      </c>
      <c r="B2293" s="190" t="s">
        <v>5615</v>
      </c>
      <c r="C2293" s="163" t="s">
        <v>29</v>
      </c>
      <c r="D2293" s="164">
        <v>3600</v>
      </c>
      <c r="E2293" s="165" t="s">
        <v>5664</v>
      </c>
      <c r="F2293" s="617">
        <v>44427</v>
      </c>
      <c r="G2293">
        <v>1</v>
      </c>
      <c r="H2293">
        <v>3600</v>
      </c>
    </row>
    <row r="2294" spans="1:8" x14ac:dyDescent="0.3">
      <c r="A2294" s="169" t="s">
        <v>5524</v>
      </c>
      <c r="B2294" s="190" t="s">
        <v>5616</v>
      </c>
      <c r="C2294" s="163" t="s">
        <v>29</v>
      </c>
      <c r="D2294" s="164">
        <v>3600</v>
      </c>
      <c r="E2294" s="165" t="s">
        <v>5664</v>
      </c>
      <c r="F2294" s="617">
        <v>44427</v>
      </c>
      <c r="G2294">
        <v>1</v>
      </c>
      <c r="H2294">
        <v>3600</v>
      </c>
    </row>
    <row r="2295" spans="1:8" x14ac:dyDescent="0.3">
      <c r="A2295" s="169" t="s">
        <v>5525</v>
      </c>
      <c r="B2295" s="190" t="s">
        <v>5618</v>
      </c>
      <c r="C2295" s="614" t="s">
        <v>1376</v>
      </c>
      <c r="D2295" s="164">
        <v>29.580000000000002</v>
      </c>
      <c r="E2295" s="165" t="s">
        <v>1058</v>
      </c>
      <c r="F2295" s="617">
        <v>44427</v>
      </c>
      <c r="G2295">
        <v>1</v>
      </c>
    </row>
    <row r="2296" spans="1:8" x14ac:dyDescent="0.3">
      <c r="A2296" s="169" t="s">
        <v>5526</v>
      </c>
      <c r="B2296" s="190" t="s">
        <v>5652</v>
      </c>
      <c r="C2296" s="614" t="s">
        <v>1376</v>
      </c>
      <c r="D2296" s="164">
        <v>144.27000000000001</v>
      </c>
      <c r="E2296" s="165" t="s">
        <v>1058</v>
      </c>
      <c r="F2296" s="617">
        <v>44427</v>
      </c>
    </row>
    <row r="2297" spans="1:8" x14ac:dyDescent="0.3">
      <c r="A2297" s="169" t="s">
        <v>5527</v>
      </c>
      <c r="B2297" s="190" t="s">
        <v>5653</v>
      </c>
      <c r="C2297" s="614" t="s">
        <v>1376</v>
      </c>
      <c r="D2297" s="164">
        <v>1098.5899999999999</v>
      </c>
      <c r="E2297" s="165" t="s">
        <v>1058</v>
      </c>
      <c r="F2297" s="617">
        <v>44427</v>
      </c>
    </row>
    <row r="2298" spans="1:8" x14ac:dyDescent="0.3">
      <c r="A2298" s="169" t="s">
        <v>5528</v>
      </c>
      <c r="B2298" s="190" t="s">
        <v>5654</v>
      </c>
      <c r="C2298" s="614" t="s">
        <v>1376</v>
      </c>
      <c r="D2298" s="164">
        <v>477.74</v>
      </c>
      <c r="E2298" s="165" t="s">
        <v>1058</v>
      </c>
      <c r="F2298" s="617">
        <v>44427</v>
      </c>
    </row>
    <row r="2299" spans="1:8" x14ac:dyDescent="0.3">
      <c r="A2299" s="169" t="s">
        <v>5529</v>
      </c>
      <c r="B2299" s="190" t="s">
        <v>5619</v>
      </c>
      <c r="C2299" s="614" t="s">
        <v>1376</v>
      </c>
      <c r="D2299" s="164">
        <v>1047</v>
      </c>
      <c r="E2299" s="165" t="s">
        <v>1058</v>
      </c>
      <c r="F2299" s="617">
        <v>44427</v>
      </c>
    </row>
    <row r="2300" spans="1:8" x14ac:dyDescent="0.3">
      <c r="A2300" s="169" t="s">
        <v>5530</v>
      </c>
      <c r="B2300" s="190" t="s">
        <v>5620</v>
      </c>
      <c r="C2300" s="614" t="s">
        <v>1376</v>
      </c>
      <c r="D2300" s="164">
        <v>825.48</v>
      </c>
      <c r="E2300" s="165" t="s">
        <v>1058</v>
      </c>
      <c r="F2300" s="617">
        <v>44427</v>
      </c>
    </row>
    <row r="2301" spans="1:8" x14ac:dyDescent="0.3">
      <c r="A2301" s="169" t="s">
        <v>5531</v>
      </c>
      <c r="B2301" s="190" t="s">
        <v>5621</v>
      </c>
      <c r="C2301" s="614" t="s">
        <v>1376</v>
      </c>
      <c r="D2301" s="164">
        <v>1750</v>
      </c>
      <c r="E2301" s="165" t="s">
        <v>5488</v>
      </c>
      <c r="F2301" s="617">
        <v>44427</v>
      </c>
    </row>
    <row r="2302" spans="1:8" x14ac:dyDescent="0.3">
      <c r="A2302" s="169" t="s">
        <v>5532</v>
      </c>
      <c r="B2302" s="190" t="s">
        <v>5622</v>
      </c>
      <c r="C2302" s="614" t="s">
        <v>1376</v>
      </c>
      <c r="D2302" s="164">
        <v>189.86</v>
      </c>
      <c r="E2302" s="165" t="s">
        <v>1058</v>
      </c>
      <c r="F2302" s="617">
        <v>44427</v>
      </c>
    </row>
    <row r="2303" spans="1:8" x14ac:dyDescent="0.3">
      <c r="A2303" s="169" t="s">
        <v>5533</v>
      </c>
      <c r="B2303" s="190" t="s">
        <v>5623</v>
      </c>
      <c r="C2303" s="614" t="s">
        <v>1376</v>
      </c>
      <c r="D2303" s="164">
        <v>121.185</v>
      </c>
      <c r="E2303" s="165" t="s">
        <v>1058</v>
      </c>
      <c r="F2303" s="617">
        <v>44427</v>
      </c>
    </row>
    <row r="2304" spans="1:8" x14ac:dyDescent="0.3">
      <c r="A2304" s="169" t="s">
        <v>5534</v>
      </c>
      <c r="B2304" s="190" t="s">
        <v>5655</v>
      </c>
      <c r="C2304" s="614" t="s">
        <v>1376</v>
      </c>
      <c r="D2304" s="164">
        <v>34.53</v>
      </c>
      <c r="E2304" s="165" t="s">
        <v>5686</v>
      </c>
      <c r="F2304" s="617">
        <v>44427</v>
      </c>
    </row>
    <row r="2305" spans="1:6" x14ac:dyDescent="0.3">
      <c r="A2305" s="169" t="s">
        <v>5535</v>
      </c>
      <c r="B2305" s="190" t="s">
        <v>5624</v>
      </c>
      <c r="C2305" s="614" t="s">
        <v>1376</v>
      </c>
      <c r="D2305" s="164">
        <v>1599</v>
      </c>
      <c r="E2305" s="165" t="s">
        <v>5687</v>
      </c>
      <c r="F2305" s="617">
        <v>44427</v>
      </c>
    </row>
    <row r="2306" spans="1:6" x14ac:dyDescent="0.3">
      <c r="A2306" s="169" t="s">
        <v>5536</v>
      </c>
      <c r="B2306" s="190" t="s">
        <v>5625</v>
      </c>
      <c r="C2306" s="614" t="s">
        <v>1376</v>
      </c>
      <c r="D2306" s="164">
        <v>171.6</v>
      </c>
      <c r="E2306" s="165" t="s">
        <v>1058</v>
      </c>
      <c r="F2306" s="617">
        <v>44427</v>
      </c>
    </row>
    <row r="2307" spans="1:6" x14ac:dyDescent="0.3">
      <c r="A2307" s="169" t="s">
        <v>5537</v>
      </c>
      <c r="B2307" s="190" t="s">
        <v>5683</v>
      </c>
      <c r="C2307" s="614" t="s">
        <v>1376</v>
      </c>
      <c r="D2307" s="164">
        <v>555.21</v>
      </c>
      <c r="E2307" s="165" t="s">
        <v>1058</v>
      </c>
      <c r="F2307" s="617">
        <v>44427</v>
      </c>
    </row>
    <row r="2308" spans="1:6" x14ac:dyDescent="0.3">
      <c r="A2308" s="169" t="s">
        <v>5538</v>
      </c>
      <c r="B2308" s="190" t="s">
        <v>5626</v>
      </c>
      <c r="C2308" s="614" t="s">
        <v>1376</v>
      </c>
      <c r="D2308" s="164">
        <v>430.36</v>
      </c>
      <c r="E2308" s="165" t="s">
        <v>1058</v>
      </c>
      <c r="F2308" s="617">
        <v>44427</v>
      </c>
    </row>
    <row r="2309" spans="1:6" x14ac:dyDescent="0.3">
      <c r="A2309" s="169" t="s">
        <v>5539</v>
      </c>
      <c r="B2309" s="190" t="s">
        <v>5627</v>
      </c>
      <c r="C2309" s="614" t="s">
        <v>1376</v>
      </c>
      <c r="D2309" s="164">
        <v>1402.2</v>
      </c>
      <c r="E2309" s="165" t="s">
        <v>1058</v>
      </c>
      <c r="F2309" s="617">
        <v>44427</v>
      </c>
    </row>
    <row r="2310" spans="1:6" x14ac:dyDescent="0.3">
      <c r="A2310" s="169" t="s">
        <v>5540</v>
      </c>
      <c r="B2310" s="190" t="s">
        <v>5628</v>
      </c>
      <c r="C2310" s="614" t="s">
        <v>1376</v>
      </c>
      <c r="D2310" s="164">
        <v>558</v>
      </c>
      <c r="E2310" s="165" t="s">
        <v>5688</v>
      </c>
      <c r="F2310" s="617">
        <v>44427</v>
      </c>
    </row>
    <row r="2311" spans="1:6" x14ac:dyDescent="0.3">
      <c r="A2311" s="169" t="s">
        <v>5541</v>
      </c>
      <c r="B2311" s="190" t="s">
        <v>5629</v>
      </c>
      <c r="C2311" s="614" t="s">
        <v>1376</v>
      </c>
      <c r="D2311" s="164">
        <v>411.87</v>
      </c>
      <c r="E2311" s="165" t="s">
        <v>1058</v>
      </c>
      <c r="F2311" s="617">
        <v>44427</v>
      </c>
    </row>
    <row r="2312" spans="1:6" x14ac:dyDescent="0.3">
      <c r="A2312" s="169" t="s">
        <v>5542</v>
      </c>
      <c r="B2312" s="190" t="s">
        <v>5656</v>
      </c>
      <c r="C2312" s="614" t="s">
        <v>1376</v>
      </c>
      <c r="D2312" s="164">
        <v>21.73</v>
      </c>
      <c r="E2312" s="165" t="s">
        <v>1058</v>
      </c>
      <c r="F2312" s="617">
        <v>44427</v>
      </c>
    </row>
    <row r="2313" spans="1:6" x14ac:dyDescent="0.3">
      <c r="A2313" s="169" t="s">
        <v>5543</v>
      </c>
      <c r="B2313" s="190" t="s">
        <v>5657</v>
      </c>
      <c r="C2313" s="614" t="s">
        <v>1376</v>
      </c>
      <c r="D2313" s="164">
        <v>607.05999999999995</v>
      </c>
      <c r="E2313" s="165" t="s">
        <v>1058</v>
      </c>
      <c r="F2313" s="617">
        <v>44427</v>
      </c>
    </row>
    <row r="2314" spans="1:6" x14ac:dyDescent="0.3">
      <c r="A2314" s="169" t="s">
        <v>5544</v>
      </c>
      <c r="B2314" s="190" t="s">
        <v>5630</v>
      </c>
      <c r="C2314" s="614" t="s">
        <v>1376</v>
      </c>
      <c r="D2314" s="164">
        <v>756.21</v>
      </c>
      <c r="E2314" s="165" t="s">
        <v>1058</v>
      </c>
      <c r="F2314" s="617">
        <v>44427</v>
      </c>
    </row>
    <row r="2315" spans="1:6" x14ac:dyDescent="0.3">
      <c r="A2315" s="169" t="s">
        <v>5545</v>
      </c>
      <c r="B2315" s="190" t="s">
        <v>5658</v>
      </c>
      <c r="C2315" s="614" t="s">
        <v>1376</v>
      </c>
      <c r="D2315" s="164">
        <v>183.6</v>
      </c>
      <c r="E2315" s="165" t="s">
        <v>1058</v>
      </c>
      <c r="F2315" s="617">
        <v>44427</v>
      </c>
    </row>
    <row r="2316" spans="1:6" x14ac:dyDescent="0.3">
      <c r="A2316" s="169" t="s">
        <v>5546</v>
      </c>
      <c r="B2316" s="190" t="s">
        <v>5631</v>
      </c>
      <c r="C2316" s="614" t="s">
        <v>1376</v>
      </c>
      <c r="D2316" s="164">
        <v>76.89</v>
      </c>
      <c r="E2316" s="165" t="s">
        <v>1058</v>
      </c>
      <c r="F2316" s="617">
        <v>44427</v>
      </c>
    </row>
    <row r="2317" spans="1:6" x14ac:dyDescent="0.3">
      <c r="A2317" s="169" t="s">
        <v>5547</v>
      </c>
      <c r="B2317" s="190" t="s">
        <v>5662</v>
      </c>
      <c r="C2317" s="614" t="s">
        <v>1376</v>
      </c>
      <c r="D2317" s="164">
        <v>28.69</v>
      </c>
      <c r="E2317" s="165" t="s">
        <v>1058</v>
      </c>
      <c r="F2317" s="617">
        <v>44427</v>
      </c>
    </row>
    <row r="2318" spans="1:6" x14ac:dyDescent="0.3">
      <c r="A2318" s="169" t="s">
        <v>5548</v>
      </c>
      <c r="B2318" s="190" t="s">
        <v>5632</v>
      </c>
      <c r="C2318" s="614" t="s">
        <v>1376</v>
      </c>
      <c r="D2318" s="164">
        <v>284.44</v>
      </c>
      <c r="E2318" s="165" t="s">
        <v>1058</v>
      </c>
      <c r="F2318" s="617">
        <v>44427</v>
      </c>
    </row>
    <row r="2319" spans="1:6" x14ac:dyDescent="0.3">
      <c r="A2319" s="169" t="s">
        <v>5549</v>
      </c>
      <c r="B2319" s="190" t="s">
        <v>5659</v>
      </c>
      <c r="C2319" s="614" t="s">
        <v>1376</v>
      </c>
      <c r="D2319" s="164">
        <v>299.89999999999998</v>
      </c>
      <c r="E2319" s="165" t="s">
        <v>1058</v>
      </c>
      <c r="F2319" s="617">
        <v>44427</v>
      </c>
    </row>
    <row r="2320" spans="1:6" x14ac:dyDescent="0.3">
      <c r="A2320" s="169" t="s">
        <v>5550</v>
      </c>
      <c r="B2320" s="190" t="s">
        <v>5633</v>
      </c>
      <c r="C2320" s="614" t="s">
        <v>1376</v>
      </c>
      <c r="D2320" s="164">
        <v>1726.6</v>
      </c>
      <c r="E2320" s="165" t="s">
        <v>1058</v>
      </c>
      <c r="F2320" s="617">
        <v>44427</v>
      </c>
    </row>
    <row r="2321" spans="1:7" x14ac:dyDescent="0.3">
      <c r="A2321" s="169" t="s">
        <v>5551</v>
      </c>
      <c r="B2321" s="190" t="s">
        <v>5634</v>
      </c>
      <c r="C2321" s="614" t="s">
        <v>1376</v>
      </c>
      <c r="D2321" s="164">
        <v>1567.8880000000001</v>
      </c>
      <c r="E2321" s="165" t="s">
        <v>1058</v>
      </c>
      <c r="F2321" s="617">
        <v>44427</v>
      </c>
    </row>
    <row r="2322" spans="1:7" x14ac:dyDescent="0.3">
      <c r="A2322" s="169" t="s">
        <v>5552</v>
      </c>
      <c r="B2322" s="190" t="s">
        <v>5635</v>
      </c>
      <c r="C2322" s="614" t="s">
        <v>1376</v>
      </c>
      <c r="D2322" s="164">
        <v>306.95666666666665</v>
      </c>
      <c r="E2322" s="165" t="s">
        <v>1058</v>
      </c>
      <c r="F2322" s="617">
        <v>44427</v>
      </c>
    </row>
    <row r="2323" spans="1:7" x14ac:dyDescent="0.3">
      <c r="A2323" s="169" t="s">
        <v>5553</v>
      </c>
      <c r="B2323" s="190" t="s">
        <v>5636</v>
      </c>
      <c r="C2323" s="614" t="s">
        <v>1376</v>
      </c>
      <c r="D2323" s="164">
        <v>272.62</v>
      </c>
      <c r="E2323" s="165" t="s">
        <v>1058</v>
      </c>
      <c r="F2323" s="617">
        <v>44427</v>
      </c>
    </row>
    <row r="2324" spans="1:7" x14ac:dyDescent="0.3">
      <c r="A2324" s="169" t="s">
        <v>5554</v>
      </c>
      <c r="B2324" s="190" t="s">
        <v>5660</v>
      </c>
      <c r="C2324" s="614" t="s">
        <v>1376</v>
      </c>
      <c r="D2324" s="164">
        <v>11.15</v>
      </c>
      <c r="E2324" s="165" t="s">
        <v>1058</v>
      </c>
      <c r="F2324" s="617">
        <v>44427</v>
      </c>
    </row>
    <row r="2325" spans="1:7" x14ac:dyDescent="0.3">
      <c r="A2325" s="169" t="s">
        <v>5555</v>
      </c>
      <c r="B2325" s="190" t="s">
        <v>5637</v>
      </c>
      <c r="C2325" s="614" t="s">
        <v>1376</v>
      </c>
      <c r="D2325" s="164">
        <v>476.57499999999999</v>
      </c>
      <c r="E2325" s="165" t="s">
        <v>1058</v>
      </c>
      <c r="F2325" s="617">
        <v>44427</v>
      </c>
    </row>
    <row r="2326" spans="1:7" x14ac:dyDescent="0.3">
      <c r="A2326" s="169" t="s">
        <v>5556</v>
      </c>
      <c r="B2326" s="190" t="s">
        <v>5638</v>
      </c>
      <c r="C2326" s="614" t="s">
        <v>1376</v>
      </c>
      <c r="D2326" s="164">
        <v>880.91</v>
      </c>
      <c r="E2326" s="165" t="s">
        <v>5689</v>
      </c>
      <c r="F2326" s="617">
        <v>44427</v>
      </c>
    </row>
    <row r="2327" spans="1:7" x14ac:dyDescent="0.3">
      <c r="A2327" s="169" t="s">
        <v>5557</v>
      </c>
      <c r="B2327" s="190" t="s">
        <v>5639</v>
      </c>
      <c r="C2327" s="614" t="s">
        <v>1376</v>
      </c>
      <c r="D2327" s="164">
        <v>138</v>
      </c>
      <c r="E2327" s="165" t="s">
        <v>947</v>
      </c>
      <c r="F2327" s="617">
        <v>44427</v>
      </c>
    </row>
    <row r="2328" spans="1:7" x14ac:dyDescent="0.3">
      <c r="A2328" s="169" t="s">
        <v>5558</v>
      </c>
      <c r="B2328" s="190" t="s">
        <v>5640</v>
      </c>
      <c r="C2328" s="614" t="s">
        <v>1376</v>
      </c>
      <c r="D2328" s="164">
        <v>270</v>
      </c>
      <c r="E2328" s="165" t="s">
        <v>947</v>
      </c>
      <c r="F2328" s="617">
        <v>44427</v>
      </c>
    </row>
    <row r="2329" spans="1:7" x14ac:dyDescent="0.3">
      <c r="A2329" s="169" t="s">
        <v>5559</v>
      </c>
      <c r="B2329" s="190" t="s">
        <v>5641</v>
      </c>
      <c r="C2329" s="614" t="s">
        <v>1376</v>
      </c>
      <c r="D2329" s="164">
        <v>99</v>
      </c>
      <c r="E2329" s="165" t="s">
        <v>947</v>
      </c>
      <c r="F2329" s="617">
        <v>44427</v>
      </c>
    </row>
    <row r="2330" spans="1:7" x14ac:dyDescent="0.3">
      <c r="A2330" s="169" t="s">
        <v>5560</v>
      </c>
      <c r="B2330" s="190" t="s">
        <v>5642</v>
      </c>
      <c r="C2330" s="614" t="s">
        <v>1376</v>
      </c>
      <c r="D2330" s="164">
        <v>138</v>
      </c>
      <c r="E2330" s="165" t="s">
        <v>947</v>
      </c>
      <c r="F2330" s="617">
        <v>44427</v>
      </c>
    </row>
    <row r="2331" spans="1:7" x14ac:dyDescent="0.3">
      <c r="A2331" s="169" t="s">
        <v>5561</v>
      </c>
      <c r="B2331" s="190" t="s">
        <v>5643</v>
      </c>
      <c r="C2331" s="614" t="s">
        <v>1376</v>
      </c>
      <c r="D2331" s="164">
        <v>199</v>
      </c>
      <c r="E2331" s="165" t="s">
        <v>947</v>
      </c>
      <c r="F2331" s="617">
        <v>44427</v>
      </c>
    </row>
    <row r="2332" spans="1:7" x14ac:dyDescent="0.3">
      <c r="A2332" s="169" t="s">
        <v>5562</v>
      </c>
      <c r="B2332" s="190" t="s">
        <v>5644</v>
      </c>
      <c r="C2332" s="614" t="s">
        <v>1376</v>
      </c>
      <c r="D2332" s="164">
        <v>230.54</v>
      </c>
      <c r="E2332" s="165" t="s">
        <v>1058</v>
      </c>
      <c r="F2332" s="617">
        <v>44427</v>
      </c>
    </row>
    <row r="2333" spans="1:7" x14ac:dyDescent="0.3">
      <c r="A2333" s="169" t="s">
        <v>5563</v>
      </c>
      <c r="B2333" s="190" t="s">
        <v>5645</v>
      </c>
      <c r="C2333" s="614" t="s">
        <v>1376</v>
      </c>
      <c r="D2333" s="164">
        <v>159.52666666666667</v>
      </c>
      <c r="E2333" s="165" t="s">
        <v>1058</v>
      </c>
      <c r="F2333" s="617">
        <v>44427</v>
      </c>
    </row>
    <row r="2334" spans="1:7" x14ac:dyDescent="0.3">
      <c r="A2334" s="169" t="s">
        <v>5564</v>
      </c>
      <c r="B2334" s="190" t="s">
        <v>5646</v>
      </c>
      <c r="C2334" s="614" t="s">
        <v>1376</v>
      </c>
      <c r="D2334" s="164">
        <v>276.76</v>
      </c>
      <c r="E2334" s="165" t="s">
        <v>1058</v>
      </c>
      <c r="F2334" s="617">
        <v>44427</v>
      </c>
    </row>
    <row r="2335" spans="1:7" x14ac:dyDescent="0.3">
      <c r="A2335" s="169" t="s">
        <v>5565</v>
      </c>
      <c r="B2335" s="190" t="s">
        <v>5647</v>
      </c>
      <c r="C2335" s="614" t="s">
        <v>1376</v>
      </c>
      <c r="D2335" s="164">
        <v>159.01333333333335</v>
      </c>
      <c r="E2335" s="165" t="s">
        <v>1058</v>
      </c>
      <c r="F2335" s="617">
        <v>44427</v>
      </c>
    </row>
    <row r="2336" spans="1:7" x14ac:dyDescent="0.3">
      <c r="A2336" s="169" t="s">
        <v>5566</v>
      </c>
      <c r="B2336" s="156"/>
      <c r="C2336" s="163"/>
      <c r="D2336" s="164">
        <v>0</v>
      </c>
      <c r="E2336" s="165"/>
      <c r="F2336" s="159" t="s">
        <v>7041</v>
      </c>
      <c r="G2336" s="166"/>
    </row>
    <row r="2337" spans="1:6" x14ac:dyDescent="0.3">
      <c r="A2337" s="169" t="s">
        <v>5567</v>
      </c>
      <c r="B2337" s="190" t="s">
        <v>5648</v>
      </c>
      <c r="C2337" s="614" t="s">
        <v>1376</v>
      </c>
      <c r="D2337" s="164">
        <v>499.53</v>
      </c>
      <c r="E2337" s="165" t="s">
        <v>1058</v>
      </c>
      <c r="F2337" s="617">
        <v>44427</v>
      </c>
    </row>
    <row r="2338" spans="1:6" x14ac:dyDescent="0.3">
      <c r="A2338" s="169" t="s">
        <v>5568</v>
      </c>
      <c r="B2338" s="190" t="s">
        <v>5649</v>
      </c>
      <c r="C2338" s="614" t="s">
        <v>1376</v>
      </c>
      <c r="D2338" s="164">
        <v>817.52</v>
      </c>
      <c r="E2338" s="165" t="s">
        <v>5690</v>
      </c>
      <c r="F2338" s="617">
        <v>44427</v>
      </c>
    </row>
    <row r="2339" spans="1:6" x14ac:dyDescent="0.3">
      <c r="A2339" s="169" t="s">
        <v>5569</v>
      </c>
      <c r="B2339" s="190" t="s">
        <v>5661</v>
      </c>
      <c r="C2339" s="614" t="s">
        <v>1376</v>
      </c>
      <c r="D2339" s="164">
        <v>199.95</v>
      </c>
      <c r="E2339" s="165" t="s">
        <v>5687</v>
      </c>
      <c r="F2339" s="617">
        <v>44427</v>
      </c>
    </row>
    <row r="2340" spans="1:6" x14ac:dyDescent="0.3">
      <c r="A2340" s="169" t="s">
        <v>5570</v>
      </c>
      <c r="B2340" s="190" t="s">
        <v>5650</v>
      </c>
      <c r="C2340" s="614" t="s">
        <v>1376</v>
      </c>
      <c r="D2340" s="164">
        <v>392.72</v>
      </c>
      <c r="E2340" s="165" t="s">
        <v>1058</v>
      </c>
      <c r="F2340" s="617">
        <v>44427</v>
      </c>
    </row>
    <row r="2341" spans="1:6" x14ac:dyDescent="0.3">
      <c r="A2341" s="169" t="s">
        <v>5571</v>
      </c>
      <c r="B2341" s="190" t="s">
        <v>5651</v>
      </c>
      <c r="C2341" s="614" t="s">
        <v>1376</v>
      </c>
      <c r="D2341" s="164">
        <v>804.61</v>
      </c>
      <c r="E2341" s="165" t="s">
        <v>1058</v>
      </c>
      <c r="F2341" s="617">
        <v>44427</v>
      </c>
    </row>
    <row r="2342" spans="1:6" x14ac:dyDescent="0.3">
      <c r="A2342" s="169" t="s">
        <v>5572</v>
      </c>
      <c r="B2342" s="190" t="s">
        <v>5684</v>
      </c>
      <c r="C2342" s="614" t="s">
        <v>1376</v>
      </c>
      <c r="D2342" s="164">
        <v>34.25</v>
      </c>
      <c r="E2342" s="165" t="s">
        <v>1058</v>
      </c>
      <c r="F2342" s="617">
        <v>44427</v>
      </c>
    </row>
    <row r="2343" spans="1:6" x14ac:dyDescent="0.3">
      <c r="A2343" s="169" t="s">
        <v>5573</v>
      </c>
      <c r="B2343" s="190" t="s">
        <v>7768</v>
      </c>
      <c r="C2343" s="163" t="s">
        <v>89</v>
      </c>
      <c r="D2343" s="837">
        <v>6.03667</v>
      </c>
      <c r="E2343" s="165" t="s">
        <v>7310</v>
      </c>
      <c r="F2343" s="166">
        <v>45597</v>
      </c>
    </row>
    <row r="2344" spans="1:6" x14ac:dyDescent="0.3">
      <c r="A2344" s="169" t="s">
        <v>5574</v>
      </c>
      <c r="B2344" s="749" t="s">
        <v>5665</v>
      </c>
      <c r="C2344" s="163" t="s">
        <v>73</v>
      </c>
      <c r="D2344" s="164">
        <v>179.9</v>
      </c>
      <c r="E2344" s="165" t="s">
        <v>1024</v>
      </c>
      <c r="F2344" s="617">
        <v>44427</v>
      </c>
    </row>
    <row r="2345" spans="1:6" x14ac:dyDescent="0.3">
      <c r="A2345" s="169" t="s">
        <v>5575</v>
      </c>
      <c r="B2345" s="190" t="s">
        <v>5666</v>
      </c>
      <c r="C2345" s="163" t="s">
        <v>73</v>
      </c>
      <c r="D2345" s="164">
        <v>79</v>
      </c>
      <c r="E2345" s="165" t="s">
        <v>4768</v>
      </c>
      <c r="F2345" s="617">
        <v>44428</v>
      </c>
    </row>
    <row r="2346" spans="1:6" x14ac:dyDescent="0.3">
      <c r="A2346" s="169" t="s">
        <v>5576</v>
      </c>
      <c r="B2346" s="190" t="s">
        <v>5667</v>
      </c>
      <c r="C2346" s="163" t="s">
        <v>73</v>
      </c>
      <c r="D2346" s="164">
        <v>79</v>
      </c>
      <c r="E2346" s="165" t="s">
        <v>4768</v>
      </c>
      <c r="F2346" s="617">
        <v>44428</v>
      </c>
    </row>
    <row r="2347" spans="1:6" x14ac:dyDescent="0.3">
      <c r="A2347" s="169" t="s">
        <v>5577</v>
      </c>
      <c r="B2347" s="190" t="s">
        <v>5668</v>
      </c>
      <c r="C2347" s="163" t="s">
        <v>73</v>
      </c>
      <c r="D2347" s="164">
        <v>129</v>
      </c>
      <c r="E2347" s="165" t="s">
        <v>4768</v>
      </c>
      <c r="F2347" s="617">
        <v>44427</v>
      </c>
    </row>
    <row r="2348" spans="1:6" x14ac:dyDescent="0.3">
      <c r="A2348" s="169" t="s">
        <v>5578</v>
      </c>
      <c r="B2348" s="190" t="s">
        <v>5675</v>
      </c>
      <c r="C2348" s="163" t="s">
        <v>29</v>
      </c>
      <c r="D2348" s="164">
        <v>4500</v>
      </c>
      <c r="E2348" s="165" t="s">
        <v>5302</v>
      </c>
      <c r="F2348" s="617">
        <v>44427</v>
      </c>
    </row>
    <row r="2349" spans="1:6" x14ac:dyDescent="0.3">
      <c r="A2349" s="169" t="s">
        <v>5579</v>
      </c>
      <c r="B2349" s="190" t="s">
        <v>5677</v>
      </c>
      <c r="C2349" s="163" t="s">
        <v>73</v>
      </c>
      <c r="D2349" s="164">
        <f>((((7200/88)*1.03)/1.03)*1.02)/1.02</f>
        <v>81.818181818181813</v>
      </c>
      <c r="E2349" s="165" t="s">
        <v>5685</v>
      </c>
      <c r="F2349" s="617"/>
    </row>
    <row r="2350" spans="1:6" x14ac:dyDescent="0.3">
      <c r="A2350" s="169" t="s">
        <v>5580</v>
      </c>
      <c r="B2350" s="190" t="s">
        <v>5678</v>
      </c>
      <c r="C2350" s="163" t="s">
        <v>73</v>
      </c>
      <c r="D2350" s="164">
        <f>((((1800/88)*1.03)/1.03)*1.02)/1.02</f>
        <v>20.454545454545453</v>
      </c>
      <c r="E2350" s="165" t="s">
        <v>5685</v>
      </c>
      <c r="F2350" s="617"/>
    </row>
    <row r="2351" spans="1:6" x14ac:dyDescent="0.3">
      <c r="A2351" s="169" t="s">
        <v>5581</v>
      </c>
      <c r="B2351" s="190" t="s">
        <v>5679</v>
      </c>
      <c r="C2351" s="163" t="s">
        <v>73</v>
      </c>
      <c r="D2351" s="164">
        <f>((((6000/14.72)*1.03)/1.03)*1.02)/1.02</f>
        <v>407.60869565217388</v>
      </c>
      <c r="E2351" s="165"/>
      <c r="F2351" s="617"/>
    </row>
    <row r="2352" spans="1:6" x14ac:dyDescent="0.3">
      <c r="A2352" s="169" t="s">
        <v>5582</v>
      </c>
      <c r="B2352" s="190" t="s">
        <v>5691</v>
      </c>
      <c r="C2352" s="163" t="s">
        <v>73</v>
      </c>
      <c r="D2352" s="164">
        <f>((((40902/85)*1.03)/1.03)*1.02)/1.02</f>
        <v>481.2</v>
      </c>
      <c r="E2352" s="165"/>
      <c r="F2352" s="617"/>
    </row>
    <row r="2353" spans="1:6" x14ac:dyDescent="0.3">
      <c r="A2353" s="169" t="s">
        <v>5583</v>
      </c>
      <c r="B2353" s="190" t="s">
        <v>5692</v>
      </c>
      <c r="C2353" s="163" t="s">
        <v>73</v>
      </c>
      <c r="D2353" s="164">
        <v>7.5</v>
      </c>
      <c r="E2353" s="165" t="s">
        <v>5693</v>
      </c>
      <c r="F2353" s="617">
        <v>44428</v>
      </c>
    </row>
    <row r="2354" spans="1:6" x14ac:dyDescent="0.3">
      <c r="A2354" s="169" t="s">
        <v>5584</v>
      </c>
      <c r="B2354" s="190" t="s">
        <v>5803</v>
      </c>
      <c r="C2354" s="163" t="s">
        <v>3238</v>
      </c>
      <c r="D2354" s="164">
        <v>80</v>
      </c>
      <c r="E2354" s="165" t="s">
        <v>5350</v>
      </c>
      <c r="F2354" s="617">
        <v>44470</v>
      </c>
    </row>
    <row r="2355" spans="1:6" x14ac:dyDescent="0.3">
      <c r="A2355" s="169" t="s">
        <v>5585</v>
      </c>
      <c r="B2355" s="190" t="s">
        <v>5801</v>
      </c>
      <c r="C2355" s="163" t="s">
        <v>3238</v>
      </c>
      <c r="D2355" s="164">
        <v>60</v>
      </c>
      <c r="E2355" s="165" t="s">
        <v>5350</v>
      </c>
      <c r="F2355" s="617">
        <v>44470</v>
      </c>
    </row>
    <row r="2356" spans="1:6" x14ac:dyDescent="0.3">
      <c r="A2356" s="169" t="s">
        <v>5717</v>
      </c>
      <c r="B2356" s="190" t="s">
        <v>5802</v>
      </c>
      <c r="C2356" s="163" t="s">
        <v>3238</v>
      </c>
      <c r="D2356" s="164">
        <v>300</v>
      </c>
      <c r="E2356" s="165" t="s">
        <v>5350</v>
      </c>
      <c r="F2356" s="617">
        <v>44470</v>
      </c>
    </row>
    <row r="2357" spans="1:6" ht="24.6" x14ac:dyDescent="0.3">
      <c r="A2357" s="169" t="s">
        <v>5718</v>
      </c>
      <c r="B2357" s="190" t="s">
        <v>5731</v>
      </c>
      <c r="C2357" s="163" t="s">
        <v>3238</v>
      </c>
      <c r="D2357" s="164">
        <v>2247</v>
      </c>
      <c r="E2357" s="165" t="s">
        <v>5350</v>
      </c>
      <c r="F2357" s="617">
        <v>44470</v>
      </c>
    </row>
    <row r="2358" spans="1:6" x14ac:dyDescent="0.3">
      <c r="A2358" s="169" t="s">
        <v>5719</v>
      </c>
      <c r="B2358" s="190" t="s">
        <v>5732</v>
      </c>
      <c r="C2358" s="163" t="s">
        <v>3238</v>
      </c>
      <c r="D2358" s="164">
        <v>1380</v>
      </c>
      <c r="E2358" s="165" t="s">
        <v>5350</v>
      </c>
      <c r="F2358" s="617">
        <v>44470</v>
      </c>
    </row>
    <row r="2359" spans="1:6" x14ac:dyDescent="0.3">
      <c r="A2359" s="169" t="s">
        <v>5720</v>
      </c>
      <c r="B2359" s="190" t="s">
        <v>5733</v>
      </c>
      <c r="C2359" s="163" t="s">
        <v>3238</v>
      </c>
      <c r="D2359" s="164">
        <v>1560</v>
      </c>
      <c r="E2359" s="165" t="s">
        <v>5350</v>
      </c>
      <c r="F2359" s="617">
        <v>44470</v>
      </c>
    </row>
    <row r="2360" spans="1:6" x14ac:dyDescent="0.3">
      <c r="A2360" s="169" t="s">
        <v>5721</v>
      </c>
      <c r="B2360" s="190" t="s">
        <v>5734</v>
      </c>
      <c r="C2360" s="163" t="s">
        <v>3238</v>
      </c>
      <c r="D2360" s="164">
        <v>4315.2</v>
      </c>
      <c r="E2360" s="165" t="s">
        <v>5350</v>
      </c>
      <c r="F2360" s="617">
        <v>44470</v>
      </c>
    </row>
    <row r="2361" spans="1:6" x14ac:dyDescent="0.3">
      <c r="A2361" s="169" t="s">
        <v>5722</v>
      </c>
      <c r="B2361" s="190" t="s">
        <v>5735</v>
      </c>
      <c r="C2361" s="163" t="s">
        <v>3238</v>
      </c>
      <c r="D2361" s="164">
        <v>474.05</v>
      </c>
      <c r="E2361" s="165" t="s">
        <v>5350</v>
      </c>
      <c r="F2361" s="617">
        <v>44470</v>
      </c>
    </row>
    <row r="2362" spans="1:6" x14ac:dyDescent="0.3">
      <c r="A2362" s="169" t="s">
        <v>5723</v>
      </c>
      <c r="B2362" s="190" t="s">
        <v>5736</v>
      </c>
      <c r="C2362" s="163" t="s">
        <v>73</v>
      </c>
      <c r="D2362" s="164">
        <v>1450</v>
      </c>
      <c r="E2362" s="165" t="s">
        <v>5664</v>
      </c>
      <c r="F2362" s="617">
        <v>44470</v>
      </c>
    </row>
    <row r="2363" spans="1:6" x14ac:dyDescent="0.3">
      <c r="A2363" s="169" t="s">
        <v>5724</v>
      </c>
      <c r="B2363" s="190" t="s">
        <v>5737</v>
      </c>
      <c r="C2363" s="163" t="s">
        <v>73</v>
      </c>
      <c r="D2363" s="164">
        <v>1398.8095238095236</v>
      </c>
      <c r="E2363" s="165" t="s">
        <v>5664</v>
      </c>
      <c r="F2363" s="617">
        <v>44470</v>
      </c>
    </row>
    <row r="2364" spans="1:6" ht="24.6" x14ac:dyDescent="0.3">
      <c r="A2364" s="169" t="s">
        <v>5725</v>
      </c>
      <c r="B2364" s="190" t="s">
        <v>5738</v>
      </c>
      <c r="C2364" s="163" t="s">
        <v>73</v>
      </c>
      <c r="D2364" s="164">
        <v>1450</v>
      </c>
      <c r="E2364" s="165" t="s">
        <v>5664</v>
      </c>
      <c r="F2364" s="617">
        <v>44470</v>
      </c>
    </row>
    <row r="2365" spans="1:6" x14ac:dyDescent="0.3">
      <c r="A2365" s="169" t="s">
        <v>5726</v>
      </c>
      <c r="B2365" s="190" t="s">
        <v>5739</v>
      </c>
      <c r="C2365" s="163" t="s">
        <v>73</v>
      </c>
      <c r="D2365" s="164">
        <v>912.12121212121201</v>
      </c>
      <c r="E2365" s="165" t="s">
        <v>5664</v>
      </c>
      <c r="F2365" s="617">
        <v>44470</v>
      </c>
    </row>
    <row r="2366" spans="1:6" x14ac:dyDescent="0.3">
      <c r="A2366" s="169" t="s">
        <v>5727</v>
      </c>
      <c r="B2366" s="190" t="s">
        <v>5740</v>
      </c>
      <c r="C2366" s="163" t="s">
        <v>73</v>
      </c>
      <c r="D2366" s="164">
        <v>947.00757575757564</v>
      </c>
      <c r="E2366" s="165" t="s">
        <v>5664</v>
      </c>
      <c r="F2366" s="617">
        <v>44470</v>
      </c>
    </row>
    <row r="2367" spans="1:6" x14ac:dyDescent="0.3">
      <c r="A2367" s="169" t="s">
        <v>5728</v>
      </c>
      <c r="B2367" s="190" t="s">
        <v>5741</v>
      </c>
      <c r="C2367" s="163" t="s">
        <v>73</v>
      </c>
      <c r="D2367" s="164">
        <v>952.38095238095218</v>
      </c>
      <c r="E2367" s="165" t="s">
        <v>5664</v>
      </c>
      <c r="F2367" s="617">
        <v>44470</v>
      </c>
    </row>
    <row r="2368" spans="1:6" x14ac:dyDescent="0.3">
      <c r="A2368" s="169" t="s">
        <v>5729</v>
      </c>
      <c r="B2368" s="190" t="s">
        <v>5742</v>
      </c>
      <c r="C2368" s="163" t="s">
        <v>73</v>
      </c>
      <c r="D2368" s="164">
        <v>862.24843858431632</v>
      </c>
      <c r="E2368" s="165" t="s">
        <v>5664</v>
      </c>
      <c r="F2368" s="617">
        <v>44470</v>
      </c>
    </row>
    <row r="2369" spans="1:7" x14ac:dyDescent="0.3">
      <c r="A2369" s="169" t="s">
        <v>5730</v>
      </c>
      <c r="B2369" s="190" t="s">
        <v>5743</v>
      </c>
      <c r="C2369" s="163" t="s">
        <v>73</v>
      </c>
      <c r="D2369" s="164">
        <v>780.30303030303025</v>
      </c>
      <c r="E2369" s="165" t="s">
        <v>5664</v>
      </c>
      <c r="F2369" s="617">
        <v>44470</v>
      </c>
    </row>
    <row r="2370" spans="1:7" x14ac:dyDescent="0.3">
      <c r="A2370" s="169" t="s">
        <v>5745</v>
      </c>
      <c r="B2370" s="190" t="s">
        <v>5744</v>
      </c>
      <c r="C2370" s="163" t="s">
        <v>73</v>
      </c>
      <c r="D2370" s="164">
        <v>880.34495149119653</v>
      </c>
      <c r="E2370" s="165" t="s">
        <v>5664</v>
      </c>
      <c r="F2370" s="617">
        <v>44470</v>
      </c>
    </row>
    <row r="2371" spans="1:7" x14ac:dyDescent="0.3">
      <c r="A2371" s="169" t="s">
        <v>5746</v>
      </c>
      <c r="B2371" s="190" t="s">
        <v>5789</v>
      </c>
      <c r="C2371" s="163" t="s">
        <v>73</v>
      </c>
      <c r="D2371" s="164">
        <v>183</v>
      </c>
      <c r="E2371" s="165" t="s">
        <v>5797</v>
      </c>
      <c r="F2371" s="617">
        <v>44473</v>
      </c>
    </row>
    <row r="2372" spans="1:7" x14ac:dyDescent="0.3">
      <c r="A2372" s="169" t="s">
        <v>5747</v>
      </c>
      <c r="B2372" s="190" t="s">
        <v>5768</v>
      </c>
      <c r="C2372" s="163" t="s">
        <v>73</v>
      </c>
      <c r="D2372" s="164">
        <v>12</v>
      </c>
      <c r="E2372" s="165" t="s">
        <v>5769</v>
      </c>
      <c r="F2372" s="617">
        <v>44470</v>
      </c>
    </row>
    <row r="2373" spans="1:7" x14ac:dyDescent="0.3">
      <c r="A2373" s="169" t="s">
        <v>5748</v>
      </c>
      <c r="B2373" s="190" t="s">
        <v>5770</v>
      </c>
      <c r="C2373" s="163" t="s">
        <v>73</v>
      </c>
      <c r="D2373" s="164">
        <v>50</v>
      </c>
      <c r="E2373" s="165" t="s">
        <v>5183</v>
      </c>
      <c r="F2373" s="617">
        <v>44470</v>
      </c>
    </row>
    <row r="2374" spans="1:7" x14ac:dyDescent="0.3">
      <c r="A2374" s="169" t="s">
        <v>5749</v>
      </c>
      <c r="B2374" s="190" t="s">
        <v>5771</v>
      </c>
      <c r="C2374" s="163" t="s">
        <v>73</v>
      </c>
      <c r="D2374" s="164">
        <v>50</v>
      </c>
      <c r="E2374" s="165" t="s">
        <v>5183</v>
      </c>
      <c r="F2374" s="617">
        <v>44470</v>
      </c>
    </row>
    <row r="2375" spans="1:7" x14ac:dyDescent="0.3">
      <c r="A2375" s="169" t="s">
        <v>5750</v>
      </c>
      <c r="B2375" s="190" t="s">
        <v>5772</v>
      </c>
      <c r="C2375" s="163" t="s">
        <v>73</v>
      </c>
      <c r="D2375" s="164">
        <v>48</v>
      </c>
      <c r="E2375" s="165" t="s">
        <v>5183</v>
      </c>
      <c r="F2375" s="617">
        <v>44470</v>
      </c>
    </row>
    <row r="2376" spans="1:7" x14ac:dyDescent="0.3">
      <c r="A2376" s="169" t="s">
        <v>5751</v>
      </c>
      <c r="B2376" s="190" t="s">
        <v>5773</v>
      </c>
      <c r="C2376" s="163" t="s">
        <v>73</v>
      </c>
      <c r="D2376" s="164">
        <v>42</v>
      </c>
      <c r="E2376" s="165" t="s">
        <v>5183</v>
      </c>
      <c r="F2376" s="617">
        <v>44470</v>
      </c>
    </row>
    <row r="2377" spans="1:7" x14ac:dyDescent="0.3">
      <c r="A2377" s="169" t="s">
        <v>5752</v>
      </c>
      <c r="B2377" s="190" t="s">
        <v>5774</v>
      </c>
      <c r="C2377" s="614" t="s">
        <v>1376</v>
      </c>
      <c r="D2377" s="164">
        <v>3913.78</v>
      </c>
      <c r="E2377" s="165" t="s">
        <v>5110</v>
      </c>
      <c r="F2377" s="617">
        <v>44470</v>
      </c>
    </row>
    <row r="2378" spans="1:7" x14ac:dyDescent="0.3">
      <c r="A2378" s="169" t="s">
        <v>5753</v>
      </c>
      <c r="B2378" s="190" t="s">
        <v>5775</v>
      </c>
      <c r="C2378" s="614" t="s">
        <v>1376</v>
      </c>
      <c r="D2378" s="164">
        <v>786.66</v>
      </c>
      <c r="E2378" s="165" t="s">
        <v>5110</v>
      </c>
      <c r="F2378" s="617">
        <v>44470</v>
      </c>
    </row>
    <row r="2379" spans="1:7" x14ac:dyDescent="0.3">
      <c r="A2379" s="169" t="s">
        <v>5754</v>
      </c>
      <c r="B2379" s="190" t="s">
        <v>5776</v>
      </c>
      <c r="C2379" s="614" t="s">
        <v>1376</v>
      </c>
      <c r="D2379" s="164">
        <v>41.74</v>
      </c>
      <c r="E2379" s="165" t="s">
        <v>5110</v>
      </c>
      <c r="F2379" s="617">
        <v>44470</v>
      </c>
    </row>
    <row r="2380" spans="1:7" x14ac:dyDescent="0.3">
      <c r="A2380" s="169" t="s">
        <v>5755</v>
      </c>
      <c r="B2380" s="190" t="s">
        <v>5777</v>
      </c>
      <c r="C2380" s="614" t="s">
        <v>1376</v>
      </c>
      <c r="D2380" s="164">
        <v>273.88</v>
      </c>
      <c r="E2380" s="165" t="s">
        <v>5110</v>
      </c>
      <c r="F2380" s="617">
        <v>44470</v>
      </c>
    </row>
    <row r="2381" spans="1:7" x14ac:dyDescent="0.3">
      <c r="A2381" s="169" t="s">
        <v>5756</v>
      </c>
      <c r="B2381" s="190" t="s">
        <v>5778</v>
      </c>
      <c r="C2381" s="614" t="s">
        <v>1376</v>
      </c>
      <c r="D2381" s="164">
        <v>468</v>
      </c>
      <c r="E2381" s="165" t="s">
        <v>5110</v>
      </c>
      <c r="F2381" s="617">
        <v>44470</v>
      </c>
    </row>
    <row r="2382" spans="1:7" x14ac:dyDescent="0.3">
      <c r="A2382" s="169" t="s">
        <v>5757</v>
      </c>
      <c r="B2382" s="190" t="s">
        <v>5779</v>
      </c>
      <c r="C2382" s="614" t="s">
        <v>1376</v>
      </c>
      <c r="D2382" s="164">
        <v>60.8</v>
      </c>
      <c r="E2382" s="165" t="s">
        <v>5110</v>
      </c>
      <c r="F2382" s="617">
        <v>44470</v>
      </c>
    </row>
    <row r="2383" spans="1:7" x14ac:dyDescent="0.3">
      <c r="A2383" s="169" t="s">
        <v>5758</v>
      </c>
      <c r="B2383" s="190" t="s">
        <v>5780</v>
      </c>
      <c r="C2383" s="163" t="s">
        <v>3228</v>
      </c>
      <c r="D2383" s="164">
        <v>75</v>
      </c>
      <c r="E2383" s="165" t="s">
        <v>4768</v>
      </c>
      <c r="F2383" s="617">
        <v>44473</v>
      </c>
      <c r="G2383" s="766"/>
    </row>
    <row r="2384" spans="1:7" x14ac:dyDescent="0.3">
      <c r="A2384" s="169" t="s">
        <v>5759</v>
      </c>
      <c r="B2384" s="190" t="s">
        <v>5781</v>
      </c>
      <c r="C2384" s="163" t="s">
        <v>3228</v>
      </c>
      <c r="D2384" s="164">
        <v>85.81</v>
      </c>
      <c r="E2384" s="165" t="s">
        <v>5787</v>
      </c>
      <c r="F2384" s="617">
        <v>44470</v>
      </c>
    </row>
    <row r="2385" spans="1:7" x14ac:dyDescent="0.3">
      <c r="A2385" s="169" t="s">
        <v>5760</v>
      </c>
      <c r="B2385" s="190" t="s">
        <v>5782</v>
      </c>
      <c r="C2385" s="163" t="s">
        <v>3228</v>
      </c>
      <c r="D2385" s="164">
        <v>94.92</v>
      </c>
      <c r="E2385" s="165" t="s">
        <v>5787</v>
      </c>
      <c r="F2385" s="617">
        <v>44470</v>
      </c>
    </row>
    <row r="2386" spans="1:7" x14ac:dyDescent="0.3">
      <c r="A2386" s="169" t="s">
        <v>5761</v>
      </c>
      <c r="B2386" s="190" t="s">
        <v>5783</v>
      </c>
      <c r="C2386" s="163" t="s">
        <v>3228</v>
      </c>
      <c r="D2386" s="164">
        <v>56.75</v>
      </c>
      <c r="E2386" s="165" t="s">
        <v>5787</v>
      </c>
      <c r="F2386" s="617">
        <v>44470</v>
      </c>
    </row>
    <row r="2387" spans="1:7" x14ac:dyDescent="0.3">
      <c r="A2387" s="169" t="s">
        <v>5762</v>
      </c>
      <c r="B2387" s="190" t="s">
        <v>5784</v>
      </c>
      <c r="C2387" s="163" t="s">
        <v>3228</v>
      </c>
      <c r="D2387" s="164">
        <f>(((((21966.85-1900)/99.88)*1.03)/1.03)*1.02)/1.02</f>
        <v>200.90959150981178</v>
      </c>
      <c r="E2387" s="165" t="s">
        <v>5788</v>
      </c>
      <c r="F2387" s="617">
        <v>44470</v>
      </c>
    </row>
    <row r="2388" spans="1:7" x14ac:dyDescent="0.3">
      <c r="A2388" s="169" t="s">
        <v>5763</v>
      </c>
      <c r="B2388" s="190" t="s">
        <v>5785</v>
      </c>
      <c r="C2388" s="163" t="s">
        <v>5786</v>
      </c>
      <c r="D2388" s="837">
        <v>81.5</v>
      </c>
      <c r="E2388" s="165" t="s">
        <v>5795</v>
      </c>
      <c r="F2388" s="617">
        <v>44473</v>
      </c>
      <c r="G2388" s="766" t="s">
        <v>5796</v>
      </c>
    </row>
    <row r="2389" spans="1:7" x14ac:dyDescent="0.3">
      <c r="A2389" s="169" t="s">
        <v>5764</v>
      </c>
      <c r="B2389" s="190" t="s">
        <v>5790</v>
      </c>
      <c r="C2389" s="163" t="s">
        <v>5791</v>
      </c>
      <c r="D2389" s="837">
        <v>37.36</v>
      </c>
      <c r="E2389" s="165" t="s">
        <v>5792</v>
      </c>
      <c r="F2389" s="617">
        <v>44473</v>
      </c>
    </row>
    <row r="2390" spans="1:7" x14ac:dyDescent="0.3">
      <c r="A2390" s="169" t="s">
        <v>5765</v>
      </c>
      <c r="B2390" s="190" t="s">
        <v>5793</v>
      </c>
      <c r="C2390" s="163" t="s">
        <v>5791</v>
      </c>
      <c r="D2390" s="837">
        <v>31.200000000000003</v>
      </c>
      <c r="E2390" s="165" t="s">
        <v>5792</v>
      </c>
      <c r="F2390" s="617">
        <v>44473</v>
      </c>
    </row>
    <row r="2391" spans="1:7" x14ac:dyDescent="0.3">
      <c r="A2391" s="169" t="s">
        <v>5766</v>
      </c>
      <c r="B2391" s="156" t="s">
        <v>7420</v>
      </c>
      <c r="C2391" s="163" t="s">
        <v>89</v>
      </c>
      <c r="D2391" s="837">
        <v>6.03667</v>
      </c>
      <c r="E2391" s="165" t="s">
        <v>7027</v>
      </c>
      <c r="F2391" s="166">
        <v>45597</v>
      </c>
    </row>
    <row r="2392" spans="1:7" x14ac:dyDescent="0.3">
      <c r="A2392" s="169" t="s">
        <v>5767</v>
      </c>
      <c r="B2392" s="190" t="s">
        <v>7266</v>
      </c>
      <c r="C2392" s="163" t="s">
        <v>89</v>
      </c>
      <c r="D2392" s="837">
        <v>6.6403600000000003</v>
      </c>
      <c r="E2392" s="165" t="s">
        <v>7027</v>
      </c>
      <c r="F2392" s="166">
        <v>45597</v>
      </c>
    </row>
    <row r="2393" spans="1:7" x14ac:dyDescent="0.3">
      <c r="A2393" s="169" t="s">
        <v>5807</v>
      </c>
      <c r="B2393" s="156" t="s">
        <v>5808</v>
      </c>
      <c r="C2393" s="163" t="s">
        <v>72</v>
      </c>
      <c r="D2393" s="837">
        <f>((((365*0.3)*1.03)/1.03)*1.02)/1.02</f>
        <v>109.5</v>
      </c>
      <c r="E2393" s="165" t="s">
        <v>5693</v>
      </c>
      <c r="F2393" s="617"/>
    </row>
    <row r="2394" spans="1:7" x14ac:dyDescent="0.3">
      <c r="A2394" s="169" t="s">
        <v>5810</v>
      </c>
      <c r="B2394" s="190" t="s">
        <v>5809</v>
      </c>
      <c r="C2394" s="163" t="s">
        <v>72</v>
      </c>
      <c r="D2394" s="837">
        <v>30</v>
      </c>
      <c r="E2394" s="165" t="s">
        <v>5693</v>
      </c>
      <c r="F2394" s="617"/>
    </row>
    <row r="2395" spans="1:7" x14ac:dyDescent="0.3">
      <c r="A2395" s="169" t="s">
        <v>5812</v>
      </c>
      <c r="B2395" s="190" t="s">
        <v>5813</v>
      </c>
      <c r="C2395" s="614" t="s">
        <v>1376</v>
      </c>
      <c r="D2395" s="837">
        <v>30</v>
      </c>
      <c r="E2395" s="165" t="s">
        <v>5164</v>
      </c>
      <c r="F2395" s="617">
        <v>44484</v>
      </c>
    </row>
    <row r="2396" spans="1:7" x14ac:dyDescent="0.3">
      <c r="A2396" s="169" t="s">
        <v>5814</v>
      </c>
      <c r="B2396" s="156" t="s">
        <v>8044</v>
      </c>
      <c r="C2396" s="163" t="s">
        <v>89</v>
      </c>
      <c r="D2396" s="837">
        <v>6.6403600000000003</v>
      </c>
      <c r="E2396" s="165" t="s">
        <v>7027</v>
      </c>
      <c r="F2396" s="166">
        <v>45597</v>
      </c>
    </row>
    <row r="2397" spans="1:7" x14ac:dyDescent="0.3">
      <c r="A2397" s="169" t="s">
        <v>5815</v>
      </c>
      <c r="B2397" s="190" t="s">
        <v>5833</v>
      </c>
      <c r="C2397" s="163" t="s">
        <v>5791</v>
      </c>
      <c r="D2397" s="837">
        <v>0</v>
      </c>
      <c r="E2397" s="165"/>
      <c r="F2397" s="617"/>
    </row>
    <row r="2398" spans="1:7" x14ac:dyDescent="0.3">
      <c r="A2398" s="169" t="s">
        <v>5816</v>
      </c>
      <c r="B2398" s="190" t="s">
        <v>5834</v>
      </c>
      <c r="C2398" s="163" t="s">
        <v>73</v>
      </c>
      <c r="D2398" s="837">
        <v>299.99</v>
      </c>
      <c r="E2398" s="165" t="s">
        <v>3630</v>
      </c>
      <c r="F2398" s="617">
        <v>44484</v>
      </c>
    </row>
    <row r="2399" spans="1:7" x14ac:dyDescent="0.3">
      <c r="A2399" s="169" t="s">
        <v>5817</v>
      </c>
      <c r="B2399" s="190" t="s">
        <v>5835</v>
      </c>
      <c r="C2399" s="163" t="s">
        <v>73</v>
      </c>
      <c r="D2399" s="837">
        <v>299.99</v>
      </c>
      <c r="E2399" s="165" t="s">
        <v>3630</v>
      </c>
      <c r="F2399" s="617">
        <v>44484</v>
      </c>
    </row>
    <row r="2400" spans="1:7" x14ac:dyDescent="0.3">
      <c r="A2400" s="169" t="s">
        <v>5818</v>
      </c>
      <c r="B2400" s="190" t="s">
        <v>5836</v>
      </c>
      <c r="C2400" s="163" t="s">
        <v>73</v>
      </c>
      <c r="D2400" s="164">
        <v>299.99</v>
      </c>
      <c r="E2400" s="165" t="s">
        <v>3630</v>
      </c>
      <c r="F2400" s="617">
        <v>44484</v>
      </c>
    </row>
    <row r="2401" spans="1:6" x14ac:dyDescent="0.3">
      <c r="A2401" s="169" t="s">
        <v>5819</v>
      </c>
      <c r="B2401" s="190" t="s">
        <v>5837</v>
      </c>
      <c r="C2401" s="163" t="s">
        <v>73</v>
      </c>
      <c r="D2401" s="164">
        <v>259.99</v>
      </c>
      <c r="E2401" s="165" t="s">
        <v>3630</v>
      </c>
      <c r="F2401" s="617">
        <v>44484</v>
      </c>
    </row>
    <row r="2402" spans="1:6" x14ac:dyDescent="0.3">
      <c r="A2402" s="169" t="s">
        <v>5820</v>
      </c>
      <c r="B2402" s="190" t="s">
        <v>5838</v>
      </c>
      <c r="C2402" s="163" t="s">
        <v>73</v>
      </c>
      <c r="D2402" s="164">
        <v>479.99</v>
      </c>
      <c r="E2402" s="165" t="s">
        <v>3630</v>
      </c>
      <c r="F2402" s="617">
        <v>44484</v>
      </c>
    </row>
    <row r="2403" spans="1:6" x14ac:dyDescent="0.3">
      <c r="A2403" s="169" t="s">
        <v>5821</v>
      </c>
      <c r="B2403" s="190" t="s">
        <v>5839</v>
      </c>
      <c r="C2403" s="163" t="s">
        <v>5791</v>
      </c>
      <c r="D2403" s="164">
        <v>0</v>
      </c>
      <c r="E2403" s="165"/>
      <c r="F2403" s="617"/>
    </row>
    <row r="2404" spans="1:6" x14ac:dyDescent="0.3">
      <c r="A2404" s="169" t="s">
        <v>5822</v>
      </c>
      <c r="B2404" s="190" t="s">
        <v>5840</v>
      </c>
      <c r="C2404" s="163" t="s">
        <v>73</v>
      </c>
      <c r="D2404" s="164">
        <v>169.99</v>
      </c>
      <c r="E2404" s="165" t="s">
        <v>3630</v>
      </c>
      <c r="F2404" s="617">
        <v>44484</v>
      </c>
    </row>
    <row r="2405" spans="1:6" x14ac:dyDescent="0.3">
      <c r="A2405" s="169" t="s">
        <v>5823</v>
      </c>
      <c r="B2405" s="190" t="s">
        <v>5841</v>
      </c>
      <c r="C2405" s="163" t="s">
        <v>5791</v>
      </c>
      <c r="D2405" s="164">
        <v>0</v>
      </c>
      <c r="E2405" s="165"/>
      <c r="F2405" s="617"/>
    </row>
    <row r="2406" spans="1:6" ht="24.6" x14ac:dyDescent="0.3">
      <c r="A2406" s="169" t="s">
        <v>5824</v>
      </c>
      <c r="B2406" s="190" t="s">
        <v>5842</v>
      </c>
      <c r="C2406" s="163" t="s">
        <v>3238</v>
      </c>
      <c r="D2406" s="164">
        <f>((((622.47+258.5+206.8+100)*1.03)/1.03)*1.02)/1.02</f>
        <v>1187.77</v>
      </c>
      <c r="E2406" s="165" t="s">
        <v>5350</v>
      </c>
      <c r="F2406" s="617">
        <v>44484</v>
      </c>
    </row>
    <row r="2407" spans="1:6" x14ac:dyDescent="0.3">
      <c r="A2407" s="169" t="s">
        <v>5825</v>
      </c>
      <c r="B2407" s="190" t="s">
        <v>5843</v>
      </c>
      <c r="C2407" s="163" t="s">
        <v>3238</v>
      </c>
      <c r="D2407" s="164">
        <f>((((191.7/2)*1.03)/1.03)*1.02)/1.02</f>
        <v>95.85</v>
      </c>
      <c r="E2407" s="165" t="s">
        <v>5350</v>
      </c>
      <c r="F2407" s="617">
        <v>44484</v>
      </c>
    </row>
    <row r="2408" spans="1:6" x14ac:dyDescent="0.3">
      <c r="A2408" s="169" t="s">
        <v>5826</v>
      </c>
      <c r="B2408" s="190" t="s">
        <v>5844</v>
      </c>
      <c r="C2408" s="163" t="s">
        <v>3238</v>
      </c>
      <c r="D2408" s="164">
        <v>108</v>
      </c>
      <c r="E2408" s="165" t="s">
        <v>5350</v>
      </c>
      <c r="F2408" s="617">
        <v>44484</v>
      </c>
    </row>
    <row r="2409" spans="1:6" x14ac:dyDescent="0.3">
      <c r="A2409" s="169" t="s">
        <v>5827</v>
      </c>
      <c r="B2409" s="190" t="s">
        <v>5845</v>
      </c>
      <c r="C2409" s="163" t="s">
        <v>3238</v>
      </c>
      <c r="D2409" s="164">
        <v>135</v>
      </c>
      <c r="E2409" s="165" t="s">
        <v>5350</v>
      </c>
      <c r="F2409" s="617">
        <v>44484</v>
      </c>
    </row>
    <row r="2410" spans="1:6" x14ac:dyDescent="0.3">
      <c r="A2410" s="169" t="s">
        <v>5828</v>
      </c>
      <c r="B2410" s="190" t="s">
        <v>5846</v>
      </c>
      <c r="C2410" s="163" t="s">
        <v>3238</v>
      </c>
      <c r="D2410" s="164">
        <f>((((4355.12/4)*1.03)/1.03)*1.02)/1.02</f>
        <v>1088.78</v>
      </c>
      <c r="E2410" s="165" t="s">
        <v>5350</v>
      </c>
      <c r="F2410" s="617">
        <v>44484</v>
      </c>
    </row>
    <row r="2411" spans="1:6" x14ac:dyDescent="0.3">
      <c r="A2411" s="169" t="s">
        <v>5829</v>
      </c>
      <c r="B2411" s="190" t="s">
        <v>5847</v>
      </c>
      <c r="C2411" s="163" t="s">
        <v>3238</v>
      </c>
      <c r="D2411" s="164">
        <f>((((357.28)*1.03)/1.03)*1.02)/1.02</f>
        <v>357.28</v>
      </c>
      <c r="E2411" s="165" t="s">
        <v>5350</v>
      </c>
      <c r="F2411" s="617">
        <v>44484</v>
      </c>
    </row>
    <row r="2412" spans="1:6" x14ac:dyDescent="0.3">
      <c r="A2412" s="169" t="s">
        <v>5830</v>
      </c>
      <c r="B2412" s="190" t="s">
        <v>5848</v>
      </c>
      <c r="C2412" s="163" t="s">
        <v>3238</v>
      </c>
      <c r="D2412" s="164">
        <f>((((1576.96/4)*1.03)/1.03)*1.02)/1.02</f>
        <v>394.24</v>
      </c>
      <c r="E2412" s="165" t="s">
        <v>5350</v>
      </c>
      <c r="F2412" s="617">
        <v>44484</v>
      </c>
    </row>
    <row r="2413" spans="1:6" x14ac:dyDescent="0.3">
      <c r="A2413" s="169" t="s">
        <v>5831</v>
      </c>
      <c r="B2413" s="190" t="s">
        <v>5849</v>
      </c>
      <c r="C2413" s="163" t="s">
        <v>3238</v>
      </c>
      <c r="D2413" s="164">
        <v>455.84</v>
      </c>
      <c r="E2413" s="165" t="s">
        <v>5350</v>
      </c>
      <c r="F2413" s="617">
        <v>44484</v>
      </c>
    </row>
    <row r="2414" spans="1:6" x14ac:dyDescent="0.3">
      <c r="A2414" s="169" t="s">
        <v>5832</v>
      </c>
      <c r="B2414" s="190" t="s">
        <v>5850</v>
      </c>
      <c r="C2414" s="163" t="s">
        <v>3238</v>
      </c>
      <c r="D2414" s="164">
        <f>((((246.4/2)*1.03)/1.03)*1.02)/1.02</f>
        <v>123.2</v>
      </c>
      <c r="E2414" s="165" t="s">
        <v>5350</v>
      </c>
      <c r="F2414" s="617">
        <v>44484</v>
      </c>
    </row>
    <row r="2415" spans="1:6" x14ac:dyDescent="0.3">
      <c r="A2415" s="169" t="s">
        <v>5855</v>
      </c>
      <c r="B2415" s="190" t="s">
        <v>8022</v>
      </c>
      <c r="C2415" s="614" t="s">
        <v>73</v>
      </c>
      <c r="D2415" s="164">
        <f>155.09+13.5</f>
        <v>168.59</v>
      </c>
      <c r="E2415" s="165" t="s">
        <v>947</v>
      </c>
      <c r="F2415" s="617">
        <v>45611</v>
      </c>
    </row>
    <row r="2416" spans="1:6" x14ac:dyDescent="0.3">
      <c r="A2416" s="169" t="s">
        <v>5856</v>
      </c>
      <c r="B2416" s="190" t="s">
        <v>8023</v>
      </c>
      <c r="C2416" s="614" t="s">
        <v>73</v>
      </c>
      <c r="D2416" s="164">
        <f>80.82*1.0065+9.5</f>
        <v>90.84532999999999</v>
      </c>
      <c r="E2416" s="165" t="s">
        <v>8025</v>
      </c>
      <c r="F2416" s="617">
        <v>45611</v>
      </c>
    </row>
    <row r="2417" spans="1:6" x14ac:dyDescent="0.3">
      <c r="A2417" s="169" t="s">
        <v>5857</v>
      </c>
      <c r="B2417" s="190" t="s">
        <v>8024</v>
      </c>
      <c r="C2417" s="614" t="s">
        <v>73</v>
      </c>
      <c r="D2417" s="164">
        <f>108.89+11.5</f>
        <v>120.39</v>
      </c>
      <c r="E2417" s="165" t="s">
        <v>947</v>
      </c>
      <c r="F2417" s="617">
        <v>45611</v>
      </c>
    </row>
    <row r="2418" spans="1:6" x14ac:dyDescent="0.3">
      <c r="A2418" s="169" t="s">
        <v>5858</v>
      </c>
      <c r="B2418" s="190" t="s">
        <v>5851</v>
      </c>
      <c r="C2418" s="163" t="s">
        <v>3238</v>
      </c>
      <c r="D2418" s="164">
        <v>150.15</v>
      </c>
      <c r="E2418" s="165" t="s">
        <v>5350</v>
      </c>
      <c r="F2418" s="617">
        <v>44484</v>
      </c>
    </row>
    <row r="2419" spans="1:6" x14ac:dyDescent="0.3">
      <c r="A2419" s="169" t="s">
        <v>5859</v>
      </c>
      <c r="B2419" s="190" t="s">
        <v>5852</v>
      </c>
      <c r="C2419" s="163" t="s">
        <v>3238</v>
      </c>
      <c r="D2419" s="164">
        <v>132</v>
      </c>
      <c r="E2419" s="165" t="s">
        <v>5350</v>
      </c>
      <c r="F2419" s="617">
        <v>44484</v>
      </c>
    </row>
    <row r="2420" spans="1:6" x14ac:dyDescent="0.3">
      <c r="A2420" s="169" t="s">
        <v>5860</v>
      </c>
      <c r="B2420" s="190" t="s">
        <v>5853</v>
      </c>
      <c r="C2420" s="163" t="s">
        <v>3238</v>
      </c>
      <c r="D2420" s="164">
        <v>66</v>
      </c>
      <c r="E2420" s="165" t="s">
        <v>5350</v>
      </c>
      <c r="F2420" s="617">
        <v>44484</v>
      </c>
    </row>
    <row r="2421" spans="1:6" x14ac:dyDescent="0.3">
      <c r="A2421" s="169" t="s">
        <v>5868</v>
      </c>
      <c r="B2421" s="190" t="s">
        <v>5854</v>
      </c>
      <c r="C2421" s="163" t="s">
        <v>3238</v>
      </c>
      <c r="D2421" s="164">
        <f>((((138.6+101.25)*1.03)/1.03)*1.02)/1.02</f>
        <v>239.85</v>
      </c>
      <c r="E2421" s="165" t="s">
        <v>5350</v>
      </c>
      <c r="F2421" s="617">
        <v>44484</v>
      </c>
    </row>
    <row r="2422" spans="1:6" x14ac:dyDescent="0.3">
      <c r="A2422" s="169" t="s">
        <v>5869</v>
      </c>
      <c r="B2422" s="190" t="s">
        <v>5861</v>
      </c>
      <c r="C2422" s="163" t="s">
        <v>3238</v>
      </c>
      <c r="D2422" s="164">
        <v>2000</v>
      </c>
      <c r="E2422" s="165" t="s">
        <v>5350</v>
      </c>
      <c r="F2422" s="617">
        <v>44484</v>
      </c>
    </row>
    <row r="2423" spans="1:6" x14ac:dyDescent="0.3">
      <c r="A2423" s="169" t="s">
        <v>5870</v>
      </c>
      <c r="B2423" s="190" t="s">
        <v>5862</v>
      </c>
      <c r="C2423" s="163" t="s">
        <v>73</v>
      </c>
      <c r="D2423" s="164">
        <v>228.15</v>
      </c>
      <c r="E2423" s="165" t="s">
        <v>2345</v>
      </c>
      <c r="F2423" s="617">
        <v>44484</v>
      </c>
    </row>
    <row r="2424" spans="1:6" x14ac:dyDescent="0.3">
      <c r="A2424" s="169" t="s">
        <v>5871</v>
      </c>
      <c r="B2424" s="190" t="s">
        <v>5863</v>
      </c>
      <c r="C2424" s="163" t="s">
        <v>73</v>
      </c>
      <c r="D2424" s="164">
        <v>144.86000000000001</v>
      </c>
      <c r="E2424" s="165" t="s">
        <v>2345</v>
      </c>
      <c r="F2424" s="617">
        <v>44484</v>
      </c>
    </row>
    <row r="2425" spans="1:6" x14ac:dyDescent="0.3">
      <c r="A2425" s="169" t="s">
        <v>5872</v>
      </c>
      <c r="B2425" s="190" t="s">
        <v>5938</v>
      </c>
      <c r="C2425" s="614" t="s">
        <v>1376</v>
      </c>
      <c r="D2425" s="164">
        <v>939.8</v>
      </c>
      <c r="E2425" s="165" t="s">
        <v>2806</v>
      </c>
      <c r="F2425" s="617">
        <v>44484</v>
      </c>
    </row>
    <row r="2426" spans="1:6" x14ac:dyDescent="0.3">
      <c r="A2426" s="169" t="s">
        <v>5873</v>
      </c>
      <c r="B2426" s="190" t="s">
        <v>5939</v>
      </c>
      <c r="C2426" s="614" t="s">
        <v>1376</v>
      </c>
      <c r="D2426" s="164">
        <v>1162.83</v>
      </c>
      <c r="E2426" s="165" t="s">
        <v>2806</v>
      </c>
      <c r="F2426" s="617">
        <v>44484</v>
      </c>
    </row>
    <row r="2427" spans="1:6" x14ac:dyDescent="0.3">
      <c r="A2427" s="169" t="s">
        <v>5874</v>
      </c>
      <c r="B2427" s="190" t="s">
        <v>5865</v>
      </c>
      <c r="C2427" s="163" t="s">
        <v>74</v>
      </c>
      <c r="D2427" s="164">
        <f>((((995/8)*1.03)/1.03)*1.02)/1.02</f>
        <v>124.37500000000001</v>
      </c>
      <c r="E2427" s="165" t="s">
        <v>1952</v>
      </c>
      <c r="F2427" s="617">
        <v>44484</v>
      </c>
    </row>
    <row r="2428" spans="1:6" x14ac:dyDescent="0.3">
      <c r="A2428" s="169" t="s">
        <v>5877</v>
      </c>
      <c r="B2428" s="190" t="s">
        <v>5867</v>
      </c>
      <c r="C2428" s="163" t="s">
        <v>73</v>
      </c>
      <c r="D2428" s="164">
        <f>(((((2340+400)/(1.83*3.24))*1.03)/1.03)*1.02)/1.02</f>
        <v>462.1196788774202</v>
      </c>
      <c r="E2428" s="165" t="s">
        <v>5237</v>
      </c>
      <c r="F2428" s="617">
        <v>44484</v>
      </c>
    </row>
    <row r="2429" spans="1:6" x14ac:dyDescent="0.3">
      <c r="A2429" s="169" t="s">
        <v>5878</v>
      </c>
      <c r="B2429" s="190" t="s">
        <v>5866</v>
      </c>
      <c r="C2429" s="163" t="s">
        <v>73</v>
      </c>
      <c r="D2429" s="164">
        <f>(((((3120+400)/(2.4*2.44+(3.34*1.04)))*1.03)/1.03)*1.02)/1.02</f>
        <v>377.29377465271824</v>
      </c>
      <c r="E2429" s="165" t="s">
        <v>5237</v>
      </c>
      <c r="F2429" s="617">
        <v>44484</v>
      </c>
    </row>
    <row r="2430" spans="1:6" x14ac:dyDescent="0.3">
      <c r="A2430" s="169" t="s">
        <v>5879</v>
      </c>
      <c r="B2430" s="190" t="s">
        <v>5875</v>
      </c>
      <c r="C2430" s="163" t="s">
        <v>73</v>
      </c>
      <c r="D2430" s="164">
        <f>((((637/15.85)*1.03)/1.03)*1.02)/1.02</f>
        <v>40.189274447949529</v>
      </c>
      <c r="E2430" s="165" t="s">
        <v>5237</v>
      </c>
      <c r="F2430" s="617">
        <v>44484</v>
      </c>
    </row>
    <row r="2431" spans="1:6" x14ac:dyDescent="0.3">
      <c r="A2431" s="169" t="s">
        <v>5880</v>
      </c>
      <c r="B2431" s="190" t="s">
        <v>5427</v>
      </c>
      <c r="C2431" s="163" t="s">
        <v>29</v>
      </c>
      <c r="D2431" s="164">
        <v>250</v>
      </c>
      <c r="E2431" s="165" t="s">
        <v>5237</v>
      </c>
      <c r="F2431" s="617">
        <v>44484</v>
      </c>
    </row>
    <row r="2432" spans="1:6" ht="84.6" x14ac:dyDescent="0.3">
      <c r="A2432" s="169" t="s">
        <v>5881</v>
      </c>
      <c r="B2432" s="190" t="s">
        <v>5936</v>
      </c>
      <c r="C2432" s="163" t="s">
        <v>3238</v>
      </c>
      <c r="D2432" s="164">
        <v>32908.46</v>
      </c>
      <c r="E2432" s="165" t="s">
        <v>5935</v>
      </c>
      <c r="F2432" s="617">
        <v>44488</v>
      </c>
    </row>
    <row r="2433" spans="1:7" x14ac:dyDescent="0.3">
      <c r="A2433" s="169" t="s">
        <v>5882</v>
      </c>
      <c r="B2433" s="190" t="s">
        <v>5876</v>
      </c>
      <c r="C2433" s="614" t="s">
        <v>1376</v>
      </c>
      <c r="D2433" s="164">
        <f>((((117.51/3)*1.03)/1.03)*1.02)/1.02</f>
        <v>39.17</v>
      </c>
      <c r="E2433" s="165" t="s">
        <v>1058</v>
      </c>
      <c r="F2433" s="617">
        <v>44484</v>
      </c>
    </row>
    <row r="2434" spans="1:7" x14ac:dyDescent="0.3">
      <c r="A2434" s="169" t="s">
        <v>5883</v>
      </c>
      <c r="B2434" s="190" t="s">
        <v>5892</v>
      </c>
      <c r="C2434" s="614" t="s">
        <v>1376</v>
      </c>
      <c r="D2434" s="164">
        <f>((((560.07/3)*1.03)/1.03)*1.02)/1.02</f>
        <v>186.69000000000003</v>
      </c>
      <c r="E2434" s="165" t="s">
        <v>1058</v>
      </c>
      <c r="F2434" s="617">
        <v>44484</v>
      </c>
    </row>
    <row r="2435" spans="1:7" x14ac:dyDescent="0.3">
      <c r="A2435" s="169" t="s">
        <v>5884</v>
      </c>
      <c r="B2435" s="190" t="s">
        <v>5893</v>
      </c>
      <c r="C2435" s="614" t="s">
        <v>1376</v>
      </c>
      <c r="D2435" s="164">
        <f>((((1275.3/3)*1.03)/1.03)*1.02)/1.02</f>
        <v>425.09999999999997</v>
      </c>
      <c r="E2435" s="165" t="s">
        <v>1058</v>
      </c>
      <c r="F2435" s="617">
        <v>44484</v>
      </c>
    </row>
    <row r="2436" spans="1:7" x14ac:dyDescent="0.3">
      <c r="A2436" s="169" t="s">
        <v>5885</v>
      </c>
      <c r="B2436" s="190" t="s">
        <v>5894</v>
      </c>
      <c r="C2436" s="614" t="s">
        <v>1376</v>
      </c>
      <c r="D2436" s="164">
        <f>((((1202.22/3)*1.03)/1.03)*1.02)/1.02</f>
        <v>400.74</v>
      </c>
      <c r="E2436" s="165" t="s">
        <v>1058</v>
      </c>
      <c r="F2436" s="617">
        <v>44484</v>
      </c>
    </row>
    <row r="2437" spans="1:7" x14ac:dyDescent="0.3">
      <c r="A2437" s="169" t="s">
        <v>5886</v>
      </c>
      <c r="B2437" s="190" t="s">
        <v>5895</v>
      </c>
      <c r="C2437" s="614" t="s">
        <v>1376</v>
      </c>
      <c r="D2437" s="164">
        <f>((((1794.24/3)*1.03)/1.03)*1.02)/1.02</f>
        <v>598.08000000000004</v>
      </c>
      <c r="E2437" s="165" t="s">
        <v>1058</v>
      </c>
      <c r="F2437" s="617">
        <v>44484</v>
      </c>
    </row>
    <row r="2438" spans="1:7" x14ac:dyDescent="0.3">
      <c r="A2438" s="169" t="s">
        <v>5887</v>
      </c>
      <c r="B2438" s="190" t="s">
        <v>5896</v>
      </c>
      <c r="C2438" s="614" t="s">
        <v>1376</v>
      </c>
      <c r="D2438" s="164">
        <f>((((1333.53/3)*1.03)/1.03)*1.02)/1.02</f>
        <v>444.51</v>
      </c>
      <c r="E2438" s="165" t="s">
        <v>1058</v>
      </c>
      <c r="F2438" s="617">
        <v>44484</v>
      </c>
    </row>
    <row r="2439" spans="1:7" x14ac:dyDescent="0.3">
      <c r="A2439" s="169" t="s">
        <v>5888</v>
      </c>
      <c r="B2439" s="190" t="s">
        <v>5898</v>
      </c>
      <c r="C2439" s="614" t="s">
        <v>1376</v>
      </c>
      <c r="D2439" s="164">
        <f>((((798.9/3)*1.03)/1.03)*1.02)/1.02</f>
        <v>266.3</v>
      </c>
      <c r="E2439" s="165" t="s">
        <v>1058</v>
      </c>
      <c r="F2439" s="617">
        <v>44484</v>
      </c>
    </row>
    <row r="2440" spans="1:7" x14ac:dyDescent="0.3">
      <c r="A2440" s="169" t="s">
        <v>5889</v>
      </c>
      <c r="B2440" s="190" t="s">
        <v>5897</v>
      </c>
      <c r="C2440" s="614" t="s">
        <v>1376</v>
      </c>
      <c r="D2440" s="164">
        <f>((((621.06/3)*1.03)/1.03)*1.02)/1.02</f>
        <v>207.01999999999998</v>
      </c>
      <c r="E2440" s="165" t="s">
        <v>1058</v>
      </c>
      <c r="F2440" s="617">
        <v>44484</v>
      </c>
    </row>
    <row r="2441" spans="1:7" x14ac:dyDescent="0.3">
      <c r="A2441" s="169" t="s">
        <v>5890</v>
      </c>
      <c r="B2441" s="190" t="s">
        <v>5899</v>
      </c>
      <c r="C2441" s="614" t="s">
        <v>1376</v>
      </c>
      <c r="D2441" s="164">
        <f>((((958.12/3)*1.03)/1.03)*1.02)/1.02</f>
        <v>319.37333333333333</v>
      </c>
      <c r="E2441" s="165" t="s">
        <v>1058</v>
      </c>
      <c r="F2441" s="617">
        <v>44484</v>
      </c>
    </row>
    <row r="2442" spans="1:7" x14ac:dyDescent="0.3">
      <c r="A2442" s="169" t="s">
        <v>5891</v>
      </c>
      <c r="B2442" s="190" t="s">
        <v>5900</v>
      </c>
      <c r="C2442" s="614" t="s">
        <v>1376</v>
      </c>
      <c r="D2442" s="164">
        <f>((((4561.98/3)*1.03)/1.03)*1.02)/1.02</f>
        <v>1520.6599999999999</v>
      </c>
      <c r="E2442" s="165" t="s">
        <v>1058</v>
      </c>
      <c r="F2442" s="617">
        <v>44484</v>
      </c>
    </row>
    <row r="2443" spans="1:7" x14ac:dyDescent="0.3">
      <c r="A2443" s="169" t="s">
        <v>5905</v>
      </c>
      <c r="B2443" s="190" t="s">
        <v>5901</v>
      </c>
      <c r="C2443" s="614" t="s">
        <v>1376</v>
      </c>
      <c r="D2443" s="164">
        <f>((((96.06/3)*1.03)/1.03)*1.02)/1.02</f>
        <v>32.020000000000003</v>
      </c>
      <c r="E2443" s="165" t="s">
        <v>1058</v>
      </c>
      <c r="F2443" s="617">
        <v>44484</v>
      </c>
    </row>
    <row r="2444" spans="1:7" x14ac:dyDescent="0.3">
      <c r="A2444" s="169" t="s">
        <v>5911</v>
      </c>
      <c r="B2444" s="190" t="s">
        <v>5902</v>
      </c>
      <c r="C2444" s="614" t="s">
        <v>1376</v>
      </c>
      <c r="D2444" s="164">
        <f>((((2206.68/3)*1.03)/1.03)*1.02)/1.02</f>
        <v>735.56</v>
      </c>
      <c r="E2444" s="165" t="s">
        <v>1058</v>
      </c>
      <c r="F2444" s="617">
        <v>44484</v>
      </c>
    </row>
    <row r="2445" spans="1:7" x14ac:dyDescent="0.3">
      <c r="A2445" s="169" t="s">
        <v>5912</v>
      </c>
      <c r="B2445" s="190" t="s">
        <v>5903</v>
      </c>
      <c r="C2445" s="614" t="s">
        <v>1376</v>
      </c>
      <c r="D2445" s="164">
        <f>((((579.32/3)*1.03)/1.03)*1.02)/1.02</f>
        <v>193.10666666666668</v>
      </c>
      <c r="E2445" s="165" t="s">
        <v>1058</v>
      </c>
      <c r="F2445" s="617">
        <v>44484</v>
      </c>
    </row>
    <row r="2446" spans="1:7" x14ac:dyDescent="0.3">
      <c r="A2446" s="169" t="s">
        <v>5913</v>
      </c>
      <c r="B2446" s="190" t="s">
        <v>5904</v>
      </c>
      <c r="C2446" s="614" t="s">
        <v>1376</v>
      </c>
      <c r="D2446" s="164">
        <f>((((756.81/3)*1.03)/1.03)*1.02)/1.02</f>
        <v>252.27</v>
      </c>
      <c r="E2446" s="165" t="s">
        <v>1058</v>
      </c>
      <c r="F2446" s="617">
        <v>44484</v>
      </c>
    </row>
    <row r="2447" spans="1:7" x14ac:dyDescent="0.3">
      <c r="A2447" s="169" t="s">
        <v>5914</v>
      </c>
      <c r="B2447" s="190" t="s">
        <v>5906</v>
      </c>
      <c r="C2447" s="614" t="s">
        <v>1376</v>
      </c>
      <c r="D2447" s="164">
        <v>591.5</v>
      </c>
      <c r="E2447" s="165" t="s">
        <v>5908</v>
      </c>
      <c r="F2447" s="617">
        <v>44484</v>
      </c>
      <c r="G2447" s="766" t="s">
        <v>5907</v>
      </c>
    </row>
    <row r="2448" spans="1:7" x14ac:dyDescent="0.3">
      <c r="A2448" s="169" t="s">
        <v>5915</v>
      </c>
      <c r="B2448" s="190" t="s">
        <v>5918</v>
      </c>
      <c r="C2448" s="163" t="s">
        <v>73</v>
      </c>
      <c r="D2448" s="164">
        <v>55</v>
      </c>
      <c r="E2448" s="165" t="s">
        <v>5183</v>
      </c>
      <c r="F2448" s="617"/>
    </row>
    <row r="2449" spans="1:7" x14ac:dyDescent="0.3">
      <c r="A2449" s="169" t="s">
        <v>5916</v>
      </c>
      <c r="B2449" s="190" t="s">
        <v>5919</v>
      </c>
      <c r="C2449" s="163" t="s">
        <v>73</v>
      </c>
      <c r="D2449" s="164">
        <v>70</v>
      </c>
      <c r="E2449" s="165" t="s">
        <v>5183</v>
      </c>
      <c r="F2449" s="617"/>
    </row>
    <row r="2450" spans="1:7" x14ac:dyDescent="0.3">
      <c r="A2450" s="169" t="s">
        <v>5917</v>
      </c>
      <c r="B2450" s="190" t="s">
        <v>5920</v>
      </c>
      <c r="C2450" s="163" t="s">
        <v>73</v>
      </c>
      <c r="D2450" s="164">
        <v>50</v>
      </c>
      <c r="E2450" s="165" t="s">
        <v>5183</v>
      </c>
      <c r="F2450" s="617"/>
    </row>
    <row r="2451" spans="1:7" x14ac:dyDescent="0.3">
      <c r="A2451" s="169" t="s">
        <v>5921</v>
      </c>
      <c r="B2451" s="190" t="s">
        <v>5955</v>
      </c>
      <c r="C2451" s="163" t="s">
        <v>1376</v>
      </c>
      <c r="D2451" s="164">
        <v>123.05</v>
      </c>
      <c r="E2451" s="165" t="s">
        <v>5956</v>
      </c>
      <c r="F2451" s="617">
        <v>44488</v>
      </c>
      <c r="G2451" s="766" t="s">
        <v>5957</v>
      </c>
    </row>
    <row r="2452" spans="1:7" x14ac:dyDescent="0.3">
      <c r="A2452" s="169" t="s">
        <v>5922</v>
      </c>
      <c r="B2452" s="190" t="s">
        <v>5930</v>
      </c>
      <c r="C2452" s="614" t="s">
        <v>1376</v>
      </c>
      <c r="D2452" s="164">
        <v>57.9</v>
      </c>
      <c r="E2452" s="165" t="s">
        <v>5929</v>
      </c>
      <c r="F2452" s="617">
        <v>44488</v>
      </c>
      <c r="G2452" s="766" t="s">
        <v>5928</v>
      </c>
    </row>
    <row r="2453" spans="1:7" x14ac:dyDescent="0.3">
      <c r="A2453" s="169" t="s">
        <v>5923</v>
      </c>
      <c r="B2453" s="190" t="s">
        <v>5931</v>
      </c>
      <c r="C2453" s="614" t="s">
        <v>1376</v>
      </c>
      <c r="D2453" s="164">
        <v>31.989999999999995</v>
      </c>
      <c r="E2453" s="165" t="s">
        <v>5932</v>
      </c>
      <c r="F2453" s="617">
        <v>44488</v>
      </c>
    </row>
    <row r="2454" spans="1:7" x14ac:dyDescent="0.3">
      <c r="A2454" s="169" t="s">
        <v>5924</v>
      </c>
      <c r="B2454" s="190" t="s">
        <v>5933</v>
      </c>
      <c r="C2454" s="163" t="s">
        <v>73</v>
      </c>
      <c r="D2454" s="164">
        <f>((((124.99/(0.26*0.26))*1.03)/1.03)*1.02)/1.02</f>
        <v>1848.9644970414199</v>
      </c>
      <c r="E2454" s="165" t="s">
        <v>5934</v>
      </c>
      <c r="F2454" s="617">
        <v>44488</v>
      </c>
    </row>
    <row r="2455" spans="1:7" x14ac:dyDescent="0.3">
      <c r="A2455" s="169" t="s">
        <v>5925</v>
      </c>
      <c r="B2455" s="190" t="s">
        <v>5937</v>
      </c>
      <c r="C2455" s="163" t="s">
        <v>5791</v>
      </c>
      <c r="D2455" s="164">
        <v>6.99</v>
      </c>
      <c r="E2455" s="165" t="s">
        <v>5934</v>
      </c>
      <c r="F2455" s="617">
        <v>44488</v>
      </c>
    </row>
    <row r="2456" spans="1:7" x14ac:dyDescent="0.3">
      <c r="A2456" s="169" t="s">
        <v>5926</v>
      </c>
      <c r="B2456" s="190" t="s">
        <v>5952</v>
      </c>
      <c r="C2456" s="163" t="s">
        <v>5791</v>
      </c>
      <c r="D2456" s="164">
        <v>4.7</v>
      </c>
      <c r="E2456" s="165" t="s">
        <v>2185</v>
      </c>
      <c r="F2456" s="617">
        <v>44490</v>
      </c>
    </row>
    <row r="2457" spans="1:7" x14ac:dyDescent="0.3">
      <c r="A2457" s="169" t="s">
        <v>5927</v>
      </c>
      <c r="B2457" s="190" t="s">
        <v>5953</v>
      </c>
      <c r="C2457" s="163" t="s">
        <v>5791</v>
      </c>
      <c r="D2457" s="164">
        <v>7.5</v>
      </c>
      <c r="E2457" s="165" t="s">
        <v>2185</v>
      </c>
      <c r="F2457" s="617">
        <v>44490</v>
      </c>
    </row>
    <row r="2458" spans="1:7" x14ac:dyDescent="0.3">
      <c r="A2458" s="169" t="s">
        <v>5940</v>
      </c>
      <c r="B2458" s="190" t="s">
        <v>5954</v>
      </c>
      <c r="C2458" s="163" t="s">
        <v>5791</v>
      </c>
      <c r="D2458" s="164">
        <v>35</v>
      </c>
      <c r="E2458" s="165" t="s">
        <v>2185</v>
      </c>
      <c r="F2458" s="617">
        <v>44490</v>
      </c>
    </row>
    <row r="2459" spans="1:7" x14ac:dyDescent="0.3">
      <c r="A2459" s="169" t="s">
        <v>5941</v>
      </c>
      <c r="B2459" s="190" t="s">
        <v>7610</v>
      </c>
      <c r="C2459" s="163" t="s">
        <v>29</v>
      </c>
      <c r="D2459" s="160">
        <v>1</v>
      </c>
      <c r="E2459" s="165"/>
      <c r="F2459" s="617"/>
    </row>
    <row r="2460" spans="1:7" x14ac:dyDescent="0.3">
      <c r="A2460" s="169" t="s">
        <v>5942</v>
      </c>
      <c r="B2460" s="190" t="s">
        <v>5959</v>
      </c>
      <c r="C2460" s="163" t="s">
        <v>29</v>
      </c>
      <c r="D2460" s="164">
        <v>0</v>
      </c>
      <c r="E2460" s="165"/>
      <c r="F2460" s="617"/>
    </row>
    <row r="2461" spans="1:7" x14ac:dyDescent="0.3">
      <c r="A2461" s="169" t="s">
        <v>5943</v>
      </c>
      <c r="B2461" s="190" t="s">
        <v>5962</v>
      </c>
      <c r="C2461" s="163" t="s">
        <v>29</v>
      </c>
      <c r="D2461" s="70">
        <v>2800</v>
      </c>
      <c r="E2461" s="165"/>
      <c r="F2461" s="617"/>
    </row>
    <row r="2462" spans="1:7" x14ac:dyDescent="0.3">
      <c r="A2462" s="169" t="s">
        <v>5944</v>
      </c>
      <c r="B2462" s="190" t="s">
        <v>5963</v>
      </c>
      <c r="C2462" s="163" t="s">
        <v>72</v>
      </c>
      <c r="D2462" s="70">
        <v>54.6</v>
      </c>
      <c r="E2462" s="165" t="s">
        <v>6306</v>
      </c>
      <c r="F2462" s="617">
        <v>44560</v>
      </c>
    </row>
    <row r="2463" spans="1:7" x14ac:dyDescent="0.3">
      <c r="A2463" s="169" t="s">
        <v>5945</v>
      </c>
      <c r="B2463" s="190" t="s">
        <v>5964</v>
      </c>
      <c r="C2463" s="163" t="s">
        <v>72</v>
      </c>
      <c r="D2463" s="70">
        <v>27.42</v>
      </c>
      <c r="E2463" s="165"/>
      <c r="F2463" s="617"/>
    </row>
    <row r="2464" spans="1:7" x14ac:dyDescent="0.3">
      <c r="A2464" s="169" t="s">
        <v>5946</v>
      </c>
      <c r="B2464" s="190" t="s">
        <v>5965</v>
      </c>
      <c r="C2464" s="163" t="s">
        <v>72</v>
      </c>
      <c r="D2464" s="70">
        <v>50</v>
      </c>
      <c r="E2464" s="165" t="s">
        <v>8660</v>
      </c>
      <c r="F2464" s="617">
        <v>45427</v>
      </c>
    </row>
    <row r="2465" spans="1:6" x14ac:dyDescent="0.3">
      <c r="A2465" s="169" t="s">
        <v>5947</v>
      </c>
      <c r="B2465" s="190" t="s">
        <v>6289</v>
      </c>
      <c r="C2465" s="163" t="s">
        <v>29</v>
      </c>
      <c r="D2465" s="160">
        <v>1</v>
      </c>
      <c r="E2465" s="165" t="s">
        <v>6178</v>
      </c>
      <c r="F2465" s="617"/>
    </row>
    <row r="2466" spans="1:6" x14ac:dyDescent="0.3">
      <c r="A2466" s="169" t="s">
        <v>5948</v>
      </c>
      <c r="B2466" s="190" t="s">
        <v>6163</v>
      </c>
      <c r="C2466" s="163" t="s">
        <v>29</v>
      </c>
      <c r="D2466" s="164">
        <f>((((2420+(17*22)+60)*1.03)/1.03)*1.02)/1.02</f>
        <v>2854</v>
      </c>
      <c r="E2466" s="165"/>
      <c r="F2466" s="617"/>
    </row>
    <row r="2467" spans="1:6" x14ac:dyDescent="0.3">
      <c r="A2467" s="169" t="s">
        <v>5949</v>
      </c>
      <c r="B2467" s="190" t="s">
        <v>6164</v>
      </c>
      <c r="C2467" s="163" t="s">
        <v>29</v>
      </c>
      <c r="D2467" s="160">
        <v>1</v>
      </c>
      <c r="E2467" s="165" t="s">
        <v>935</v>
      </c>
      <c r="F2467" s="617">
        <v>44546</v>
      </c>
    </row>
    <row r="2468" spans="1:6" x14ac:dyDescent="0.3">
      <c r="A2468" s="169" t="s">
        <v>5950</v>
      </c>
      <c r="B2468" s="190" t="s">
        <v>6165</v>
      </c>
      <c r="C2468" s="163" t="s">
        <v>74</v>
      </c>
      <c r="D2468" s="164">
        <v>135</v>
      </c>
      <c r="E2468" s="165" t="s">
        <v>935</v>
      </c>
      <c r="F2468" s="617">
        <v>44546</v>
      </c>
    </row>
    <row r="2469" spans="1:6" x14ac:dyDescent="0.3">
      <c r="A2469" s="169" t="s">
        <v>5951</v>
      </c>
      <c r="B2469" s="190" t="s">
        <v>6166</v>
      </c>
      <c r="C2469" s="163" t="s">
        <v>74</v>
      </c>
      <c r="D2469" s="164">
        <v>430</v>
      </c>
      <c r="E2469" s="165"/>
      <c r="F2469" s="617"/>
    </row>
    <row r="2470" spans="1:6" x14ac:dyDescent="0.3">
      <c r="A2470" s="169" t="s">
        <v>5969</v>
      </c>
      <c r="B2470" s="190" t="s">
        <v>7264</v>
      </c>
      <c r="C2470" s="163" t="s">
        <v>74</v>
      </c>
      <c r="D2470" s="837">
        <v>220</v>
      </c>
      <c r="E2470" s="165" t="s">
        <v>8447</v>
      </c>
      <c r="F2470" s="617">
        <v>45183</v>
      </c>
    </row>
    <row r="2471" spans="1:6" x14ac:dyDescent="0.3">
      <c r="A2471" s="169" t="s">
        <v>5970</v>
      </c>
      <c r="B2471" s="190" t="s">
        <v>7265</v>
      </c>
      <c r="C2471" s="163" t="s">
        <v>74</v>
      </c>
      <c r="D2471" s="164">
        <v>470</v>
      </c>
      <c r="E2471" s="165"/>
      <c r="F2471" s="617"/>
    </row>
    <row r="2472" spans="1:6" x14ac:dyDescent="0.3">
      <c r="A2472" s="169" t="s">
        <v>5971</v>
      </c>
      <c r="B2472" s="190" t="s">
        <v>6167</v>
      </c>
      <c r="C2472" s="163" t="s">
        <v>74</v>
      </c>
      <c r="D2472" s="164">
        <v>270</v>
      </c>
      <c r="E2472" s="165" t="s">
        <v>8447</v>
      </c>
      <c r="F2472" s="617"/>
    </row>
    <row r="2473" spans="1:6" x14ac:dyDescent="0.3">
      <c r="A2473" s="169" t="s">
        <v>5972</v>
      </c>
      <c r="B2473" s="190" t="s">
        <v>6168</v>
      </c>
      <c r="C2473" s="163" t="s">
        <v>74</v>
      </c>
      <c r="D2473" s="164">
        <v>580</v>
      </c>
      <c r="E2473" s="165"/>
      <c r="F2473" s="617"/>
    </row>
    <row r="2474" spans="1:6" x14ac:dyDescent="0.3">
      <c r="A2474" s="169" t="s">
        <v>5973</v>
      </c>
      <c r="B2474" s="190" t="s">
        <v>6169</v>
      </c>
      <c r="C2474" s="163" t="s">
        <v>74</v>
      </c>
      <c r="D2474" s="164">
        <v>160</v>
      </c>
      <c r="E2474" s="165"/>
      <c r="F2474" s="617"/>
    </row>
    <row r="2475" spans="1:6" x14ac:dyDescent="0.3">
      <c r="A2475" s="169" t="s">
        <v>5974</v>
      </c>
      <c r="B2475" s="190" t="s">
        <v>6170</v>
      </c>
      <c r="C2475" s="163" t="s">
        <v>74</v>
      </c>
      <c r="D2475" s="164">
        <v>640</v>
      </c>
      <c r="E2475" s="165"/>
      <c r="F2475" s="617"/>
    </row>
    <row r="2476" spans="1:6" x14ac:dyDescent="0.3">
      <c r="A2476" s="169" t="s">
        <v>5975</v>
      </c>
      <c r="B2476" s="190" t="s">
        <v>3139</v>
      </c>
      <c r="C2476" s="163" t="s">
        <v>89</v>
      </c>
      <c r="D2476" s="164">
        <v>3.66</v>
      </c>
      <c r="E2476" s="165"/>
      <c r="F2476" s="617"/>
    </row>
    <row r="2477" spans="1:6" x14ac:dyDescent="0.3">
      <c r="A2477" s="169" t="s">
        <v>5976</v>
      </c>
      <c r="B2477" s="190" t="s">
        <v>3140</v>
      </c>
      <c r="C2477" s="163" t="s">
        <v>936</v>
      </c>
      <c r="D2477" s="164">
        <v>2.7</v>
      </c>
      <c r="E2477" s="165" t="s">
        <v>6341</v>
      </c>
      <c r="F2477" s="617">
        <v>44582</v>
      </c>
    </row>
    <row r="2478" spans="1:6" x14ac:dyDescent="0.3">
      <c r="A2478" s="169" t="s">
        <v>5977</v>
      </c>
      <c r="B2478" s="190" t="s">
        <v>2276</v>
      </c>
      <c r="C2478" s="163" t="s">
        <v>72</v>
      </c>
      <c r="D2478" s="164">
        <f>((((850/8)*1.03)/1.03)*1.02)/1.02</f>
        <v>106.25</v>
      </c>
      <c r="E2478" s="165"/>
      <c r="F2478" s="617"/>
    </row>
    <row r="2479" spans="1:6" x14ac:dyDescent="0.3">
      <c r="A2479" s="169" t="s">
        <v>5978</v>
      </c>
      <c r="B2479" s="190" t="s">
        <v>6171</v>
      </c>
      <c r="C2479" s="163" t="s">
        <v>2268</v>
      </c>
      <c r="D2479" s="164">
        <v>24.3</v>
      </c>
      <c r="E2479" s="165"/>
      <c r="F2479" s="617">
        <v>44546</v>
      </c>
    </row>
    <row r="2480" spans="1:6" x14ac:dyDescent="0.3">
      <c r="A2480" s="169" t="s">
        <v>5979</v>
      </c>
      <c r="B2480" s="190" t="s">
        <v>8072</v>
      </c>
      <c r="C2480" s="163" t="s">
        <v>72</v>
      </c>
      <c r="D2480" s="164">
        <v>525</v>
      </c>
      <c r="E2480" s="165" t="s">
        <v>2261</v>
      </c>
      <c r="F2480" s="617"/>
    </row>
    <row r="2481" spans="1:6" x14ac:dyDescent="0.3">
      <c r="A2481" s="169" t="s">
        <v>5980</v>
      </c>
      <c r="B2481" s="190" t="s">
        <v>6172</v>
      </c>
      <c r="C2481" s="163" t="s">
        <v>29</v>
      </c>
      <c r="D2481" s="164">
        <f>((((27000 *1.15)*1.03)/1.03)*1.02)/1.02</f>
        <v>31049.999999999996</v>
      </c>
      <c r="E2481" s="165" t="s">
        <v>6191</v>
      </c>
      <c r="F2481" s="617">
        <v>44551</v>
      </c>
    </row>
    <row r="2482" spans="1:6" x14ac:dyDescent="0.3">
      <c r="A2482" s="169" t="s">
        <v>5981</v>
      </c>
      <c r="B2482" s="190" t="s">
        <v>6174</v>
      </c>
      <c r="C2482" s="163" t="s">
        <v>73</v>
      </c>
      <c r="D2482" s="164">
        <v>300</v>
      </c>
      <c r="E2482" s="165" t="s">
        <v>5164</v>
      </c>
      <c r="F2482" s="617"/>
    </row>
    <row r="2483" spans="1:6" x14ac:dyDescent="0.3">
      <c r="A2483" s="169" t="s">
        <v>5982</v>
      </c>
      <c r="B2483" s="190" t="s">
        <v>6177</v>
      </c>
      <c r="C2483" s="163" t="s">
        <v>74</v>
      </c>
      <c r="D2483" s="164">
        <v>18</v>
      </c>
      <c r="E2483" s="165" t="s">
        <v>6178</v>
      </c>
      <c r="F2483" s="166">
        <v>45597</v>
      </c>
    </row>
    <row r="2484" spans="1:6" x14ac:dyDescent="0.3">
      <c r="A2484" s="169" t="s">
        <v>5983</v>
      </c>
      <c r="B2484" s="190" t="s">
        <v>6179</v>
      </c>
      <c r="C2484" s="614" t="s">
        <v>1376</v>
      </c>
      <c r="D2484" s="164">
        <v>7199</v>
      </c>
      <c r="E2484" s="165" t="s">
        <v>3587</v>
      </c>
      <c r="F2484" s="617">
        <v>44550</v>
      </c>
    </row>
    <row r="2485" spans="1:6" x14ac:dyDescent="0.3">
      <c r="A2485" s="169" t="s">
        <v>5984</v>
      </c>
      <c r="B2485" s="190" t="s">
        <v>6180</v>
      </c>
      <c r="C2485" s="614" t="s">
        <v>1376</v>
      </c>
      <c r="D2485" s="164">
        <v>3059</v>
      </c>
      <c r="E2485" s="165" t="s">
        <v>3587</v>
      </c>
      <c r="F2485" s="617">
        <v>44550</v>
      </c>
    </row>
    <row r="2486" spans="1:6" x14ac:dyDescent="0.3">
      <c r="A2486" s="169" t="s">
        <v>5985</v>
      </c>
      <c r="B2486" s="190" t="s">
        <v>6181</v>
      </c>
      <c r="C2486" s="614" t="s">
        <v>1376</v>
      </c>
      <c r="D2486" s="164">
        <v>2199</v>
      </c>
      <c r="E2486" s="165" t="s">
        <v>3587</v>
      </c>
      <c r="F2486" s="617">
        <v>44550</v>
      </c>
    </row>
    <row r="2487" spans="1:6" ht="24.6" x14ac:dyDescent="0.3">
      <c r="A2487" s="169" t="s">
        <v>5986</v>
      </c>
      <c r="B2487" s="190" t="s">
        <v>6189</v>
      </c>
      <c r="C2487" s="163" t="s">
        <v>73</v>
      </c>
      <c r="D2487" s="164">
        <f>((((6500/8)*1.03)/1.03)*1.02)/1.02</f>
        <v>812.5</v>
      </c>
      <c r="E2487" s="165" t="s">
        <v>2335</v>
      </c>
      <c r="F2487" s="617">
        <v>44550</v>
      </c>
    </row>
    <row r="2488" spans="1:6" x14ac:dyDescent="0.3">
      <c r="A2488" s="169" t="s">
        <v>5987</v>
      </c>
      <c r="B2488" s="190" t="s">
        <v>6190</v>
      </c>
      <c r="C2488" s="163" t="s">
        <v>29</v>
      </c>
      <c r="D2488" s="164">
        <f>((((30042)*1.03)/1.03)*1.02)/1.02</f>
        <v>30042</v>
      </c>
      <c r="E2488" s="165"/>
      <c r="F2488" s="617"/>
    </row>
    <row r="2489" spans="1:6" x14ac:dyDescent="0.3">
      <c r="A2489" s="169" t="s">
        <v>5988</v>
      </c>
      <c r="B2489" s="190" t="s">
        <v>6193</v>
      </c>
      <c r="C2489" s="163" t="s">
        <v>73</v>
      </c>
      <c r="D2489" s="164">
        <v>70</v>
      </c>
      <c r="E2489" s="165" t="s">
        <v>6192</v>
      </c>
      <c r="F2489" s="617">
        <v>44551</v>
      </c>
    </row>
    <row r="2490" spans="1:6" x14ac:dyDescent="0.3">
      <c r="A2490" s="169" t="s">
        <v>5989</v>
      </c>
      <c r="B2490" s="190" t="s">
        <v>6197</v>
      </c>
      <c r="C2490" s="163" t="s">
        <v>73</v>
      </c>
      <c r="D2490" s="164">
        <v>0</v>
      </c>
      <c r="E2490" s="165" t="s">
        <v>6178</v>
      </c>
      <c r="F2490" s="617">
        <v>44551</v>
      </c>
    </row>
    <row r="2491" spans="1:6" x14ac:dyDescent="0.3">
      <c r="A2491" s="169" t="s">
        <v>5990</v>
      </c>
      <c r="B2491" s="190" t="s">
        <v>6198</v>
      </c>
      <c r="C2491" s="163" t="s">
        <v>73</v>
      </c>
      <c r="D2491" s="164">
        <v>0</v>
      </c>
      <c r="E2491" s="165" t="s">
        <v>6178</v>
      </c>
      <c r="F2491" s="617">
        <v>44551</v>
      </c>
    </row>
    <row r="2492" spans="1:6" x14ac:dyDescent="0.3">
      <c r="A2492" s="169" t="s">
        <v>5991</v>
      </c>
      <c r="B2492" s="190" t="s">
        <v>6199</v>
      </c>
      <c r="C2492" s="163" t="s">
        <v>73</v>
      </c>
      <c r="D2492" s="164">
        <v>0</v>
      </c>
      <c r="E2492" s="165" t="s">
        <v>6178</v>
      </c>
      <c r="F2492" s="617">
        <v>44551</v>
      </c>
    </row>
    <row r="2493" spans="1:6" x14ac:dyDescent="0.3">
      <c r="A2493" s="169" t="s">
        <v>5992</v>
      </c>
      <c r="B2493" s="190" t="s">
        <v>6200</v>
      </c>
      <c r="C2493" s="163" t="s">
        <v>73</v>
      </c>
      <c r="D2493" s="164">
        <v>0</v>
      </c>
      <c r="E2493" s="165" t="s">
        <v>6178</v>
      </c>
      <c r="F2493" s="617">
        <v>44551</v>
      </c>
    </row>
    <row r="2494" spans="1:6" x14ac:dyDescent="0.3">
      <c r="A2494" s="169" t="s">
        <v>5993</v>
      </c>
      <c r="B2494" s="190" t="s">
        <v>6202</v>
      </c>
      <c r="C2494" s="163" t="s">
        <v>73</v>
      </c>
      <c r="D2494" s="164">
        <v>0</v>
      </c>
      <c r="E2494" s="165" t="s">
        <v>6178</v>
      </c>
      <c r="F2494" s="617">
        <v>44551</v>
      </c>
    </row>
    <row r="2495" spans="1:6" x14ac:dyDescent="0.3">
      <c r="A2495" s="169" t="s">
        <v>5994</v>
      </c>
      <c r="B2495" s="190" t="s">
        <v>6201</v>
      </c>
      <c r="C2495" s="163" t="s">
        <v>73</v>
      </c>
      <c r="D2495" s="164">
        <v>0</v>
      </c>
      <c r="E2495" s="165" t="s">
        <v>6178</v>
      </c>
      <c r="F2495" s="617">
        <v>44551</v>
      </c>
    </row>
    <row r="2496" spans="1:6" x14ac:dyDescent="0.3">
      <c r="A2496" s="169" t="s">
        <v>5995</v>
      </c>
      <c r="B2496" s="190" t="s">
        <v>6203</v>
      </c>
      <c r="C2496" s="163" t="s">
        <v>74</v>
      </c>
      <c r="D2496" s="164">
        <f>((((13540/120.97)*1.03)/1.03)*1.02)/1.02</f>
        <v>111.92857733322312</v>
      </c>
      <c r="E2496" s="165" t="s">
        <v>6178</v>
      </c>
      <c r="F2496" s="617">
        <v>44551</v>
      </c>
    </row>
    <row r="2497" spans="1:6" x14ac:dyDescent="0.3">
      <c r="A2497" s="169" t="s">
        <v>5996</v>
      </c>
      <c r="B2497" s="190" t="s">
        <v>6204</v>
      </c>
      <c r="C2497" s="163" t="s">
        <v>74</v>
      </c>
      <c r="D2497" s="164">
        <v>0</v>
      </c>
      <c r="E2497" s="165" t="s">
        <v>6178</v>
      </c>
      <c r="F2497" s="617">
        <v>44551</v>
      </c>
    </row>
    <row r="2498" spans="1:6" x14ac:dyDescent="0.3">
      <c r="A2498" s="169" t="s">
        <v>5997</v>
      </c>
      <c r="B2498" s="190" t="s">
        <v>8700</v>
      </c>
      <c r="C2498" s="163" t="s">
        <v>74</v>
      </c>
      <c r="D2498" s="164">
        <v>122</v>
      </c>
      <c r="E2498" s="165" t="s">
        <v>6178</v>
      </c>
      <c r="F2498" s="617">
        <v>44551</v>
      </c>
    </row>
    <row r="2499" spans="1:6" x14ac:dyDescent="0.3">
      <c r="A2499" s="169" t="s">
        <v>5998</v>
      </c>
      <c r="B2499" s="190" t="s">
        <v>6206</v>
      </c>
      <c r="C2499" s="163" t="s">
        <v>29</v>
      </c>
      <c r="D2499" s="164">
        <v>9300</v>
      </c>
      <c r="E2499" s="165" t="s">
        <v>2335</v>
      </c>
      <c r="F2499" s="617">
        <v>44551</v>
      </c>
    </row>
    <row r="2500" spans="1:6" ht="24.6" x14ac:dyDescent="0.3">
      <c r="A2500" s="169" t="s">
        <v>5999</v>
      </c>
      <c r="B2500" s="190" t="s">
        <v>6283</v>
      </c>
      <c r="C2500" s="163" t="s">
        <v>29</v>
      </c>
      <c r="D2500" s="164">
        <f>((((7930+1400+1500)*1.03)/1.03)*1.02)/1.02</f>
        <v>10830</v>
      </c>
      <c r="E2500" s="165" t="s">
        <v>2335</v>
      </c>
      <c r="F2500" s="617">
        <v>44551</v>
      </c>
    </row>
    <row r="2501" spans="1:6" x14ac:dyDescent="0.3">
      <c r="A2501" s="169" t="s">
        <v>6000</v>
      </c>
      <c r="B2501" s="190" t="s">
        <v>6284</v>
      </c>
      <c r="C2501" s="163" t="s">
        <v>29</v>
      </c>
      <c r="D2501" s="164">
        <v>1780</v>
      </c>
      <c r="E2501" s="165" t="s">
        <v>2335</v>
      </c>
      <c r="F2501" s="617">
        <v>44551</v>
      </c>
    </row>
    <row r="2502" spans="1:6" x14ac:dyDescent="0.3">
      <c r="A2502" s="169" t="s">
        <v>6001</v>
      </c>
      <c r="B2502" s="190" t="s">
        <v>6205</v>
      </c>
      <c r="C2502" s="163" t="s">
        <v>29</v>
      </c>
      <c r="D2502" s="160">
        <v>1</v>
      </c>
      <c r="E2502" s="165" t="s">
        <v>2335</v>
      </c>
      <c r="F2502" s="617">
        <v>44551</v>
      </c>
    </row>
    <row r="2503" spans="1:6" x14ac:dyDescent="0.3">
      <c r="A2503" s="169" t="s">
        <v>6002</v>
      </c>
      <c r="B2503" s="190" t="s">
        <v>6209</v>
      </c>
      <c r="C2503" s="614" t="s">
        <v>1376</v>
      </c>
      <c r="D2503" s="164">
        <v>2450</v>
      </c>
      <c r="E2503" s="165" t="s">
        <v>1046</v>
      </c>
      <c r="F2503" s="617">
        <v>44551</v>
      </c>
    </row>
    <row r="2504" spans="1:6" x14ac:dyDescent="0.3">
      <c r="A2504" s="169" t="s">
        <v>6003</v>
      </c>
      <c r="B2504" s="190" t="s">
        <v>6210</v>
      </c>
      <c r="C2504" s="614" t="s">
        <v>1376</v>
      </c>
      <c r="D2504" s="164">
        <v>2450</v>
      </c>
      <c r="E2504" s="165" t="s">
        <v>1046</v>
      </c>
      <c r="F2504" s="617">
        <v>44551</v>
      </c>
    </row>
    <row r="2505" spans="1:6" x14ac:dyDescent="0.3">
      <c r="A2505" s="169" t="s">
        <v>6004</v>
      </c>
      <c r="B2505" s="190" t="s">
        <v>6211</v>
      </c>
      <c r="C2505" s="614" t="s">
        <v>1376</v>
      </c>
      <c r="D2505" s="164">
        <v>1750</v>
      </c>
      <c r="E2505" s="165" t="s">
        <v>1046</v>
      </c>
      <c r="F2505" s="617">
        <v>44551</v>
      </c>
    </row>
    <row r="2506" spans="1:6" x14ac:dyDescent="0.3">
      <c r="A2506" s="169" t="s">
        <v>6005</v>
      </c>
      <c r="B2506" s="190" t="s">
        <v>6212</v>
      </c>
      <c r="C2506" s="614" t="s">
        <v>1376</v>
      </c>
      <c r="D2506" s="164">
        <v>1750</v>
      </c>
      <c r="E2506" s="165" t="s">
        <v>1046</v>
      </c>
      <c r="F2506" s="617">
        <v>44551</v>
      </c>
    </row>
    <row r="2507" spans="1:6" x14ac:dyDescent="0.3">
      <c r="A2507" s="169" t="s">
        <v>6006</v>
      </c>
      <c r="B2507" s="190" t="s">
        <v>6213</v>
      </c>
      <c r="C2507" s="614" t="s">
        <v>1376</v>
      </c>
      <c r="D2507" s="164">
        <v>2450</v>
      </c>
      <c r="E2507" s="165" t="s">
        <v>1046</v>
      </c>
      <c r="F2507" s="617">
        <v>44551</v>
      </c>
    </row>
    <row r="2508" spans="1:6" x14ac:dyDescent="0.3">
      <c r="A2508" s="169" t="s">
        <v>6007</v>
      </c>
      <c r="B2508" s="190" t="s">
        <v>6214</v>
      </c>
      <c r="C2508" s="614" t="s">
        <v>1376</v>
      </c>
      <c r="D2508" s="164">
        <v>1750</v>
      </c>
      <c r="E2508" s="165" t="s">
        <v>1046</v>
      </c>
      <c r="F2508" s="617">
        <v>44551</v>
      </c>
    </row>
    <row r="2509" spans="1:6" x14ac:dyDescent="0.3">
      <c r="A2509" s="169" t="s">
        <v>6008</v>
      </c>
      <c r="B2509" s="190" t="s">
        <v>6216</v>
      </c>
      <c r="C2509" s="163" t="s">
        <v>73</v>
      </c>
      <c r="D2509" s="164">
        <v>3123.8095238095239</v>
      </c>
      <c r="E2509" s="165" t="s">
        <v>5664</v>
      </c>
      <c r="F2509" s="617">
        <v>44553</v>
      </c>
    </row>
    <row r="2510" spans="1:6" ht="24.6" x14ac:dyDescent="0.3">
      <c r="A2510" s="169" t="s">
        <v>6009</v>
      </c>
      <c r="B2510" s="190" t="s">
        <v>6217</v>
      </c>
      <c r="C2510" s="163" t="s">
        <v>73</v>
      </c>
      <c r="D2510" s="164">
        <v>1700</v>
      </c>
      <c r="E2510" s="165" t="s">
        <v>5664</v>
      </c>
      <c r="F2510" s="617">
        <v>44553</v>
      </c>
    </row>
    <row r="2511" spans="1:6" ht="24.6" x14ac:dyDescent="0.3">
      <c r="A2511" s="169" t="s">
        <v>6010</v>
      </c>
      <c r="B2511" s="190" t="s">
        <v>6218</v>
      </c>
      <c r="C2511" s="163" t="s">
        <v>73</v>
      </c>
      <c r="D2511" s="164">
        <v>1712.2560499609681</v>
      </c>
      <c r="E2511" s="165" t="s">
        <v>5664</v>
      </c>
      <c r="F2511" s="617">
        <v>44553</v>
      </c>
    </row>
    <row r="2512" spans="1:6" ht="24.6" x14ac:dyDescent="0.3">
      <c r="A2512" s="169" t="s">
        <v>6011</v>
      </c>
      <c r="B2512" s="190" t="s">
        <v>6219</v>
      </c>
      <c r="C2512" s="163" t="s">
        <v>73</v>
      </c>
      <c r="D2512" s="164">
        <v>1699.9619047619049</v>
      </c>
      <c r="E2512" s="165" t="s">
        <v>5664</v>
      </c>
      <c r="F2512" s="617">
        <v>44553</v>
      </c>
    </row>
    <row r="2513" spans="1:6" ht="24.6" x14ac:dyDescent="0.3">
      <c r="A2513" s="169" t="s">
        <v>6012</v>
      </c>
      <c r="B2513" s="190" t="s">
        <v>6220</v>
      </c>
      <c r="C2513" s="163" t="s">
        <v>73</v>
      </c>
      <c r="D2513" s="164">
        <v>1700</v>
      </c>
      <c r="E2513" s="165" t="s">
        <v>5664</v>
      </c>
      <c r="F2513" s="617">
        <v>44553</v>
      </c>
    </row>
    <row r="2514" spans="1:6" x14ac:dyDescent="0.3">
      <c r="A2514" s="169" t="s">
        <v>6013</v>
      </c>
      <c r="B2514" s="190" t="s">
        <v>6221</v>
      </c>
      <c r="C2514" s="163" t="s">
        <v>73</v>
      </c>
      <c r="D2514" s="164">
        <v>1200</v>
      </c>
      <c r="E2514" s="165" t="s">
        <v>5664</v>
      </c>
      <c r="F2514" s="617">
        <v>44553</v>
      </c>
    </row>
    <row r="2515" spans="1:6" x14ac:dyDescent="0.3">
      <c r="A2515" s="169" t="s">
        <v>6014</v>
      </c>
      <c r="B2515" s="190" t="s">
        <v>6222</v>
      </c>
      <c r="C2515" s="163" t="s">
        <v>73</v>
      </c>
      <c r="D2515" s="164">
        <v>1596.8253968253969</v>
      </c>
      <c r="E2515" s="165" t="s">
        <v>5664</v>
      </c>
      <c r="F2515" s="617">
        <v>44553</v>
      </c>
    </row>
    <row r="2516" spans="1:6" x14ac:dyDescent="0.3">
      <c r="A2516" s="169" t="s">
        <v>6015</v>
      </c>
      <c r="B2516" s="190" t="s">
        <v>6223</v>
      </c>
      <c r="C2516" s="163" t="s">
        <v>73</v>
      </c>
      <c r="D2516" s="164">
        <v>2069.4444444444443</v>
      </c>
      <c r="E2516" s="165" t="s">
        <v>5664</v>
      </c>
      <c r="F2516" s="617">
        <v>44553</v>
      </c>
    </row>
    <row r="2517" spans="1:6" ht="24.6" x14ac:dyDescent="0.3">
      <c r="A2517" s="169" t="s">
        <v>6016</v>
      </c>
      <c r="B2517" s="190" t="s">
        <v>6224</v>
      </c>
      <c r="C2517" s="163" t="s">
        <v>73</v>
      </c>
      <c r="D2517" s="164">
        <v>2050</v>
      </c>
      <c r="E2517" s="165" t="s">
        <v>5664</v>
      </c>
      <c r="F2517" s="617">
        <v>44553</v>
      </c>
    </row>
    <row r="2518" spans="1:6" x14ac:dyDescent="0.3">
      <c r="A2518" s="169" t="s">
        <v>6017</v>
      </c>
      <c r="B2518" s="190" t="s">
        <v>6225</v>
      </c>
      <c r="C2518" s="163" t="s">
        <v>73</v>
      </c>
      <c r="D2518" s="164">
        <v>1700</v>
      </c>
      <c r="E2518" s="165" t="s">
        <v>5664</v>
      </c>
      <c r="F2518" s="617">
        <v>44553</v>
      </c>
    </row>
    <row r="2519" spans="1:6" x14ac:dyDescent="0.3">
      <c r="A2519" s="169" t="s">
        <v>6018</v>
      </c>
      <c r="B2519" s="190" t="s">
        <v>6226</v>
      </c>
      <c r="C2519" s="163" t="s">
        <v>73</v>
      </c>
      <c r="D2519" s="164">
        <v>1700</v>
      </c>
      <c r="E2519" s="165" t="s">
        <v>5664</v>
      </c>
      <c r="F2519" s="617">
        <v>44553</v>
      </c>
    </row>
    <row r="2520" spans="1:6" x14ac:dyDescent="0.3">
      <c r="A2520" s="169" t="s">
        <v>6019</v>
      </c>
      <c r="B2520" s="190" t="s">
        <v>6227</v>
      </c>
      <c r="C2520" s="163" t="s">
        <v>73</v>
      </c>
      <c r="D2520" s="164">
        <v>1689.7142857142858</v>
      </c>
      <c r="E2520" s="165" t="s">
        <v>5664</v>
      </c>
      <c r="F2520" s="617">
        <v>44553</v>
      </c>
    </row>
    <row r="2521" spans="1:6" x14ac:dyDescent="0.3">
      <c r="A2521" s="169" t="s">
        <v>6020</v>
      </c>
      <c r="B2521" s="190" t="s">
        <v>6228</v>
      </c>
      <c r="C2521" s="163" t="s">
        <v>73</v>
      </c>
      <c r="D2521" s="164">
        <v>1700</v>
      </c>
      <c r="E2521" s="165" t="s">
        <v>5664</v>
      </c>
      <c r="F2521" s="617">
        <v>44553</v>
      </c>
    </row>
    <row r="2522" spans="1:6" x14ac:dyDescent="0.3">
      <c r="A2522" s="169" t="s">
        <v>6021</v>
      </c>
      <c r="B2522" s="190" t="s">
        <v>6229</v>
      </c>
      <c r="C2522" s="163" t="s">
        <v>73</v>
      </c>
      <c r="D2522" s="164">
        <v>1700</v>
      </c>
      <c r="E2522" s="165" t="s">
        <v>5664</v>
      </c>
      <c r="F2522" s="617">
        <v>44553</v>
      </c>
    </row>
    <row r="2523" spans="1:6" x14ac:dyDescent="0.3">
      <c r="A2523" s="169" t="s">
        <v>6022</v>
      </c>
      <c r="B2523" s="190" t="s">
        <v>6230</v>
      </c>
      <c r="C2523" s="163" t="s">
        <v>73</v>
      </c>
      <c r="D2523" s="164">
        <v>2050</v>
      </c>
      <c r="E2523" s="165" t="s">
        <v>5664</v>
      </c>
      <c r="F2523" s="617">
        <v>44553</v>
      </c>
    </row>
    <row r="2524" spans="1:6" ht="24.6" x14ac:dyDescent="0.3">
      <c r="A2524" s="169" t="s">
        <v>6023</v>
      </c>
      <c r="B2524" s="190" t="s">
        <v>6231</v>
      </c>
      <c r="C2524" s="163" t="s">
        <v>73</v>
      </c>
      <c r="D2524" s="164">
        <v>2049.9574468085107</v>
      </c>
      <c r="E2524" s="165" t="s">
        <v>5664</v>
      </c>
      <c r="F2524" s="617">
        <v>44553</v>
      </c>
    </row>
    <row r="2525" spans="1:6" ht="24.6" x14ac:dyDescent="0.3">
      <c r="A2525" s="169" t="s">
        <v>6024</v>
      </c>
      <c r="B2525" s="190" t="s">
        <v>6232</v>
      </c>
      <c r="C2525" s="163" t="s">
        <v>73</v>
      </c>
      <c r="D2525" s="164">
        <v>2090.2183803457688</v>
      </c>
      <c r="E2525" s="165" t="s">
        <v>5664</v>
      </c>
      <c r="F2525" s="617">
        <v>44553</v>
      </c>
    </row>
    <row r="2526" spans="1:6" ht="24.6" x14ac:dyDescent="0.3">
      <c r="A2526" s="169" t="s">
        <v>6025</v>
      </c>
      <c r="B2526" s="190" t="s">
        <v>6233</v>
      </c>
      <c r="C2526" s="163" t="s">
        <v>73</v>
      </c>
      <c r="D2526" s="164">
        <v>2081.0686482661004</v>
      </c>
      <c r="E2526" s="165" t="s">
        <v>5664</v>
      </c>
      <c r="F2526" s="617">
        <v>44553</v>
      </c>
    </row>
    <row r="2527" spans="1:6" ht="24.6" x14ac:dyDescent="0.3">
      <c r="A2527" s="169" t="s">
        <v>6026</v>
      </c>
      <c r="B2527" s="190" t="s">
        <v>6234</v>
      </c>
      <c r="C2527" s="163" t="s">
        <v>73</v>
      </c>
      <c r="D2527" s="164">
        <v>2314.5502645502643</v>
      </c>
      <c r="E2527" s="165" t="s">
        <v>5664</v>
      </c>
      <c r="F2527" s="617">
        <v>44553</v>
      </c>
    </row>
    <row r="2528" spans="1:6" x14ac:dyDescent="0.3">
      <c r="A2528" s="169" t="s">
        <v>6027</v>
      </c>
      <c r="B2528" s="190" t="s">
        <v>6235</v>
      </c>
      <c r="C2528" s="163" t="s">
        <v>73</v>
      </c>
      <c r="D2528" s="164">
        <v>2700</v>
      </c>
      <c r="E2528" s="165" t="s">
        <v>5664</v>
      </c>
      <c r="F2528" s="617">
        <v>44553</v>
      </c>
    </row>
    <row r="2529" spans="1:6" x14ac:dyDescent="0.3">
      <c r="A2529" s="169" t="s">
        <v>6028</v>
      </c>
      <c r="B2529" s="190" t="s">
        <v>6236</v>
      </c>
      <c r="C2529" s="163" t="s">
        <v>73</v>
      </c>
      <c r="D2529" s="164">
        <v>2148.3542733054132</v>
      </c>
      <c r="E2529" s="165" t="s">
        <v>5664</v>
      </c>
      <c r="F2529" s="617">
        <v>44553</v>
      </c>
    </row>
    <row r="2530" spans="1:6" x14ac:dyDescent="0.3">
      <c r="A2530" s="169" t="s">
        <v>6029</v>
      </c>
      <c r="B2530" s="190" t="s">
        <v>6237</v>
      </c>
      <c r="C2530" s="163" t="s">
        <v>73</v>
      </c>
      <c r="D2530" s="164">
        <v>1743.5897435897436</v>
      </c>
      <c r="E2530" s="165" t="s">
        <v>5664</v>
      </c>
      <c r="F2530" s="617">
        <v>44553</v>
      </c>
    </row>
    <row r="2531" spans="1:6" x14ac:dyDescent="0.3">
      <c r="A2531" s="169" t="s">
        <v>6030</v>
      </c>
      <c r="B2531" s="190" t="s">
        <v>6238</v>
      </c>
      <c r="C2531" s="163" t="s">
        <v>73</v>
      </c>
      <c r="D2531" s="164">
        <v>1726.0536398467436</v>
      </c>
      <c r="E2531" s="165" t="s">
        <v>5664</v>
      </c>
      <c r="F2531" s="617">
        <v>44553</v>
      </c>
    </row>
    <row r="2532" spans="1:6" x14ac:dyDescent="0.3">
      <c r="A2532" s="169" t="s">
        <v>6031</v>
      </c>
      <c r="B2532" s="190" t="s">
        <v>6239</v>
      </c>
      <c r="C2532" s="163" t="s">
        <v>73</v>
      </c>
      <c r="D2532" s="164">
        <v>2050</v>
      </c>
      <c r="E2532" s="165" t="s">
        <v>5664</v>
      </c>
      <c r="F2532" s="617">
        <v>44553</v>
      </c>
    </row>
    <row r="2533" spans="1:6" x14ac:dyDescent="0.3">
      <c r="A2533" s="169" t="s">
        <v>6032</v>
      </c>
      <c r="B2533" s="190" t="s">
        <v>6240</v>
      </c>
      <c r="C2533" s="163" t="s">
        <v>73</v>
      </c>
      <c r="D2533" s="164">
        <v>1700</v>
      </c>
      <c r="E2533" s="165" t="s">
        <v>5664</v>
      </c>
      <c r="F2533" s="617">
        <v>44553</v>
      </c>
    </row>
    <row r="2534" spans="1:6" x14ac:dyDescent="0.3">
      <c r="A2534" s="169" t="s">
        <v>6033</v>
      </c>
      <c r="B2534" s="190" t="s">
        <v>6241</v>
      </c>
      <c r="C2534" s="163" t="s">
        <v>73</v>
      </c>
      <c r="D2534" s="164">
        <v>3020</v>
      </c>
      <c r="E2534" s="165" t="s">
        <v>5664</v>
      </c>
      <c r="F2534" s="617">
        <v>44553</v>
      </c>
    </row>
    <row r="2535" spans="1:6" ht="24.6" x14ac:dyDescent="0.3">
      <c r="A2535" s="169" t="s">
        <v>6034</v>
      </c>
      <c r="B2535" s="190" t="s">
        <v>6242</v>
      </c>
      <c r="C2535" s="163" t="s">
        <v>73</v>
      </c>
      <c r="D2535" s="164">
        <v>1240.4160693939059</v>
      </c>
      <c r="E2535" s="165" t="s">
        <v>5664</v>
      </c>
      <c r="F2535" s="617">
        <v>44553</v>
      </c>
    </row>
    <row r="2536" spans="1:6" x14ac:dyDescent="0.3">
      <c r="A2536" s="169" t="s">
        <v>6035</v>
      </c>
      <c r="B2536" s="190" t="s">
        <v>6243</v>
      </c>
      <c r="C2536" s="163" t="s">
        <v>73</v>
      </c>
      <c r="D2536" s="164">
        <v>1401.0840108401085</v>
      </c>
      <c r="E2536" s="165" t="s">
        <v>5664</v>
      </c>
      <c r="F2536" s="617">
        <v>44553</v>
      </c>
    </row>
    <row r="2537" spans="1:6" x14ac:dyDescent="0.3">
      <c r="A2537" s="169" t="s">
        <v>6036</v>
      </c>
      <c r="B2537" s="190" t="s">
        <v>6302</v>
      </c>
      <c r="C2537" s="163" t="s">
        <v>73</v>
      </c>
      <c r="D2537" s="164">
        <v>1559.9999999999998</v>
      </c>
      <c r="E2537" s="165" t="s">
        <v>5664</v>
      </c>
      <c r="F2537" s="617">
        <v>44553</v>
      </c>
    </row>
    <row r="2538" spans="1:6" x14ac:dyDescent="0.3">
      <c r="A2538" s="169" t="s">
        <v>6037</v>
      </c>
      <c r="B2538" s="190" t="s">
        <v>6244</v>
      </c>
      <c r="C2538" s="163" t="s">
        <v>73</v>
      </c>
      <c r="D2538" s="164">
        <v>1040.4624277456646</v>
      </c>
      <c r="E2538" s="165" t="s">
        <v>5664</v>
      </c>
      <c r="F2538" s="617">
        <v>44553</v>
      </c>
    </row>
    <row r="2539" spans="1:6" x14ac:dyDescent="0.3">
      <c r="A2539" s="169" t="s">
        <v>6038</v>
      </c>
      <c r="B2539" s="190" t="s">
        <v>6300</v>
      </c>
      <c r="C2539" s="163" t="s">
        <v>73</v>
      </c>
      <c r="D2539" s="164">
        <v>1560</v>
      </c>
      <c r="E2539" s="165" t="s">
        <v>5664</v>
      </c>
      <c r="F2539" s="617">
        <v>44553</v>
      </c>
    </row>
    <row r="2540" spans="1:6" x14ac:dyDescent="0.3">
      <c r="A2540" s="169" t="s">
        <v>6039</v>
      </c>
      <c r="B2540" s="190" t="s">
        <v>6301</v>
      </c>
      <c r="C2540" s="163" t="s">
        <v>73</v>
      </c>
      <c r="D2540" s="164">
        <v>1565.9722222222219</v>
      </c>
      <c r="E2540" s="165" t="s">
        <v>5664</v>
      </c>
      <c r="F2540" s="617">
        <v>44553</v>
      </c>
    </row>
    <row r="2541" spans="1:6" x14ac:dyDescent="0.3">
      <c r="A2541" s="169" t="s">
        <v>6040</v>
      </c>
      <c r="B2541" s="190" t="s">
        <v>6245</v>
      </c>
      <c r="C2541" s="163" t="s">
        <v>3238</v>
      </c>
      <c r="D2541" s="164">
        <v>141.41</v>
      </c>
      <c r="E2541" s="165" t="s">
        <v>6282</v>
      </c>
      <c r="F2541" s="617">
        <v>44551</v>
      </c>
    </row>
    <row r="2542" spans="1:6" x14ac:dyDescent="0.3">
      <c r="A2542" s="169" t="s">
        <v>6041</v>
      </c>
      <c r="B2542" s="190" t="s">
        <v>6246</v>
      </c>
      <c r="C2542" s="163" t="s">
        <v>3238</v>
      </c>
      <c r="D2542" s="164">
        <v>259.55</v>
      </c>
      <c r="E2542" s="165" t="s">
        <v>6282</v>
      </c>
      <c r="F2542" s="617">
        <v>44551</v>
      </c>
    </row>
    <row r="2543" spans="1:6" x14ac:dyDescent="0.3">
      <c r="A2543" s="169" t="s">
        <v>6042</v>
      </c>
      <c r="B2543" s="190" t="s">
        <v>6247</v>
      </c>
      <c r="C2543" s="163" t="s">
        <v>3238</v>
      </c>
      <c r="D2543" s="164">
        <v>113.76</v>
      </c>
      <c r="E2543" s="165" t="s">
        <v>6282</v>
      </c>
      <c r="F2543" s="617">
        <v>44551</v>
      </c>
    </row>
    <row r="2544" spans="1:6" x14ac:dyDescent="0.3">
      <c r="A2544" s="169" t="s">
        <v>6043</v>
      </c>
      <c r="B2544" s="190" t="s">
        <v>6248</v>
      </c>
      <c r="C2544" s="163" t="s">
        <v>3238</v>
      </c>
      <c r="D2544" s="164">
        <v>208.8</v>
      </c>
      <c r="E2544" s="165" t="s">
        <v>6282</v>
      </c>
      <c r="F2544" s="617">
        <v>44551</v>
      </c>
    </row>
    <row r="2545" spans="1:6" x14ac:dyDescent="0.3">
      <c r="A2545" s="169" t="s">
        <v>6044</v>
      </c>
      <c r="B2545" s="190" t="s">
        <v>6249</v>
      </c>
      <c r="C2545" s="163" t="s">
        <v>3238</v>
      </c>
      <c r="D2545" s="164">
        <v>22.51</v>
      </c>
      <c r="E2545" s="165" t="s">
        <v>6282</v>
      </c>
      <c r="F2545" s="617">
        <v>44551</v>
      </c>
    </row>
    <row r="2546" spans="1:6" x14ac:dyDescent="0.3">
      <c r="A2546" s="169" t="s">
        <v>6045</v>
      </c>
      <c r="B2546" s="190" t="s">
        <v>6250</v>
      </c>
      <c r="C2546" s="163" t="s">
        <v>3238</v>
      </c>
      <c r="D2546" s="164">
        <v>82.65</v>
      </c>
      <c r="E2546" s="165" t="s">
        <v>6282</v>
      </c>
      <c r="F2546" s="617">
        <v>44551</v>
      </c>
    </row>
    <row r="2547" spans="1:6" x14ac:dyDescent="0.3">
      <c r="A2547" s="169" t="s">
        <v>6046</v>
      </c>
      <c r="B2547" s="190" t="s">
        <v>6251</v>
      </c>
      <c r="C2547" s="163" t="s">
        <v>3238</v>
      </c>
      <c r="D2547" s="164">
        <v>68.73</v>
      </c>
      <c r="E2547" s="165" t="s">
        <v>6282</v>
      </c>
      <c r="F2547" s="617">
        <v>44551</v>
      </c>
    </row>
    <row r="2548" spans="1:6" x14ac:dyDescent="0.3">
      <c r="A2548" s="169" t="s">
        <v>6047</v>
      </c>
      <c r="B2548" s="190" t="s">
        <v>6252</v>
      </c>
      <c r="C2548" s="163" t="s">
        <v>3238</v>
      </c>
      <c r="D2548" s="164">
        <v>252.3</v>
      </c>
      <c r="E2548" s="165" t="s">
        <v>6282</v>
      </c>
      <c r="F2548" s="617">
        <v>44551</v>
      </c>
    </row>
    <row r="2549" spans="1:6" x14ac:dyDescent="0.3">
      <c r="A2549" s="169" t="s">
        <v>6048</v>
      </c>
      <c r="B2549" s="190" t="s">
        <v>6253</v>
      </c>
      <c r="C2549" s="163" t="s">
        <v>3238</v>
      </c>
      <c r="D2549" s="164">
        <v>93.62</v>
      </c>
      <c r="E2549" s="165" t="s">
        <v>6282</v>
      </c>
      <c r="F2549" s="617">
        <v>44551</v>
      </c>
    </row>
    <row r="2550" spans="1:6" x14ac:dyDescent="0.3">
      <c r="A2550" s="169" t="s">
        <v>6049</v>
      </c>
      <c r="B2550" s="190" t="s">
        <v>6254</v>
      </c>
      <c r="C2550" s="163" t="s">
        <v>3238</v>
      </c>
      <c r="D2550" s="164">
        <v>343.65</v>
      </c>
      <c r="E2550" s="165" t="s">
        <v>6282</v>
      </c>
      <c r="F2550" s="617">
        <v>44551</v>
      </c>
    </row>
    <row r="2551" spans="1:6" x14ac:dyDescent="0.3">
      <c r="A2551" s="169" t="s">
        <v>6050</v>
      </c>
      <c r="B2551" s="190" t="s">
        <v>6255</v>
      </c>
      <c r="C2551" s="163" t="s">
        <v>3238</v>
      </c>
      <c r="D2551" s="164">
        <v>48.98</v>
      </c>
      <c r="E2551" s="165" t="s">
        <v>6282</v>
      </c>
      <c r="F2551" s="617">
        <v>44551</v>
      </c>
    </row>
    <row r="2552" spans="1:6" x14ac:dyDescent="0.3">
      <c r="A2552" s="169" t="s">
        <v>6051</v>
      </c>
      <c r="B2552" s="190" t="s">
        <v>6256</v>
      </c>
      <c r="C2552" s="163" t="s">
        <v>3238</v>
      </c>
      <c r="D2552" s="164">
        <v>115.34</v>
      </c>
      <c r="E2552" s="165" t="s">
        <v>6282</v>
      </c>
      <c r="F2552" s="617">
        <v>44551</v>
      </c>
    </row>
    <row r="2553" spans="1:6" x14ac:dyDescent="0.3">
      <c r="A2553" s="169" t="s">
        <v>6052</v>
      </c>
      <c r="B2553" s="190" t="s">
        <v>6257</v>
      </c>
      <c r="C2553" s="163" t="s">
        <v>3238</v>
      </c>
      <c r="D2553" s="164">
        <v>423.4</v>
      </c>
      <c r="E2553" s="165" t="s">
        <v>6282</v>
      </c>
      <c r="F2553" s="617">
        <v>44551</v>
      </c>
    </row>
    <row r="2554" spans="1:6" x14ac:dyDescent="0.3">
      <c r="A2554" s="169" t="s">
        <v>6053</v>
      </c>
      <c r="B2554" s="190" t="s">
        <v>6258</v>
      </c>
      <c r="C2554" s="163" t="s">
        <v>3238</v>
      </c>
      <c r="D2554" s="164">
        <v>72.680000000000007</v>
      </c>
      <c r="E2554" s="165" t="s">
        <v>6282</v>
      </c>
      <c r="F2554" s="617">
        <v>44551</v>
      </c>
    </row>
    <row r="2555" spans="1:6" x14ac:dyDescent="0.3">
      <c r="A2555" s="169" t="s">
        <v>6054</v>
      </c>
      <c r="B2555" s="190" t="s">
        <v>6259</v>
      </c>
      <c r="C2555" s="163" t="s">
        <v>3238</v>
      </c>
      <c r="D2555" s="164">
        <v>266.8</v>
      </c>
      <c r="E2555" s="165" t="s">
        <v>6282</v>
      </c>
      <c r="F2555" s="617">
        <v>44551</v>
      </c>
    </row>
    <row r="2556" spans="1:6" x14ac:dyDescent="0.3">
      <c r="A2556" s="169" t="s">
        <v>6055</v>
      </c>
      <c r="B2556" s="190" t="s">
        <v>6260</v>
      </c>
      <c r="C2556" s="163" t="s">
        <v>3238</v>
      </c>
      <c r="D2556" s="164">
        <v>178.54</v>
      </c>
      <c r="E2556" s="165" t="s">
        <v>6282</v>
      </c>
      <c r="F2556" s="617">
        <v>44551</v>
      </c>
    </row>
    <row r="2557" spans="1:6" x14ac:dyDescent="0.3">
      <c r="A2557" s="169" t="s">
        <v>6056</v>
      </c>
      <c r="B2557" s="190" t="s">
        <v>6261</v>
      </c>
      <c r="C2557" s="163" t="s">
        <v>3238</v>
      </c>
      <c r="D2557" s="164">
        <v>655.4</v>
      </c>
      <c r="E2557" s="165" t="s">
        <v>6282</v>
      </c>
      <c r="F2557" s="617">
        <v>44551</v>
      </c>
    </row>
    <row r="2558" spans="1:6" x14ac:dyDescent="0.3">
      <c r="A2558" s="169" t="s">
        <v>6057</v>
      </c>
      <c r="B2558" s="190" t="s">
        <v>6262</v>
      </c>
      <c r="C2558" s="163" t="s">
        <v>3238</v>
      </c>
      <c r="D2558" s="164">
        <v>72.680000000000007</v>
      </c>
      <c r="E2558" s="165" t="s">
        <v>6282</v>
      </c>
      <c r="F2558" s="617">
        <v>44551</v>
      </c>
    </row>
    <row r="2559" spans="1:6" x14ac:dyDescent="0.3">
      <c r="A2559" s="169" t="s">
        <v>6058</v>
      </c>
      <c r="B2559" s="190" t="s">
        <v>6263</v>
      </c>
      <c r="C2559" s="163" t="s">
        <v>3238</v>
      </c>
      <c r="D2559" s="164">
        <v>266.8</v>
      </c>
      <c r="E2559" s="165" t="s">
        <v>6282</v>
      </c>
      <c r="F2559" s="617">
        <v>44551</v>
      </c>
    </row>
    <row r="2560" spans="1:6" x14ac:dyDescent="0.3">
      <c r="A2560" s="169" t="s">
        <v>6059</v>
      </c>
      <c r="B2560" s="190" t="s">
        <v>6264</v>
      </c>
      <c r="C2560" s="163" t="s">
        <v>3238</v>
      </c>
      <c r="D2560" s="164">
        <v>21.33</v>
      </c>
      <c r="E2560" s="165" t="s">
        <v>6282</v>
      </c>
      <c r="F2560" s="617">
        <v>44551</v>
      </c>
    </row>
    <row r="2561" spans="1:9" x14ac:dyDescent="0.3">
      <c r="A2561" s="169" t="s">
        <v>6060</v>
      </c>
      <c r="B2561" s="190" t="s">
        <v>6265</v>
      </c>
      <c r="C2561" s="163" t="s">
        <v>3238</v>
      </c>
      <c r="D2561" s="164">
        <v>78.3</v>
      </c>
      <c r="E2561" s="165" t="s">
        <v>6282</v>
      </c>
      <c r="F2561" s="617">
        <v>44551</v>
      </c>
    </row>
    <row r="2562" spans="1:9" x14ac:dyDescent="0.3">
      <c r="A2562" s="169" t="s">
        <v>6061</v>
      </c>
      <c r="B2562" s="190" t="s">
        <v>6266</v>
      </c>
      <c r="C2562" s="163" t="s">
        <v>3238</v>
      </c>
      <c r="D2562" s="164">
        <v>64.78</v>
      </c>
      <c r="E2562" s="165" t="s">
        <v>6282</v>
      </c>
      <c r="F2562" s="617">
        <v>44551</v>
      </c>
    </row>
    <row r="2563" spans="1:9" x14ac:dyDescent="0.3">
      <c r="A2563" s="169" t="s">
        <v>6062</v>
      </c>
      <c r="B2563" s="190" t="s">
        <v>6267</v>
      </c>
      <c r="C2563" s="163" t="s">
        <v>3238</v>
      </c>
      <c r="D2563" s="164">
        <v>237.8</v>
      </c>
      <c r="E2563" s="165" t="s">
        <v>6282</v>
      </c>
      <c r="F2563" s="617">
        <v>44551</v>
      </c>
    </row>
    <row r="2564" spans="1:9" x14ac:dyDescent="0.3">
      <c r="A2564" s="169" t="s">
        <v>6063</v>
      </c>
      <c r="B2564" s="190" t="s">
        <v>6268</v>
      </c>
      <c r="C2564" s="163" t="s">
        <v>3238</v>
      </c>
      <c r="D2564" s="164">
        <v>189.6</v>
      </c>
      <c r="E2564" s="165" t="s">
        <v>6282</v>
      </c>
      <c r="F2564" s="617">
        <v>44551</v>
      </c>
    </row>
    <row r="2565" spans="1:9" x14ac:dyDescent="0.3">
      <c r="A2565" s="169" t="s">
        <v>6064</v>
      </c>
      <c r="B2565" s="190" t="s">
        <v>6269</v>
      </c>
      <c r="C2565" s="163" t="s">
        <v>3238</v>
      </c>
      <c r="D2565" s="164">
        <v>126.39999999999999</v>
      </c>
      <c r="E2565" s="165" t="s">
        <v>6282</v>
      </c>
      <c r="F2565" s="617">
        <v>44551</v>
      </c>
    </row>
    <row r="2566" spans="1:9" x14ac:dyDescent="0.3">
      <c r="A2566" s="169" t="s">
        <v>6065</v>
      </c>
      <c r="B2566" s="190" t="s">
        <v>6270</v>
      </c>
      <c r="C2566" s="163" t="s">
        <v>3238</v>
      </c>
      <c r="D2566" s="164">
        <v>2591.1999999999998</v>
      </c>
      <c r="E2566" s="165" t="s">
        <v>6282</v>
      </c>
      <c r="F2566" s="617">
        <v>44551</v>
      </c>
      <c r="H2566" s="174">
        <f>D2566/43.76</f>
        <v>59.213893967093234</v>
      </c>
    </row>
    <row r="2567" spans="1:9" x14ac:dyDescent="0.3">
      <c r="A2567" s="169" t="s">
        <v>6066</v>
      </c>
      <c r="B2567" s="190" t="s">
        <v>6271</v>
      </c>
      <c r="C2567" s="163" t="s">
        <v>3238</v>
      </c>
      <c r="D2567" s="164">
        <f>((((4016.5+623.5+617.7+404.04+480)*1.03)/1.03)*1.02)/1.02</f>
        <v>6141.74</v>
      </c>
      <c r="E2567" s="165" t="s">
        <v>6282</v>
      </c>
      <c r="F2567" s="617">
        <v>44551</v>
      </c>
    </row>
    <row r="2568" spans="1:9" x14ac:dyDescent="0.3">
      <c r="A2568" s="169" t="s">
        <v>6067</v>
      </c>
      <c r="B2568" s="190" t="s">
        <v>6272</v>
      </c>
      <c r="C2568" s="163" t="s">
        <v>3238</v>
      </c>
      <c r="D2568" s="164">
        <f>((((3596+406+398.75+261.25+4437+261+171)*1.03)/1.03)*1.02)/1.02</f>
        <v>9531</v>
      </c>
      <c r="E2568" s="165" t="s">
        <v>6282</v>
      </c>
      <c r="F2568" s="617">
        <v>44551</v>
      </c>
    </row>
    <row r="2569" spans="1:9" x14ac:dyDescent="0.3">
      <c r="A2569" s="169" t="s">
        <v>6068</v>
      </c>
      <c r="B2569" s="190" t="s">
        <v>6273</v>
      </c>
      <c r="C2569" s="163" t="s">
        <v>3238</v>
      </c>
      <c r="D2569" s="164">
        <v>2720</v>
      </c>
      <c r="E2569" s="165" t="s">
        <v>6282</v>
      </c>
      <c r="F2569" s="617">
        <v>44551</v>
      </c>
    </row>
    <row r="2570" spans="1:9" x14ac:dyDescent="0.3">
      <c r="A2570" s="169" t="s">
        <v>6069</v>
      </c>
      <c r="B2570" s="190" t="s">
        <v>8056</v>
      </c>
      <c r="C2570" s="163" t="s">
        <v>3238</v>
      </c>
      <c r="D2570" s="164">
        <v>3654</v>
      </c>
      <c r="E2570" s="165" t="s">
        <v>6282</v>
      </c>
      <c r="F2570" s="617">
        <v>44551</v>
      </c>
    </row>
    <row r="2571" spans="1:9" x14ac:dyDescent="0.3">
      <c r="A2571" s="169" t="s">
        <v>6070</v>
      </c>
      <c r="B2571" s="190" t="s">
        <v>6274</v>
      </c>
      <c r="C2571" s="163" t="s">
        <v>3238</v>
      </c>
      <c r="D2571" s="164">
        <v>2342.5</v>
      </c>
      <c r="E2571" s="165" t="s">
        <v>6282</v>
      </c>
      <c r="F2571" s="617">
        <v>44551</v>
      </c>
    </row>
    <row r="2572" spans="1:9" x14ac:dyDescent="0.3">
      <c r="A2572" s="169" t="s">
        <v>6071</v>
      </c>
      <c r="B2572" s="190" t="s">
        <v>6275</v>
      </c>
      <c r="C2572" s="163" t="s">
        <v>3238</v>
      </c>
      <c r="D2572" s="164">
        <v>4110.3</v>
      </c>
      <c r="E2572" s="165" t="s">
        <v>6282</v>
      </c>
      <c r="F2572" s="617">
        <v>44551</v>
      </c>
    </row>
    <row r="2573" spans="1:9" x14ac:dyDescent="0.3">
      <c r="A2573" s="169" t="s">
        <v>6072</v>
      </c>
      <c r="B2573" s="190" t="s">
        <v>6276</v>
      </c>
      <c r="C2573" s="163" t="s">
        <v>3238</v>
      </c>
      <c r="D2573" s="164">
        <v>2452.1999999999998</v>
      </c>
      <c r="E2573" s="165" t="s">
        <v>6282</v>
      </c>
      <c r="F2573" s="617">
        <v>44551</v>
      </c>
      <c r="H2573">
        <f>+(6.15+4+3.55+1.55)</f>
        <v>15.25</v>
      </c>
      <c r="I2573" s="174">
        <f>H2566*H2573</f>
        <v>903.01188299817181</v>
      </c>
    </row>
    <row r="2574" spans="1:9" x14ac:dyDescent="0.3">
      <c r="A2574" s="169" t="s">
        <v>6073</v>
      </c>
      <c r="B2574" s="190" t="s">
        <v>6277</v>
      </c>
      <c r="C2574" s="163" t="s">
        <v>3238</v>
      </c>
      <c r="D2574" s="164">
        <v>2126</v>
      </c>
      <c r="E2574" s="165" t="s">
        <v>6282</v>
      </c>
      <c r="F2574" s="617">
        <v>44551</v>
      </c>
    </row>
    <row r="2575" spans="1:9" x14ac:dyDescent="0.3">
      <c r="A2575" s="169" t="s">
        <v>6074</v>
      </c>
      <c r="B2575" s="190" t="s">
        <v>6312</v>
      </c>
      <c r="C2575" s="163" t="s">
        <v>74</v>
      </c>
      <c r="D2575" s="164">
        <v>56.51</v>
      </c>
      <c r="E2575" s="165"/>
      <c r="F2575" s="617">
        <v>44551</v>
      </c>
    </row>
    <row r="2576" spans="1:9" x14ac:dyDescent="0.3">
      <c r="A2576" s="169" t="s">
        <v>6075</v>
      </c>
      <c r="B2576" s="190" t="s">
        <v>6278</v>
      </c>
      <c r="C2576" s="163" t="s">
        <v>29</v>
      </c>
      <c r="D2576" s="160">
        <v>1</v>
      </c>
      <c r="E2576" s="165"/>
      <c r="F2576" s="617">
        <v>44551</v>
      </c>
    </row>
    <row r="2577" spans="1:6" x14ac:dyDescent="0.3">
      <c r="A2577" s="169" t="s">
        <v>6076</v>
      </c>
      <c r="B2577" s="190" t="s">
        <v>6280</v>
      </c>
      <c r="C2577" s="163" t="s">
        <v>74</v>
      </c>
      <c r="D2577" s="164">
        <f>((((17*1.15)*1.03)/1.03)*1.02)/1.02</f>
        <v>19.549999999999997</v>
      </c>
      <c r="E2577" s="165"/>
      <c r="F2577" s="617">
        <v>44552</v>
      </c>
    </row>
    <row r="2578" spans="1:6" x14ac:dyDescent="0.3">
      <c r="A2578" s="169" t="s">
        <v>6077</v>
      </c>
      <c r="B2578" s="190" t="s">
        <v>6279</v>
      </c>
      <c r="C2578" s="163" t="s">
        <v>74</v>
      </c>
      <c r="D2578" s="164">
        <f>((((10*1.15)*1.03)/1.03)*1.02)/1.02</f>
        <v>11.5</v>
      </c>
      <c r="E2578" s="165"/>
      <c r="F2578" s="617">
        <v>44552</v>
      </c>
    </row>
    <row r="2579" spans="1:6" x14ac:dyDescent="0.3">
      <c r="A2579" s="169" t="s">
        <v>6078</v>
      </c>
      <c r="B2579" s="190" t="s">
        <v>6285</v>
      </c>
      <c r="C2579" s="163" t="s">
        <v>29</v>
      </c>
      <c r="D2579" s="164">
        <f>((((4400+1000)*1.03)/1.03)*1.02)/1.02</f>
        <v>5400</v>
      </c>
      <c r="E2579" s="165" t="s">
        <v>2335</v>
      </c>
      <c r="F2579" s="617">
        <v>44552</v>
      </c>
    </row>
    <row r="2580" spans="1:6" x14ac:dyDescent="0.3">
      <c r="A2580" s="169" t="s">
        <v>6079</v>
      </c>
      <c r="B2580" s="190" t="s">
        <v>6286</v>
      </c>
      <c r="C2580" s="163" t="s">
        <v>29</v>
      </c>
      <c r="D2580" s="160">
        <v>1</v>
      </c>
      <c r="E2580" s="165" t="s">
        <v>405</v>
      </c>
      <c r="F2580" s="617">
        <v>44552</v>
      </c>
    </row>
    <row r="2581" spans="1:6" x14ac:dyDescent="0.3">
      <c r="A2581" s="169" t="s">
        <v>6080</v>
      </c>
      <c r="B2581" s="190" t="s">
        <v>6287</v>
      </c>
      <c r="C2581" s="163" t="s">
        <v>29</v>
      </c>
      <c r="D2581" s="160">
        <v>1</v>
      </c>
      <c r="E2581" s="165" t="s">
        <v>405</v>
      </c>
      <c r="F2581" s="617">
        <v>44552</v>
      </c>
    </row>
    <row r="2582" spans="1:6" x14ac:dyDescent="0.3">
      <c r="A2582" s="169" t="s">
        <v>6081</v>
      </c>
      <c r="B2582" s="190" t="s">
        <v>6288</v>
      </c>
      <c r="C2582" s="163" t="s">
        <v>29</v>
      </c>
      <c r="D2582" s="160">
        <v>1</v>
      </c>
      <c r="E2582" s="165" t="s">
        <v>405</v>
      </c>
      <c r="F2582" s="617">
        <v>44552</v>
      </c>
    </row>
    <row r="2583" spans="1:6" x14ac:dyDescent="0.3">
      <c r="A2583" s="169" t="s">
        <v>6082</v>
      </c>
      <c r="B2583" s="190" t="s">
        <v>6291</v>
      </c>
      <c r="C2583" s="163" t="s">
        <v>73</v>
      </c>
      <c r="D2583" s="164">
        <f>(((((2736.3+1999.8+500+461.25+3913.65)/74.36)*1.03)/1.03)*1.02)/1.02</f>
        <v>129.24959655728887</v>
      </c>
      <c r="E2583" s="165" t="s">
        <v>6293</v>
      </c>
      <c r="F2583" s="617">
        <v>44557</v>
      </c>
    </row>
    <row r="2584" spans="1:6" x14ac:dyDescent="0.3">
      <c r="A2584" s="169" t="s">
        <v>6083</v>
      </c>
      <c r="B2584" s="190" t="s">
        <v>6292</v>
      </c>
      <c r="C2584" s="163" t="s">
        <v>73</v>
      </c>
      <c r="D2584" s="164">
        <v>60</v>
      </c>
      <c r="E2584" s="165" t="s">
        <v>6293</v>
      </c>
      <c r="F2584" s="617">
        <v>44557</v>
      </c>
    </row>
    <row r="2585" spans="1:6" x14ac:dyDescent="0.3">
      <c r="A2585" s="169" t="s">
        <v>6084</v>
      </c>
      <c r="B2585" s="190" t="s">
        <v>6294</v>
      </c>
      <c r="C2585" s="163" t="s">
        <v>73</v>
      </c>
      <c r="D2585" s="164">
        <f>((((3231.49/104.33)*1.03)/1.03)*1.02)/1.02</f>
        <v>30.973737180101597</v>
      </c>
      <c r="E2585" s="165" t="s">
        <v>6293</v>
      </c>
      <c r="F2585" s="617">
        <v>44557</v>
      </c>
    </row>
    <row r="2586" spans="1:6" x14ac:dyDescent="0.3">
      <c r="A2586" s="169" t="s">
        <v>6085</v>
      </c>
      <c r="B2586" s="190" t="s">
        <v>6295</v>
      </c>
      <c r="C2586" s="163" t="s">
        <v>73</v>
      </c>
      <c r="D2586" s="164">
        <v>60</v>
      </c>
      <c r="E2586" s="165" t="s">
        <v>6293</v>
      </c>
      <c r="F2586" s="617">
        <v>44557</v>
      </c>
    </row>
    <row r="2587" spans="1:6" x14ac:dyDescent="0.3">
      <c r="A2587" s="169" t="s">
        <v>6086</v>
      </c>
      <c r="B2587" s="190" t="s">
        <v>6296</v>
      </c>
      <c r="C2587" s="163" t="s">
        <v>73</v>
      </c>
      <c r="D2587" s="164">
        <f>(((((155.9+44.5+1740+290.7)/29.8)*1.03)/1.03)*1.02)/1.02</f>
        <v>74.869127516778519</v>
      </c>
      <c r="E2587" s="165" t="s">
        <v>6293</v>
      </c>
      <c r="F2587" s="617">
        <v>44557</v>
      </c>
    </row>
    <row r="2588" spans="1:6" x14ac:dyDescent="0.3">
      <c r="A2588" s="169" t="s">
        <v>6087</v>
      </c>
      <c r="B2588" s="190" t="s">
        <v>6297</v>
      </c>
      <c r="C2588" s="163" t="s">
        <v>73</v>
      </c>
      <c r="D2588" s="164">
        <v>60</v>
      </c>
      <c r="E2588" s="165" t="s">
        <v>6293</v>
      </c>
      <c r="F2588" s="617">
        <v>44557</v>
      </c>
    </row>
    <row r="2589" spans="1:6" x14ac:dyDescent="0.3">
      <c r="A2589" s="169" t="s">
        <v>6088</v>
      </c>
      <c r="B2589" s="190" t="s">
        <v>5456</v>
      </c>
      <c r="C2589" s="163" t="s">
        <v>29</v>
      </c>
      <c r="D2589" s="160">
        <v>1</v>
      </c>
      <c r="E2589" s="165" t="s">
        <v>3578</v>
      </c>
      <c r="F2589" s="617"/>
    </row>
    <row r="2590" spans="1:6" x14ac:dyDescent="0.3">
      <c r="A2590" s="169" t="s">
        <v>6089</v>
      </c>
      <c r="B2590" s="190" t="s">
        <v>6303</v>
      </c>
      <c r="C2590" s="163" t="s">
        <v>73</v>
      </c>
      <c r="D2590" s="164">
        <f>((((160*1.15)*1.03)/1.03)*1.02)/1.02</f>
        <v>184</v>
      </c>
      <c r="E2590" s="165" t="s">
        <v>5183</v>
      </c>
      <c r="F2590" s="617">
        <v>44559</v>
      </c>
    </row>
    <row r="2591" spans="1:6" x14ac:dyDescent="0.3">
      <c r="A2591" s="169" t="s">
        <v>6090</v>
      </c>
      <c r="B2591" s="190" t="s">
        <v>6304</v>
      </c>
      <c r="C2591" s="163" t="s">
        <v>29</v>
      </c>
      <c r="D2591" s="160">
        <v>1</v>
      </c>
      <c r="E2591" s="165" t="s">
        <v>3578</v>
      </c>
      <c r="F2591" s="617"/>
    </row>
    <row r="2592" spans="1:6" x14ac:dyDescent="0.3">
      <c r="A2592" s="169" t="s">
        <v>6091</v>
      </c>
      <c r="B2592" s="190" t="s">
        <v>6438</v>
      </c>
      <c r="C2592" s="163" t="s">
        <v>72</v>
      </c>
      <c r="D2592" s="164">
        <v>200</v>
      </c>
      <c r="E2592" s="165" t="s">
        <v>5460</v>
      </c>
      <c r="F2592" s="617">
        <v>45183</v>
      </c>
    </row>
    <row r="2593" spans="1:6" x14ac:dyDescent="0.3">
      <c r="A2593" s="169" t="s">
        <v>6092</v>
      </c>
      <c r="B2593" s="190" t="s">
        <v>6308</v>
      </c>
      <c r="C2593" s="163" t="s">
        <v>6309</v>
      </c>
      <c r="D2593" s="164">
        <v>150</v>
      </c>
      <c r="E2593" s="165" t="s">
        <v>6307</v>
      </c>
      <c r="F2593" s="617">
        <v>45183</v>
      </c>
    </row>
    <row r="2594" spans="1:6" x14ac:dyDescent="0.3">
      <c r="A2594" s="169" t="s">
        <v>6093</v>
      </c>
      <c r="B2594" s="190" t="s">
        <v>6311</v>
      </c>
      <c r="C2594" s="163" t="s">
        <v>29</v>
      </c>
      <c r="D2594" s="160">
        <v>1</v>
      </c>
      <c r="E2594" s="165" t="s">
        <v>6215</v>
      </c>
      <c r="F2594" s="617">
        <v>44560</v>
      </c>
    </row>
    <row r="2595" spans="1:6" x14ac:dyDescent="0.3">
      <c r="A2595" s="169" t="s">
        <v>6094</v>
      </c>
      <c r="B2595" s="190" t="s">
        <v>6314</v>
      </c>
      <c r="C2595" s="163" t="s">
        <v>29</v>
      </c>
      <c r="D2595" s="164">
        <f>((((I2573)*1.03)/1.03)*1.02)/1.02</f>
        <v>903.01188299817181</v>
      </c>
      <c r="E2595" s="165" t="s">
        <v>6315</v>
      </c>
      <c r="F2595" s="617">
        <v>44571</v>
      </c>
    </row>
    <row r="2596" spans="1:6" ht="24.6" x14ac:dyDescent="0.3">
      <c r="A2596" s="169" t="s">
        <v>6095</v>
      </c>
      <c r="B2596" s="190" t="s">
        <v>6318</v>
      </c>
      <c r="C2596" s="163" t="s">
        <v>73</v>
      </c>
      <c r="D2596" s="164">
        <v>1712.2560499609681</v>
      </c>
      <c r="E2596" s="165" t="s">
        <v>5302</v>
      </c>
      <c r="F2596" s="617">
        <v>44571</v>
      </c>
    </row>
    <row r="2597" spans="1:6" x14ac:dyDescent="0.3">
      <c r="A2597" s="169" t="s">
        <v>6096</v>
      </c>
      <c r="B2597" s="190" t="s">
        <v>6316</v>
      </c>
      <c r="C2597" s="163" t="s">
        <v>29</v>
      </c>
      <c r="D2597" s="164">
        <v>11000</v>
      </c>
      <c r="E2597" s="165" t="s">
        <v>5800</v>
      </c>
      <c r="F2597" s="617">
        <v>44571</v>
      </c>
    </row>
    <row r="2598" spans="1:6" x14ac:dyDescent="0.3">
      <c r="A2598" s="169" t="s">
        <v>6097</v>
      </c>
      <c r="B2598" s="190" t="s">
        <v>6320</v>
      </c>
      <c r="C2598" s="163" t="s">
        <v>29</v>
      </c>
      <c r="D2598" s="160">
        <v>1</v>
      </c>
      <c r="E2598" s="165" t="s">
        <v>6321</v>
      </c>
      <c r="F2598" s="617"/>
    </row>
    <row r="2599" spans="1:6" x14ac:dyDescent="0.3">
      <c r="A2599" s="169" t="s">
        <v>6098</v>
      </c>
      <c r="B2599" s="190" t="s">
        <v>6322</v>
      </c>
      <c r="C2599" s="163" t="s">
        <v>29</v>
      </c>
      <c r="D2599" s="160">
        <v>1</v>
      </c>
      <c r="E2599" s="165" t="s">
        <v>6321</v>
      </c>
      <c r="F2599" s="617"/>
    </row>
    <row r="2600" spans="1:6" x14ac:dyDescent="0.3">
      <c r="A2600" s="169" t="s">
        <v>6099</v>
      </c>
      <c r="B2600" s="190" t="s">
        <v>976</v>
      </c>
      <c r="C2600" s="163" t="s">
        <v>29</v>
      </c>
      <c r="D2600" s="160">
        <v>1</v>
      </c>
      <c r="E2600" s="165" t="s">
        <v>6321</v>
      </c>
      <c r="F2600" s="617"/>
    </row>
    <row r="2601" spans="1:6" x14ac:dyDescent="0.3">
      <c r="A2601" s="169" t="s">
        <v>6100</v>
      </c>
      <c r="B2601" s="190" t="s">
        <v>978</v>
      </c>
      <c r="C2601" s="163" t="s">
        <v>29</v>
      </c>
      <c r="D2601" s="160">
        <v>1</v>
      </c>
      <c r="E2601" s="165" t="s">
        <v>6321</v>
      </c>
      <c r="F2601" s="617"/>
    </row>
    <row r="2602" spans="1:6" x14ac:dyDescent="0.3">
      <c r="A2602" s="169" t="s">
        <v>6101</v>
      </c>
      <c r="B2602" s="190" t="s">
        <v>7012</v>
      </c>
      <c r="C2602" s="163" t="s">
        <v>29</v>
      </c>
      <c r="D2602" s="160">
        <v>1</v>
      </c>
      <c r="E2602" s="165" t="s">
        <v>6321</v>
      </c>
      <c r="F2602" s="617"/>
    </row>
    <row r="2603" spans="1:6" x14ac:dyDescent="0.3">
      <c r="A2603" s="169" t="s">
        <v>6102</v>
      </c>
      <c r="B2603" s="190" t="s">
        <v>2651</v>
      </c>
      <c r="C2603" s="163" t="s">
        <v>29</v>
      </c>
      <c r="D2603" s="160">
        <v>1</v>
      </c>
      <c r="E2603" s="165" t="s">
        <v>6321</v>
      </c>
      <c r="F2603" s="617"/>
    </row>
    <row r="2604" spans="1:6" x14ac:dyDescent="0.3">
      <c r="A2604" s="169" t="s">
        <v>6103</v>
      </c>
      <c r="B2604" s="190" t="s">
        <v>6323</v>
      </c>
      <c r="C2604" s="163" t="s">
        <v>29</v>
      </c>
      <c r="D2604" s="160">
        <v>1</v>
      </c>
      <c r="E2604" s="165" t="s">
        <v>6321</v>
      </c>
      <c r="F2604" s="617"/>
    </row>
    <row r="2605" spans="1:6" x14ac:dyDescent="0.3">
      <c r="A2605" s="169" t="s">
        <v>6104</v>
      </c>
      <c r="B2605" s="190" t="s">
        <v>5958</v>
      </c>
      <c r="C2605" s="163" t="s">
        <v>29</v>
      </c>
      <c r="D2605" s="160">
        <v>1</v>
      </c>
      <c r="E2605" s="165" t="s">
        <v>6321</v>
      </c>
      <c r="F2605" s="617"/>
    </row>
    <row r="2606" spans="1:6" x14ac:dyDescent="0.3">
      <c r="A2606" s="169" t="s">
        <v>6105</v>
      </c>
      <c r="B2606" s="190" t="s">
        <v>8387</v>
      </c>
      <c r="C2606" s="163" t="s">
        <v>29</v>
      </c>
      <c r="D2606" s="160">
        <v>1</v>
      </c>
      <c r="E2606" s="165" t="s">
        <v>6321</v>
      </c>
      <c r="F2606" s="617"/>
    </row>
    <row r="2607" spans="1:6" x14ac:dyDescent="0.3">
      <c r="A2607" s="169" t="s">
        <v>6106</v>
      </c>
      <c r="B2607" s="190" t="s">
        <v>8005</v>
      </c>
      <c r="C2607" s="163" t="s">
        <v>29</v>
      </c>
      <c r="D2607" s="160">
        <v>1</v>
      </c>
      <c r="E2607" s="165" t="s">
        <v>6321</v>
      </c>
      <c r="F2607" s="617"/>
    </row>
    <row r="2608" spans="1:6" x14ac:dyDescent="0.3">
      <c r="A2608" s="169" t="s">
        <v>6107</v>
      </c>
      <c r="B2608" s="190" t="s">
        <v>8004</v>
      </c>
      <c r="C2608" s="163" t="s">
        <v>29</v>
      </c>
      <c r="D2608" s="164">
        <v>1</v>
      </c>
      <c r="E2608" s="165" t="s">
        <v>6321</v>
      </c>
      <c r="F2608" s="617"/>
    </row>
    <row r="2609" spans="1:6" x14ac:dyDescent="0.3">
      <c r="A2609" s="169" t="s">
        <v>6108</v>
      </c>
      <c r="B2609" s="190" t="s">
        <v>6324</v>
      </c>
      <c r="C2609" s="163" t="s">
        <v>29</v>
      </c>
      <c r="D2609" s="160">
        <v>1</v>
      </c>
      <c r="E2609" s="165" t="s">
        <v>6321</v>
      </c>
      <c r="F2609" s="617"/>
    </row>
    <row r="2610" spans="1:6" x14ac:dyDescent="0.3">
      <c r="A2610" s="169" t="s">
        <v>6109</v>
      </c>
      <c r="B2610" s="190" t="s">
        <v>6325</v>
      </c>
      <c r="C2610" s="163" t="s">
        <v>29</v>
      </c>
      <c r="D2610" s="160">
        <v>1</v>
      </c>
      <c r="E2610" s="165" t="s">
        <v>6321</v>
      </c>
      <c r="F2610" s="617"/>
    </row>
    <row r="2611" spans="1:6" x14ac:dyDescent="0.3">
      <c r="A2611" s="169" t="s">
        <v>6110</v>
      </c>
      <c r="B2611" s="190" t="s">
        <v>116</v>
      </c>
      <c r="C2611" s="163" t="s">
        <v>29</v>
      </c>
      <c r="D2611" s="160">
        <v>1</v>
      </c>
      <c r="E2611" s="165" t="s">
        <v>6321</v>
      </c>
      <c r="F2611" s="617"/>
    </row>
    <row r="2612" spans="1:6" x14ac:dyDescent="0.3">
      <c r="A2612" s="169" t="s">
        <v>6111</v>
      </c>
      <c r="B2612" s="190" t="s">
        <v>7380</v>
      </c>
      <c r="C2612" s="163" t="s">
        <v>29</v>
      </c>
      <c r="D2612" s="160">
        <v>1</v>
      </c>
      <c r="E2612" s="165" t="s">
        <v>6321</v>
      </c>
      <c r="F2612" s="617"/>
    </row>
    <row r="2613" spans="1:6" x14ac:dyDescent="0.3">
      <c r="A2613" s="169" t="s">
        <v>6112</v>
      </c>
      <c r="B2613" s="190" t="s">
        <v>6326</v>
      </c>
      <c r="C2613" s="163" t="s">
        <v>29</v>
      </c>
      <c r="D2613" s="160">
        <v>1</v>
      </c>
      <c r="E2613" s="165" t="s">
        <v>6321</v>
      </c>
      <c r="F2613" s="617"/>
    </row>
    <row r="2614" spans="1:6" x14ac:dyDescent="0.3">
      <c r="A2614" s="169" t="s">
        <v>6113</v>
      </c>
      <c r="B2614" s="190" t="s">
        <v>6327</v>
      </c>
      <c r="C2614" s="163" t="s">
        <v>29</v>
      </c>
      <c r="D2614" s="160">
        <v>1</v>
      </c>
      <c r="E2614" s="165" t="s">
        <v>6321</v>
      </c>
      <c r="F2614" s="617"/>
    </row>
    <row r="2615" spans="1:6" x14ac:dyDescent="0.3">
      <c r="A2615" s="169" t="s">
        <v>6114</v>
      </c>
      <c r="B2615" s="190" t="s">
        <v>6328</v>
      </c>
      <c r="C2615" s="163" t="s">
        <v>29</v>
      </c>
      <c r="D2615" s="160">
        <v>1</v>
      </c>
      <c r="E2615" s="165" t="s">
        <v>6321</v>
      </c>
      <c r="F2615" s="617"/>
    </row>
    <row r="2616" spans="1:6" x14ac:dyDescent="0.3">
      <c r="A2616" s="169" t="s">
        <v>6115</v>
      </c>
      <c r="B2616" s="190" t="s">
        <v>6329</v>
      </c>
      <c r="C2616" s="163" t="s">
        <v>29</v>
      </c>
      <c r="D2616" s="160">
        <v>1</v>
      </c>
      <c r="E2616" s="165" t="s">
        <v>6321</v>
      </c>
      <c r="F2616" s="617"/>
    </row>
    <row r="2617" spans="1:6" x14ac:dyDescent="0.3">
      <c r="A2617" s="169" t="s">
        <v>6116</v>
      </c>
      <c r="B2617" s="190" t="s">
        <v>6331</v>
      </c>
      <c r="C2617" s="163" t="s">
        <v>73</v>
      </c>
      <c r="D2617" s="160">
        <v>1</v>
      </c>
      <c r="E2617" s="165" t="s">
        <v>7254</v>
      </c>
      <c r="F2617" s="617">
        <v>44760</v>
      </c>
    </row>
    <row r="2618" spans="1:6" x14ac:dyDescent="0.3">
      <c r="A2618" s="169" t="s">
        <v>6117</v>
      </c>
      <c r="B2618" s="190" t="s">
        <v>6330</v>
      </c>
      <c r="C2618" s="163" t="s">
        <v>29</v>
      </c>
      <c r="D2618" s="160">
        <v>1</v>
      </c>
      <c r="E2618" s="165" t="s">
        <v>6321</v>
      </c>
      <c r="F2618" s="617"/>
    </row>
    <row r="2619" spans="1:6" x14ac:dyDescent="0.3">
      <c r="A2619" s="169" t="s">
        <v>6118</v>
      </c>
      <c r="B2619" s="190" t="s">
        <v>6332</v>
      </c>
      <c r="C2619" s="163" t="s">
        <v>29</v>
      </c>
      <c r="D2619" s="160">
        <v>1</v>
      </c>
      <c r="E2619" s="165" t="s">
        <v>6321</v>
      </c>
      <c r="F2619" s="617"/>
    </row>
    <row r="2620" spans="1:6" x14ac:dyDescent="0.3">
      <c r="A2620" s="169" t="s">
        <v>6119</v>
      </c>
      <c r="B2620" s="190" t="s">
        <v>6333</v>
      </c>
      <c r="C2620" s="163" t="s">
        <v>29</v>
      </c>
      <c r="D2620" s="160">
        <v>1</v>
      </c>
      <c r="E2620" s="165" t="s">
        <v>6321</v>
      </c>
      <c r="F2620" s="617"/>
    </row>
    <row r="2621" spans="1:6" x14ac:dyDescent="0.3">
      <c r="A2621" s="169" t="s">
        <v>6120</v>
      </c>
      <c r="B2621" s="190" t="s">
        <v>6334</v>
      </c>
      <c r="C2621" s="163" t="s">
        <v>29</v>
      </c>
      <c r="D2621" s="160">
        <v>1</v>
      </c>
      <c r="E2621" s="165" t="s">
        <v>6321</v>
      </c>
      <c r="F2621" s="617"/>
    </row>
    <row r="2622" spans="1:6" x14ac:dyDescent="0.3">
      <c r="A2622" s="169" t="s">
        <v>6121</v>
      </c>
      <c r="B2622" s="190" t="s">
        <v>6336</v>
      </c>
      <c r="C2622" s="163" t="s">
        <v>73</v>
      </c>
      <c r="D2622" s="164">
        <v>1950</v>
      </c>
      <c r="E2622" s="165" t="s">
        <v>7946</v>
      </c>
      <c r="F2622" s="617">
        <v>45449</v>
      </c>
    </row>
    <row r="2623" spans="1:6" x14ac:dyDescent="0.3">
      <c r="A2623" s="169" t="s">
        <v>6122</v>
      </c>
      <c r="B2623" s="190" t="s">
        <v>6337</v>
      </c>
      <c r="C2623" s="163" t="s">
        <v>29</v>
      </c>
      <c r="D2623" s="160">
        <v>1</v>
      </c>
      <c r="E2623" s="165" t="s">
        <v>6321</v>
      </c>
      <c r="F2623" s="617"/>
    </row>
    <row r="2624" spans="1:6" x14ac:dyDescent="0.3">
      <c r="A2624" s="169" t="s">
        <v>6123</v>
      </c>
      <c r="B2624" s="190" t="s">
        <v>7291</v>
      </c>
      <c r="C2624" s="163" t="s">
        <v>29</v>
      </c>
      <c r="D2624" s="160">
        <v>1</v>
      </c>
      <c r="E2624" s="165" t="s">
        <v>6321</v>
      </c>
      <c r="F2624" s="617"/>
    </row>
    <row r="2625" spans="1:6" x14ac:dyDescent="0.3">
      <c r="A2625" s="169" t="s">
        <v>6124</v>
      </c>
      <c r="B2625" s="190" t="s">
        <v>6338</v>
      </c>
      <c r="C2625" s="163" t="s">
        <v>29</v>
      </c>
      <c r="D2625" s="164">
        <v>0</v>
      </c>
      <c r="E2625" s="165"/>
      <c r="F2625" s="617"/>
    </row>
    <row r="2626" spans="1:6" x14ac:dyDescent="0.3">
      <c r="A2626" s="169" t="s">
        <v>6125</v>
      </c>
      <c r="B2626" s="190" t="s">
        <v>6339</v>
      </c>
      <c r="C2626" s="163" t="s">
        <v>37</v>
      </c>
      <c r="D2626" s="164">
        <v>0</v>
      </c>
      <c r="E2626" s="165"/>
      <c r="F2626" s="617"/>
    </row>
    <row r="2627" spans="1:6" x14ac:dyDescent="0.3">
      <c r="A2627" s="169" t="s">
        <v>6126</v>
      </c>
      <c r="B2627" s="190" t="s">
        <v>8655</v>
      </c>
      <c r="C2627" s="163" t="s">
        <v>74</v>
      </c>
      <c r="D2627" s="160">
        <f>36*1.05</f>
        <v>37.800000000000004</v>
      </c>
      <c r="E2627" s="165" t="s">
        <v>8654</v>
      </c>
      <c r="F2627" s="617">
        <v>44582</v>
      </c>
    </row>
    <row r="2628" spans="1:6" x14ac:dyDescent="0.3">
      <c r="A2628" s="169" t="s">
        <v>6127</v>
      </c>
      <c r="B2628" s="190" t="s">
        <v>8652</v>
      </c>
      <c r="C2628" s="163" t="s">
        <v>1376</v>
      </c>
      <c r="D2628" s="837">
        <f>27000*1.05</f>
        <v>28350</v>
      </c>
      <c r="E2628" s="165" t="s">
        <v>8654</v>
      </c>
      <c r="F2628" s="617">
        <v>45183</v>
      </c>
    </row>
    <row r="2629" spans="1:6" x14ac:dyDescent="0.3">
      <c r="A2629" s="169" t="s">
        <v>6128</v>
      </c>
      <c r="B2629" s="190" t="s">
        <v>6342</v>
      </c>
      <c r="C2629" s="163" t="s">
        <v>37</v>
      </c>
      <c r="D2629" s="164">
        <v>550</v>
      </c>
      <c r="E2629" s="165" t="s">
        <v>7232</v>
      </c>
      <c r="F2629" s="617">
        <v>44759</v>
      </c>
    </row>
    <row r="2630" spans="1:6" x14ac:dyDescent="0.3">
      <c r="A2630" s="169" t="s">
        <v>6129</v>
      </c>
      <c r="B2630" s="190" t="s">
        <v>8006</v>
      </c>
      <c r="C2630" s="163" t="s">
        <v>1376</v>
      </c>
      <c r="D2630" s="164">
        <v>12000</v>
      </c>
      <c r="E2630" s="165" t="s">
        <v>405</v>
      </c>
      <c r="F2630" s="617">
        <v>44759</v>
      </c>
    </row>
    <row r="2631" spans="1:6" x14ac:dyDescent="0.3">
      <c r="A2631" s="169" t="s">
        <v>6130</v>
      </c>
      <c r="B2631" s="190" t="s">
        <v>6345</v>
      </c>
      <c r="C2631" s="163" t="s">
        <v>1376</v>
      </c>
      <c r="D2631" s="164">
        <v>167.85</v>
      </c>
      <c r="E2631" s="165" t="s">
        <v>6341</v>
      </c>
      <c r="F2631" s="617">
        <v>44584</v>
      </c>
    </row>
    <row r="2632" spans="1:6" x14ac:dyDescent="0.3">
      <c r="A2632" s="169" t="s">
        <v>6131</v>
      </c>
      <c r="B2632" s="190" t="s">
        <v>6346</v>
      </c>
      <c r="C2632" s="163" t="s">
        <v>1376</v>
      </c>
      <c r="D2632" s="164">
        <v>215</v>
      </c>
      <c r="E2632" s="165" t="s">
        <v>6341</v>
      </c>
      <c r="F2632" s="617">
        <v>44584</v>
      </c>
    </row>
    <row r="2633" spans="1:6" x14ac:dyDescent="0.3">
      <c r="A2633" s="169" t="s">
        <v>6132</v>
      </c>
      <c r="B2633" s="190" t="s">
        <v>6347</v>
      </c>
      <c r="C2633" s="163" t="s">
        <v>1376</v>
      </c>
      <c r="D2633" s="164">
        <v>153</v>
      </c>
      <c r="E2633" s="165" t="s">
        <v>6341</v>
      </c>
      <c r="F2633" s="617">
        <v>44584</v>
      </c>
    </row>
    <row r="2634" spans="1:6" x14ac:dyDescent="0.3">
      <c r="A2634" s="169" t="s">
        <v>6133</v>
      </c>
      <c r="B2634" s="190" t="s">
        <v>6348</v>
      </c>
      <c r="C2634" s="163" t="s">
        <v>1376</v>
      </c>
      <c r="D2634" s="164">
        <v>188.91</v>
      </c>
      <c r="E2634" s="165" t="s">
        <v>6341</v>
      </c>
      <c r="F2634" s="617">
        <v>44584</v>
      </c>
    </row>
    <row r="2635" spans="1:6" x14ac:dyDescent="0.3">
      <c r="A2635" s="169" t="s">
        <v>6134</v>
      </c>
      <c r="B2635" s="190" t="s">
        <v>6349</v>
      </c>
      <c r="C2635" s="163" t="s">
        <v>1376</v>
      </c>
      <c r="D2635" s="164">
        <v>700</v>
      </c>
      <c r="E2635" s="165" t="s">
        <v>6341</v>
      </c>
      <c r="F2635" s="617">
        <v>44584</v>
      </c>
    </row>
    <row r="2636" spans="1:6" x14ac:dyDescent="0.3">
      <c r="A2636" s="169" t="s">
        <v>6135</v>
      </c>
      <c r="B2636" s="190" t="s">
        <v>6350</v>
      </c>
      <c r="C2636" s="163" t="s">
        <v>1376</v>
      </c>
      <c r="D2636" s="164">
        <v>700</v>
      </c>
      <c r="E2636" s="165" t="s">
        <v>6341</v>
      </c>
      <c r="F2636" s="617">
        <v>44584</v>
      </c>
    </row>
    <row r="2637" spans="1:6" x14ac:dyDescent="0.3">
      <c r="A2637" s="169" t="s">
        <v>6136</v>
      </c>
      <c r="B2637" s="190" t="s">
        <v>6351</v>
      </c>
      <c r="C2637" s="163" t="s">
        <v>1376</v>
      </c>
      <c r="D2637" s="164">
        <v>90</v>
      </c>
      <c r="E2637" s="165" t="s">
        <v>6341</v>
      </c>
      <c r="F2637" s="617">
        <v>44584</v>
      </c>
    </row>
    <row r="2638" spans="1:6" x14ac:dyDescent="0.3">
      <c r="A2638" s="169" t="s">
        <v>6137</v>
      </c>
      <c r="B2638" s="190" t="s">
        <v>6352</v>
      </c>
      <c r="C2638" s="163" t="s">
        <v>1376</v>
      </c>
      <c r="D2638" s="164">
        <v>800</v>
      </c>
      <c r="E2638" s="165" t="s">
        <v>6341</v>
      </c>
      <c r="F2638" s="617">
        <v>44584</v>
      </c>
    </row>
    <row r="2639" spans="1:6" x14ac:dyDescent="0.3">
      <c r="A2639" s="169" t="s">
        <v>6138</v>
      </c>
      <c r="B2639" s="190" t="s">
        <v>6353</v>
      </c>
      <c r="C2639" s="163" t="s">
        <v>1376</v>
      </c>
      <c r="D2639" s="164">
        <f>((((190*1.23)*1.03)/1.03)*1.02)/1.02</f>
        <v>233.7</v>
      </c>
      <c r="E2639" s="165" t="s">
        <v>7302</v>
      </c>
      <c r="F2639" s="617">
        <v>44584</v>
      </c>
    </row>
    <row r="2640" spans="1:6" x14ac:dyDescent="0.3">
      <c r="A2640" s="169" t="s">
        <v>6139</v>
      </c>
      <c r="B2640" s="190" t="s">
        <v>6354</v>
      </c>
      <c r="C2640" s="163" t="s">
        <v>1376</v>
      </c>
      <c r="D2640" s="164">
        <v>650</v>
      </c>
      <c r="E2640" s="165" t="s">
        <v>6341</v>
      </c>
      <c r="F2640" s="617">
        <v>44584</v>
      </c>
    </row>
    <row r="2641" spans="1:6" x14ac:dyDescent="0.3">
      <c r="A2641" s="169" t="s">
        <v>6140</v>
      </c>
      <c r="B2641" s="190" t="s">
        <v>6355</v>
      </c>
      <c r="C2641" s="163" t="s">
        <v>1376</v>
      </c>
      <c r="D2641" s="164">
        <v>45</v>
      </c>
      <c r="E2641" s="165" t="s">
        <v>6341</v>
      </c>
      <c r="F2641" s="617">
        <v>44584</v>
      </c>
    </row>
    <row r="2642" spans="1:6" x14ac:dyDescent="0.3">
      <c r="A2642" s="169" t="s">
        <v>6141</v>
      </c>
      <c r="B2642" s="190" t="s">
        <v>6357</v>
      </c>
      <c r="C2642" s="163" t="s">
        <v>73</v>
      </c>
      <c r="D2642" s="164">
        <f>((((4.71*1.0756)*1.03)/1.03)*1.02)/1.02</f>
        <v>5.0660759999999998</v>
      </c>
      <c r="E2642" s="165" t="s">
        <v>7256</v>
      </c>
      <c r="F2642" s="617">
        <v>44770</v>
      </c>
    </row>
    <row r="2643" spans="1:6" x14ac:dyDescent="0.3">
      <c r="A2643" s="169" t="s">
        <v>6142</v>
      </c>
      <c r="B2643" s="190" t="s">
        <v>6360</v>
      </c>
      <c r="C2643" s="163" t="s">
        <v>29</v>
      </c>
      <c r="D2643" s="160">
        <v>1</v>
      </c>
      <c r="E2643" s="165" t="s">
        <v>6341</v>
      </c>
      <c r="F2643" s="617">
        <v>44584</v>
      </c>
    </row>
    <row r="2644" spans="1:6" x14ac:dyDescent="0.3">
      <c r="A2644" s="169" t="s">
        <v>6143</v>
      </c>
      <c r="B2644" s="190" t="s">
        <v>6359</v>
      </c>
      <c r="C2644" s="163" t="s">
        <v>37</v>
      </c>
      <c r="D2644" s="164">
        <v>12000</v>
      </c>
      <c r="E2644" s="165" t="s">
        <v>7256</v>
      </c>
      <c r="F2644" s="617">
        <v>44770</v>
      </c>
    </row>
    <row r="2645" spans="1:6" x14ac:dyDescent="0.3">
      <c r="A2645" s="169" t="s">
        <v>6144</v>
      </c>
      <c r="B2645" s="190" t="s">
        <v>6362</v>
      </c>
      <c r="C2645" s="163" t="s">
        <v>37</v>
      </c>
      <c r="D2645" s="164">
        <v>200</v>
      </c>
      <c r="E2645" s="165" t="s">
        <v>6341</v>
      </c>
      <c r="F2645" s="617">
        <v>44584</v>
      </c>
    </row>
    <row r="2646" spans="1:6" x14ac:dyDescent="0.3">
      <c r="A2646" s="169" t="s">
        <v>6145</v>
      </c>
      <c r="B2646" s="190" t="s">
        <v>6361</v>
      </c>
      <c r="C2646" s="163" t="s">
        <v>29</v>
      </c>
      <c r="D2646" s="160">
        <v>1</v>
      </c>
      <c r="E2646" s="165" t="s">
        <v>6341</v>
      </c>
      <c r="F2646" s="617">
        <v>44584</v>
      </c>
    </row>
    <row r="2647" spans="1:6" x14ac:dyDescent="0.3">
      <c r="A2647" s="169" t="s">
        <v>6146</v>
      </c>
      <c r="B2647" s="190" t="s">
        <v>6364</v>
      </c>
      <c r="C2647" s="163" t="s">
        <v>29</v>
      </c>
      <c r="D2647" s="160">
        <v>1</v>
      </c>
      <c r="E2647" s="165" t="s">
        <v>6341</v>
      </c>
      <c r="F2647" s="617">
        <v>44584</v>
      </c>
    </row>
    <row r="2648" spans="1:6" x14ac:dyDescent="0.3">
      <c r="A2648" s="169" t="s">
        <v>6147</v>
      </c>
      <c r="B2648" s="190" t="s">
        <v>6363</v>
      </c>
      <c r="C2648" s="163" t="s">
        <v>37</v>
      </c>
      <c r="D2648" s="467">
        <f>((650+350+130+130)*1.02)/1.02</f>
        <v>1260</v>
      </c>
      <c r="E2648" s="165" t="s">
        <v>6341</v>
      </c>
      <c r="F2648" s="617">
        <v>44584</v>
      </c>
    </row>
    <row r="2649" spans="1:6" x14ac:dyDescent="0.3">
      <c r="A2649" s="169" t="s">
        <v>6148</v>
      </c>
      <c r="B2649" s="190" t="s">
        <v>6368</v>
      </c>
      <c r="C2649" s="163" t="s">
        <v>37</v>
      </c>
      <c r="D2649" s="164">
        <v>700</v>
      </c>
      <c r="E2649" s="165" t="s">
        <v>2108</v>
      </c>
      <c r="F2649" s="617">
        <v>45187</v>
      </c>
    </row>
    <row r="2650" spans="1:6" x14ac:dyDescent="0.3">
      <c r="A2650" s="169" t="s">
        <v>6149</v>
      </c>
      <c r="B2650" s="190" t="s">
        <v>6371</v>
      </c>
      <c r="C2650" s="163" t="s">
        <v>6372</v>
      </c>
      <c r="D2650" s="164">
        <v>850</v>
      </c>
      <c r="E2650" s="165" t="s">
        <v>2108</v>
      </c>
      <c r="F2650" s="617">
        <v>44584</v>
      </c>
    </row>
    <row r="2651" spans="1:6" x14ac:dyDescent="0.3">
      <c r="A2651" s="169" t="s">
        <v>6150</v>
      </c>
      <c r="B2651" s="190" t="s">
        <v>6370</v>
      </c>
      <c r="C2651" s="163" t="s">
        <v>6372</v>
      </c>
      <c r="D2651" s="164">
        <v>550</v>
      </c>
      <c r="E2651" s="165" t="s">
        <v>2108</v>
      </c>
      <c r="F2651" s="617">
        <v>44584</v>
      </c>
    </row>
    <row r="2652" spans="1:6" x14ac:dyDescent="0.3">
      <c r="A2652" s="169" t="s">
        <v>6151</v>
      </c>
      <c r="B2652" s="190" t="s">
        <v>6369</v>
      </c>
      <c r="C2652" s="163" t="s">
        <v>29</v>
      </c>
      <c r="D2652" s="160">
        <v>1</v>
      </c>
      <c r="E2652" s="165" t="s">
        <v>2108</v>
      </c>
      <c r="F2652" s="617">
        <v>44584</v>
      </c>
    </row>
    <row r="2653" spans="1:6" x14ac:dyDescent="0.3">
      <c r="A2653" s="169" t="s">
        <v>6152</v>
      </c>
      <c r="B2653" s="190" t="s">
        <v>7466</v>
      </c>
      <c r="C2653" s="163" t="s">
        <v>73</v>
      </c>
      <c r="D2653" s="164">
        <v>15.31</v>
      </c>
      <c r="E2653" s="165" t="s">
        <v>2108</v>
      </c>
      <c r="F2653" s="617">
        <v>44584</v>
      </c>
    </row>
    <row r="2654" spans="1:6" x14ac:dyDescent="0.3">
      <c r="A2654" s="169" t="s">
        <v>6153</v>
      </c>
      <c r="B2654" s="190" t="s">
        <v>6373</v>
      </c>
      <c r="C2654" s="163" t="s">
        <v>73</v>
      </c>
      <c r="D2654" s="164">
        <v>17</v>
      </c>
      <c r="E2654" s="165" t="s">
        <v>2108</v>
      </c>
      <c r="F2654" s="617">
        <v>44584</v>
      </c>
    </row>
    <row r="2655" spans="1:6" x14ac:dyDescent="0.3">
      <c r="A2655" s="169" t="s">
        <v>6154</v>
      </c>
      <c r="B2655" s="190" t="s">
        <v>6374</v>
      </c>
      <c r="C2655" s="163" t="s">
        <v>73</v>
      </c>
      <c r="D2655" s="164">
        <v>12</v>
      </c>
      <c r="E2655" s="165" t="s">
        <v>2108</v>
      </c>
      <c r="F2655" s="617">
        <v>44584</v>
      </c>
    </row>
    <row r="2656" spans="1:6" x14ac:dyDescent="0.3">
      <c r="A2656" s="169" t="s">
        <v>6155</v>
      </c>
      <c r="B2656" s="190" t="s">
        <v>6375</v>
      </c>
      <c r="C2656" s="163" t="s">
        <v>29</v>
      </c>
      <c r="D2656" s="160">
        <v>1</v>
      </c>
      <c r="E2656" s="165" t="s">
        <v>2108</v>
      </c>
      <c r="F2656" s="617">
        <v>44584</v>
      </c>
    </row>
    <row r="2657" spans="1:6" x14ac:dyDescent="0.3">
      <c r="A2657" s="169" t="s">
        <v>6156</v>
      </c>
      <c r="B2657" s="190" t="s">
        <v>6377</v>
      </c>
      <c r="C2657" s="163" t="s">
        <v>29</v>
      </c>
      <c r="D2657" s="164">
        <v>420</v>
      </c>
      <c r="E2657" s="165" t="s">
        <v>7764</v>
      </c>
      <c r="F2657" s="617">
        <v>44584</v>
      </c>
    </row>
    <row r="2658" spans="1:6" x14ac:dyDescent="0.3">
      <c r="A2658" s="169" t="s">
        <v>6157</v>
      </c>
      <c r="B2658" s="190" t="s">
        <v>6378</v>
      </c>
      <c r="C2658" s="163" t="s">
        <v>29</v>
      </c>
      <c r="D2658" s="160">
        <v>1</v>
      </c>
      <c r="E2658" s="165" t="s">
        <v>6341</v>
      </c>
      <c r="F2658" s="617">
        <v>44584</v>
      </c>
    </row>
    <row r="2659" spans="1:6" x14ac:dyDescent="0.3">
      <c r="A2659" s="169" t="s">
        <v>6158</v>
      </c>
      <c r="B2659" s="190" t="s">
        <v>6379</v>
      </c>
      <c r="C2659" s="163" t="s">
        <v>37</v>
      </c>
      <c r="D2659" s="164">
        <v>300</v>
      </c>
      <c r="E2659" s="165" t="s">
        <v>6341</v>
      </c>
      <c r="F2659" s="617">
        <v>44584</v>
      </c>
    </row>
    <row r="2660" spans="1:6" x14ac:dyDescent="0.3">
      <c r="A2660" s="169" t="s">
        <v>6159</v>
      </c>
      <c r="B2660" s="190" t="s">
        <v>6380</v>
      </c>
      <c r="C2660" s="163" t="s">
        <v>37</v>
      </c>
      <c r="D2660" s="164">
        <v>850</v>
      </c>
      <c r="E2660" s="165" t="s">
        <v>6341</v>
      </c>
      <c r="F2660" s="617">
        <v>44584</v>
      </c>
    </row>
    <row r="2661" spans="1:6" x14ac:dyDescent="0.3">
      <c r="A2661" s="169" t="s">
        <v>6160</v>
      </c>
      <c r="B2661" s="190" t="s">
        <v>6381</v>
      </c>
      <c r="C2661" s="163" t="s">
        <v>29</v>
      </c>
      <c r="D2661" s="160">
        <v>1</v>
      </c>
      <c r="E2661" s="165" t="s">
        <v>6341</v>
      </c>
      <c r="F2661" s="617">
        <v>44584</v>
      </c>
    </row>
    <row r="2662" spans="1:6" x14ac:dyDescent="0.3">
      <c r="A2662" s="169" t="s">
        <v>6161</v>
      </c>
      <c r="B2662" s="190" t="s">
        <v>6382</v>
      </c>
      <c r="C2662" s="163" t="s">
        <v>37</v>
      </c>
      <c r="D2662" s="164">
        <v>900</v>
      </c>
      <c r="E2662" s="165" t="s">
        <v>7947</v>
      </c>
      <c r="F2662" s="617">
        <v>45448</v>
      </c>
    </row>
    <row r="2663" spans="1:6" x14ac:dyDescent="0.3">
      <c r="A2663" s="169" t="s">
        <v>6162</v>
      </c>
      <c r="B2663" s="190" t="str">
        <f>PROPER('04. Histograma MO'!A10)</f>
        <v>Engenheiro - Part Time</v>
      </c>
      <c r="C2663" s="163" t="s">
        <v>37</v>
      </c>
      <c r="D2663" s="164">
        <f>(('04. Histograma MO'!CE10)*1.02)/1.02</f>
        <v>14000</v>
      </c>
      <c r="E2663" s="165" t="s">
        <v>7536</v>
      </c>
      <c r="F2663" s="617">
        <v>44759</v>
      </c>
    </row>
    <row r="2664" spans="1:6" x14ac:dyDescent="0.3">
      <c r="A2664" s="169" t="s">
        <v>6386</v>
      </c>
      <c r="B2664" s="190" t="str">
        <f>PROPER('04. Histograma MO'!A11)</f>
        <v>Arquiteta</v>
      </c>
      <c r="C2664" s="163" t="s">
        <v>37</v>
      </c>
      <c r="D2664" s="164">
        <f>(('04. Histograma MO'!CE11)*1.02)/1.02</f>
        <v>4000</v>
      </c>
      <c r="E2664" s="165" t="s">
        <v>7536</v>
      </c>
      <c r="F2664" s="617">
        <v>44759</v>
      </c>
    </row>
    <row r="2665" spans="1:6" x14ac:dyDescent="0.3">
      <c r="A2665" s="169" t="s">
        <v>6387</v>
      </c>
      <c r="B2665" s="190" t="str">
        <f>PROPER('04. Histograma MO'!A12)</f>
        <v>Estagiário</v>
      </c>
      <c r="C2665" s="163" t="s">
        <v>37</v>
      </c>
      <c r="D2665" s="164">
        <f>(('04. Histograma MO'!CE12)*1.02)/1.02</f>
        <v>1900</v>
      </c>
      <c r="E2665" s="165" t="s">
        <v>7536</v>
      </c>
      <c r="F2665" s="617">
        <v>44759</v>
      </c>
    </row>
    <row r="2666" spans="1:6" x14ac:dyDescent="0.3">
      <c r="A2666" s="169" t="s">
        <v>6388</v>
      </c>
      <c r="B2666" s="190" t="str">
        <f>PROPER('04. Histograma MO'!A13)</f>
        <v>Técnico De Edificações</v>
      </c>
      <c r="C2666" s="163" t="s">
        <v>37</v>
      </c>
      <c r="D2666" s="164">
        <f>(('04. Histograma MO'!CE13)*1.02)/1.02</f>
        <v>10000</v>
      </c>
      <c r="E2666" s="165" t="s">
        <v>7536</v>
      </c>
      <c r="F2666" s="617">
        <v>44759</v>
      </c>
    </row>
    <row r="2667" spans="1:6" x14ac:dyDescent="0.3">
      <c r="A2667" s="169" t="s">
        <v>6389</v>
      </c>
      <c r="B2667" s="190" t="str">
        <f>PROPER('04. Histograma MO'!A14)</f>
        <v>Mestre De Obra</v>
      </c>
      <c r="C2667" s="163" t="s">
        <v>37</v>
      </c>
      <c r="D2667" s="164">
        <f>(('04. Histograma MO'!CE14)*1.02)/1.02</f>
        <v>16000</v>
      </c>
      <c r="E2667" s="165" t="s">
        <v>7536</v>
      </c>
      <c r="F2667" s="617">
        <v>44759</v>
      </c>
    </row>
    <row r="2668" spans="1:6" x14ac:dyDescent="0.3">
      <c r="A2668" s="169" t="s">
        <v>6390</v>
      </c>
      <c r="B2668" s="190" t="str">
        <f>PROPER('04. Histograma MO'!A15)</f>
        <v>Enc. Administrativo</v>
      </c>
      <c r="C2668" s="163" t="s">
        <v>37</v>
      </c>
      <c r="D2668" s="164">
        <f>(('04. Histograma MO'!CE15)*1.02)/1.02</f>
        <v>6000</v>
      </c>
      <c r="E2668" s="165" t="s">
        <v>7536</v>
      </c>
      <c r="F2668" s="617">
        <v>44759</v>
      </c>
    </row>
    <row r="2669" spans="1:6" x14ac:dyDescent="0.3">
      <c r="A2669" s="169" t="s">
        <v>6391</v>
      </c>
      <c r="B2669" s="190" t="str">
        <f>PROPER('04. Histograma MO'!A16)</f>
        <v>Técnico Em Segurança Do Trabalho</v>
      </c>
      <c r="C2669" s="163" t="s">
        <v>37</v>
      </c>
      <c r="D2669" s="164">
        <f>(('04. Histograma MO'!CE16)*1.02)/1.02</f>
        <v>5000</v>
      </c>
      <c r="E2669" s="165" t="s">
        <v>7536</v>
      </c>
      <c r="F2669" s="617">
        <v>44759</v>
      </c>
    </row>
    <row r="2670" spans="1:6" x14ac:dyDescent="0.3">
      <c r="A2670" s="169" t="s">
        <v>6392</v>
      </c>
      <c r="B2670" s="190" t="s">
        <v>6415</v>
      </c>
      <c r="C2670" s="163" t="s">
        <v>37</v>
      </c>
      <c r="D2670" s="164">
        <v>16500</v>
      </c>
      <c r="E2670" s="165" t="s">
        <v>7944</v>
      </c>
      <c r="F2670" s="617">
        <v>45432</v>
      </c>
    </row>
    <row r="2671" spans="1:6" x14ac:dyDescent="0.3">
      <c r="A2671" s="169" t="s">
        <v>6393</v>
      </c>
      <c r="B2671" s="190" t="s">
        <v>6416</v>
      </c>
      <c r="C2671" s="163" t="s">
        <v>37</v>
      </c>
      <c r="D2671" s="164">
        <v>6000</v>
      </c>
      <c r="E2671" s="165" t="s">
        <v>7943</v>
      </c>
      <c r="F2671" s="617">
        <v>45432</v>
      </c>
    </row>
    <row r="2672" spans="1:6" x14ac:dyDescent="0.3">
      <c r="A2672" s="169" t="s">
        <v>6394</v>
      </c>
      <c r="B2672" s="190" t="s">
        <v>6421</v>
      </c>
      <c r="C2672" s="163" t="s">
        <v>37</v>
      </c>
      <c r="D2672" s="164">
        <v>2500</v>
      </c>
      <c r="E2672" s="165" t="s">
        <v>7561</v>
      </c>
      <c r="F2672" s="617">
        <v>45449</v>
      </c>
    </row>
    <row r="2673" spans="1:6" x14ac:dyDescent="0.3">
      <c r="A2673" s="169" t="s">
        <v>6395</v>
      </c>
      <c r="B2673" s="190" t="s">
        <v>6422</v>
      </c>
      <c r="C2673" s="163" t="s">
        <v>37</v>
      </c>
      <c r="D2673" s="164">
        <v>35000</v>
      </c>
      <c r="E2673" s="165" t="s">
        <v>7561</v>
      </c>
      <c r="F2673" s="617">
        <v>45449</v>
      </c>
    </row>
    <row r="2674" spans="1:6" x14ac:dyDescent="0.3">
      <c r="A2674" s="169" t="s">
        <v>6396</v>
      </c>
      <c r="B2674" s="190" t="s">
        <v>6423</v>
      </c>
      <c r="C2674" s="163" t="s">
        <v>37</v>
      </c>
      <c r="D2674" s="164">
        <v>70</v>
      </c>
      <c r="E2674" s="165" t="s">
        <v>6341</v>
      </c>
      <c r="F2674" s="617">
        <v>44584</v>
      </c>
    </row>
    <row r="2675" spans="1:6" x14ac:dyDescent="0.3">
      <c r="A2675" s="169" t="s">
        <v>6397</v>
      </c>
      <c r="B2675" s="190" t="s">
        <v>6424</v>
      </c>
      <c r="C2675" s="163" t="s">
        <v>37</v>
      </c>
      <c r="D2675" s="164">
        <v>150</v>
      </c>
      <c r="E2675" s="165" t="s">
        <v>6341</v>
      </c>
      <c r="F2675" s="617">
        <v>44584</v>
      </c>
    </row>
    <row r="2676" spans="1:6" x14ac:dyDescent="0.3">
      <c r="A2676" s="169" t="s">
        <v>6398</v>
      </c>
      <c r="B2676" s="190" t="s">
        <v>991</v>
      </c>
      <c r="C2676" s="163" t="s">
        <v>37</v>
      </c>
      <c r="D2676" s="164">
        <v>100</v>
      </c>
      <c r="E2676" s="165" t="s">
        <v>6341</v>
      </c>
      <c r="F2676" s="617">
        <v>44584</v>
      </c>
    </row>
    <row r="2677" spans="1:6" x14ac:dyDescent="0.3">
      <c r="A2677" s="169" t="s">
        <v>6399</v>
      </c>
      <c r="B2677" s="190" t="s">
        <v>6425</v>
      </c>
      <c r="C2677" s="163" t="s">
        <v>37</v>
      </c>
      <c r="D2677" s="164">
        <v>200</v>
      </c>
      <c r="E2677" s="165" t="s">
        <v>6341</v>
      </c>
      <c r="F2677" s="617">
        <v>44584</v>
      </c>
    </row>
    <row r="2678" spans="1:6" x14ac:dyDescent="0.3">
      <c r="A2678" s="169" t="s">
        <v>6400</v>
      </c>
      <c r="B2678" s="190" t="s">
        <v>6426</v>
      </c>
      <c r="C2678" s="163" t="s">
        <v>37</v>
      </c>
      <c r="D2678" s="164">
        <v>350</v>
      </c>
      <c r="E2678" s="165" t="s">
        <v>6341</v>
      </c>
      <c r="F2678" s="617">
        <v>44584</v>
      </c>
    </row>
    <row r="2679" spans="1:6" x14ac:dyDescent="0.3">
      <c r="A2679" s="169" t="s">
        <v>6401</v>
      </c>
      <c r="B2679" s="190" t="s">
        <v>6427</v>
      </c>
      <c r="C2679" s="163" t="s">
        <v>37</v>
      </c>
      <c r="D2679" s="164">
        <f>((((650/6)*1.03)/1.03)*1.02)/1.02</f>
        <v>108.33333333333333</v>
      </c>
      <c r="E2679" s="165" t="s">
        <v>6341</v>
      </c>
      <c r="F2679" s="617">
        <v>44584</v>
      </c>
    </row>
    <row r="2680" spans="1:6" x14ac:dyDescent="0.3">
      <c r="A2680" s="169" t="s">
        <v>6402</v>
      </c>
      <c r="B2680" s="190" t="s">
        <v>6428</v>
      </c>
      <c r="C2680" s="163" t="s">
        <v>37</v>
      </c>
      <c r="D2680" s="164">
        <v>460</v>
      </c>
      <c r="E2680" s="165" t="s">
        <v>6341</v>
      </c>
      <c r="F2680" s="617">
        <v>44584</v>
      </c>
    </row>
    <row r="2681" spans="1:6" x14ac:dyDescent="0.3">
      <c r="A2681" s="169" t="s">
        <v>6403</v>
      </c>
      <c r="B2681" s="190" t="s">
        <v>6432</v>
      </c>
      <c r="C2681" s="163" t="s">
        <v>72</v>
      </c>
      <c r="D2681" s="164">
        <v>99</v>
      </c>
      <c r="E2681" s="165" t="s">
        <v>6307</v>
      </c>
      <c r="F2681" s="617">
        <v>45183</v>
      </c>
    </row>
    <row r="2682" spans="1:6" x14ac:dyDescent="0.3">
      <c r="A2682" s="169" t="s">
        <v>6404</v>
      </c>
      <c r="B2682" s="190" t="s">
        <v>6433</v>
      </c>
      <c r="C2682" s="163" t="s">
        <v>73</v>
      </c>
      <c r="D2682" s="164">
        <v>9.15</v>
      </c>
      <c r="E2682" s="165" t="s">
        <v>3510</v>
      </c>
      <c r="F2682" s="617">
        <v>44788</v>
      </c>
    </row>
    <row r="2683" spans="1:6" x14ac:dyDescent="0.3">
      <c r="A2683" s="169" t="s">
        <v>6405</v>
      </c>
      <c r="B2683" s="190" t="s">
        <v>7570</v>
      </c>
      <c r="C2683" s="163" t="s">
        <v>251</v>
      </c>
      <c r="D2683" s="164">
        <v>1500</v>
      </c>
      <c r="E2683" s="165" t="s">
        <v>6341</v>
      </c>
      <c r="F2683" s="617">
        <v>44585</v>
      </c>
    </row>
    <row r="2684" spans="1:6" x14ac:dyDescent="0.3">
      <c r="A2684" s="169" t="s">
        <v>6406</v>
      </c>
      <c r="B2684" s="190" t="s">
        <v>7013</v>
      </c>
      <c r="C2684" s="163" t="s">
        <v>72</v>
      </c>
      <c r="D2684" s="164">
        <v>42</v>
      </c>
      <c r="E2684" s="165" t="s">
        <v>6341</v>
      </c>
      <c r="F2684" s="617">
        <v>44585</v>
      </c>
    </row>
    <row r="2685" spans="1:6" x14ac:dyDescent="0.3">
      <c r="A2685" s="169" t="s">
        <v>6407</v>
      </c>
      <c r="B2685" s="190" t="s">
        <v>6434</v>
      </c>
      <c r="C2685" s="163" t="s">
        <v>72</v>
      </c>
      <c r="D2685" s="164">
        <v>13.33</v>
      </c>
      <c r="E2685" s="165" t="s">
        <v>6341</v>
      </c>
      <c r="F2685" s="617">
        <v>44585</v>
      </c>
    </row>
    <row r="2686" spans="1:6" x14ac:dyDescent="0.3">
      <c r="A2686" s="169" t="s">
        <v>6408</v>
      </c>
      <c r="B2686" s="190" t="s">
        <v>6435</v>
      </c>
      <c r="C2686" s="163" t="s">
        <v>72</v>
      </c>
      <c r="D2686" s="164">
        <v>7</v>
      </c>
      <c r="E2686" s="165" t="s">
        <v>6341</v>
      </c>
      <c r="F2686" s="617">
        <v>44585</v>
      </c>
    </row>
    <row r="2687" spans="1:6" x14ac:dyDescent="0.3">
      <c r="A2687" s="169" t="s">
        <v>6409</v>
      </c>
      <c r="B2687" s="190" t="s">
        <v>6436</v>
      </c>
      <c r="C2687" s="163" t="s">
        <v>72</v>
      </c>
      <c r="D2687" s="164">
        <v>480</v>
      </c>
      <c r="E2687" s="165" t="s">
        <v>2261</v>
      </c>
      <c r="F2687" s="617">
        <v>44784</v>
      </c>
    </row>
    <row r="2688" spans="1:6" x14ac:dyDescent="0.3">
      <c r="A2688" s="169" t="s">
        <v>6410</v>
      </c>
      <c r="B2688" s="190" t="s">
        <v>6437</v>
      </c>
      <c r="C2688" s="163" t="s">
        <v>73</v>
      </c>
      <c r="D2688" s="164">
        <f>((((0.27*1.0753)*1.03)/1.03)*1.02)/1.02</f>
        <v>0.29033100000000001</v>
      </c>
      <c r="E2688" s="165" t="s">
        <v>7232</v>
      </c>
      <c r="F2688" s="617">
        <v>44759</v>
      </c>
    </row>
    <row r="2689" spans="1:7" x14ac:dyDescent="0.3">
      <c r="A2689" s="169" t="s">
        <v>6411</v>
      </c>
      <c r="B2689" s="190" t="s">
        <v>6440</v>
      </c>
      <c r="C2689" s="163" t="s">
        <v>72</v>
      </c>
      <c r="D2689" s="164">
        <v>40</v>
      </c>
      <c r="E2689" s="165" t="s">
        <v>5460</v>
      </c>
      <c r="F2689" s="617">
        <v>45183</v>
      </c>
    </row>
    <row r="2690" spans="1:7" x14ac:dyDescent="0.3">
      <c r="A2690" s="169" t="s">
        <v>6412</v>
      </c>
      <c r="B2690" s="190" t="s">
        <v>5443</v>
      </c>
      <c r="C2690" s="163" t="s">
        <v>89</v>
      </c>
      <c r="D2690" s="837">
        <v>0.8</v>
      </c>
      <c r="E2690" s="165" t="s">
        <v>7072</v>
      </c>
      <c r="F2690" s="617">
        <v>45597</v>
      </c>
    </row>
    <row r="2691" spans="1:7" x14ac:dyDescent="0.3">
      <c r="A2691" s="169" t="s">
        <v>6413</v>
      </c>
      <c r="B2691" s="190" t="s">
        <v>3140</v>
      </c>
      <c r="C2691" s="163" t="s">
        <v>89</v>
      </c>
      <c r="D2691" s="837">
        <v>3.5</v>
      </c>
      <c r="E2691" s="165" t="s">
        <v>5460</v>
      </c>
      <c r="F2691" s="617">
        <v>45183</v>
      </c>
    </row>
    <row r="2692" spans="1:7" x14ac:dyDescent="0.3">
      <c r="A2692" s="169" t="s">
        <v>6414</v>
      </c>
      <c r="B2692" s="190" t="s">
        <v>6864</v>
      </c>
      <c r="C2692" s="163" t="s">
        <v>89</v>
      </c>
      <c r="D2692" s="837">
        <v>0.6</v>
      </c>
      <c r="E2692" s="165" t="s">
        <v>6341</v>
      </c>
      <c r="F2692" s="617">
        <v>44585</v>
      </c>
    </row>
    <row r="2693" spans="1:7" x14ac:dyDescent="0.3">
      <c r="A2693" s="169" t="s">
        <v>6441</v>
      </c>
      <c r="B2693" s="190" t="s">
        <v>6865</v>
      </c>
      <c r="C2693" s="163" t="s">
        <v>89</v>
      </c>
      <c r="D2693" s="837">
        <f>((13.56788*1.05)*1.02)/1.02</f>
        <v>14.246274000000001</v>
      </c>
      <c r="E2693" s="165" t="s">
        <v>7072</v>
      </c>
      <c r="F2693" s="617">
        <v>45183</v>
      </c>
    </row>
    <row r="2694" spans="1:7" x14ac:dyDescent="0.3">
      <c r="A2694" s="169" t="s">
        <v>6442</v>
      </c>
      <c r="B2694" s="190" t="s">
        <v>6866</v>
      </c>
      <c r="C2694" s="163" t="s">
        <v>29</v>
      </c>
      <c r="D2694" s="160">
        <v>1</v>
      </c>
      <c r="E2694" s="165" t="s">
        <v>7016</v>
      </c>
      <c r="F2694" s="617">
        <v>44585</v>
      </c>
    </row>
    <row r="2695" spans="1:7" x14ac:dyDescent="0.3">
      <c r="A2695" s="169" t="s">
        <v>6443</v>
      </c>
      <c r="B2695" s="190" t="s">
        <v>6867</v>
      </c>
      <c r="C2695" s="163" t="s">
        <v>3819</v>
      </c>
      <c r="D2695" s="164">
        <f>((((5.5*1.0753)*1.03)/1.03)*1.02)/1.02</f>
        <v>5.9141499999999994</v>
      </c>
      <c r="E2695" s="165" t="s">
        <v>7232</v>
      </c>
      <c r="F2695" s="617">
        <v>44759</v>
      </c>
    </row>
    <row r="2696" spans="1:7" x14ac:dyDescent="0.3">
      <c r="A2696" s="169" t="s">
        <v>6444</v>
      </c>
      <c r="B2696" s="190" t="s">
        <v>7541</v>
      </c>
      <c r="C2696" s="163" t="s">
        <v>89</v>
      </c>
      <c r="D2696" s="164">
        <f>((92600/2645)*1.02)/1.02</f>
        <v>35.009451795841208</v>
      </c>
      <c r="E2696" s="165" t="s">
        <v>2279</v>
      </c>
      <c r="F2696" s="617">
        <v>45187</v>
      </c>
    </row>
    <row r="2697" spans="1:7" x14ac:dyDescent="0.3">
      <c r="A2697" s="169" t="s">
        <v>6445</v>
      </c>
      <c r="B2697" s="156" t="s">
        <v>7307</v>
      </c>
      <c r="C2697" s="163" t="s">
        <v>37</v>
      </c>
      <c r="D2697" s="164">
        <v>1700</v>
      </c>
      <c r="E2697" s="165"/>
      <c r="F2697" s="159" t="s">
        <v>7041</v>
      </c>
      <c r="G2697" s="166"/>
    </row>
    <row r="2698" spans="1:7" x14ac:dyDescent="0.3">
      <c r="A2698" s="169" t="s">
        <v>6446</v>
      </c>
      <c r="B2698" s="156" t="s">
        <v>7784</v>
      </c>
      <c r="C2698" s="163" t="s">
        <v>73</v>
      </c>
      <c r="D2698" s="164">
        <v>59</v>
      </c>
      <c r="E2698" s="165"/>
      <c r="F2698" s="159" t="s">
        <v>7041</v>
      </c>
      <c r="G2698" s="166"/>
    </row>
    <row r="2699" spans="1:7" x14ac:dyDescent="0.3">
      <c r="A2699" s="169" t="s">
        <v>6447</v>
      </c>
      <c r="B2699" s="156" t="s">
        <v>7785</v>
      </c>
      <c r="C2699" s="163" t="s">
        <v>1376</v>
      </c>
      <c r="D2699" s="164">
        <v>19.899999999999999</v>
      </c>
      <c r="E2699" s="165"/>
      <c r="F2699" s="159" t="s">
        <v>7041</v>
      </c>
      <c r="G2699" s="166">
        <v>44650</v>
      </c>
    </row>
    <row r="2700" spans="1:7" x14ac:dyDescent="0.3">
      <c r="A2700" s="169" t="s">
        <v>6448</v>
      </c>
      <c r="B2700" s="156" t="s">
        <v>7786</v>
      </c>
      <c r="C2700" s="163" t="s">
        <v>1376</v>
      </c>
      <c r="D2700" s="164">
        <f>((D2699/2)*1.02)/1.02</f>
        <v>9.9499999999999993</v>
      </c>
      <c r="E2700" s="165"/>
      <c r="F2700" s="159" t="s">
        <v>7041</v>
      </c>
      <c r="G2700" s="166"/>
    </row>
    <row r="2701" spans="1:7" x14ac:dyDescent="0.3">
      <c r="A2701" s="169" t="s">
        <v>6449</v>
      </c>
      <c r="B2701" s="190" t="s">
        <v>6870</v>
      </c>
      <c r="C2701" s="163" t="s">
        <v>29</v>
      </c>
      <c r="D2701" s="160">
        <v>1</v>
      </c>
      <c r="E2701" s="165" t="s">
        <v>6341</v>
      </c>
      <c r="F2701" s="617">
        <v>44585</v>
      </c>
    </row>
    <row r="2702" spans="1:7" x14ac:dyDescent="0.3">
      <c r="A2702" s="169" t="s">
        <v>6450</v>
      </c>
      <c r="B2702" s="190" t="s">
        <v>6871</v>
      </c>
      <c r="C2702" s="163" t="s">
        <v>1590</v>
      </c>
      <c r="D2702" s="164">
        <f>((((1.2*1.0753)*1.03)/1.03)*1.02)/1.02</f>
        <v>1.29036</v>
      </c>
      <c r="E2702" s="165" t="s">
        <v>7232</v>
      </c>
      <c r="F2702" s="617">
        <v>44759</v>
      </c>
    </row>
    <row r="2703" spans="1:7" x14ac:dyDescent="0.3">
      <c r="A2703" s="169" t="s">
        <v>6451</v>
      </c>
      <c r="B2703" s="190" t="s">
        <v>6872</v>
      </c>
      <c r="C2703" s="163" t="s">
        <v>1376</v>
      </c>
      <c r="D2703" s="164">
        <v>735</v>
      </c>
      <c r="E2703" s="165" t="s">
        <v>6341</v>
      </c>
      <c r="F2703" s="617">
        <v>44585</v>
      </c>
    </row>
    <row r="2704" spans="1:7" x14ac:dyDescent="0.3">
      <c r="A2704" s="169" t="s">
        <v>6452</v>
      </c>
      <c r="B2704" s="190" t="s">
        <v>6873</v>
      </c>
      <c r="C2704" s="163" t="s">
        <v>1376</v>
      </c>
      <c r="D2704" s="164">
        <v>1046</v>
      </c>
      <c r="E2704" s="165" t="s">
        <v>6341</v>
      </c>
      <c r="F2704" s="617">
        <v>44585</v>
      </c>
    </row>
    <row r="2705" spans="1:9" x14ac:dyDescent="0.3">
      <c r="A2705" s="169" t="s">
        <v>6453</v>
      </c>
      <c r="B2705" s="190" t="s">
        <v>6874</v>
      </c>
      <c r="C2705" s="163" t="s">
        <v>1376</v>
      </c>
      <c r="D2705" s="164">
        <v>73</v>
      </c>
      <c r="E2705" s="165" t="s">
        <v>6341</v>
      </c>
      <c r="F2705" s="617">
        <v>44585</v>
      </c>
    </row>
    <row r="2706" spans="1:9" x14ac:dyDescent="0.3">
      <c r="A2706" s="169" t="s">
        <v>6454</v>
      </c>
      <c r="B2706" s="190" t="s">
        <v>6876</v>
      </c>
      <c r="C2706" s="163" t="s">
        <v>89</v>
      </c>
      <c r="D2706" s="164">
        <v>85</v>
      </c>
      <c r="E2706" s="165" t="s">
        <v>6341</v>
      </c>
      <c r="F2706" s="617">
        <v>44585</v>
      </c>
    </row>
    <row r="2707" spans="1:9" x14ac:dyDescent="0.3">
      <c r="A2707" s="169" t="s">
        <v>6455</v>
      </c>
      <c r="B2707" s="190" t="s">
        <v>7672</v>
      </c>
      <c r="C2707" s="163" t="s">
        <v>74</v>
      </c>
      <c r="D2707" s="164">
        <v>38</v>
      </c>
      <c r="E2707" s="165" t="s">
        <v>7884</v>
      </c>
      <c r="F2707" s="617">
        <v>44759</v>
      </c>
    </row>
    <row r="2708" spans="1:9" x14ac:dyDescent="0.3">
      <c r="A2708" s="169" t="s">
        <v>6456</v>
      </c>
      <c r="B2708" s="190" t="s">
        <v>6877</v>
      </c>
      <c r="C2708" s="163" t="s">
        <v>2088</v>
      </c>
      <c r="D2708" s="164">
        <v>29.8</v>
      </c>
      <c r="E2708" s="165" t="s">
        <v>7025</v>
      </c>
      <c r="F2708" s="617">
        <v>44748</v>
      </c>
    </row>
    <row r="2709" spans="1:9" x14ac:dyDescent="0.3">
      <c r="A2709" s="169" t="s">
        <v>6457</v>
      </c>
      <c r="B2709" s="190" t="s">
        <v>6878</v>
      </c>
      <c r="C2709" s="163" t="s">
        <v>72</v>
      </c>
      <c r="D2709" s="164">
        <f>((((1020/8)*1.03)/1.03)*1.02)/1.02</f>
        <v>127.50000000000001</v>
      </c>
      <c r="E2709" s="165" t="s">
        <v>7026</v>
      </c>
      <c r="F2709" s="617">
        <v>44649</v>
      </c>
    </row>
    <row r="2710" spans="1:9" x14ac:dyDescent="0.3">
      <c r="A2710" s="169" t="s">
        <v>6458</v>
      </c>
      <c r="B2710" s="190" t="s">
        <v>6879</v>
      </c>
      <c r="C2710" s="163" t="s">
        <v>89</v>
      </c>
      <c r="D2710" s="164">
        <f>((((0.65*1.0756)*1.03)/1.03)*1.02)/1.02</f>
        <v>0.69913999999999998</v>
      </c>
      <c r="E2710" s="165" t="s">
        <v>7232</v>
      </c>
      <c r="F2710" s="617">
        <v>44759</v>
      </c>
    </row>
    <row r="2711" spans="1:9" x14ac:dyDescent="0.3">
      <c r="A2711" s="169" t="s">
        <v>6459</v>
      </c>
      <c r="B2711" s="190" t="s">
        <v>6880</v>
      </c>
      <c r="C2711" s="163" t="s">
        <v>6881</v>
      </c>
      <c r="D2711" s="164">
        <f>((((23.17*1.0756)*1.03)/1.03)*1.02)/1.02</f>
        <v>24.921651999999998</v>
      </c>
      <c r="E2711" s="165" t="s">
        <v>7232</v>
      </c>
      <c r="F2711" s="617">
        <v>44759</v>
      </c>
    </row>
    <row r="2712" spans="1:9" x14ac:dyDescent="0.3">
      <c r="A2712" s="169" t="s">
        <v>6460</v>
      </c>
      <c r="B2712" s="190" t="s">
        <v>6885</v>
      </c>
      <c r="C2712" s="163" t="s">
        <v>1376</v>
      </c>
      <c r="D2712" s="164">
        <v>350</v>
      </c>
      <c r="E2712" s="165" t="s">
        <v>7884</v>
      </c>
      <c r="F2712" s="617">
        <v>44759</v>
      </c>
    </row>
    <row r="2713" spans="1:9" x14ac:dyDescent="0.3">
      <c r="A2713" s="169" t="s">
        <v>6461</v>
      </c>
      <c r="B2713" s="190" t="s">
        <v>6884</v>
      </c>
      <c r="C2713" s="163" t="s">
        <v>1376</v>
      </c>
      <c r="D2713" s="164">
        <f>((((145*1.0753)*1.03)/1.03)*1.02)/1.02</f>
        <v>155.91849999999999</v>
      </c>
      <c r="E2713" s="165" t="s">
        <v>7232</v>
      </c>
      <c r="F2713" s="617">
        <v>44759</v>
      </c>
    </row>
    <row r="2714" spans="1:9" x14ac:dyDescent="0.3">
      <c r="A2714" s="169" t="s">
        <v>6462</v>
      </c>
      <c r="B2714" s="190" t="s">
        <v>6883</v>
      </c>
      <c r="C2714" s="163" t="s">
        <v>74</v>
      </c>
      <c r="D2714" s="164">
        <f>((43500/117.72)*1.02)/1.02</f>
        <v>369.5208970438328</v>
      </c>
      <c r="E2714" s="165" t="s">
        <v>5800</v>
      </c>
      <c r="F2714" s="617">
        <v>44755</v>
      </c>
      <c r="G2714">
        <v>98.61</v>
      </c>
      <c r="H2714" s="165" t="s">
        <v>6341</v>
      </c>
      <c r="I2714" s="617">
        <v>44585</v>
      </c>
    </row>
    <row r="2715" spans="1:9" x14ac:dyDescent="0.3">
      <c r="A2715" s="169" t="s">
        <v>6463</v>
      </c>
      <c r="B2715" s="190" t="s">
        <v>7851</v>
      </c>
      <c r="C2715" s="163" t="s">
        <v>1376</v>
      </c>
      <c r="D2715" s="164">
        <v>1700</v>
      </c>
      <c r="E2715" s="165" t="s">
        <v>7237</v>
      </c>
      <c r="F2715" s="617">
        <v>44759</v>
      </c>
    </row>
    <row r="2716" spans="1:9" x14ac:dyDescent="0.3">
      <c r="A2716" s="169" t="s">
        <v>6464</v>
      </c>
      <c r="B2716" s="190" t="s">
        <v>6886</v>
      </c>
      <c r="C2716" s="163" t="s">
        <v>1376</v>
      </c>
      <c r="D2716" s="164">
        <v>350</v>
      </c>
      <c r="E2716" s="165" t="s">
        <v>7884</v>
      </c>
      <c r="F2716" s="617">
        <v>44759</v>
      </c>
    </row>
    <row r="2717" spans="1:9" x14ac:dyDescent="0.3">
      <c r="A2717" s="169" t="s">
        <v>6465</v>
      </c>
      <c r="B2717" s="190" t="s">
        <v>6887</v>
      </c>
      <c r="C2717" s="163" t="s">
        <v>1376</v>
      </c>
      <c r="D2717" s="164">
        <v>1900</v>
      </c>
      <c r="E2717" s="165" t="s">
        <v>6341</v>
      </c>
      <c r="F2717" s="617">
        <v>44585</v>
      </c>
    </row>
    <row r="2718" spans="1:9" x14ac:dyDescent="0.3">
      <c r="A2718" s="169" t="s">
        <v>6466</v>
      </c>
      <c r="B2718" s="190" t="s">
        <v>6890</v>
      </c>
      <c r="C2718" s="163" t="s">
        <v>73</v>
      </c>
      <c r="D2718" s="164">
        <v>142.47</v>
      </c>
      <c r="E2718" s="165" t="s">
        <v>7237</v>
      </c>
      <c r="F2718" s="617">
        <v>44585</v>
      </c>
    </row>
    <row r="2719" spans="1:9" x14ac:dyDescent="0.3">
      <c r="A2719" s="169" t="s">
        <v>6467</v>
      </c>
      <c r="B2719" s="190" t="s">
        <v>6892</v>
      </c>
      <c r="C2719" s="163" t="s">
        <v>73</v>
      </c>
      <c r="D2719" s="164">
        <v>263.74</v>
      </c>
      <c r="E2719" s="165" t="s">
        <v>7237</v>
      </c>
      <c r="F2719" s="617">
        <v>44585</v>
      </c>
    </row>
    <row r="2720" spans="1:9" x14ac:dyDescent="0.3">
      <c r="A2720" s="169" t="s">
        <v>6468</v>
      </c>
      <c r="B2720" s="190" t="s">
        <v>6894</v>
      </c>
      <c r="C2720" s="163" t="s">
        <v>73</v>
      </c>
      <c r="D2720" s="164">
        <v>65</v>
      </c>
      <c r="E2720" s="165" t="s">
        <v>4482</v>
      </c>
      <c r="F2720" s="617">
        <v>44585</v>
      </c>
    </row>
    <row r="2721" spans="1:6" x14ac:dyDescent="0.3">
      <c r="A2721" s="169" t="s">
        <v>6469</v>
      </c>
      <c r="B2721" s="190" t="s">
        <v>6895</v>
      </c>
      <c r="C2721" s="163" t="s">
        <v>73</v>
      </c>
      <c r="D2721" s="164">
        <v>95</v>
      </c>
      <c r="E2721" s="165" t="s">
        <v>4482</v>
      </c>
      <c r="F2721" s="617">
        <v>44585</v>
      </c>
    </row>
    <row r="2722" spans="1:6" x14ac:dyDescent="0.3">
      <c r="A2722" s="169" t="s">
        <v>6470</v>
      </c>
      <c r="B2722" s="190" t="s">
        <v>6896</v>
      </c>
      <c r="C2722" s="163" t="s">
        <v>73</v>
      </c>
      <c r="D2722" s="164">
        <v>186.75</v>
      </c>
      <c r="E2722" s="165" t="s">
        <v>6341</v>
      </c>
      <c r="F2722" s="617">
        <v>44585</v>
      </c>
    </row>
    <row r="2723" spans="1:6" x14ac:dyDescent="0.3">
      <c r="A2723" s="169" t="s">
        <v>6471</v>
      </c>
      <c r="B2723" s="190" t="s">
        <v>6898</v>
      </c>
      <c r="C2723" s="163" t="s">
        <v>73</v>
      </c>
      <c r="D2723" s="164">
        <v>8</v>
      </c>
      <c r="E2723" s="165" t="s">
        <v>7884</v>
      </c>
      <c r="F2723" s="617">
        <v>44760</v>
      </c>
    </row>
    <row r="2724" spans="1:6" x14ac:dyDescent="0.3">
      <c r="A2724" s="169" t="s">
        <v>6472</v>
      </c>
      <c r="B2724" s="190" t="s">
        <v>6899</v>
      </c>
      <c r="C2724" s="163" t="s">
        <v>6900</v>
      </c>
      <c r="D2724" s="164">
        <f>((((300*1.0753)*1.03)/1.03)*1.02)/1.02</f>
        <v>322.58999999999997</v>
      </c>
      <c r="E2724" s="165" t="s">
        <v>7232</v>
      </c>
      <c r="F2724" s="617">
        <v>44759</v>
      </c>
    </row>
    <row r="2725" spans="1:6" x14ac:dyDescent="0.3">
      <c r="A2725" s="169" t="s">
        <v>6473</v>
      </c>
      <c r="B2725" s="190" t="s">
        <v>6902</v>
      </c>
      <c r="C2725" s="163" t="s">
        <v>73</v>
      </c>
      <c r="D2725" s="164">
        <v>40</v>
      </c>
      <c r="E2725" s="165" t="s">
        <v>7884</v>
      </c>
      <c r="F2725" s="617">
        <v>44790</v>
      </c>
    </row>
    <row r="2726" spans="1:6" x14ac:dyDescent="0.3">
      <c r="A2726" s="169" t="s">
        <v>6474</v>
      </c>
      <c r="B2726" s="190" t="s">
        <v>6903</v>
      </c>
      <c r="C2726" s="163" t="s">
        <v>73</v>
      </c>
      <c r="D2726" s="164">
        <f>((((10.16*1.0753)*1.03)/1.03)*1.02)/1.02</f>
        <v>10.925047999999999</v>
      </c>
      <c r="E2726" s="165" t="s">
        <v>7232</v>
      </c>
      <c r="F2726" s="617">
        <v>44759</v>
      </c>
    </row>
    <row r="2727" spans="1:6" x14ac:dyDescent="0.3">
      <c r="A2727" s="169" t="s">
        <v>6475</v>
      </c>
      <c r="B2727" s="190" t="s">
        <v>6904</v>
      </c>
      <c r="C2727" s="163" t="s">
        <v>2088</v>
      </c>
      <c r="D2727" s="164">
        <f>((((18*1.0753)*1.03)/1.03)*1.02)/1.02</f>
        <v>19.355399999999999</v>
      </c>
      <c r="E2727" s="165" t="s">
        <v>7232</v>
      </c>
      <c r="F2727" s="617">
        <v>44759</v>
      </c>
    </row>
    <row r="2728" spans="1:6" x14ac:dyDescent="0.3">
      <c r="A2728" s="169" t="s">
        <v>6476</v>
      </c>
      <c r="B2728" s="190" t="s">
        <v>6905</v>
      </c>
      <c r="C2728" s="163" t="s">
        <v>73</v>
      </c>
      <c r="D2728" s="164">
        <v>45</v>
      </c>
      <c r="E2728" s="165" t="s">
        <v>7332</v>
      </c>
      <c r="F2728" s="617">
        <v>44785</v>
      </c>
    </row>
    <row r="2729" spans="1:6" x14ac:dyDescent="0.3">
      <c r="A2729" s="169" t="s">
        <v>6477</v>
      </c>
      <c r="B2729" s="190" t="s">
        <v>6906</v>
      </c>
      <c r="C2729" s="163" t="s">
        <v>73</v>
      </c>
      <c r="D2729" s="164">
        <v>45</v>
      </c>
      <c r="E2729" s="165" t="s">
        <v>7332</v>
      </c>
      <c r="F2729" s="617">
        <v>44785</v>
      </c>
    </row>
    <row r="2730" spans="1:6" x14ac:dyDescent="0.3">
      <c r="A2730" s="169" t="s">
        <v>6478</v>
      </c>
      <c r="B2730" s="190" t="s">
        <v>6907</v>
      </c>
      <c r="C2730" s="163" t="s">
        <v>73</v>
      </c>
      <c r="D2730" s="164">
        <v>34.15</v>
      </c>
      <c r="E2730" s="165" t="s">
        <v>6341</v>
      </c>
      <c r="F2730" s="617">
        <v>44585</v>
      </c>
    </row>
    <row r="2731" spans="1:6" x14ac:dyDescent="0.3">
      <c r="A2731" s="169" t="s">
        <v>6479</v>
      </c>
      <c r="B2731" s="190" t="s">
        <v>6910</v>
      </c>
      <c r="C2731" s="163" t="s">
        <v>6909</v>
      </c>
      <c r="D2731" s="164">
        <f>((((28*1.2)*1.03)/1.03)*1.02)/1.02</f>
        <v>33.6</v>
      </c>
      <c r="E2731" s="165" t="s">
        <v>6341</v>
      </c>
      <c r="F2731" s="617">
        <v>44585</v>
      </c>
    </row>
    <row r="2732" spans="1:6" x14ac:dyDescent="0.3">
      <c r="A2732" s="169" t="s">
        <v>6480</v>
      </c>
      <c r="B2732" s="190" t="s">
        <v>6908</v>
      </c>
      <c r="C2732" s="163" t="s">
        <v>6909</v>
      </c>
      <c r="D2732" s="164">
        <v>90</v>
      </c>
      <c r="E2732" s="165" t="s">
        <v>7884</v>
      </c>
      <c r="F2732" s="617">
        <v>44791</v>
      </c>
    </row>
    <row r="2733" spans="1:6" x14ac:dyDescent="0.3">
      <c r="A2733" s="169" t="s">
        <v>6481</v>
      </c>
      <c r="B2733" s="190" t="s">
        <v>6911</v>
      </c>
      <c r="C2733" s="163" t="s">
        <v>2088</v>
      </c>
      <c r="D2733" s="164">
        <v>17.579999999999998</v>
      </c>
      <c r="E2733" s="165" t="s">
        <v>6341</v>
      </c>
      <c r="F2733" s="617">
        <v>44585</v>
      </c>
    </row>
    <row r="2734" spans="1:6" x14ac:dyDescent="0.3">
      <c r="A2734" s="169" t="s">
        <v>6482</v>
      </c>
      <c r="B2734" s="190" t="s">
        <v>6912</v>
      </c>
      <c r="C2734" s="163" t="s">
        <v>7479</v>
      </c>
      <c r="D2734" s="164">
        <v>23.9</v>
      </c>
      <c r="E2734" s="165" t="s">
        <v>5212</v>
      </c>
      <c r="F2734" s="617">
        <v>44747</v>
      </c>
    </row>
    <row r="2735" spans="1:6" x14ac:dyDescent="0.3">
      <c r="A2735" s="169" t="s">
        <v>6483</v>
      </c>
      <c r="B2735" s="190" t="s">
        <v>6913</v>
      </c>
      <c r="C2735" s="163" t="s">
        <v>73</v>
      </c>
      <c r="D2735" s="164">
        <v>200</v>
      </c>
      <c r="E2735" s="165" t="s">
        <v>6341</v>
      </c>
      <c r="F2735" s="617">
        <v>44585</v>
      </c>
    </row>
    <row r="2736" spans="1:6" x14ac:dyDescent="0.3">
      <c r="A2736" s="169" t="s">
        <v>6484</v>
      </c>
      <c r="B2736" s="190" t="s">
        <v>6914</v>
      </c>
      <c r="C2736" s="163" t="s">
        <v>73</v>
      </c>
      <c r="D2736" s="164">
        <f>((((40.09*1.1756)*1.03)/1.03)*1.02)/1.02</f>
        <v>47.129804</v>
      </c>
      <c r="E2736" s="165" t="s">
        <v>7237</v>
      </c>
      <c r="F2736" s="617">
        <v>44759</v>
      </c>
    </row>
    <row r="2737" spans="1:9" x14ac:dyDescent="0.3">
      <c r="A2737" s="169" t="s">
        <v>6485</v>
      </c>
      <c r="B2737" s="190" t="s">
        <v>6915</v>
      </c>
      <c r="C2737" s="163" t="s">
        <v>89</v>
      </c>
      <c r="D2737" s="164">
        <v>1.32</v>
      </c>
      <c r="E2737" s="165" t="s">
        <v>6341</v>
      </c>
      <c r="F2737" s="617">
        <v>44585</v>
      </c>
    </row>
    <row r="2738" spans="1:9" x14ac:dyDescent="0.3">
      <c r="A2738" s="169" t="s">
        <v>6486</v>
      </c>
      <c r="B2738" s="190" t="s">
        <v>6916</v>
      </c>
      <c r="C2738" s="163" t="s">
        <v>89</v>
      </c>
      <c r="D2738" s="164">
        <v>48</v>
      </c>
      <c r="E2738" s="165" t="s">
        <v>6341</v>
      </c>
      <c r="F2738" s="617">
        <v>44585</v>
      </c>
    </row>
    <row r="2739" spans="1:9" x14ac:dyDescent="0.3">
      <c r="A2739" s="169" t="s">
        <v>6487</v>
      </c>
      <c r="B2739" s="190" t="s">
        <v>6920</v>
      </c>
      <c r="C2739" s="163" t="s">
        <v>73</v>
      </c>
      <c r="D2739" s="164">
        <v>16</v>
      </c>
      <c r="E2739" s="165" t="s">
        <v>7884</v>
      </c>
      <c r="F2739" s="617">
        <v>44759</v>
      </c>
    </row>
    <row r="2740" spans="1:9" x14ac:dyDescent="0.3">
      <c r="A2740" s="169" t="s">
        <v>6488</v>
      </c>
      <c r="B2740" s="190" t="s">
        <v>6877</v>
      </c>
      <c r="C2740" s="163" t="s">
        <v>2088</v>
      </c>
      <c r="D2740" s="164">
        <v>27</v>
      </c>
      <c r="E2740" s="165" t="s">
        <v>7311</v>
      </c>
      <c r="F2740" s="617">
        <v>44782</v>
      </c>
    </row>
    <row r="2741" spans="1:9" x14ac:dyDescent="0.3">
      <c r="A2741" s="169" t="s">
        <v>6489</v>
      </c>
      <c r="B2741" s="190" t="s">
        <v>6921</v>
      </c>
      <c r="C2741" s="163" t="s">
        <v>73</v>
      </c>
      <c r="D2741" s="164">
        <v>75</v>
      </c>
      <c r="E2741" s="165" t="s">
        <v>7884</v>
      </c>
      <c r="F2741" s="617">
        <v>44759</v>
      </c>
    </row>
    <row r="2742" spans="1:9" x14ac:dyDescent="0.3">
      <c r="A2742" s="169" t="s">
        <v>6490</v>
      </c>
      <c r="B2742" s="190" t="s">
        <v>6922</v>
      </c>
      <c r="C2742" s="163" t="s">
        <v>6923</v>
      </c>
      <c r="D2742" s="164">
        <f>((((65.83*1.0756)*1.03)/1.03)*1.02)/1.02</f>
        <v>70.806747999999985</v>
      </c>
      <c r="E2742" s="165" t="s">
        <v>6341</v>
      </c>
      <c r="F2742" s="617">
        <v>44585</v>
      </c>
    </row>
    <row r="2743" spans="1:9" x14ac:dyDescent="0.3">
      <c r="A2743" s="169" t="s">
        <v>6491</v>
      </c>
      <c r="B2743" s="190" t="s">
        <v>6924</v>
      </c>
      <c r="C2743" s="163" t="s">
        <v>73</v>
      </c>
      <c r="D2743" s="164">
        <v>60.2</v>
      </c>
      <c r="E2743" s="165" t="s">
        <v>6341</v>
      </c>
      <c r="F2743" s="617">
        <v>44585</v>
      </c>
    </row>
    <row r="2744" spans="1:9" x14ac:dyDescent="0.3">
      <c r="A2744" s="169" t="s">
        <v>6492</v>
      </c>
      <c r="B2744" s="190" t="s">
        <v>7017</v>
      </c>
      <c r="C2744" s="163" t="s">
        <v>73</v>
      </c>
      <c r="D2744" s="164">
        <v>38.4</v>
      </c>
      <c r="E2744" s="165" t="s">
        <v>6341</v>
      </c>
      <c r="F2744" s="617">
        <v>44585</v>
      </c>
    </row>
    <row r="2745" spans="1:9" x14ac:dyDescent="0.3">
      <c r="A2745" s="169" t="s">
        <v>6493</v>
      </c>
      <c r="B2745" s="190" t="s">
        <v>6926</v>
      </c>
      <c r="C2745" s="163" t="s">
        <v>73</v>
      </c>
      <c r="D2745" s="164">
        <v>25.242718446601941</v>
      </c>
      <c r="E2745" s="165" t="s">
        <v>2297</v>
      </c>
      <c r="F2745" s="617">
        <v>44790</v>
      </c>
      <c r="G2745" s="164">
        <v>17</v>
      </c>
      <c r="H2745" s="165" t="s">
        <v>6341</v>
      </c>
      <c r="I2745" s="617">
        <v>44585</v>
      </c>
    </row>
    <row r="2746" spans="1:9" x14ac:dyDescent="0.3">
      <c r="A2746" s="169" t="s">
        <v>6494</v>
      </c>
      <c r="B2746" s="190" t="s">
        <v>6927</v>
      </c>
      <c r="C2746" s="163" t="s">
        <v>74</v>
      </c>
      <c r="D2746" s="164">
        <v>18</v>
      </c>
      <c r="E2746" s="165" t="s">
        <v>2297</v>
      </c>
      <c r="F2746" s="617">
        <v>44759</v>
      </c>
    </row>
    <row r="2747" spans="1:9" x14ac:dyDescent="0.3">
      <c r="A2747" s="169" t="s">
        <v>6495</v>
      </c>
      <c r="B2747" s="190" t="s">
        <v>6929</v>
      </c>
      <c r="C2747" s="163" t="s">
        <v>74</v>
      </c>
      <c r="D2747" s="164">
        <v>28</v>
      </c>
      <c r="E2747" s="165" t="s">
        <v>2297</v>
      </c>
      <c r="F2747" s="617">
        <v>44790</v>
      </c>
    </row>
    <row r="2748" spans="1:9" x14ac:dyDescent="0.3">
      <c r="A2748" s="169" t="s">
        <v>6496</v>
      </c>
      <c r="B2748" s="190" t="s">
        <v>6930</v>
      </c>
      <c r="C2748" s="163" t="s">
        <v>73</v>
      </c>
      <c r="D2748" s="164">
        <f>((((24.83*1.0956)*1.03)/1.03)*1.02)/1.02</f>
        <v>27.203747999999997</v>
      </c>
      <c r="E2748" s="165" t="s">
        <v>7237</v>
      </c>
      <c r="F2748" s="617">
        <v>44759</v>
      </c>
    </row>
    <row r="2749" spans="1:9" x14ac:dyDescent="0.3">
      <c r="A2749" s="169" t="s">
        <v>6497</v>
      </c>
      <c r="B2749" s="190" t="s">
        <v>6932</v>
      </c>
      <c r="C2749" s="163" t="s">
        <v>1376</v>
      </c>
      <c r="D2749" s="164">
        <v>190</v>
      </c>
      <c r="E2749" s="165" t="s">
        <v>6341</v>
      </c>
      <c r="F2749" s="617">
        <v>44585</v>
      </c>
    </row>
    <row r="2750" spans="1:9" x14ac:dyDescent="0.3">
      <c r="A2750" s="169" t="s">
        <v>6498</v>
      </c>
      <c r="B2750" s="190" t="s">
        <v>6937</v>
      </c>
      <c r="C2750" s="163" t="s">
        <v>73</v>
      </c>
      <c r="D2750" s="164">
        <v>11</v>
      </c>
      <c r="E2750" s="165" t="s">
        <v>6341</v>
      </c>
      <c r="F2750" s="617">
        <v>44585</v>
      </c>
    </row>
    <row r="2751" spans="1:9" x14ac:dyDescent="0.3">
      <c r="A2751" s="169" t="s">
        <v>6499</v>
      </c>
      <c r="B2751" s="190" t="s">
        <v>6938</v>
      </c>
      <c r="C2751" s="163" t="s">
        <v>6888</v>
      </c>
      <c r="D2751" s="164">
        <f>((((105*1.0956)*1.03)/1.03)*1.02)/1.02</f>
        <v>115.038</v>
      </c>
      <c r="E2751" s="165" t="s">
        <v>7237</v>
      </c>
      <c r="F2751" s="617">
        <v>44759</v>
      </c>
    </row>
    <row r="2752" spans="1:9" x14ac:dyDescent="0.3">
      <c r="A2752" s="169" t="s">
        <v>6500</v>
      </c>
      <c r="B2752" s="190" t="s">
        <v>6939</v>
      </c>
      <c r="C2752" s="163" t="s">
        <v>73</v>
      </c>
      <c r="D2752" s="164">
        <v>38</v>
      </c>
      <c r="E2752" s="165" t="s">
        <v>7884</v>
      </c>
      <c r="F2752" s="617">
        <v>44791</v>
      </c>
    </row>
    <row r="2753" spans="1:6" x14ac:dyDescent="0.3">
      <c r="A2753" s="169" t="s">
        <v>6501</v>
      </c>
      <c r="B2753" s="190" t="s">
        <v>6940</v>
      </c>
      <c r="C2753" s="163" t="s">
        <v>73</v>
      </c>
      <c r="D2753" s="164">
        <f>((((39.56*1.2)*1.03)/1.03)*1.02)/1.02</f>
        <v>47.472000000000001</v>
      </c>
      <c r="E2753" s="165" t="s">
        <v>6341</v>
      </c>
      <c r="F2753" s="617">
        <v>44585</v>
      </c>
    </row>
    <row r="2754" spans="1:6" x14ac:dyDescent="0.3">
      <c r="A2754" s="169" t="s">
        <v>6502</v>
      </c>
      <c r="B2754" s="190" t="s">
        <v>6941</v>
      </c>
      <c r="C2754" s="163" t="s">
        <v>73</v>
      </c>
      <c r="D2754" s="164">
        <v>90</v>
      </c>
      <c r="E2754" s="165" t="s">
        <v>7884</v>
      </c>
      <c r="F2754" s="617">
        <v>44791</v>
      </c>
    </row>
    <row r="2755" spans="1:6" x14ac:dyDescent="0.3">
      <c r="A2755" s="169" t="s">
        <v>6503</v>
      </c>
      <c r="B2755" s="190" t="s">
        <v>6942</v>
      </c>
      <c r="C2755" s="163" t="s">
        <v>73</v>
      </c>
      <c r="D2755" s="164">
        <v>47.47</v>
      </c>
      <c r="E2755" s="165" t="s">
        <v>6341</v>
      </c>
      <c r="F2755" s="617">
        <v>44585</v>
      </c>
    </row>
    <row r="2756" spans="1:6" x14ac:dyDescent="0.3">
      <c r="A2756" s="169" t="s">
        <v>6504</v>
      </c>
      <c r="B2756" s="190" t="s">
        <v>6943</v>
      </c>
      <c r="C2756" s="163" t="s">
        <v>73</v>
      </c>
      <c r="D2756" s="164">
        <v>55.64</v>
      </c>
      <c r="E2756" s="165" t="s">
        <v>6341</v>
      </c>
      <c r="F2756" s="617">
        <v>44585</v>
      </c>
    </row>
    <row r="2757" spans="1:6" x14ac:dyDescent="0.3">
      <c r="A2757" s="169" t="s">
        <v>6505</v>
      </c>
      <c r="B2757" s="190" t="s">
        <v>7243</v>
      </c>
      <c r="C2757" s="163" t="s">
        <v>74</v>
      </c>
      <c r="D2757" s="164">
        <f>((((38.58)*1.03)/1.03)*1.02)/1.02</f>
        <v>38.58</v>
      </c>
      <c r="E2757" s="165" t="s">
        <v>7237</v>
      </c>
      <c r="F2757" s="617">
        <v>44759</v>
      </c>
    </row>
    <row r="2758" spans="1:6" x14ac:dyDescent="0.3">
      <c r="A2758" s="169" t="s">
        <v>6506</v>
      </c>
      <c r="B2758" s="190" t="s">
        <v>6944</v>
      </c>
      <c r="C2758" s="163" t="s">
        <v>74</v>
      </c>
      <c r="D2758" s="164">
        <v>40</v>
      </c>
      <c r="E2758" s="165" t="s">
        <v>7884</v>
      </c>
      <c r="F2758" s="617">
        <v>44791</v>
      </c>
    </row>
    <row r="2759" spans="1:6" x14ac:dyDescent="0.3">
      <c r="A2759" s="169" t="s">
        <v>6507</v>
      </c>
      <c r="B2759" s="190" t="s">
        <v>6945</v>
      </c>
      <c r="C2759" s="163" t="s">
        <v>74</v>
      </c>
      <c r="D2759" s="164">
        <v>20</v>
      </c>
      <c r="E2759" s="165" t="s">
        <v>7314</v>
      </c>
      <c r="F2759" s="617">
        <v>44791</v>
      </c>
    </row>
    <row r="2760" spans="1:6" x14ac:dyDescent="0.3">
      <c r="A2760" s="169" t="s">
        <v>6508</v>
      </c>
      <c r="B2760" s="190" t="s">
        <v>6946</v>
      </c>
      <c r="C2760" s="163" t="s">
        <v>73</v>
      </c>
      <c r="D2760" s="164">
        <v>42</v>
      </c>
      <c r="E2760" s="165" t="s">
        <v>7884</v>
      </c>
      <c r="F2760" s="617">
        <v>44791</v>
      </c>
    </row>
    <row r="2761" spans="1:6" x14ac:dyDescent="0.3">
      <c r="A2761" s="169" t="s">
        <v>6509</v>
      </c>
      <c r="B2761" s="190" t="s">
        <v>6948</v>
      </c>
      <c r="C2761" s="163" t="s">
        <v>6950</v>
      </c>
      <c r="D2761" s="164">
        <v>870.38</v>
      </c>
      <c r="E2761" s="165" t="s">
        <v>6341</v>
      </c>
      <c r="F2761" s="617">
        <v>44586</v>
      </c>
    </row>
    <row r="2762" spans="1:6" x14ac:dyDescent="0.3">
      <c r="A2762" s="169" t="s">
        <v>6510</v>
      </c>
      <c r="B2762" s="190" t="s">
        <v>6949</v>
      </c>
      <c r="C2762" s="163" t="s">
        <v>74</v>
      </c>
      <c r="D2762" s="164">
        <v>27.35</v>
      </c>
      <c r="E2762" s="165" t="s">
        <v>6341</v>
      </c>
      <c r="F2762" s="617">
        <v>44586</v>
      </c>
    </row>
    <row r="2763" spans="1:6" x14ac:dyDescent="0.3">
      <c r="A2763" s="169" t="s">
        <v>6511</v>
      </c>
      <c r="B2763" s="190" t="s">
        <v>6956</v>
      </c>
      <c r="C2763" s="163" t="s">
        <v>73</v>
      </c>
      <c r="D2763" s="164">
        <f>((((203.26*1.0756)*1.03)/1.03)*1.02)/1.02</f>
        <v>218.62645599999996</v>
      </c>
      <c r="E2763" s="165" t="s">
        <v>7232</v>
      </c>
      <c r="F2763" s="617">
        <v>44586</v>
      </c>
    </row>
    <row r="2764" spans="1:6" x14ac:dyDescent="0.3">
      <c r="A2764" s="169" t="s">
        <v>6512</v>
      </c>
      <c r="B2764" s="190" t="s">
        <v>6959</v>
      </c>
      <c r="C2764" s="163" t="s">
        <v>74</v>
      </c>
      <c r="D2764" s="164">
        <f>((((45*1.0756)*1.03)/1.03)*1.02)/1.02</f>
        <v>48.401999999999994</v>
      </c>
      <c r="E2764" s="165" t="s">
        <v>7232</v>
      </c>
      <c r="F2764" s="617">
        <v>44586</v>
      </c>
    </row>
    <row r="2765" spans="1:6" x14ac:dyDescent="0.3">
      <c r="A2765" s="169" t="s">
        <v>6513</v>
      </c>
      <c r="B2765" s="190" t="s">
        <v>6960</v>
      </c>
      <c r="C2765" s="163" t="s">
        <v>1376</v>
      </c>
      <c r="D2765" s="164">
        <v>338.3</v>
      </c>
      <c r="E2765" s="165" t="s">
        <v>6341</v>
      </c>
      <c r="F2765" s="617">
        <v>44586</v>
      </c>
    </row>
    <row r="2766" spans="1:6" x14ac:dyDescent="0.3">
      <c r="A2766" s="169" t="s">
        <v>6514</v>
      </c>
      <c r="B2766" s="190" t="s">
        <v>6961</v>
      </c>
      <c r="C2766" s="163" t="s">
        <v>1376</v>
      </c>
      <c r="D2766" s="164">
        <v>195</v>
      </c>
      <c r="E2766" s="165" t="s">
        <v>6341</v>
      </c>
      <c r="F2766" s="617">
        <v>44586</v>
      </c>
    </row>
    <row r="2767" spans="1:6" x14ac:dyDescent="0.3">
      <c r="A2767" s="169" t="s">
        <v>6515</v>
      </c>
      <c r="B2767" s="190" t="s">
        <v>6962</v>
      </c>
      <c r="C2767" s="163" t="s">
        <v>1376</v>
      </c>
      <c r="D2767" s="164">
        <v>23.743554999999997</v>
      </c>
      <c r="E2767" s="165" t="s">
        <v>6341</v>
      </c>
      <c r="F2767" s="617">
        <v>44586</v>
      </c>
    </row>
    <row r="2768" spans="1:6" x14ac:dyDescent="0.3">
      <c r="A2768" s="169" t="s">
        <v>6516</v>
      </c>
      <c r="B2768" s="190" t="s">
        <v>6963</v>
      </c>
      <c r="C2768" s="163" t="s">
        <v>1376</v>
      </c>
      <c r="D2768" s="164">
        <v>136.13337099999998</v>
      </c>
      <c r="E2768" s="165" t="s">
        <v>6341</v>
      </c>
      <c r="F2768" s="617">
        <v>44586</v>
      </c>
    </row>
    <row r="2769" spans="1:6" x14ac:dyDescent="0.3">
      <c r="A2769" s="169" t="s">
        <v>6517</v>
      </c>
      <c r="B2769" s="190" t="s">
        <v>6964</v>
      </c>
      <c r="C2769" s="163" t="s">
        <v>1376</v>
      </c>
      <c r="D2769" s="164">
        <v>20.058643</v>
      </c>
      <c r="E2769" s="165" t="s">
        <v>6341</v>
      </c>
      <c r="F2769" s="617">
        <v>44586</v>
      </c>
    </row>
    <row r="2770" spans="1:6" x14ac:dyDescent="0.3">
      <c r="A2770" s="169" t="s">
        <v>6518</v>
      </c>
      <c r="B2770" s="190" t="s">
        <v>6965</v>
      </c>
      <c r="C2770" s="163" t="s">
        <v>1376</v>
      </c>
      <c r="D2770" s="164">
        <v>18.100000000000001</v>
      </c>
      <c r="E2770" s="165" t="s">
        <v>6341</v>
      </c>
      <c r="F2770" s="617">
        <v>44586</v>
      </c>
    </row>
    <row r="2771" spans="1:6" x14ac:dyDescent="0.3">
      <c r="A2771" s="169" t="s">
        <v>6519</v>
      </c>
      <c r="B2771" s="190" t="s">
        <v>6966</v>
      </c>
      <c r="C2771" s="163" t="s">
        <v>1376</v>
      </c>
      <c r="D2771" s="164">
        <v>82.58</v>
      </c>
      <c r="E2771" s="165" t="s">
        <v>6341</v>
      </c>
      <c r="F2771" s="617">
        <v>44586</v>
      </c>
    </row>
    <row r="2772" spans="1:6" x14ac:dyDescent="0.3">
      <c r="A2772" s="169" t="s">
        <v>6520</v>
      </c>
      <c r="B2772" s="190" t="s">
        <v>6967</v>
      </c>
      <c r="C2772" s="163" t="s">
        <v>1376</v>
      </c>
      <c r="D2772" s="164">
        <v>16.12</v>
      </c>
      <c r="E2772" s="165" t="s">
        <v>6341</v>
      </c>
      <c r="F2772" s="617">
        <v>44586</v>
      </c>
    </row>
    <row r="2773" spans="1:6" x14ac:dyDescent="0.3">
      <c r="A2773" s="169" t="s">
        <v>6521</v>
      </c>
      <c r="B2773" s="190" t="s">
        <v>6968</v>
      </c>
      <c r="C2773" s="163" t="s">
        <v>1376</v>
      </c>
      <c r="D2773" s="164">
        <v>16.64</v>
      </c>
      <c r="E2773" s="165" t="s">
        <v>6341</v>
      </c>
      <c r="F2773" s="617">
        <v>44586</v>
      </c>
    </row>
    <row r="2774" spans="1:6" x14ac:dyDescent="0.3">
      <c r="A2774" s="169" t="s">
        <v>6522</v>
      </c>
      <c r="B2774" s="190" t="s">
        <v>6969</v>
      </c>
      <c r="C2774" s="163" t="s">
        <v>1376</v>
      </c>
      <c r="D2774" s="164">
        <v>259.42</v>
      </c>
      <c r="E2774" s="165" t="s">
        <v>6341</v>
      </c>
      <c r="F2774" s="617">
        <v>44586</v>
      </c>
    </row>
    <row r="2775" spans="1:6" x14ac:dyDescent="0.3">
      <c r="A2775" s="169" t="s">
        <v>6523</v>
      </c>
      <c r="B2775" s="190" t="s">
        <v>6970</v>
      </c>
      <c r="C2775" s="163" t="s">
        <v>1376</v>
      </c>
      <c r="D2775" s="164">
        <v>130.37</v>
      </c>
      <c r="E2775" s="165" t="s">
        <v>6341</v>
      </c>
      <c r="F2775" s="617">
        <v>44586</v>
      </c>
    </row>
    <row r="2776" spans="1:6" x14ac:dyDescent="0.3">
      <c r="A2776" s="169" t="s">
        <v>6524</v>
      </c>
      <c r="B2776" s="190" t="s">
        <v>6971</v>
      </c>
      <c r="C2776" s="163" t="s">
        <v>1376</v>
      </c>
      <c r="D2776" s="164">
        <v>41.77</v>
      </c>
      <c r="E2776" s="165" t="s">
        <v>6341</v>
      </c>
      <c r="F2776" s="617">
        <v>44586</v>
      </c>
    </row>
    <row r="2777" spans="1:6" x14ac:dyDescent="0.3">
      <c r="A2777" s="169" t="s">
        <v>6525</v>
      </c>
      <c r="B2777" s="190" t="s">
        <v>6972</v>
      </c>
      <c r="C2777" s="163" t="s">
        <v>1376</v>
      </c>
      <c r="D2777" s="164">
        <v>208.351066</v>
      </c>
      <c r="E2777" s="165" t="s">
        <v>6341</v>
      </c>
      <c r="F2777" s="617">
        <v>44586</v>
      </c>
    </row>
    <row r="2778" spans="1:6" x14ac:dyDescent="0.3">
      <c r="A2778" s="169" t="s">
        <v>6526</v>
      </c>
      <c r="B2778" s="190" t="s">
        <v>6973</v>
      </c>
      <c r="C2778" s="163" t="s">
        <v>1376</v>
      </c>
      <c r="D2778" s="164">
        <v>35.247937999999998</v>
      </c>
      <c r="E2778" s="165" t="s">
        <v>6341</v>
      </c>
      <c r="F2778" s="617">
        <v>44586</v>
      </c>
    </row>
    <row r="2779" spans="1:6" x14ac:dyDescent="0.3">
      <c r="A2779" s="169" t="s">
        <v>6527</v>
      </c>
      <c r="B2779" s="190" t="s">
        <v>6974</v>
      </c>
      <c r="C2779" s="163" t="s">
        <v>1376</v>
      </c>
      <c r="D2779" s="164">
        <v>145.47615830000004</v>
      </c>
      <c r="E2779" s="165" t="s">
        <v>6341</v>
      </c>
      <c r="F2779" s="617">
        <v>44586</v>
      </c>
    </row>
    <row r="2780" spans="1:6" x14ac:dyDescent="0.3">
      <c r="A2780" s="169" t="s">
        <v>6528</v>
      </c>
      <c r="B2780" s="190" t="s">
        <v>6975</v>
      </c>
      <c r="C2780" s="163" t="s">
        <v>1376</v>
      </c>
      <c r="D2780" s="164">
        <v>149.381507</v>
      </c>
      <c r="E2780" s="165" t="s">
        <v>6341</v>
      </c>
      <c r="F2780" s="617">
        <v>44586</v>
      </c>
    </row>
    <row r="2781" spans="1:6" x14ac:dyDescent="0.3">
      <c r="A2781" s="169" t="s">
        <v>6529</v>
      </c>
      <c r="B2781" s="190" t="s">
        <v>6976</v>
      </c>
      <c r="C2781" s="163" t="s">
        <v>1376</v>
      </c>
      <c r="D2781" s="164">
        <v>5.82</v>
      </c>
      <c r="E2781" s="165" t="s">
        <v>6341</v>
      </c>
      <c r="F2781" s="617">
        <v>44586</v>
      </c>
    </row>
    <row r="2782" spans="1:6" x14ac:dyDescent="0.3">
      <c r="A2782" s="169" t="s">
        <v>6530</v>
      </c>
      <c r="B2782" s="190" t="s">
        <v>6966</v>
      </c>
      <c r="C2782" s="163" t="s">
        <v>1376</v>
      </c>
      <c r="D2782" s="164">
        <v>82.58</v>
      </c>
      <c r="E2782" s="165" t="s">
        <v>6341</v>
      </c>
      <c r="F2782" s="617">
        <v>44586</v>
      </c>
    </row>
    <row r="2783" spans="1:6" x14ac:dyDescent="0.3">
      <c r="A2783" s="169" t="s">
        <v>6531</v>
      </c>
      <c r="B2783" s="190" t="s">
        <v>6968</v>
      </c>
      <c r="C2783" s="163" t="s">
        <v>1376</v>
      </c>
      <c r="D2783" s="164">
        <v>16.64</v>
      </c>
      <c r="E2783" s="165" t="s">
        <v>6341</v>
      </c>
      <c r="F2783" s="617">
        <v>44586</v>
      </c>
    </row>
    <row r="2784" spans="1:6" x14ac:dyDescent="0.3">
      <c r="A2784" s="169" t="s">
        <v>6532</v>
      </c>
      <c r="B2784" s="190" t="s">
        <v>6977</v>
      </c>
      <c r="C2784" s="163" t="s">
        <v>1376</v>
      </c>
      <c r="D2784" s="164">
        <v>94000</v>
      </c>
      <c r="E2784" s="165" t="s">
        <v>6341</v>
      </c>
      <c r="F2784" s="617">
        <v>44586</v>
      </c>
    </row>
    <row r="2785" spans="1:9" x14ac:dyDescent="0.3">
      <c r="A2785" s="169" t="s">
        <v>6533</v>
      </c>
      <c r="B2785" s="190" t="s">
        <v>6978</v>
      </c>
      <c r="C2785" s="163" t="s">
        <v>1376</v>
      </c>
      <c r="D2785" s="164">
        <v>100000</v>
      </c>
      <c r="E2785" s="165" t="s">
        <v>6341</v>
      </c>
      <c r="F2785" s="617">
        <v>44586</v>
      </c>
    </row>
    <row r="2786" spans="1:9" x14ac:dyDescent="0.3">
      <c r="A2786" s="169" t="s">
        <v>6534</v>
      </c>
      <c r="B2786" s="190" t="s">
        <v>8008</v>
      </c>
      <c r="C2786" s="163" t="s">
        <v>29</v>
      </c>
      <c r="D2786" s="164">
        <f>106076.36*0.95</f>
        <v>100772.542</v>
      </c>
      <c r="E2786" s="165" t="s">
        <v>8009</v>
      </c>
      <c r="F2786" s="617">
        <v>45610</v>
      </c>
    </row>
    <row r="2787" spans="1:9" x14ac:dyDescent="0.3">
      <c r="A2787" s="169" t="s">
        <v>6535</v>
      </c>
      <c r="B2787" s="190" t="s">
        <v>6980</v>
      </c>
      <c r="C2787" s="163" t="s">
        <v>7783</v>
      </c>
      <c r="D2787" s="164">
        <f>170000/5</f>
        <v>34000</v>
      </c>
      <c r="E2787" s="165" t="s">
        <v>8634</v>
      </c>
      <c r="F2787" s="617">
        <v>45612</v>
      </c>
      <c r="G2787" s="164">
        <v>145000</v>
      </c>
      <c r="H2787" s="165" t="s">
        <v>6341</v>
      </c>
      <c r="I2787" s="617">
        <v>44586</v>
      </c>
    </row>
    <row r="2788" spans="1:9" x14ac:dyDescent="0.3">
      <c r="A2788" s="169" t="s">
        <v>6536</v>
      </c>
      <c r="B2788" s="190" t="s">
        <v>6981</v>
      </c>
      <c r="C2788" s="163" t="s">
        <v>73</v>
      </c>
      <c r="D2788" s="164">
        <v>351.52907138823565</v>
      </c>
      <c r="E2788" s="165" t="s">
        <v>6341</v>
      </c>
      <c r="F2788" s="617">
        <v>44586</v>
      </c>
    </row>
    <row r="2789" spans="1:9" x14ac:dyDescent="0.3">
      <c r="A2789" s="169" t="s">
        <v>6537</v>
      </c>
      <c r="B2789" s="190" t="s">
        <v>6982</v>
      </c>
      <c r="C2789" s="163" t="s">
        <v>6888</v>
      </c>
      <c r="D2789" s="164">
        <v>148.2038244758094</v>
      </c>
      <c r="E2789" s="165" t="s">
        <v>6341</v>
      </c>
      <c r="F2789" s="617">
        <v>44586</v>
      </c>
    </row>
    <row r="2790" spans="1:9" x14ac:dyDescent="0.3">
      <c r="A2790" s="169" t="s">
        <v>6538</v>
      </c>
      <c r="B2790" s="190" t="s">
        <v>6983</v>
      </c>
      <c r="C2790" s="163" t="s">
        <v>73</v>
      </c>
      <c r="D2790" s="164">
        <v>412.12</v>
      </c>
      <c r="E2790" s="165" t="s">
        <v>6341</v>
      </c>
      <c r="F2790" s="617">
        <v>44586</v>
      </c>
    </row>
    <row r="2791" spans="1:9" x14ac:dyDescent="0.3">
      <c r="A2791" s="169" t="s">
        <v>6539</v>
      </c>
      <c r="B2791" s="190" t="s">
        <v>8738</v>
      </c>
      <c r="C2791" s="163" t="s">
        <v>74</v>
      </c>
      <c r="D2791" s="164">
        <v>26.666666666666668</v>
      </c>
      <c r="E2791" s="165" t="s">
        <v>6341</v>
      </c>
      <c r="F2791" s="617">
        <v>44586</v>
      </c>
    </row>
    <row r="2792" spans="1:9" x14ac:dyDescent="0.3">
      <c r="A2792" s="169" t="s">
        <v>6540</v>
      </c>
      <c r="B2792" s="190" t="s">
        <v>7246</v>
      </c>
      <c r="C2792" s="163" t="s">
        <v>74</v>
      </c>
      <c r="D2792" s="164">
        <v>49</v>
      </c>
      <c r="E2792" s="165" t="s">
        <v>7884</v>
      </c>
      <c r="F2792" s="617">
        <v>44791</v>
      </c>
    </row>
    <row r="2793" spans="1:9" x14ac:dyDescent="0.3">
      <c r="A2793" s="169" t="s">
        <v>6541</v>
      </c>
      <c r="B2793" s="190" t="s">
        <v>7244</v>
      </c>
      <c r="C2793" s="163" t="s">
        <v>74</v>
      </c>
      <c r="D2793" s="164">
        <v>108.78</v>
      </c>
      <c r="E2793" s="165" t="s">
        <v>6341</v>
      </c>
      <c r="F2793" s="617">
        <v>44586</v>
      </c>
    </row>
    <row r="2794" spans="1:9" x14ac:dyDescent="0.3">
      <c r="A2794" s="169" t="s">
        <v>6542</v>
      </c>
      <c r="B2794" s="190" t="s">
        <v>6985</v>
      </c>
      <c r="C2794" s="163" t="s">
        <v>74</v>
      </c>
      <c r="D2794" s="164">
        <v>49</v>
      </c>
      <c r="E2794" s="165" t="s">
        <v>7884</v>
      </c>
      <c r="F2794" s="617">
        <v>44791</v>
      </c>
    </row>
    <row r="2795" spans="1:9" x14ac:dyDescent="0.3">
      <c r="A2795" s="169" t="s">
        <v>6543</v>
      </c>
      <c r="B2795" s="190" t="s">
        <v>8739</v>
      </c>
      <c r="C2795" s="163" t="s">
        <v>74</v>
      </c>
      <c r="D2795" s="164">
        <f>142/1.95</f>
        <v>72.820512820512818</v>
      </c>
      <c r="E2795" s="165" t="s">
        <v>6341</v>
      </c>
      <c r="F2795" s="617">
        <v>44586</v>
      </c>
    </row>
    <row r="2796" spans="1:9" x14ac:dyDescent="0.3">
      <c r="A2796" s="169" t="s">
        <v>6544</v>
      </c>
      <c r="B2796" s="190" t="s">
        <v>6986</v>
      </c>
      <c r="C2796" s="163" t="s">
        <v>74</v>
      </c>
      <c r="D2796" s="164">
        <v>114.4</v>
      </c>
      <c r="E2796" s="165" t="s">
        <v>6341</v>
      </c>
      <c r="F2796" s="617">
        <v>44586</v>
      </c>
    </row>
    <row r="2797" spans="1:9" x14ac:dyDescent="0.3">
      <c r="A2797" s="169" t="s">
        <v>6545</v>
      </c>
      <c r="B2797" s="190" t="s">
        <v>6988</v>
      </c>
      <c r="C2797" s="163" t="s">
        <v>74</v>
      </c>
      <c r="D2797" s="164">
        <v>49</v>
      </c>
      <c r="E2797" s="165" t="s">
        <v>7884</v>
      </c>
      <c r="F2797" s="617">
        <v>44791</v>
      </c>
    </row>
    <row r="2798" spans="1:9" x14ac:dyDescent="0.3">
      <c r="A2798" s="169" t="s">
        <v>6546</v>
      </c>
      <c r="B2798" s="190" t="s">
        <v>8740</v>
      </c>
      <c r="C2798" s="163" t="s">
        <v>74</v>
      </c>
      <c r="D2798" s="164">
        <f>108/1.4</f>
        <v>77.142857142857153</v>
      </c>
      <c r="E2798" s="165" t="s">
        <v>6341</v>
      </c>
      <c r="F2798" s="617">
        <v>44586</v>
      </c>
    </row>
    <row r="2799" spans="1:9" x14ac:dyDescent="0.3">
      <c r="A2799" s="169" t="s">
        <v>6547</v>
      </c>
      <c r="B2799" s="190" t="s">
        <v>6990</v>
      </c>
      <c r="C2799" s="163" t="s">
        <v>74</v>
      </c>
      <c r="D2799" s="164">
        <v>59</v>
      </c>
      <c r="E2799" s="165" t="s">
        <v>7884</v>
      </c>
      <c r="F2799" s="617">
        <v>44791</v>
      </c>
    </row>
    <row r="2800" spans="1:9" x14ac:dyDescent="0.3">
      <c r="A2800" s="169" t="s">
        <v>6548</v>
      </c>
      <c r="B2800" s="190" t="s">
        <v>8741</v>
      </c>
      <c r="C2800" s="163" t="s">
        <v>74</v>
      </c>
      <c r="D2800" s="164">
        <f>150/1.5</f>
        <v>100</v>
      </c>
      <c r="E2800" s="165" t="s">
        <v>6341</v>
      </c>
      <c r="F2800" s="617">
        <v>44586</v>
      </c>
    </row>
    <row r="2801" spans="1:6" x14ac:dyDescent="0.3">
      <c r="A2801" s="169" t="s">
        <v>6549</v>
      </c>
      <c r="B2801" s="190" t="s">
        <v>6991</v>
      </c>
      <c r="C2801" s="163" t="s">
        <v>74</v>
      </c>
      <c r="D2801" s="164">
        <v>38</v>
      </c>
      <c r="E2801" s="165" t="s">
        <v>7314</v>
      </c>
      <c r="F2801" s="617">
        <v>44791</v>
      </c>
    </row>
    <row r="2802" spans="1:6" x14ac:dyDescent="0.3">
      <c r="A2802" s="169" t="s">
        <v>6550</v>
      </c>
      <c r="B2802" s="190" t="s">
        <v>8737</v>
      </c>
      <c r="C2802" s="163" t="s">
        <v>74</v>
      </c>
      <c r="D2802" s="164">
        <v>76.086956521739125</v>
      </c>
      <c r="E2802" s="165" t="s">
        <v>6341</v>
      </c>
      <c r="F2802" s="617">
        <v>44586</v>
      </c>
    </row>
    <row r="2803" spans="1:6" x14ac:dyDescent="0.3">
      <c r="A2803" s="169" t="s">
        <v>6551</v>
      </c>
      <c r="B2803" s="190" t="s">
        <v>6994</v>
      </c>
      <c r="C2803" s="163" t="s">
        <v>74</v>
      </c>
      <c r="D2803" s="164">
        <v>52</v>
      </c>
      <c r="E2803" s="165" t="s">
        <v>7314</v>
      </c>
      <c r="F2803" s="617">
        <v>44791</v>
      </c>
    </row>
    <row r="2804" spans="1:6" x14ac:dyDescent="0.3">
      <c r="A2804" s="169" t="s">
        <v>6552</v>
      </c>
      <c r="B2804" s="190" t="s">
        <v>7464</v>
      </c>
      <c r="C2804" s="163" t="s">
        <v>74</v>
      </c>
      <c r="D2804" s="164">
        <v>120</v>
      </c>
      <c r="E2804" s="165" t="s">
        <v>7247</v>
      </c>
      <c r="F2804" s="617">
        <v>44586</v>
      </c>
    </row>
    <row r="2805" spans="1:6" x14ac:dyDescent="0.3">
      <c r="A2805" s="169" t="s">
        <v>6553</v>
      </c>
      <c r="B2805" s="190" t="s">
        <v>6995</v>
      </c>
      <c r="C2805" s="163" t="s">
        <v>73</v>
      </c>
      <c r="D2805" s="164">
        <v>14</v>
      </c>
      <c r="E2805" s="165" t="s">
        <v>3610</v>
      </c>
      <c r="F2805" s="617">
        <v>45448</v>
      </c>
    </row>
    <row r="2806" spans="1:6" x14ac:dyDescent="0.3">
      <c r="A2806" s="169" t="s">
        <v>6554</v>
      </c>
      <c r="B2806" s="190" t="s">
        <v>6999</v>
      </c>
      <c r="C2806" s="163" t="s">
        <v>73</v>
      </c>
      <c r="D2806" s="164">
        <v>11.084999778300004</v>
      </c>
      <c r="E2806" s="165" t="s">
        <v>7250</v>
      </c>
      <c r="F2806" s="617">
        <v>44759</v>
      </c>
    </row>
    <row r="2807" spans="1:6" x14ac:dyDescent="0.3">
      <c r="A2807" s="169" t="s">
        <v>6555</v>
      </c>
      <c r="B2807" s="190" t="s">
        <v>7000</v>
      </c>
      <c r="C2807" s="163" t="s">
        <v>37</v>
      </c>
      <c r="D2807" s="164">
        <v>400</v>
      </c>
      <c r="E2807" s="165" t="s">
        <v>7237</v>
      </c>
      <c r="F2807" s="617"/>
    </row>
    <row r="2808" spans="1:6" x14ac:dyDescent="0.3">
      <c r="A2808" s="169" t="s">
        <v>6556</v>
      </c>
      <c r="B2808" s="190" t="s">
        <v>7002</v>
      </c>
      <c r="C2808" s="163" t="s">
        <v>1376</v>
      </c>
      <c r="D2808" s="164">
        <f>((((550*1.0756)*1.03)/1.03)*1.02)/1.02</f>
        <v>591.57999999999993</v>
      </c>
      <c r="E2808" s="165" t="s">
        <v>7250</v>
      </c>
      <c r="F2808" s="617">
        <v>44759</v>
      </c>
    </row>
    <row r="2809" spans="1:6" x14ac:dyDescent="0.3">
      <c r="A2809" s="169" t="s">
        <v>6557</v>
      </c>
      <c r="B2809" s="190" t="s">
        <v>7003</v>
      </c>
      <c r="C2809" s="163" t="s">
        <v>1376</v>
      </c>
      <c r="D2809" s="164">
        <v>920</v>
      </c>
      <c r="E2809" s="165" t="s">
        <v>7250</v>
      </c>
      <c r="F2809" s="617">
        <v>44759</v>
      </c>
    </row>
    <row r="2810" spans="1:6" x14ac:dyDescent="0.3">
      <c r="A2810" s="169" t="s">
        <v>6558</v>
      </c>
      <c r="B2810" s="190" t="s">
        <v>7007</v>
      </c>
      <c r="C2810" s="163" t="s">
        <v>29</v>
      </c>
      <c r="D2810" s="164">
        <f>87988.62+1148.8</f>
        <v>89137.42</v>
      </c>
      <c r="E2810" s="165" t="s">
        <v>8661</v>
      </c>
      <c r="F2810" s="617">
        <v>45454</v>
      </c>
    </row>
    <row r="2811" spans="1:6" x14ac:dyDescent="0.3">
      <c r="A2811" s="169" t="s">
        <v>6559</v>
      </c>
      <c r="B2811" s="190" t="s">
        <v>7006</v>
      </c>
      <c r="C2811" s="163" t="s">
        <v>29</v>
      </c>
      <c r="D2811" s="164">
        <v>241242</v>
      </c>
      <c r="E2811" s="165" t="s">
        <v>8350</v>
      </c>
      <c r="F2811" s="617">
        <v>45454</v>
      </c>
    </row>
    <row r="2812" spans="1:6" x14ac:dyDescent="0.3">
      <c r="A2812" s="169" t="s">
        <v>6560</v>
      </c>
      <c r="B2812" s="190" t="s">
        <v>8351</v>
      </c>
      <c r="C2812" s="163" t="s">
        <v>29</v>
      </c>
      <c r="D2812" s="164">
        <f>6336+11060.84+209078.24</f>
        <v>226475.08</v>
      </c>
      <c r="E2812" s="165" t="s">
        <v>8661</v>
      </c>
      <c r="F2812" s="617">
        <v>45454</v>
      </c>
    </row>
    <row r="2813" spans="1:6" x14ac:dyDescent="0.3">
      <c r="A2813" s="169" t="s">
        <v>6561</v>
      </c>
      <c r="B2813" s="190" t="s">
        <v>7018</v>
      </c>
      <c r="C2813" s="163" t="s">
        <v>29</v>
      </c>
      <c r="D2813" s="160">
        <v>1</v>
      </c>
      <c r="E2813" s="165" t="s">
        <v>6341</v>
      </c>
      <c r="F2813" s="617">
        <v>44586</v>
      </c>
    </row>
    <row r="2814" spans="1:6" x14ac:dyDescent="0.3">
      <c r="A2814" s="169" t="s">
        <v>6562</v>
      </c>
      <c r="B2814" s="190" t="s">
        <v>7009</v>
      </c>
      <c r="C2814" s="163" t="s">
        <v>29</v>
      </c>
      <c r="D2814" s="160">
        <v>1</v>
      </c>
      <c r="E2814" s="165" t="s">
        <v>6341</v>
      </c>
      <c r="F2814" s="617">
        <v>44586</v>
      </c>
    </row>
    <row r="2815" spans="1:6" x14ac:dyDescent="0.3">
      <c r="A2815" s="169" t="s">
        <v>6563</v>
      </c>
      <c r="B2815" s="190" t="s">
        <v>7010</v>
      </c>
      <c r="C2815" s="163" t="s">
        <v>29</v>
      </c>
      <c r="D2815" s="164">
        <v>255000</v>
      </c>
      <c r="E2815" s="165" t="s">
        <v>8650</v>
      </c>
      <c r="F2815" s="617">
        <v>45385</v>
      </c>
    </row>
    <row r="2816" spans="1:6" x14ac:dyDescent="0.3">
      <c r="A2816" s="169" t="s">
        <v>6564</v>
      </c>
      <c r="B2816" s="190" t="s">
        <v>7011</v>
      </c>
      <c r="C2816" s="163" t="s">
        <v>29</v>
      </c>
      <c r="D2816" s="160">
        <v>1</v>
      </c>
      <c r="E2816" s="165" t="s">
        <v>6341</v>
      </c>
      <c r="F2816" s="617">
        <v>44586</v>
      </c>
    </row>
    <row r="2817" spans="1:7" x14ac:dyDescent="0.3">
      <c r="A2817" s="169" t="s">
        <v>6565</v>
      </c>
      <c r="B2817" s="190" t="s">
        <v>7014</v>
      </c>
      <c r="C2817" s="163" t="s">
        <v>29</v>
      </c>
      <c r="D2817" s="160">
        <v>1</v>
      </c>
      <c r="E2817" s="165" t="s">
        <v>6341</v>
      </c>
      <c r="F2817" s="617">
        <v>44586</v>
      </c>
    </row>
    <row r="2818" spans="1:7" x14ac:dyDescent="0.3">
      <c r="A2818" s="169" t="s">
        <v>6566</v>
      </c>
      <c r="B2818" s="156" t="s">
        <v>7015</v>
      </c>
      <c r="C2818" s="163" t="s">
        <v>89</v>
      </c>
      <c r="D2818" s="164">
        <v>5.6366699999999996</v>
      </c>
      <c r="E2818" s="165" t="s">
        <v>7072</v>
      </c>
      <c r="F2818" s="166">
        <v>45597</v>
      </c>
    </row>
    <row r="2819" spans="1:7" x14ac:dyDescent="0.3">
      <c r="A2819" s="169" t="s">
        <v>6567</v>
      </c>
      <c r="B2819" s="190" t="s">
        <v>7423</v>
      </c>
      <c r="C2819" s="163" t="s">
        <v>73</v>
      </c>
      <c r="D2819" s="164">
        <v>51</v>
      </c>
      <c r="E2819" s="165" t="s">
        <v>7316</v>
      </c>
      <c r="F2819" s="617">
        <v>44785</v>
      </c>
    </row>
    <row r="2820" spans="1:7" x14ac:dyDescent="0.3">
      <c r="A2820" s="169" t="s">
        <v>6568</v>
      </c>
      <c r="B2820" s="190" t="s">
        <v>6915</v>
      </c>
      <c r="C2820" s="163" t="s">
        <v>2088</v>
      </c>
      <c r="D2820" s="164">
        <f>((((26.4*1.0753)*1.03)/1.03)*1.02)/1.02</f>
        <v>28.387919999999998</v>
      </c>
      <c r="E2820" s="165" t="s">
        <v>7238</v>
      </c>
      <c r="F2820" s="617">
        <v>44759</v>
      </c>
    </row>
    <row r="2821" spans="1:7" x14ac:dyDescent="0.3">
      <c r="A2821" s="169" t="s">
        <v>6569</v>
      </c>
      <c r="B2821" s="190" t="s">
        <v>6916</v>
      </c>
      <c r="C2821" s="163" t="s">
        <v>2088</v>
      </c>
      <c r="D2821" s="164">
        <f>((((48+1.0753)*1.03)/1.03)*1.02)/1.02</f>
        <v>49.075299999999999</v>
      </c>
      <c r="E2821" s="165" t="s">
        <v>7238</v>
      </c>
      <c r="F2821" s="617">
        <v>44759</v>
      </c>
    </row>
    <row r="2822" spans="1:7" x14ac:dyDescent="0.3">
      <c r="A2822" s="169" t="s">
        <v>6570</v>
      </c>
      <c r="B2822" s="190" t="s">
        <v>7023</v>
      </c>
      <c r="C2822" s="163" t="s">
        <v>73</v>
      </c>
      <c r="D2822" s="164">
        <v>7</v>
      </c>
      <c r="E2822" s="165" t="s">
        <v>7022</v>
      </c>
      <c r="F2822" s="617">
        <v>44607</v>
      </c>
    </row>
    <row r="2823" spans="1:7" x14ac:dyDescent="0.3">
      <c r="A2823" s="169" t="s">
        <v>6571</v>
      </c>
      <c r="B2823" s="190" t="s">
        <v>7024</v>
      </c>
      <c r="C2823" s="163" t="s">
        <v>74</v>
      </c>
      <c r="D2823" s="164">
        <v>30.07</v>
      </c>
      <c r="E2823" s="165" t="s">
        <v>7022</v>
      </c>
      <c r="F2823" s="617">
        <v>44607</v>
      </c>
    </row>
    <row r="2824" spans="1:7" x14ac:dyDescent="0.3">
      <c r="A2824" s="169" t="s">
        <v>6572</v>
      </c>
      <c r="B2824" s="805" t="s">
        <v>7071</v>
      </c>
      <c r="C2824" s="806" t="s">
        <v>89</v>
      </c>
      <c r="D2824" s="807">
        <f>((((8452.68/1000)*1.03)/1.03)*1.02)/1.02</f>
        <v>8.4526800000000009</v>
      </c>
      <c r="E2824" s="808" t="s">
        <v>7072</v>
      </c>
      <c r="F2824" s="159" t="s">
        <v>7073</v>
      </c>
      <c r="G2824" s="162">
        <v>44649</v>
      </c>
    </row>
    <row r="2825" spans="1:7" x14ac:dyDescent="0.3">
      <c r="A2825" s="169" t="s">
        <v>6573</v>
      </c>
      <c r="B2825" s="805" t="s">
        <v>7074</v>
      </c>
      <c r="C2825" s="806" t="s">
        <v>89</v>
      </c>
      <c r="D2825" s="809">
        <v>0</v>
      </c>
      <c r="E2825" s="810"/>
      <c r="F2825" s="159" t="s">
        <v>7073</v>
      </c>
      <c r="G2825" s="166"/>
    </row>
    <row r="2826" spans="1:7" x14ac:dyDescent="0.3">
      <c r="A2826" s="169" t="s">
        <v>6574</v>
      </c>
      <c r="B2826" s="811" t="s">
        <v>7075</v>
      </c>
      <c r="C2826" s="806" t="s">
        <v>89</v>
      </c>
      <c r="D2826" s="809">
        <f>((((7245.87/1000)*1.03)/1.03)*1.02)/1.02</f>
        <v>7.24587</v>
      </c>
      <c r="E2826" s="808" t="s">
        <v>7072</v>
      </c>
      <c r="F2826" s="159" t="s">
        <v>7073</v>
      </c>
      <c r="G2826" s="162">
        <v>44649</v>
      </c>
    </row>
    <row r="2827" spans="1:7" x14ac:dyDescent="0.3">
      <c r="A2827" s="169" t="s">
        <v>6575</v>
      </c>
      <c r="B2827" s="811" t="s">
        <v>7076</v>
      </c>
      <c r="C2827" s="806" t="s">
        <v>89</v>
      </c>
      <c r="D2827" s="809">
        <v>0</v>
      </c>
      <c r="E2827" s="810"/>
      <c r="F2827" s="159" t="s">
        <v>7073</v>
      </c>
      <c r="G2827" s="166"/>
    </row>
    <row r="2828" spans="1:7" x14ac:dyDescent="0.3">
      <c r="A2828" s="169" t="s">
        <v>6576</v>
      </c>
      <c r="B2828" s="811" t="s">
        <v>7077</v>
      </c>
      <c r="C2828" s="806" t="s">
        <v>89</v>
      </c>
      <c r="D2828" s="809">
        <f>((((7245.87/1000)*1.03)/1.03)*1.02)/1.02</f>
        <v>7.24587</v>
      </c>
      <c r="E2828" s="808" t="s">
        <v>7072</v>
      </c>
      <c r="F2828" s="159" t="s">
        <v>7073</v>
      </c>
      <c r="G2828" s="162">
        <v>44649</v>
      </c>
    </row>
    <row r="2829" spans="1:7" x14ac:dyDescent="0.3">
      <c r="A2829" s="169" t="s">
        <v>6577</v>
      </c>
      <c r="B2829" s="811" t="s">
        <v>7078</v>
      </c>
      <c r="C2829" s="806" t="s">
        <v>89</v>
      </c>
      <c r="D2829" s="809">
        <v>0</v>
      </c>
      <c r="E2829" s="810"/>
      <c r="F2829" s="159" t="s">
        <v>7073</v>
      </c>
      <c r="G2829" s="166"/>
    </row>
    <row r="2830" spans="1:7" x14ac:dyDescent="0.3">
      <c r="A2830" s="169" t="s">
        <v>6578</v>
      </c>
      <c r="B2830" s="811" t="s">
        <v>7079</v>
      </c>
      <c r="C2830" s="806" t="s">
        <v>89</v>
      </c>
      <c r="D2830" s="809">
        <f>((((6916.51/1000)*1.03)/1.03)*1.02)/1.02</f>
        <v>6.9165100000000006</v>
      </c>
      <c r="E2830" s="808" t="s">
        <v>7072</v>
      </c>
      <c r="F2830" s="159" t="s">
        <v>7073</v>
      </c>
      <c r="G2830" s="162">
        <v>44649</v>
      </c>
    </row>
    <row r="2831" spans="1:7" x14ac:dyDescent="0.3">
      <c r="A2831" s="169" t="s">
        <v>6579</v>
      </c>
      <c r="B2831" s="811" t="s">
        <v>7080</v>
      </c>
      <c r="C2831" s="806" t="s">
        <v>89</v>
      </c>
      <c r="D2831" s="809">
        <v>0</v>
      </c>
      <c r="E2831" s="810"/>
      <c r="F2831" s="159" t="s">
        <v>7073</v>
      </c>
      <c r="G2831" s="166"/>
    </row>
    <row r="2832" spans="1:7" x14ac:dyDescent="0.3">
      <c r="A2832" s="169" t="s">
        <v>6580</v>
      </c>
      <c r="B2832" s="811" t="s">
        <v>7081</v>
      </c>
      <c r="C2832" s="806" t="s">
        <v>89</v>
      </c>
      <c r="D2832" s="809">
        <f>((((6587.12/1000)*1.03)/1.03)*1.02)/1.02</f>
        <v>6.5871199999999996</v>
      </c>
      <c r="E2832" s="808" t="s">
        <v>7072</v>
      </c>
      <c r="F2832" s="159" t="s">
        <v>7073</v>
      </c>
      <c r="G2832" s="162">
        <v>44649</v>
      </c>
    </row>
    <row r="2833" spans="1:7" x14ac:dyDescent="0.3">
      <c r="A2833" s="169" t="s">
        <v>6581</v>
      </c>
      <c r="B2833" s="811" t="s">
        <v>7082</v>
      </c>
      <c r="C2833" s="806" t="s">
        <v>89</v>
      </c>
      <c r="D2833" s="809">
        <v>0</v>
      </c>
      <c r="E2833" s="810"/>
      <c r="F2833" s="159" t="s">
        <v>7073</v>
      </c>
      <c r="G2833" s="166"/>
    </row>
    <row r="2834" spans="1:7" s="527" customFormat="1" x14ac:dyDescent="0.3">
      <c r="A2834" s="920" t="s">
        <v>6582</v>
      </c>
      <c r="B2834" s="921" t="s">
        <v>7769</v>
      </c>
      <c r="C2834" s="922" t="s">
        <v>89</v>
      </c>
      <c r="D2834" s="837">
        <v>6.6403600000000003</v>
      </c>
      <c r="E2834" s="923" t="s">
        <v>7072</v>
      </c>
      <c r="F2834" s="924" t="s">
        <v>7073</v>
      </c>
      <c r="G2834" s="925">
        <v>44649</v>
      </c>
    </row>
    <row r="2835" spans="1:7" x14ac:dyDescent="0.3">
      <c r="A2835" s="169" t="s">
        <v>6583</v>
      </c>
      <c r="B2835" s="811" t="s">
        <v>7083</v>
      </c>
      <c r="C2835" s="806" t="s">
        <v>89</v>
      </c>
      <c r="D2835" s="809">
        <v>0</v>
      </c>
      <c r="E2835" s="810"/>
      <c r="F2835" s="159" t="s">
        <v>7073</v>
      </c>
      <c r="G2835" s="166"/>
    </row>
    <row r="2836" spans="1:7" x14ac:dyDescent="0.3">
      <c r="A2836" s="169" t="s">
        <v>6584</v>
      </c>
      <c r="B2836" s="811" t="s">
        <v>7084</v>
      </c>
      <c r="C2836" s="806" t="s">
        <v>89</v>
      </c>
      <c r="D2836" s="809">
        <f>((((12720.92/1000)*1.03)/1.03)*1.02)/1.02</f>
        <v>12.72092</v>
      </c>
      <c r="E2836" s="808" t="s">
        <v>7072</v>
      </c>
      <c r="F2836" s="159" t="s">
        <v>7073</v>
      </c>
      <c r="G2836" s="162">
        <v>44649</v>
      </c>
    </row>
    <row r="2837" spans="1:7" x14ac:dyDescent="0.3">
      <c r="A2837" s="169" t="s">
        <v>6585</v>
      </c>
      <c r="B2837" s="811" t="s">
        <v>7085</v>
      </c>
      <c r="C2837" s="806" t="s">
        <v>89</v>
      </c>
      <c r="D2837" s="809">
        <v>0</v>
      </c>
      <c r="E2837" s="810"/>
      <c r="F2837" s="159" t="s">
        <v>7073</v>
      </c>
      <c r="G2837" s="166"/>
    </row>
    <row r="2838" spans="1:7" x14ac:dyDescent="0.3">
      <c r="A2838" s="169" t="s">
        <v>6586</v>
      </c>
      <c r="B2838" s="811" t="s">
        <v>7039</v>
      </c>
      <c r="C2838" s="806" t="s">
        <v>1376</v>
      </c>
      <c r="D2838" s="809">
        <v>2.5499999999999998</v>
      </c>
      <c r="E2838" s="810" t="s">
        <v>7040</v>
      </c>
      <c r="F2838" s="159" t="s">
        <v>7041</v>
      </c>
      <c r="G2838" s="166">
        <v>44746</v>
      </c>
    </row>
    <row r="2839" spans="1:7" x14ac:dyDescent="0.3">
      <c r="A2839" s="169" t="s">
        <v>6587</v>
      </c>
      <c r="B2839" s="811" t="s">
        <v>7047</v>
      </c>
      <c r="C2839" s="806" t="s">
        <v>1376</v>
      </c>
      <c r="D2839" s="809">
        <v>0</v>
      </c>
      <c r="E2839" s="810"/>
      <c r="F2839" s="159" t="s">
        <v>7041</v>
      </c>
      <c r="G2839" s="166"/>
    </row>
    <row r="2840" spans="1:7" x14ac:dyDescent="0.3">
      <c r="A2840" s="169" t="s">
        <v>6588</v>
      </c>
      <c r="B2840" s="811" t="s">
        <v>7048</v>
      </c>
      <c r="C2840" s="806" t="s">
        <v>1376</v>
      </c>
      <c r="D2840" s="809">
        <v>1.55</v>
      </c>
      <c r="E2840" s="810" t="s">
        <v>7040</v>
      </c>
      <c r="F2840" s="159" t="s">
        <v>7041</v>
      </c>
      <c r="G2840" s="166"/>
    </row>
    <row r="2841" spans="1:7" x14ac:dyDescent="0.3">
      <c r="A2841" s="169" t="s">
        <v>6589</v>
      </c>
      <c r="B2841" s="811" t="s">
        <v>7049</v>
      </c>
      <c r="C2841" s="806" t="s">
        <v>1376</v>
      </c>
      <c r="D2841" s="809">
        <v>0</v>
      </c>
      <c r="E2841" s="810"/>
      <c r="F2841" s="159" t="s">
        <v>7041</v>
      </c>
      <c r="G2841" s="166"/>
    </row>
    <row r="2842" spans="1:7" x14ac:dyDescent="0.3">
      <c r="A2842" s="169" t="s">
        <v>6590</v>
      </c>
      <c r="B2842" s="811" t="s">
        <v>7050</v>
      </c>
      <c r="C2842" s="806" t="s">
        <v>1376</v>
      </c>
      <c r="D2842" s="809">
        <v>3.4</v>
      </c>
      <c r="E2842" s="810" t="s">
        <v>7749</v>
      </c>
      <c r="F2842" s="159" t="s">
        <v>7041</v>
      </c>
      <c r="G2842" s="166">
        <v>44746</v>
      </c>
    </row>
    <row r="2843" spans="1:7" x14ac:dyDescent="0.3">
      <c r="A2843" s="169" t="s">
        <v>6591</v>
      </c>
      <c r="B2843" s="811" t="s">
        <v>7051</v>
      </c>
      <c r="C2843" s="806" t="s">
        <v>1376</v>
      </c>
      <c r="D2843" s="809">
        <v>0</v>
      </c>
      <c r="E2843" s="810"/>
      <c r="F2843" s="159" t="s">
        <v>7041</v>
      </c>
      <c r="G2843" s="166"/>
    </row>
    <row r="2844" spans="1:7" x14ac:dyDescent="0.3">
      <c r="A2844" s="169" t="s">
        <v>6592</v>
      </c>
      <c r="B2844" s="811" t="s">
        <v>7052</v>
      </c>
      <c r="C2844" s="806" t="s">
        <v>1376</v>
      </c>
      <c r="D2844" s="809">
        <v>2.2000000000000002</v>
      </c>
      <c r="E2844" s="810" t="s">
        <v>7749</v>
      </c>
      <c r="F2844" s="159" t="s">
        <v>7041</v>
      </c>
      <c r="G2844" s="166">
        <v>44746</v>
      </c>
    </row>
    <row r="2845" spans="1:7" x14ac:dyDescent="0.3">
      <c r="A2845" s="169" t="s">
        <v>6593</v>
      </c>
      <c r="B2845" s="811" t="s">
        <v>7053</v>
      </c>
      <c r="C2845" s="806" t="s">
        <v>1376</v>
      </c>
      <c r="D2845" s="809">
        <v>0</v>
      </c>
      <c r="E2845" s="810"/>
      <c r="F2845" s="159" t="s">
        <v>7041</v>
      </c>
      <c r="G2845" s="166"/>
    </row>
    <row r="2846" spans="1:7" x14ac:dyDescent="0.3">
      <c r="A2846" s="169" t="s">
        <v>6594</v>
      </c>
      <c r="B2846" s="811" t="s">
        <v>7054</v>
      </c>
      <c r="C2846" s="806" t="s">
        <v>1376</v>
      </c>
      <c r="D2846" s="809">
        <f>((4.25*1.2)*1.02)/1.02</f>
        <v>5.0999999999999996</v>
      </c>
      <c r="E2846" s="810" t="s">
        <v>7749</v>
      </c>
      <c r="F2846" s="159" t="s">
        <v>7041</v>
      </c>
      <c r="G2846" s="166">
        <v>44746</v>
      </c>
    </row>
    <row r="2847" spans="1:7" x14ac:dyDescent="0.3">
      <c r="A2847" s="169" t="s">
        <v>6595</v>
      </c>
      <c r="B2847" s="811" t="s">
        <v>7055</v>
      </c>
      <c r="C2847" s="806" t="s">
        <v>1376</v>
      </c>
      <c r="D2847" s="809">
        <v>4.25</v>
      </c>
      <c r="E2847" s="810"/>
      <c r="F2847" s="159" t="s">
        <v>7041</v>
      </c>
      <c r="G2847" s="166"/>
    </row>
    <row r="2848" spans="1:7" x14ac:dyDescent="0.3">
      <c r="A2848" s="169" t="s">
        <v>6596</v>
      </c>
      <c r="B2848" s="811" t="s">
        <v>7056</v>
      </c>
      <c r="C2848" s="806" t="s">
        <v>1376</v>
      </c>
      <c r="D2848" s="809">
        <f>((2.89*1.2)*1.02)/1.02</f>
        <v>3.468</v>
      </c>
      <c r="E2848" s="810" t="s">
        <v>7749</v>
      </c>
      <c r="F2848" s="159" t="s">
        <v>7041</v>
      </c>
      <c r="G2848" s="166">
        <v>44746</v>
      </c>
    </row>
    <row r="2849" spans="1:7" x14ac:dyDescent="0.3">
      <c r="A2849" s="169" t="s">
        <v>6597</v>
      </c>
      <c r="B2849" s="811" t="s">
        <v>7057</v>
      </c>
      <c r="C2849" s="806" t="s">
        <v>1376</v>
      </c>
      <c r="D2849" s="809">
        <v>2.89</v>
      </c>
      <c r="E2849" s="810"/>
      <c r="F2849" s="159" t="s">
        <v>7041</v>
      </c>
      <c r="G2849" s="166"/>
    </row>
    <row r="2850" spans="1:7" x14ac:dyDescent="0.3">
      <c r="A2850" s="169" t="s">
        <v>6598</v>
      </c>
      <c r="B2850" s="811" t="s">
        <v>7042</v>
      </c>
      <c r="C2850" s="806" t="s">
        <v>1376</v>
      </c>
      <c r="D2850" s="809">
        <f>((1.2*1.2)*1.02)/1.02</f>
        <v>1.44</v>
      </c>
      <c r="E2850" s="810" t="s">
        <v>7421</v>
      </c>
      <c r="F2850" s="159" t="s">
        <v>7041</v>
      </c>
      <c r="G2850" s="166">
        <v>44650</v>
      </c>
    </row>
    <row r="2851" spans="1:7" x14ac:dyDescent="0.3">
      <c r="A2851" s="169" t="s">
        <v>6599</v>
      </c>
      <c r="B2851" s="811" t="s">
        <v>7058</v>
      </c>
      <c r="C2851" s="806" t="s">
        <v>1376</v>
      </c>
      <c r="D2851" s="809">
        <v>0</v>
      </c>
      <c r="E2851" s="810"/>
      <c r="F2851" s="159" t="s">
        <v>7041</v>
      </c>
      <c r="G2851" s="166"/>
    </row>
    <row r="2852" spans="1:7" x14ac:dyDescent="0.3">
      <c r="A2852" s="169" t="s">
        <v>6600</v>
      </c>
      <c r="B2852" s="811" t="s">
        <v>7059</v>
      </c>
      <c r="C2852" s="806" t="s">
        <v>1376</v>
      </c>
      <c r="D2852" s="809">
        <f>((0.6*1.1)*1.02)/1.02</f>
        <v>0.66</v>
      </c>
      <c r="E2852" s="810" t="s">
        <v>7421</v>
      </c>
      <c r="F2852" s="159" t="s">
        <v>7041</v>
      </c>
      <c r="G2852" s="166"/>
    </row>
    <row r="2853" spans="1:7" x14ac:dyDescent="0.3">
      <c r="A2853" s="169" t="s">
        <v>6601</v>
      </c>
      <c r="B2853" s="811" t="s">
        <v>7060</v>
      </c>
      <c r="C2853" s="806" t="s">
        <v>1376</v>
      </c>
      <c r="D2853" s="809">
        <v>0</v>
      </c>
      <c r="E2853" s="810"/>
      <c r="F2853" s="159" t="s">
        <v>7041</v>
      </c>
      <c r="G2853" s="166"/>
    </row>
    <row r="2854" spans="1:7" x14ac:dyDescent="0.3">
      <c r="A2854" s="169" t="s">
        <v>6602</v>
      </c>
      <c r="B2854" s="811" t="s">
        <v>7043</v>
      </c>
      <c r="C2854" s="806" t="s">
        <v>1376</v>
      </c>
      <c r="D2854" s="809">
        <f>((2.94*1.1)*1.02)/1.02</f>
        <v>3.234</v>
      </c>
      <c r="E2854" s="810" t="s">
        <v>7421</v>
      </c>
      <c r="F2854" s="159" t="s">
        <v>7041</v>
      </c>
      <c r="G2854" s="166">
        <v>44650</v>
      </c>
    </row>
    <row r="2855" spans="1:7" x14ac:dyDescent="0.3">
      <c r="A2855" s="169" t="s">
        <v>6603</v>
      </c>
      <c r="B2855" s="811" t="s">
        <v>7061</v>
      </c>
      <c r="C2855" s="806" t="s">
        <v>1376</v>
      </c>
      <c r="D2855" s="809">
        <v>0</v>
      </c>
      <c r="E2855" s="810"/>
      <c r="F2855" s="159" t="s">
        <v>7041</v>
      </c>
      <c r="G2855" s="166"/>
    </row>
    <row r="2856" spans="1:7" x14ac:dyDescent="0.3">
      <c r="A2856" s="169" t="s">
        <v>6604</v>
      </c>
      <c r="B2856" s="811" t="s">
        <v>7044</v>
      </c>
      <c r="C2856" s="806" t="s">
        <v>1376</v>
      </c>
      <c r="D2856" s="809">
        <f>((0.96*1.2)*1.02)/1.02</f>
        <v>1.1519999999999999</v>
      </c>
      <c r="E2856" s="810" t="s">
        <v>7421</v>
      </c>
      <c r="F2856" s="159" t="s">
        <v>7041</v>
      </c>
      <c r="G2856" s="166"/>
    </row>
    <row r="2857" spans="1:7" x14ac:dyDescent="0.3">
      <c r="A2857" s="169" t="s">
        <v>6605</v>
      </c>
      <c r="B2857" s="811" t="s">
        <v>7062</v>
      </c>
      <c r="C2857" s="806" t="s">
        <v>1376</v>
      </c>
      <c r="D2857" s="809">
        <v>0</v>
      </c>
      <c r="E2857" s="810"/>
      <c r="F2857" s="159" t="s">
        <v>7041</v>
      </c>
      <c r="G2857" s="166"/>
    </row>
    <row r="2858" spans="1:7" x14ac:dyDescent="0.3">
      <c r="A2858" s="169" t="s">
        <v>6606</v>
      </c>
      <c r="B2858" s="811" t="s">
        <v>7045</v>
      </c>
      <c r="C2858" s="806" t="s">
        <v>1376</v>
      </c>
      <c r="D2858" s="809">
        <f>((((4330/1000)*1.03)/1.03)*1.02)/1.02</f>
        <v>4.33</v>
      </c>
      <c r="E2858" s="810" t="s">
        <v>6299</v>
      </c>
      <c r="F2858" s="159" t="s">
        <v>7041</v>
      </c>
      <c r="G2858" s="166">
        <v>44650</v>
      </c>
    </row>
    <row r="2859" spans="1:7" x14ac:dyDescent="0.3">
      <c r="A2859" s="169" t="s">
        <v>6607</v>
      </c>
      <c r="B2859" s="811" t="s">
        <v>7046</v>
      </c>
      <c r="C2859" s="806" t="s">
        <v>1376</v>
      </c>
      <c r="D2859" s="809">
        <v>0</v>
      </c>
      <c r="E2859" s="810"/>
      <c r="F2859" s="159" t="s">
        <v>7041</v>
      </c>
      <c r="G2859" s="166"/>
    </row>
    <row r="2860" spans="1:7" x14ac:dyDescent="0.3">
      <c r="A2860" s="169" t="s">
        <v>6608</v>
      </c>
      <c r="B2860" s="811" t="s">
        <v>7063</v>
      </c>
      <c r="C2860" s="806" t="s">
        <v>1376</v>
      </c>
      <c r="D2860" s="809">
        <v>2.4700000000000002</v>
      </c>
      <c r="E2860" s="810" t="s">
        <v>6299</v>
      </c>
      <c r="F2860" s="159" t="s">
        <v>7041</v>
      </c>
      <c r="G2860" s="166"/>
    </row>
    <row r="2861" spans="1:7" x14ac:dyDescent="0.3">
      <c r="A2861" s="169" t="s">
        <v>6609</v>
      </c>
      <c r="B2861" s="811" t="s">
        <v>7064</v>
      </c>
      <c r="C2861" s="806" t="s">
        <v>1376</v>
      </c>
      <c r="D2861" s="809">
        <v>0</v>
      </c>
      <c r="E2861" s="810"/>
      <c r="F2861" s="159" t="s">
        <v>7041</v>
      </c>
      <c r="G2861" s="166"/>
    </row>
    <row r="2862" spans="1:7" x14ac:dyDescent="0.3">
      <c r="A2862" s="169" t="s">
        <v>6610</v>
      </c>
      <c r="B2862" s="811" t="s">
        <v>7065</v>
      </c>
      <c r="C2862" s="806" t="s">
        <v>2088</v>
      </c>
      <c r="D2862" s="809">
        <v>23</v>
      </c>
      <c r="E2862" s="810" t="s">
        <v>2273</v>
      </c>
      <c r="F2862" s="159" t="s">
        <v>7066</v>
      </c>
      <c r="G2862" s="166">
        <v>44704</v>
      </c>
    </row>
    <row r="2863" spans="1:7" x14ac:dyDescent="0.3">
      <c r="A2863" s="169" t="s">
        <v>6611</v>
      </c>
      <c r="B2863" s="811" t="s">
        <v>7067</v>
      </c>
      <c r="C2863" s="806" t="s">
        <v>2088</v>
      </c>
      <c r="D2863" s="809">
        <v>0</v>
      </c>
      <c r="E2863" s="810"/>
      <c r="F2863" s="159" t="s">
        <v>7066</v>
      </c>
      <c r="G2863" s="166"/>
    </row>
    <row r="2864" spans="1:7" x14ac:dyDescent="0.3">
      <c r="A2864" s="169" t="s">
        <v>6612</v>
      </c>
      <c r="B2864" s="811" t="s">
        <v>7068</v>
      </c>
      <c r="C2864" s="806" t="s">
        <v>2088</v>
      </c>
      <c r="D2864" s="809">
        <v>25.8</v>
      </c>
      <c r="E2864" s="810" t="s">
        <v>7025</v>
      </c>
      <c r="F2864" s="159" t="s">
        <v>7069</v>
      </c>
      <c r="G2864" s="166"/>
    </row>
    <row r="2865" spans="1:7" x14ac:dyDescent="0.3">
      <c r="A2865" s="169" t="s">
        <v>6613</v>
      </c>
      <c r="B2865" s="811" t="s">
        <v>7070</v>
      </c>
      <c r="C2865" s="806" t="s">
        <v>2088</v>
      </c>
      <c r="D2865" s="809">
        <v>0</v>
      </c>
      <c r="E2865" s="810"/>
      <c r="F2865" s="159" t="s">
        <v>7069</v>
      </c>
      <c r="G2865" s="166"/>
    </row>
    <row r="2866" spans="1:7" x14ac:dyDescent="0.3">
      <c r="A2866" s="169" t="s">
        <v>6614</v>
      </c>
      <c r="B2866" s="811" t="s">
        <v>7086</v>
      </c>
      <c r="C2866" s="806" t="s">
        <v>2088</v>
      </c>
      <c r="D2866" s="809">
        <v>113.75</v>
      </c>
      <c r="E2866" s="810" t="s">
        <v>7087</v>
      </c>
      <c r="F2866" s="159" t="s">
        <v>7088</v>
      </c>
      <c r="G2866" s="166">
        <v>44649</v>
      </c>
    </row>
    <row r="2867" spans="1:7" x14ac:dyDescent="0.3">
      <c r="A2867" s="169" t="s">
        <v>6615</v>
      </c>
      <c r="B2867" s="811" t="s">
        <v>7089</v>
      </c>
      <c r="C2867" s="806" t="s">
        <v>72</v>
      </c>
      <c r="D2867" s="809">
        <v>0</v>
      </c>
      <c r="E2867" s="810"/>
      <c r="F2867" s="159" t="s">
        <v>7088</v>
      </c>
      <c r="G2867" s="166"/>
    </row>
    <row r="2868" spans="1:7" x14ac:dyDescent="0.3">
      <c r="A2868" s="169" t="s">
        <v>6616</v>
      </c>
      <c r="B2868" s="811" t="s">
        <v>7090</v>
      </c>
      <c r="C2868" s="806" t="s">
        <v>2088</v>
      </c>
      <c r="D2868" s="809">
        <v>0</v>
      </c>
      <c r="E2868" s="810"/>
      <c r="F2868" s="159" t="s">
        <v>7088</v>
      </c>
      <c r="G2868" s="166"/>
    </row>
    <row r="2869" spans="1:7" x14ac:dyDescent="0.3">
      <c r="A2869" s="169" t="s">
        <v>6617</v>
      </c>
      <c r="B2869" s="811" t="s">
        <v>7091</v>
      </c>
      <c r="C2869" s="806" t="s">
        <v>72</v>
      </c>
      <c r="D2869" s="809">
        <v>0</v>
      </c>
      <c r="E2869" s="810"/>
      <c r="F2869" s="159" t="s">
        <v>7088</v>
      </c>
      <c r="G2869" s="166"/>
    </row>
    <row r="2870" spans="1:7" x14ac:dyDescent="0.3">
      <c r="A2870" s="169" t="s">
        <v>6618</v>
      </c>
      <c r="B2870" s="811" t="s">
        <v>7092</v>
      </c>
      <c r="C2870" s="806" t="s">
        <v>2088</v>
      </c>
      <c r="D2870" s="809">
        <v>0</v>
      </c>
      <c r="E2870" s="810"/>
      <c r="F2870" s="159" t="s">
        <v>7088</v>
      </c>
      <c r="G2870" s="166"/>
    </row>
    <row r="2871" spans="1:7" x14ac:dyDescent="0.3">
      <c r="A2871" s="169" t="s">
        <v>6619</v>
      </c>
      <c r="B2871" s="811" t="s">
        <v>7093</v>
      </c>
      <c r="C2871" s="806" t="s">
        <v>72</v>
      </c>
      <c r="D2871" s="809">
        <v>0</v>
      </c>
      <c r="E2871" s="810"/>
      <c r="F2871" s="159" t="s">
        <v>7088</v>
      </c>
      <c r="G2871" s="166"/>
    </row>
    <row r="2872" spans="1:7" x14ac:dyDescent="0.3">
      <c r="A2872" s="169" t="s">
        <v>6620</v>
      </c>
      <c r="B2872" s="811" t="s">
        <v>7094</v>
      </c>
      <c r="C2872" s="806" t="s">
        <v>72</v>
      </c>
      <c r="D2872" s="809">
        <v>430</v>
      </c>
      <c r="E2872" s="810" t="s">
        <v>7028</v>
      </c>
      <c r="F2872" s="159" t="s">
        <v>7095</v>
      </c>
      <c r="G2872" s="166">
        <v>44650</v>
      </c>
    </row>
    <row r="2873" spans="1:7" x14ac:dyDescent="0.3">
      <c r="A2873" s="169" t="s">
        <v>6621</v>
      </c>
      <c r="B2873" s="811" t="s">
        <v>7096</v>
      </c>
      <c r="C2873" s="806" t="s">
        <v>72</v>
      </c>
      <c r="D2873" s="809">
        <v>460</v>
      </c>
      <c r="E2873" s="810" t="s">
        <v>7028</v>
      </c>
      <c r="F2873" s="159" t="s">
        <v>7095</v>
      </c>
      <c r="G2873" s="166">
        <v>44650</v>
      </c>
    </row>
    <row r="2874" spans="1:7" x14ac:dyDescent="0.3">
      <c r="A2874" s="169" t="s">
        <v>6622</v>
      </c>
      <c r="B2874" s="833" t="s">
        <v>2787</v>
      </c>
      <c r="C2874" s="806" t="s">
        <v>72</v>
      </c>
      <c r="D2874" s="809">
        <v>480</v>
      </c>
      <c r="E2874" s="810" t="s">
        <v>7028</v>
      </c>
      <c r="F2874" s="159" t="s">
        <v>7095</v>
      </c>
      <c r="G2874" s="166">
        <v>44650</v>
      </c>
    </row>
    <row r="2875" spans="1:7" x14ac:dyDescent="0.3">
      <c r="A2875" s="169" t="s">
        <v>6623</v>
      </c>
      <c r="B2875" s="811" t="s">
        <v>7097</v>
      </c>
      <c r="C2875" s="806" t="s">
        <v>72</v>
      </c>
      <c r="D2875" s="809">
        <v>380</v>
      </c>
      <c r="E2875" s="810" t="s">
        <v>7028</v>
      </c>
      <c r="F2875" s="159" t="s">
        <v>7095</v>
      </c>
      <c r="G2875" s="166">
        <v>44650</v>
      </c>
    </row>
    <row r="2876" spans="1:7" x14ac:dyDescent="0.3">
      <c r="A2876" s="169" t="s">
        <v>6624</v>
      </c>
      <c r="B2876" s="811" t="s">
        <v>7098</v>
      </c>
      <c r="C2876" s="806" t="s">
        <v>72</v>
      </c>
      <c r="D2876" s="809">
        <v>40</v>
      </c>
      <c r="E2876" s="810" t="s">
        <v>7028</v>
      </c>
      <c r="F2876" s="159" t="s">
        <v>7095</v>
      </c>
      <c r="G2876" s="166">
        <v>44650</v>
      </c>
    </row>
    <row r="2877" spans="1:7" x14ac:dyDescent="0.3">
      <c r="A2877" s="169" t="s">
        <v>6625</v>
      </c>
      <c r="B2877" s="190" t="s">
        <v>7101</v>
      </c>
      <c r="C2877" s="163" t="s">
        <v>29</v>
      </c>
      <c r="D2877" s="160">
        <v>1</v>
      </c>
      <c r="E2877" s="165" t="s">
        <v>7102</v>
      </c>
      <c r="F2877" s="617">
        <v>44743</v>
      </c>
    </row>
    <row r="2878" spans="1:7" x14ac:dyDescent="0.3">
      <c r="A2878" s="169" t="s">
        <v>6626</v>
      </c>
      <c r="B2878" s="190" t="s">
        <v>7103</v>
      </c>
      <c r="C2878" s="163" t="s">
        <v>29</v>
      </c>
      <c r="D2878" s="160">
        <v>1</v>
      </c>
      <c r="E2878" s="165" t="s">
        <v>7102</v>
      </c>
      <c r="F2878" s="617">
        <v>44743</v>
      </c>
    </row>
    <row r="2879" spans="1:7" x14ac:dyDescent="0.3">
      <c r="A2879" s="169" t="s">
        <v>6627</v>
      </c>
      <c r="B2879" s="190" t="s">
        <v>7104</v>
      </c>
      <c r="C2879" s="163" t="s">
        <v>29</v>
      </c>
      <c r="D2879" s="160">
        <v>1</v>
      </c>
      <c r="E2879" s="165" t="s">
        <v>7102</v>
      </c>
      <c r="F2879" s="617">
        <v>44743</v>
      </c>
    </row>
    <row r="2880" spans="1:7" x14ac:dyDescent="0.3">
      <c r="A2880" s="169" t="s">
        <v>6628</v>
      </c>
      <c r="B2880" s="190" t="s">
        <v>7105</v>
      </c>
      <c r="C2880" s="163" t="s">
        <v>72</v>
      </c>
      <c r="D2880" s="164">
        <v>100</v>
      </c>
      <c r="E2880" s="165" t="s">
        <v>7102</v>
      </c>
      <c r="F2880" s="617">
        <v>44743</v>
      </c>
    </row>
    <row r="2881" spans="1:8" x14ac:dyDescent="0.3">
      <c r="A2881" s="169" t="s">
        <v>6629</v>
      </c>
      <c r="B2881" s="190" t="s">
        <v>7106</v>
      </c>
      <c r="C2881" s="163" t="s">
        <v>72</v>
      </c>
      <c r="D2881" s="164">
        <f>(((((680+59)*1.2486)*1.03)/1.03)*1.02)/1.02</f>
        <v>922.71539999999993</v>
      </c>
      <c r="E2881" s="165" t="s">
        <v>7259</v>
      </c>
      <c r="F2881" s="617">
        <v>44760</v>
      </c>
    </row>
    <row r="2882" spans="1:8" x14ac:dyDescent="0.3">
      <c r="A2882" s="169" t="s">
        <v>6630</v>
      </c>
      <c r="B2882" s="190" t="s">
        <v>7108</v>
      </c>
      <c r="C2882" s="163" t="s">
        <v>73</v>
      </c>
      <c r="D2882" s="164">
        <f>((((((32216.19+208.05)/797.81)+6.21)*1.03)/1.03)*1.02)/1.02</f>
        <v>46.85155626026247</v>
      </c>
      <c r="E2882" s="165" t="s">
        <v>947</v>
      </c>
      <c r="F2882" s="617">
        <v>44726</v>
      </c>
      <c r="G2882" s="174"/>
    </row>
    <row r="2883" spans="1:8" x14ac:dyDescent="0.3">
      <c r="A2883" s="169" t="s">
        <v>6631</v>
      </c>
      <c r="B2883" s="190" t="s">
        <v>7109</v>
      </c>
      <c r="C2883" s="163" t="s">
        <v>73</v>
      </c>
      <c r="D2883" s="164">
        <f>((((((4325.08+27.94)/89.28)+10.39)*1.03)/1.03)*1.02)/1.02</f>
        <v>59.146944444444436</v>
      </c>
      <c r="E2883" s="165" t="s">
        <v>947</v>
      </c>
      <c r="F2883" s="617">
        <v>44726</v>
      </c>
      <c r="G2883" s="174"/>
      <c r="H2883" s="174"/>
    </row>
    <row r="2884" spans="1:8" x14ac:dyDescent="0.3">
      <c r="A2884" s="169" t="s">
        <v>6632</v>
      </c>
      <c r="B2884" s="190" t="s">
        <v>7112</v>
      </c>
      <c r="C2884" s="163" t="s">
        <v>73</v>
      </c>
      <c r="D2884" s="164">
        <f>((((((12643.78+81.65)/304.98)+6.22)*1.03)/1.03)*1.02)/1.02</f>
        <v>47.945457407043079</v>
      </c>
      <c r="E2884" s="165" t="s">
        <v>947</v>
      </c>
      <c r="F2884" s="617">
        <v>44726</v>
      </c>
    </row>
    <row r="2885" spans="1:8" x14ac:dyDescent="0.3">
      <c r="A2885" s="169" t="s">
        <v>6633</v>
      </c>
      <c r="B2885" s="190" t="s">
        <v>7111</v>
      </c>
      <c r="C2885" s="163" t="s">
        <v>73</v>
      </c>
      <c r="D2885" s="164">
        <f>((((((2254.36+14.56)/28.62)+16.77)*1.03)/1.03)*1.02)/1.02</f>
        <v>96.047428371767992</v>
      </c>
      <c r="E2885" s="165" t="s">
        <v>947</v>
      </c>
      <c r="F2885" s="617">
        <v>44726</v>
      </c>
    </row>
    <row r="2886" spans="1:8" x14ac:dyDescent="0.3">
      <c r="A2886" s="169" t="s">
        <v>6634</v>
      </c>
      <c r="B2886" s="190" t="s">
        <v>7113</v>
      </c>
      <c r="C2886" s="163" t="s">
        <v>73</v>
      </c>
      <c r="D2886" s="164">
        <f>((((((3519.48+22.38+53.3)/97.2)+6.57)*1.03)/1.03)*1.02)/1.02</f>
        <v>43.557242798353911</v>
      </c>
      <c r="E2886" s="165" t="s">
        <v>947</v>
      </c>
      <c r="F2886" s="617">
        <v>44726</v>
      </c>
    </row>
    <row r="2887" spans="1:8" x14ac:dyDescent="0.3">
      <c r="A2887" s="169" t="s">
        <v>6635</v>
      </c>
      <c r="B2887" s="190" t="s">
        <v>7115</v>
      </c>
      <c r="C2887" s="163" t="s">
        <v>73</v>
      </c>
      <c r="D2887" s="164">
        <f>((((((4656.1+29.14+53.3)/145.92)+5.27)*1.03)/1.03)*1.02)/1.02</f>
        <v>37.743547149122818</v>
      </c>
      <c r="E2887" s="165" t="s">
        <v>947</v>
      </c>
      <c r="F2887" s="617">
        <v>44726</v>
      </c>
    </row>
    <row r="2888" spans="1:8" x14ac:dyDescent="0.3">
      <c r="A2888" s="169" t="s">
        <v>6636</v>
      </c>
      <c r="B2888" s="190" t="s">
        <v>7114</v>
      </c>
      <c r="C2888" s="163" t="s">
        <v>73</v>
      </c>
      <c r="D2888" s="164">
        <f>((((((20386.35+161.66)/283.56)+10.38)*1.03)/1.03)*1.02)/1.02</f>
        <v>82.844416701932559</v>
      </c>
      <c r="E2888" s="165" t="s">
        <v>947</v>
      </c>
      <c r="F2888" s="617">
        <v>44726</v>
      </c>
    </row>
    <row r="2889" spans="1:8" x14ac:dyDescent="0.3">
      <c r="A2889" s="169" t="s">
        <v>6637</v>
      </c>
      <c r="B2889" s="190" t="s">
        <v>7116</v>
      </c>
      <c r="C2889" s="163" t="s">
        <v>73</v>
      </c>
      <c r="D2889" s="164">
        <f>((((((6067.94+39.19)/42.6)+12.89)*1.03)/1.03)*1.02)/1.02</f>
        <v>156.24985915492954</v>
      </c>
      <c r="E2889" s="165" t="s">
        <v>947</v>
      </c>
      <c r="F2889" s="617">
        <v>44726</v>
      </c>
    </row>
    <row r="2890" spans="1:8" x14ac:dyDescent="0.3">
      <c r="A2890" s="169" t="s">
        <v>6638</v>
      </c>
      <c r="B2890" s="190" t="s">
        <v>7117</v>
      </c>
      <c r="C2890" s="163" t="s">
        <v>73</v>
      </c>
      <c r="D2890" s="164">
        <f>((((((28058.04+181.2)/282.24)+10.48)*1.03)/1.03)*1.02)/1.02</f>
        <v>110.53399659863946</v>
      </c>
      <c r="E2890" s="165" t="s">
        <v>947</v>
      </c>
      <c r="F2890" s="617">
        <v>44726</v>
      </c>
    </row>
    <row r="2891" spans="1:8" x14ac:dyDescent="0.3">
      <c r="A2891" s="169" t="s">
        <v>6639</v>
      </c>
      <c r="B2891" s="190" t="s">
        <v>7242</v>
      </c>
      <c r="C2891" s="163" t="s">
        <v>73</v>
      </c>
      <c r="D2891" s="164">
        <f>((((((170883.03+1103.57)/2270.2)+9.46)*1.03)/1.03)*1.02)/1.02</f>
        <v>85.218347282177803</v>
      </c>
      <c r="E2891" s="165" t="s">
        <v>947</v>
      </c>
      <c r="F2891" s="617">
        <v>44726</v>
      </c>
    </row>
    <row r="2892" spans="1:8" x14ac:dyDescent="0.3">
      <c r="A2892" s="169" t="s">
        <v>6640</v>
      </c>
      <c r="B2892" s="190" t="s">
        <v>7120</v>
      </c>
      <c r="C2892" s="163" t="s">
        <v>74</v>
      </c>
      <c r="D2892" s="164">
        <f>((((((67852.8+5500+5134.7+5800)/1785.6))*1.03)/1.03)*1.02)/1.02</f>
        <v>47.204021057347674</v>
      </c>
      <c r="E2892" s="165" t="s">
        <v>5788</v>
      </c>
      <c r="F2892" s="617">
        <v>44746</v>
      </c>
    </row>
    <row r="2893" spans="1:8" x14ac:dyDescent="0.3">
      <c r="A2893" s="169" t="s">
        <v>6641</v>
      </c>
      <c r="B2893" s="190" t="s">
        <v>7121</v>
      </c>
      <c r="C2893" s="163" t="s">
        <v>74</v>
      </c>
      <c r="D2893" s="164">
        <v>16</v>
      </c>
      <c r="E2893" s="165" t="s">
        <v>5788</v>
      </c>
      <c r="F2893" s="617">
        <v>44746</v>
      </c>
    </row>
    <row r="2894" spans="1:8" x14ac:dyDescent="0.3">
      <c r="A2894" s="169" t="s">
        <v>6642</v>
      </c>
      <c r="B2894" s="190" t="s">
        <v>7122</v>
      </c>
      <c r="C2894" s="163" t="s">
        <v>74</v>
      </c>
      <c r="D2894" s="164">
        <v>148.21</v>
      </c>
      <c r="E2894" s="165" t="s">
        <v>7344</v>
      </c>
      <c r="F2894" s="617">
        <v>44796</v>
      </c>
    </row>
    <row r="2895" spans="1:8" x14ac:dyDescent="0.3">
      <c r="A2895" s="169" t="s">
        <v>6643</v>
      </c>
      <c r="B2895" s="190" t="s">
        <v>7123</v>
      </c>
      <c r="C2895" s="163" t="s">
        <v>74</v>
      </c>
      <c r="D2895" s="164">
        <v>59.6</v>
      </c>
      <c r="E2895" s="165" t="s">
        <v>7344</v>
      </c>
      <c r="F2895" s="617">
        <v>44796</v>
      </c>
    </row>
    <row r="2896" spans="1:8" x14ac:dyDescent="0.3">
      <c r="A2896" s="169" t="s">
        <v>6644</v>
      </c>
      <c r="B2896" s="190" t="s">
        <v>7124</v>
      </c>
      <c r="C2896" s="163" t="s">
        <v>74</v>
      </c>
      <c r="D2896" s="164">
        <v>89.3</v>
      </c>
      <c r="E2896" s="165" t="s">
        <v>7344</v>
      </c>
      <c r="F2896" s="617">
        <v>44796</v>
      </c>
    </row>
    <row r="2897" spans="1:6" x14ac:dyDescent="0.3">
      <c r="A2897" s="169" t="s">
        <v>6645</v>
      </c>
      <c r="B2897" s="190" t="s">
        <v>7125</v>
      </c>
      <c r="C2897" s="163" t="s">
        <v>74</v>
      </c>
      <c r="D2897" s="164">
        <v>137.5</v>
      </c>
      <c r="E2897" s="165" t="s">
        <v>7344</v>
      </c>
      <c r="F2897" s="617">
        <v>44796</v>
      </c>
    </row>
    <row r="2898" spans="1:6" x14ac:dyDescent="0.3">
      <c r="A2898" s="169" t="s">
        <v>6646</v>
      </c>
      <c r="B2898" s="190" t="s">
        <v>7245</v>
      </c>
      <c r="C2898" s="163" t="s">
        <v>74</v>
      </c>
      <c r="D2898" s="164">
        <v>595.61</v>
      </c>
      <c r="E2898" s="165" t="s">
        <v>7344</v>
      </c>
      <c r="F2898" s="617">
        <v>44796</v>
      </c>
    </row>
    <row r="2899" spans="1:6" x14ac:dyDescent="0.3">
      <c r="A2899" s="169" t="s">
        <v>6647</v>
      </c>
      <c r="B2899" s="190" t="s">
        <v>8736</v>
      </c>
      <c r="C2899" s="163" t="s">
        <v>1376</v>
      </c>
      <c r="D2899" s="164">
        <v>250</v>
      </c>
      <c r="E2899" s="165" t="s">
        <v>7314</v>
      </c>
      <c r="F2899" s="617">
        <v>44796</v>
      </c>
    </row>
    <row r="2900" spans="1:6" x14ac:dyDescent="0.3">
      <c r="A2900" s="169" t="s">
        <v>6648</v>
      </c>
      <c r="B2900" s="190" t="s">
        <v>7864</v>
      </c>
      <c r="C2900" s="163" t="s">
        <v>1376</v>
      </c>
      <c r="D2900" s="164">
        <v>250</v>
      </c>
      <c r="E2900" s="165" t="s">
        <v>7314</v>
      </c>
      <c r="F2900" s="617">
        <v>44791</v>
      </c>
    </row>
    <row r="2901" spans="1:6" x14ac:dyDescent="0.3">
      <c r="A2901" s="169" t="s">
        <v>6649</v>
      </c>
      <c r="B2901" s="190" t="s">
        <v>7129</v>
      </c>
      <c r="C2901" s="163" t="s">
        <v>1376</v>
      </c>
      <c r="D2901" s="164">
        <v>589.84</v>
      </c>
      <c r="E2901" s="165" t="s">
        <v>3086</v>
      </c>
      <c r="F2901" s="617">
        <v>44747</v>
      </c>
    </row>
    <row r="2902" spans="1:6" x14ac:dyDescent="0.3">
      <c r="A2902" s="169" t="s">
        <v>6650</v>
      </c>
      <c r="B2902" s="190" t="s">
        <v>7130</v>
      </c>
      <c r="C2902" s="163" t="s">
        <v>1376</v>
      </c>
      <c r="D2902" s="164">
        <v>79</v>
      </c>
      <c r="E2902" s="165" t="s">
        <v>3086</v>
      </c>
      <c r="F2902" s="617">
        <v>44747</v>
      </c>
    </row>
    <row r="2903" spans="1:6" x14ac:dyDescent="0.3">
      <c r="A2903" s="169" t="s">
        <v>6651</v>
      </c>
      <c r="B2903" s="190" t="s">
        <v>6872</v>
      </c>
      <c r="C2903" s="163" t="s">
        <v>1376</v>
      </c>
      <c r="D2903" s="164">
        <v>571.78</v>
      </c>
      <c r="E2903" s="165" t="s">
        <v>3086</v>
      </c>
      <c r="F2903" s="617">
        <v>44747</v>
      </c>
    </row>
    <row r="2904" spans="1:6" x14ac:dyDescent="0.3">
      <c r="A2904" s="169" t="s">
        <v>6652</v>
      </c>
      <c r="B2904" s="190" t="s">
        <v>7127</v>
      </c>
      <c r="C2904" s="163" t="s">
        <v>1376</v>
      </c>
      <c r="D2904" s="164">
        <v>79</v>
      </c>
      <c r="E2904" s="165" t="s">
        <v>3086</v>
      </c>
      <c r="F2904" s="617">
        <v>44747</v>
      </c>
    </row>
    <row r="2905" spans="1:6" x14ac:dyDescent="0.3">
      <c r="A2905" s="169" t="s">
        <v>6653</v>
      </c>
      <c r="B2905" s="190" t="s">
        <v>6873</v>
      </c>
      <c r="C2905" s="163" t="s">
        <v>1376</v>
      </c>
      <c r="D2905" s="164">
        <v>673.86</v>
      </c>
      <c r="E2905" s="165" t="s">
        <v>3086</v>
      </c>
      <c r="F2905" s="617">
        <v>44747</v>
      </c>
    </row>
    <row r="2906" spans="1:6" x14ac:dyDescent="0.3">
      <c r="A2906" s="169" t="s">
        <v>6654</v>
      </c>
      <c r="B2906" s="190" t="s">
        <v>7128</v>
      </c>
      <c r="C2906" s="163" t="s">
        <v>1376</v>
      </c>
      <c r="D2906" s="164">
        <v>89</v>
      </c>
      <c r="E2906" s="165" t="s">
        <v>3086</v>
      </c>
      <c r="F2906" s="617">
        <v>44747</v>
      </c>
    </row>
    <row r="2907" spans="1:6" x14ac:dyDescent="0.3">
      <c r="A2907" s="169" t="s">
        <v>6655</v>
      </c>
      <c r="B2907" s="190" t="s">
        <v>7131</v>
      </c>
      <c r="C2907" s="163" t="s">
        <v>1376</v>
      </c>
      <c r="D2907" s="164">
        <v>889.18</v>
      </c>
      <c r="E2907" s="165" t="s">
        <v>3086</v>
      </c>
      <c r="F2907" s="617">
        <v>44747</v>
      </c>
    </row>
    <row r="2908" spans="1:6" x14ac:dyDescent="0.3">
      <c r="A2908" s="169" t="s">
        <v>6656</v>
      </c>
      <c r="B2908" s="190" t="s">
        <v>7132</v>
      </c>
      <c r="C2908" s="163" t="s">
        <v>1376</v>
      </c>
      <c r="D2908" s="164">
        <v>149</v>
      </c>
      <c r="E2908" s="165" t="s">
        <v>3086</v>
      </c>
      <c r="F2908" s="617">
        <v>44747</v>
      </c>
    </row>
    <row r="2909" spans="1:6" x14ac:dyDescent="0.3">
      <c r="A2909" s="169" t="s">
        <v>6657</v>
      </c>
      <c r="B2909" s="190" t="s">
        <v>7133</v>
      </c>
      <c r="C2909" s="163" t="s">
        <v>73</v>
      </c>
      <c r="D2909" s="164">
        <v>1099.2063492063492</v>
      </c>
      <c r="E2909" s="165" t="s">
        <v>7185</v>
      </c>
      <c r="F2909" s="617">
        <v>44747</v>
      </c>
    </row>
    <row r="2910" spans="1:6" ht="24.6" x14ac:dyDescent="0.3">
      <c r="A2910" s="169" t="s">
        <v>6658</v>
      </c>
      <c r="B2910" s="190" t="s">
        <v>7134</v>
      </c>
      <c r="C2910" s="163" t="s">
        <v>73</v>
      </c>
      <c r="D2910" s="164">
        <v>1505.5248618784531</v>
      </c>
      <c r="E2910" s="165" t="s">
        <v>7185</v>
      </c>
      <c r="F2910" s="617">
        <v>44747</v>
      </c>
    </row>
    <row r="2911" spans="1:6" x14ac:dyDescent="0.3">
      <c r="A2911" s="169" t="s">
        <v>6659</v>
      </c>
      <c r="B2911" s="190" t="s">
        <v>7135</v>
      </c>
      <c r="C2911" s="163" t="s">
        <v>73</v>
      </c>
      <c r="D2911" s="164">
        <v>1002.6243186864949</v>
      </c>
      <c r="E2911" s="165" t="s">
        <v>7185</v>
      </c>
      <c r="F2911" s="617">
        <v>44747</v>
      </c>
    </row>
    <row r="2912" spans="1:6" x14ac:dyDescent="0.3">
      <c r="A2912" s="169" t="s">
        <v>6660</v>
      </c>
      <c r="B2912" s="190" t="s">
        <v>7136</v>
      </c>
      <c r="C2912" s="163" t="s">
        <v>73</v>
      </c>
      <c r="D2912" s="164">
        <v>1100.6467718143651</v>
      </c>
      <c r="E2912" s="165" t="s">
        <v>7185</v>
      </c>
      <c r="F2912" s="617">
        <v>44747</v>
      </c>
    </row>
    <row r="2913" spans="1:6" x14ac:dyDescent="0.3">
      <c r="A2913" s="169" t="s">
        <v>6661</v>
      </c>
      <c r="B2913" s="190" t="s">
        <v>7137</v>
      </c>
      <c r="C2913" s="163" t="s">
        <v>73</v>
      </c>
      <c r="D2913" s="164">
        <v>1099.7732426303855</v>
      </c>
      <c r="E2913" s="165" t="s">
        <v>7185</v>
      </c>
      <c r="F2913" s="617">
        <v>44747</v>
      </c>
    </row>
    <row r="2914" spans="1:6" x14ac:dyDescent="0.3">
      <c r="A2914" s="169" t="s">
        <v>6662</v>
      </c>
      <c r="B2914" s="190" t="s">
        <v>7138</v>
      </c>
      <c r="C2914" s="163" t="s">
        <v>73</v>
      </c>
      <c r="D2914" s="164">
        <v>1231.7460317460316</v>
      </c>
      <c r="E2914" s="165" t="s">
        <v>7185</v>
      </c>
      <c r="F2914" s="617">
        <v>44747</v>
      </c>
    </row>
    <row r="2915" spans="1:6" x14ac:dyDescent="0.3">
      <c r="A2915" s="169" t="s">
        <v>6663</v>
      </c>
      <c r="B2915" s="190" t="s">
        <v>7139</v>
      </c>
      <c r="C2915" s="163" t="s">
        <v>73</v>
      </c>
      <c r="D2915" s="164">
        <v>1309.9415204678362</v>
      </c>
      <c r="E2915" s="165" t="s">
        <v>7185</v>
      </c>
      <c r="F2915" s="617">
        <v>44747</v>
      </c>
    </row>
    <row r="2916" spans="1:6" x14ac:dyDescent="0.3">
      <c r="A2916" s="169" t="s">
        <v>6664</v>
      </c>
      <c r="B2916" s="190" t="s">
        <v>7140</v>
      </c>
      <c r="C2916" s="163" t="s">
        <v>73</v>
      </c>
      <c r="D2916" s="164">
        <v>1307.0776255707763</v>
      </c>
      <c r="E2916" s="165" t="s">
        <v>7185</v>
      </c>
      <c r="F2916" s="617">
        <v>44747</v>
      </c>
    </row>
    <row r="2917" spans="1:6" x14ac:dyDescent="0.3">
      <c r="A2917" s="169" t="s">
        <v>6665</v>
      </c>
      <c r="B2917" s="190" t="s">
        <v>7141</v>
      </c>
      <c r="C2917" s="163" t="s">
        <v>73</v>
      </c>
      <c r="D2917" s="164">
        <v>1003.5419126328217</v>
      </c>
      <c r="E2917" s="165" t="s">
        <v>7185</v>
      </c>
      <c r="F2917" s="617">
        <v>44747</v>
      </c>
    </row>
    <row r="2918" spans="1:6" x14ac:dyDescent="0.3">
      <c r="A2918" s="169" t="s">
        <v>6666</v>
      </c>
      <c r="B2918" s="190" t="s">
        <v>7142</v>
      </c>
      <c r="C2918" s="163" t="s">
        <v>73</v>
      </c>
      <c r="D2918" s="164">
        <v>1098.4848484848485</v>
      </c>
      <c r="E2918" s="165" t="s">
        <v>7185</v>
      </c>
      <c r="F2918" s="617">
        <v>44747</v>
      </c>
    </row>
    <row r="2919" spans="1:6" x14ac:dyDescent="0.3">
      <c r="A2919" s="169" t="s">
        <v>6667</v>
      </c>
      <c r="B2919" s="190" t="s">
        <v>7143</v>
      </c>
      <c r="C2919" s="163" t="s">
        <v>73</v>
      </c>
      <c r="D2919" s="164">
        <v>5952.3809523809523</v>
      </c>
      <c r="E2919" s="165" t="s">
        <v>7185</v>
      </c>
      <c r="F2919" s="617">
        <v>44747</v>
      </c>
    </row>
    <row r="2920" spans="1:6" x14ac:dyDescent="0.3">
      <c r="A2920" s="169" t="s">
        <v>6668</v>
      </c>
      <c r="B2920" s="190" t="s">
        <v>7144</v>
      </c>
      <c r="C2920" s="163" t="s">
        <v>73</v>
      </c>
      <c r="D2920" s="164">
        <v>1100</v>
      </c>
      <c r="E2920" s="165" t="s">
        <v>7185</v>
      </c>
      <c r="F2920" s="617">
        <v>44747</v>
      </c>
    </row>
    <row r="2921" spans="1:6" x14ac:dyDescent="0.3">
      <c r="A2921" s="169" t="s">
        <v>6669</v>
      </c>
      <c r="B2921" s="190" t="s">
        <v>7145</v>
      </c>
      <c r="C2921" s="163" t="s">
        <v>73</v>
      </c>
      <c r="D2921" s="164">
        <v>1100.1193928023195</v>
      </c>
      <c r="E2921" s="165" t="s">
        <v>7185</v>
      </c>
      <c r="F2921" s="617">
        <v>44747</v>
      </c>
    </row>
    <row r="2922" spans="1:6" x14ac:dyDescent="0.3">
      <c r="A2922" s="169" t="s">
        <v>6670</v>
      </c>
      <c r="B2922" s="190" t="s">
        <v>7146</v>
      </c>
      <c r="C2922" s="163" t="s">
        <v>73</v>
      </c>
      <c r="D2922" s="164">
        <v>1111.1111111111111</v>
      </c>
      <c r="E2922" s="165" t="s">
        <v>7185</v>
      </c>
      <c r="F2922" s="617">
        <v>44747</v>
      </c>
    </row>
    <row r="2923" spans="1:6" x14ac:dyDescent="0.3">
      <c r="A2923" s="169" t="s">
        <v>6671</v>
      </c>
      <c r="B2923" s="190" t="s">
        <v>7147</v>
      </c>
      <c r="C2923" s="163" t="s">
        <v>73</v>
      </c>
      <c r="D2923" s="164">
        <v>1098.4848484848485</v>
      </c>
      <c r="E2923" s="165" t="s">
        <v>7185</v>
      </c>
      <c r="F2923" s="617">
        <v>44747</v>
      </c>
    </row>
    <row r="2924" spans="1:6" x14ac:dyDescent="0.3">
      <c r="A2924" s="169" t="s">
        <v>6672</v>
      </c>
      <c r="B2924" s="190" t="s">
        <v>7148</v>
      </c>
      <c r="C2924" s="163" t="s">
        <v>73</v>
      </c>
      <c r="D2924" s="164">
        <v>2023.8095238095236</v>
      </c>
      <c r="E2924" s="165" t="s">
        <v>7185</v>
      </c>
      <c r="F2924" s="617">
        <v>44747</v>
      </c>
    </row>
    <row r="2925" spans="1:6" x14ac:dyDescent="0.3">
      <c r="A2925" s="169" t="s">
        <v>6673</v>
      </c>
      <c r="B2925" s="190" t="s">
        <v>7149</v>
      </c>
      <c r="C2925" s="163" t="s">
        <v>73</v>
      </c>
      <c r="D2925" s="164">
        <v>1100</v>
      </c>
      <c r="E2925" s="165" t="s">
        <v>7185</v>
      </c>
      <c r="F2925" s="617">
        <v>44747</v>
      </c>
    </row>
    <row r="2926" spans="1:6" x14ac:dyDescent="0.3">
      <c r="A2926" s="169" t="s">
        <v>6674</v>
      </c>
      <c r="B2926" s="190" t="s">
        <v>7150</v>
      </c>
      <c r="C2926" s="163" t="s">
        <v>73</v>
      </c>
      <c r="D2926" s="164">
        <v>1002.743354460316</v>
      </c>
      <c r="E2926" s="165" t="s">
        <v>7185</v>
      </c>
      <c r="F2926" s="617">
        <v>44747</v>
      </c>
    </row>
    <row r="2927" spans="1:6" x14ac:dyDescent="0.3">
      <c r="A2927" s="169" t="s">
        <v>6675</v>
      </c>
      <c r="B2927" s="190" t="s">
        <v>7151</v>
      </c>
      <c r="C2927" s="163" t="s">
        <v>73</v>
      </c>
      <c r="D2927" s="164">
        <v>1098.4848484848485</v>
      </c>
      <c r="E2927" s="165" t="s">
        <v>7185</v>
      </c>
      <c r="F2927" s="617">
        <v>44747</v>
      </c>
    </row>
    <row r="2928" spans="1:6" x14ac:dyDescent="0.3">
      <c r="A2928" s="169" t="s">
        <v>6676</v>
      </c>
      <c r="B2928" s="190" t="s">
        <v>7152</v>
      </c>
      <c r="C2928" s="163" t="s">
        <v>73</v>
      </c>
      <c r="D2928" s="164">
        <v>1100</v>
      </c>
      <c r="E2928" s="165" t="s">
        <v>7185</v>
      </c>
      <c r="F2928" s="617">
        <v>44747</v>
      </c>
    </row>
    <row r="2929" spans="1:6" x14ac:dyDescent="0.3">
      <c r="A2929" s="169" t="s">
        <v>6677</v>
      </c>
      <c r="B2929" s="190" t="s">
        <v>7153</v>
      </c>
      <c r="C2929" s="163" t="s">
        <v>73</v>
      </c>
      <c r="D2929" s="164">
        <v>1006.8107787977492</v>
      </c>
      <c r="E2929" s="165" t="s">
        <v>7185</v>
      </c>
      <c r="F2929" s="617">
        <v>44747</v>
      </c>
    </row>
    <row r="2930" spans="1:6" x14ac:dyDescent="0.3">
      <c r="A2930" s="169" t="s">
        <v>6678</v>
      </c>
      <c r="B2930" s="190" t="s">
        <v>7154</v>
      </c>
      <c r="C2930" s="163" t="s">
        <v>73</v>
      </c>
      <c r="D2930" s="164">
        <v>1098.4848484848485</v>
      </c>
      <c r="E2930" s="165" t="s">
        <v>7185</v>
      </c>
      <c r="F2930" s="617">
        <v>44747</v>
      </c>
    </row>
    <row r="2931" spans="1:6" x14ac:dyDescent="0.3">
      <c r="A2931" s="169" t="s">
        <v>6679</v>
      </c>
      <c r="B2931" s="190" t="s">
        <v>7155</v>
      </c>
      <c r="C2931" s="163" t="s">
        <v>73</v>
      </c>
      <c r="D2931" s="164">
        <v>2023.8095238095236</v>
      </c>
      <c r="E2931" s="165" t="s">
        <v>7185</v>
      </c>
      <c r="F2931" s="617">
        <v>44747</v>
      </c>
    </row>
    <row r="2932" spans="1:6" x14ac:dyDescent="0.3">
      <c r="A2932" s="169" t="s">
        <v>6680</v>
      </c>
      <c r="B2932" s="190" t="s">
        <v>7156</v>
      </c>
      <c r="C2932" s="163" t="s">
        <v>73</v>
      </c>
      <c r="D2932" s="164">
        <v>1100</v>
      </c>
      <c r="E2932" s="165" t="s">
        <v>7185</v>
      </c>
      <c r="F2932" s="617">
        <v>44747</v>
      </c>
    </row>
    <row r="2933" spans="1:6" x14ac:dyDescent="0.3">
      <c r="A2933" s="169" t="s">
        <v>6681</v>
      </c>
      <c r="B2933" s="190" t="s">
        <v>7157</v>
      </c>
      <c r="C2933" s="163" t="s">
        <v>73</v>
      </c>
      <c r="D2933" s="164">
        <v>1000.4349717268377</v>
      </c>
      <c r="E2933" s="165" t="s">
        <v>7185</v>
      </c>
      <c r="F2933" s="617">
        <v>44747</v>
      </c>
    </row>
    <row r="2934" spans="1:6" x14ac:dyDescent="0.3">
      <c r="A2934" s="169" t="s">
        <v>6682</v>
      </c>
      <c r="B2934" s="190" t="s">
        <v>7158</v>
      </c>
      <c r="C2934" s="163" t="s">
        <v>73</v>
      </c>
      <c r="D2934" s="164">
        <v>1098.4848484848485</v>
      </c>
      <c r="E2934" s="165" t="s">
        <v>7185</v>
      </c>
      <c r="F2934" s="617">
        <v>44747</v>
      </c>
    </row>
    <row r="2935" spans="1:6" x14ac:dyDescent="0.3">
      <c r="A2935" s="169" t="s">
        <v>6683</v>
      </c>
      <c r="B2935" s="190" t="s">
        <v>7159</v>
      </c>
      <c r="C2935" s="163" t="s">
        <v>73</v>
      </c>
      <c r="D2935" s="164">
        <v>1100</v>
      </c>
      <c r="E2935" s="165" t="s">
        <v>7185</v>
      </c>
      <c r="F2935" s="617">
        <v>44747</v>
      </c>
    </row>
    <row r="2936" spans="1:6" x14ac:dyDescent="0.3">
      <c r="A2936" s="169" t="s">
        <v>6684</v>
      </c>
      <c r="B2936" s="190" t="s">
        <v>7160</v>
      </c>
      <c r="C2936" s="163" t="s">
        <v>73</v>
      </c>
      <c r="D2936" s="164">
        <v>1000.5136106831022</v>
      </c>
      <c r="E2936" s="165" t="s">
        <v>7185</v>
      </c>
      <c r="F2936" s="617">
        <v>44747</v>
      </c>
    </row>
    <row r="2937" spans="1:6" x14ac:dyDescent="0.3">
      <c r="A2937" s="169" t="s">
        <v>6685</v>
      </c>
      <c r="B2937" s="190" t="s">
        <v>7161</v>
      </c>
      <c r="C2937" s="163" t="s">
        <v>73</v>
      </c>
      <c r="D2937" s="164">
        <v>1098.4848484848485</v>
      </c>
      <c r="E2937" s="165" t="s">
        <v>7185</v>
      </c>
      <c r="F2937" s="617">
        <v>44747</v>
      </c>
    </row>
    <row r="2938" spans="1:6" x14ac:dyDescent="0.3">
      <c r="A2938" s="169" t="s">
        <v>6686</v>
      </c>
      <c r="B2938" s="190" t="s">
        <v>7162</v>
      </c>
      <c r="C2938" s="163" t="s">
        <v>73</v>
      </c>
      <c r="D2938" s="164">
        <v>2023.8095238095236</v>
      </c>
      <c r="E2938" s="165" t="s">
        <v>7185</v>
      </c>
      <c r="F2938" s="617">
        <v>44747</v>
      </c>
    </row>
    <row r="2939" spans="1:6" x14ac:dyDescent="0.3">
      <c r="A2939" s="169" t="s">
        <v>6687</v>
      </c>
      <c r="B2939" s="190" t="s">
        <v>7163</v>
      </c>
      <c r="C2939" s="163" t="s">
        <v>73</v>
      </c>
      <c r="D2939" s="164">
        <v>1100</v>
      </c>
      <c r="E2939" s="165" t="s">
        <v>7185</v>
      </c>
      <c r="F2939" s="617">
        <v>44747</v>
      </c>
    </row>
    <row r="2940" spans="1:6" x14ac:dyDescent="0.3">
      <c r="A2940" s="169" t="s">
        <v>6688</v>
      </c>
      <c r="B2940" s="190" t="s">
        <v>7164</v>
      </c>
      <c r="C2940" s="163" t="s">
        <v>73</v>
      </c>
      <c r="D2940" s="164">
        <v>1001.2568077084208</v>
      </c>
      <c r="E2940" s="165" t="s">
        <v>7185</v>
      </c>
      <c r="F2940" s="617">
        <v>44747</v>
      </c>
    </row>
    <row r="2941" spans="1:6" x14ac:dyDescent="0.3">
      <c r="A2941" s="169" t="s">
        <v>6689</v>
      </c>
      <c r="B2941" s="190" t="s">
        <v>7165</v>
      </c>
      <c r="C2941" s="163" t="s">
        <v>73</v>
      </c>
      <c r="D2941" s="164">
        <v>1098.4848484848485</v>
      </c>
      <c r="E2941" s="165" t="s">
        <v>7185</v>
      </c>
      <c r="F2941" s="617">
        <v>44747</v>
      </c>
    </row>
    <row r="2942" spans="1:6" x14ac:dyDescent="0.3">
      <c r="A2942" s="169" t="s">
        <v>6690</v>
      </c>
      <c r="B2942" s="190" t="s">
        <v>7166</v>
      </c>
      <c r="C2942" s="163" t="s">
        <v>73</v>
      </c>
      <c r="D2942" s="164">
        <v>1100</v>
      </c>
      <c r="E2942" s="165" t="s">
        <v>7185</v>
      </c>
      <c r="F2942" s="617">
        <v>44747</v>
      </c>
    </row>
    <row r="2943" spans="1:6" x14ac:dyDescent="0.3">
      <c r="A2943" s="169" t="s">
        <v>6691</v>
      </c>
      <c r="B2943" s="190" t="s">
        <v>7167</v>
      </c>
      <c r="C2943" s="163" t="s">
        <v>73</v>
      </c>
      <c r="D2943" s="164">
        <v>1000.1718508334764</v>
      </c>
      <c r="E2943" s="165" t="s">
        <v>7185</v>
      </c>
      <c r="F2943" s="617">
        <v>44747</v>
      </c>
    </row>
    <row r="2944" spans="1:6" x14ac:dyDescent="0.3">
      <c r="A2944" s="169" t="s">
        <v>6692</v>
      </c>
      <c r="B2944" s="190" t="s">
        <v>7168</v>
      </c>
      <c r="C2944" s="163" t="s">
        <v>73</v>
      </c>
      <c r="D2944" s="164">
        <v>1101.0101010101009</v>
      </c>
      <c r="E2944" s="165" t="s">
        <v>7185</v>
      </c>
      <c r="F2944" s="617">
        <v>44747</v>
      </c>
    </row>
    <row r="2945" spans="1:6" x14ac:dyDescent="0.3">
      <c r="A2945" s="169" t="s">
        <v>6693</v>
      </c>
      <c r="B2945" s="190" t="s">
        <v>7169</v>
      </c>
      <c r="C2945" s="163" t="s">
        <v>73</v>
      </c>
      <c r="D2945" s="164">
        <v>1098.4848484848485</v>
      </c>
      <c r="E2945" s="165" t="s">
        <v>7185</v>
      </c>
      <c r="F2945" s="617">
        <v>44747</v>
      </c>
    </row>
    <row r="2946" spans="1:6" x14ac:dyDescent="0.3">
      <c r="A2946" s="169" t="s">
        <v>6694</v>
      </c>
      <c r="B2946" s="190" t="s">
        <v>7170</v>
      </c>
      <c r="C2946" s="163" t="s">
        <v>73</v>
      </c>
      <c r="D2946" s="164">
        <v>1000</v>
      </c>
      <c r="E2946" s="165" t="s">
        <v>7185</v>
      </c>
      <c r="F2946" s="617">
        <v>44747</v>
      </c>
    </row>
    <row r="2947" spans="1:6" x14ac:dyDescent="0.3">
      <c r="A2947" s="169" t="s">
        <v>6695</v>
      </c>
      <c r="B2947" s="190" t="s">
        <v>7171</v>
      </c>
      <c r="C2947" s="163" t="s">
        <v>73</v>
      </c>
      <c r="D2947" s="164">
        <v>1098.4848484848485</v>
      </c>
      <c r="E2947" s="165" t="s">
        <v>7185</v>
      </c>
      <c r="F2947" s="617">
        <v>44747</v>
      </c>
    </row>
    <row r="2948" spans="1:6" x14ac:dyDescent="0.3">
      <c r="A2948" s="169" t="s">
        <v>6696</v>
      </c>
      <c r="B2948" s="190" t="s">
        <v>7172</v>
      </c>
      <c r="C2948" s="163" t="s">
        <v>73</v>
      </c>
      <c r="D2948" s="164">
        <v>2023.8095238095236</v>
      </c>
      <c r="E2948" s="165" t="s">
        <v>7185</v>
      </c>
      <c r="F2948" s="617">
        <v>44747</v>
      </c>
    </row>
    <row r="2949" spans="1:6" x14ac:dyDescent="0.3">
      <c r="A2949" s="169" t="s">
        <v>6697</v>
      </c>
      <c r="B2949" s="190" t="s">
        <v>7173</v>
      </c>
      <c r="C2949" s="163" t="s">
        <v>73</v>
      </c>
      <c r="D2949" s="164">
        <v>1000.1718508334764</v>
      </c>
      <c r="E2949" s="165" t="s">
        <v>7185</v>
      </c>
      <c r="F2949" s="617">
        <v>44747</v>
      </c>
    </row>
    <row r="2950" spans="1:6" x14ac:dyDescent="0.3">
      <c r="A2950" s="169" t="s">
        <v>6698</v>
      </c>
      <c r="B2950" s="190" t="s">
        <v>7174</v>
      </c>
      <c r="C2950" s="163" t="s">
        <v>73</v>
      </c>
      <c r="D2950" s="164">
        <v>1101.0101010101009</v>
      </c>
      <c r="E2950" s="165" t="s">
        <v>7185</v>
      </c>
      <c r="F2950" s="617">
        <v>44747</v>
      </c>
    </row>
    <row r="2951" spans="1:6" x14ac:dyDescent="0.3">
      <c r="A2951" s="169" t="s">
        <v>6699</v>
      </c>
      <c r="B2951" s="190" t="s">
        <v>7175</v>
      </c>
      <c r="C2951" s="163" t="s">
        <v>73</v>
      </c>
      <c r="D2951" s="164">
        <v>1098.4848484848485</v>
      </c>
      <c r="E2951" s="165" t="s">
        <v>7185</v>
      </c>
      <c r="F2951" s="617">
        <v>44747</v>
      </c>
    </row>
    <row r="2952" spans="1:6" x14ac:dyDescent="0.3">
      <c r="A2952" s="169" t="s">
        <v>6700</v>
      </c>
      <c r="B2952" s="190" t="s">
        <v>7176</v>
      </c>
      <c r="C2952" s="163" t="s">
        <v>73</v>
      </c>
      <c r="D2952" s="164">
        <v>2023.8095238095236</v>
      </c>
      <c r="E2952" s="165" t="s">
        <v>7185</v>
      </c>
      <c r="F2952" s="617">
        <v>44747</v>
      </c>
    </row>
    <row r="2953" spans="1:6" x14ac:dyDescent="0.3">
      <c r="A2953" s="169" t="s">
        <v>6701</v>
      </c>
      <c r="B2953" s="190" t="s">
        <v>7177</v>
      </c>
      <c r="C2953" s="163" t="s">
        <v>73</v>
      </c>
      <c r="D2953" s="164">
        <v>1100</v>
      </c>
      <c r="E2953" s="165" t="s">
        <v>7185</v>
      </c>
      <c r="F2953" s="617">
        <v>44747</v>
      </c>
    </row>
    <row r="2954" spans="1:6" x14ac:dyDescent="0.3">
      <c r="A2954" s="169" t="s">
        <v>6702</v>
      </c>
      <c r="B2954" s="190" t="s">
        <v>7178</v>
      </c>
      <c r="C2954" s="163" t="s">
        <v>73</v>
      </c>
      <c r="D2954" s="164">
        <v>6599.9999999999991</v>
      </c>
      <c r="E2954" s="165" t="s">
        <v>7185</v>
      </c>
      <c r="F2954" s="617">
        <v>44747</v>
      </c>
    </row>
    <row r="2955" spans="1:6" x14ac:dyDescent="0.3">
      <c r="A2955" s="169" t="s">
        <v>6703</v>
      </c>
      <c r="B2955" s="190" t="s">
        <v>7179</v>
      </c>
      <c r="C2955" s="163" t="s">
        <v>73</v>
      </c>
      <c r="D2955" s="164">
        <v>998.00399201596792</v>
      </c>
      <c r="E2955" s="165" t="s">
        <v>7185</v>
      </c>
      <c r="F2955" s="617">
        <v>44747</v>
      </c>
    </row>
    <row r="2956" spans="1:6" x14ac:dyDescent="0.3">
      <c r="A2956" s="169" t="s">
        <v>6704</v>
      </c>
      <c r="B2956" s="190" t="s">
        <v>7180</v>
      </c>
      <c r="C2956" s="163" t="s">
        <v>73</v>
      </c>
      <c r="D2956" s="164">
        <v>1098.4848484848485</v>
      </c>
      <c r="E2956" s="165" t="s">
        <v>7185</v>
      </c>
      <c r="F2956" s="617">
        <v>44747</v>
      </c>
    </row>
    <row r="2957" spans="1:6" x14ac:dyDescent="0.3">
      <c r="A2957" s="169" t="s">
        <v>6705</v>
      </c>
      <c r="B2957" s="190" t="s">
        <v>7181</v>
      </c>
      <c r="C2957" s="163" t="s">
        <v>73</v>
      </c>
      <c r="D2957" s="164">
        <v>2023.8095238095236</v>
      </c>
      <c r="E2957" s="165" t="s">
        <v>7185</v>
      </c>
      <c r="F2957" s="617">
        <v>44747</v>
      </c>
    </row>
    <row r="2958" spans="1:6" x14ac:dyDescent="0.3">
      <c r="A2958" s="169" t="s">
        <v>6706</v>
      </c>
      <c r="B2958" s="190" t="s">
        <v>7182</v>
      </c>
      <c r="C2958" s="163" t="s">
        <v>73</v>
      </c>
      <c r="D2958" s="164">
        <v>1100</v>
      </c>
      <c r="E2958" s="165" t="s">
        <v>7185</v>
      </c>
      <c r="F2958" s="617">
        <v>44747</v>
      </c>
    </row>
    <row r="2959" spans="1:6" x14ac:dyDescent="0.3">
      <c r="A2959" s="169" t="s">
        <v>6707</v>
      </c>
      <c r="B2959" s="190" t="s">
        <v>7183</v>
      </c>
      <c r="C2959" s="163" t="s">
        <v>73</v>
      </c>
      <c r="D2959" s="160">
        <v>1</v>
      </c>
      <c r="E2959" s="165" t="s">
        <v>7185</v>
      </c>
      <c r="F2959" s="617">
        <v>44747</v>
      </c>
    </row>
    <row r="2960" spans="1:6" x14ac:dyDescent="0.3">
      <c r="A2960" s="169" t="s">
        <v>6708</v>
      </c>
      <c r="B2960" s="190" t="s">
        <v>7184</v>
      </c>
      <c r="C2960" s="163" t="s">
        <v>73</v>
      </c>
      <c r="D2960" s="164">
        <v>2023.8095238095236</v>
      </c>
      <c r="E2960" s="165" t="s">
        <v>7185</v>
      </c>
      <c r="F2960" s="617">
        <v>44747</v>
      </c>
    </row>
    <row r="2961" spans="1:6" x14ac:dyDescent="0.3">
      <c r="A2961" s="169" t="s">
        <v>6709</v>
      </c>
      <c r="B2961" s="190" t="s">
        <v>7187</v>
      </c>
      <c r="C2961" s="163" t="s">
        <v>73</v>
      </c>
      <c r="D2961" s="164">
        <v>40</v>
      </c>
      <c r="E2961" s="165" t="s">
        <v>2297</v>
      </c>
      <c r="F2961" s="617">
        <v>44790</v>
      </c>
    </row>
    <row r="2962" spans="1:6" x14ac:dyDescent="0.3">
      <c r="A2962" s="169" t="s">
        <v>6710</v>
      </c>
      <c r="B2962" s="190" t="s">
        <v>6926</v>
      </c>
      <c r="C2962" s="163" t="s">
        <v>73</v>
      </c>
      <c r="D2962" s="164">
        <v>25.242718446601941</v>
      </c>
      <c r="E2962" s="165" t="s">
        <v>2297</v>
      </c>
      <c r="F2962" s="617">
        <v>44790</v>
      </c>
    </row>
    <row r="2963" spans="1:6" x14ac:dyDescent="0.3">
      <c r="A2963" s="169" t="s">
        <v>6711</v>
      </c>
      <c r="B2963" s="190" t="s">
        <v>7189</v>
      </c>
      <c r="C2963" s="163" t="s">
        <v>73</v>
      </c>
      <c r="D2963" s="164">
        <v>92.5</v>
      </c>
      <c r="E2963" s="165" t="s">
        <v>7186</v>
      </c>
      <c r="F2963" s="617">
        <v>44747</v>
      </c>
    </row>
    <row r="2964" spans="1:6" x14ac:dyDescent="0.3">
      <c r="A2964" s="169" t="s">
        <v>6712</v>
      </c>
      <c r="B2964" s="190" t="s">
        <v>7190</v>
      </c>
      <c r="C2964" s="163" t="s">
        <v>73</v>
      </c>
      <c r="D2964" s="164">
        <v>18.100000000000001</v>
      </c>
      <c r="E2964" s="165" t="s">
        <v>2297</v>
      </c>
      <c r="F2964" s="617">
        <v>44790</v>
      </c>
    </row>
    <row r="2965" spans="1:6" x14ac:dyDescent="0.3">
      <c r="A2965" s="169" t="s">
        <v>6713</v>
      </c>
      <c r="B2965" s="190" t="s">
        <v>7191</v>
      </c>
      <c r="C2965" s="163" t="s">
        <v>1376</v>
      </c>
      <c r="D2965" s="164">
        <v>111.15</v>
      </c>
      <c r="E2965" s="165" t="s">
        <v>7192</v>
      </c>
      <c r="F2965" s="617">
        <v>44747</v>
      </c>
    </row>
    <row r="2966" spans="1:6" x14ac:dyDescent="0.3">
      <c r="A2966" s="169" t="s">
        <v>6714</v>
      </c>
      <c r="B2966" s="190" t="s">
        <v>7193</v>
      </c>
      <c r="C2966" s="163" t="s">
        <v>1376</v>
      </c>
      <c r="D2966" s="164">
        <v>268.12</v>
      </c>
      <c r="E2966" s="165" t="s">
        <v>7192</v>
      </c>
      <c r="F2966" s="617">
        <v>44747</v>
      </c>
    </row>
    <row r="2967" spans="1:6" x14ac:dyDescent="0.3">
      <c r="A2967" s="169" t="s">
        <v>6715</v>
      </c>
      <c r="B2967" s="190" t="s">
        <v>7194</v>
      </c>
      <c r="C2967" s="163" t="s">
        <v>1376</v>
      </c>
      <c r="D2967" s="164">
        <v>30.98</v>
      </c>
      <c r="E2967" s="165" t="s">
        <v>7192</v>
      </c>
      <c r="F2967" s="617">
        <v>44747</v>
      </c>
    </row>
    <row r="2968" spans="1:6" x14ac:dyDescent="0.3">
      <c r="A2968" s="169" t="s">
        <v>6716</v>
      </c>
      <c r="B2968" s="190" t="s">
        <v>7195</v>
      </c>
      <c r="C2968" s="163" t="s">
        <v>1376</v>
      </c>
      <c r="D2968" s="164">
        <v>384.96</v>
      </c>
      <c r="E2968" s="165" t="s">
        <v>7192</v>
      </c>
      <c r="F2968" s="617">
        <v>44747</v>
      </c>
    </row>
    <row r="2969" spans="1:6" x14ac:dyDescent="0.3">
      <c r="A2969" s="169" t="s">
        <v>6717</v>
      </c>
      <c r="B2969" s="190" t="s">
        <v>7197</v>
      </c>
      <c r="C2969" s="163" t="s">
        <v>1376</v>
      </c>
      <c r="D2969" s="164">
        <v>195.74</v>
      </c>
      <c r="E2969" s="165" t="s">
        <v>7192</v>
      </c>
      <c r="F2969" s="617">
        <v>44747</v>
      </c>
    </row>
    <row r="2970" spans="1:6" x14ac:dyDescent="0.3">
      <c r="A2970" s="169" t="s">
        <v>6718</v>
      </c>
      <c r="B2970" s="190" t="s">
        <v>7196</v>
      </c>
      <c r="C2970" s="163" t="s">
        <v>1376</v>
      </c>
      <c r="D2970" s="164">
        <v>26.63</v>
      </c>
      <c r="E2970" s="165" t="s">
        <v>7192</v>
      </c>
      <c r="F2970" s="617">
        <v>44747</v>
      </c>
    </row>
    <row r="2971" spans="1:6" x14ac:dyDescent="0.3">
      <c r="A2971" s="169" t="s">
        <v>6719</v>
      </c>
      <c r="B2971" s="190" t="s">
        <v>7198</v>
      </c>
      <c r="C2971" s="163" t="s">
        <v>1376</v>
      </c>
      <c r="D2971" s="164">
        <v>112.9</v>
      </c>
      <c r="E2971" s="165" t="s">
        <v>7192</v>
      </c>
      <c r="F2971" s="617">
        <v>44747</v>
      </c>
    </row>
    <row r="2972" spans="1:6" x14ac:dyDescent="0.3">
      <c r="A2972" s="169" t="s">
        <v>6720</v>
      </c>
      <c r="B2972" s="190" t="s">
        <v>7199</v>
      </c>
      <c r="C2972" s="163" t="s">
        <v>1376</v>
      </c>
      <c r="D2972" s="164">
        <v>126.79</v>
      </c>
      <c r="E2972" s="165" t="s">
        <v>7192</v>
      </c>
      <c r="F2972" s="617">
        <v>44747</v>
      </c>
    </row>
    <row r="2973" spans="1:6" x14ac:dyDescent="0.3">
      <c r="A2973" s="169" t="s">
        <v>6721</v>
      </c>
      <c r="B2973" s="190" t="s">
        <v>7200</v>
      </c>
      <c r="C2973" s="163" t="s">
        <v>1376</v>
      </c>
      <c r="D2973" s="164">
        <v>25.68</v>
      </c>
      <c r="E2973" s="165" t="s">
        <v>7192</v>
      </c>
      <c r="F2973" s="617">
        <v>44747</v>
      </c>
    </row>
    <row r="2974" spans="1:6" x14ac:dyDescent="0.3">
      <c r="A2974" s="169" t="s">
        <v>6722</v>
      </c>
      <c r="B2974" s="190" t="s">
        <v>7201</v>
      </c>
      <c r="C2974" s="163" t="s">
        <v>1376</v>
      </c>
      <c r="D2974" s="164">
        <v>189.28</v>
      </c>
      <c r="E2974" s="165" t="s">
        <v>7192</v>
      </c>
      <c r="F2974" s="617">
        <v>44747</v>
      </c>
    </row>
    <row r="2975" spans="1:6" x14ac:dyDescent="0.3">
      <c r="A2975" s="169" t="s">
        <v>6723</v>
      </c>
      <c r="B2975" s="190" t="s">
        <v>7202</v>
      </c>
      <c r="C2975" s="163" t="s">
        <v>1376</v>
      </c>
      <c r="D2975" s="164">
        <v>93.22</v>
      </c>
      <c r="E2975" s="165" t="s">
        <v>7192</v>
      </c>
      <c r="F2975" s="617">
        <v>44747</v>
      </c>
    </row>
    <row r="2976" spans="1:6" x14ac:dyDescent="0.3">
      <c r="A2976" s="169" t="s">
        <v>6724</v>
      </c>
      <c r="B2976" s="190" t="s">
        <v>7203</v>
      </c>
      <c r="C2976" s="163" t="s">
        <v>1376</v>
      </c>
      <c r="D2976" s="164">
        <v>299.64</v>
      </c>
      <c r="E2976" s="165" t="s">
        <v>7192</v>
      </c>
      <c r="F2976" s="617">
        <v>44747</v>
      </c>
    </row>
    <row r="2977" spans="1:6" x14ac:dyDescent="0.3">
      <c r="A2977" s="169" t="s">
        <v>6725</v>
      </c>
      <c r="B2977" s="190" t="s">
        <v>7204</v>
      </c>
      <c r="C2977" s="163" t="s">
        <v>1376</v>
      </c>
      <c r="D2977" s="164">
        <v>927.01</v>
      </c>
      <c r="E2977" s="165" t="s">
        <v>7192</v>
      </c>
      <c r="F2977" s="617">
        <v>44747</v>
      </c>
    </row>
    <row r="2978" spans="1:6" x14ac:dyDescent="0.3">
      <c r="A2978" s="169" t="s">
        <v>6726</v>
      </c>
      <c r="B2978" s="190" t="s">
        <v>7206</v>
      </c>
      <c r="C2978" s="163" t="s">
        <v>1376</v>
      </c>
      <c r="D2978" s="164">
        <v>302.31</v>
      </c>
      <c r="E2978" s="165" t="s">
        <v>7192</v>
      </c>
      <c r="F2978" s="617">
        <v>44747</v>
      </c>
    </row>
    <row r="2979" spans="1:6" x14ac:dyDescent="0.3">
      <c r="A2979" s="169" t="s">
        <v>6727</v>
      </c>
      <c r="B2979" s="190" t="s">
        <v>7205</v>
      </c>
      <c r="C2979" s="163" t="s">
        <v>1376</v>
      </c>
      <c r="D2979" s="164">
        <v>377.71</v>
      </c>
      <c r="E2979" s="165" t="s">
        <v>7192</v>
      </c>
      <c r="F2979" s="617">
        <v>44747</v>
      </c>
    </row>
    <row r="2980" spans="1:6" x14ac:dyDescent="0.3">
      <c r="A2980" s="169" t="s">
        <v>6728</v>
      </c>
      <c r="B2980" s="190" t="s">
        <v>7207</v>
      </c>
      <c r="C2980" s="163" t="s">
        <v>1376</v>
      </c>
      <c r="D2980" s="164">
        <v>146.63999999999999</v>
      </c>
      <c r="E2980" s="165" t="s">
        <v>7192</v>
      </c>
      <c r="F2980" s="617">
        <v>44747</v>
      </c>
    </row>
    <row r="2981" spans="1:6" x14ac:dyDescent="0.3">
      <c r="A2981" s="169" t="s">
        <v>6729</v>
      </c>
      <c r="B2981" s="190" t="s">
        <v>7208</v>
      </c>
      <c r="C2981" s="163" t="s">
        <v>1376</v>
      </c>
      <c r="D2981" s="164">
        <v>212.18</v>
      </c>
      <c r="E2981" s="165" t="s">
        <v>7192</v>
      </c>
      <c r="F2981" s="617">
        <v>44747</v>
      </c>
    </row>
    <row r="2982" spans="1:6" x14ac:dyDescent="0.3">
      <c r="A2982" s="169" t="s">
        <v>6730</v>
      </c>
      <c r="B2982" s="190" t="s">
        <v>7209</v>
      </c>
      <c r="C2982" s="163" t="s">
        <v>1376</v>
      </c>
      <c r="D2982" s="164">
        <v>164.24</v>
      </c>
      <c r="E2982" s="165" t="s">
        <v>7192</v>
      </c>
      <c r="F2982" s="617">
        <v>44747</v>
      </c>
    </row>
    <row r="2983" spans="1:6" x14ac:dyDescent="0.3">
      <c r="A2983" s="169" t="s">
        <v>6731</v>
      </c>
      <c r="B2983" s="190" t="s">
        <v>7214</v>
      </c>
      <c r="C2983" s="163" t="s">
        <v>1376</v>
      </c>
      <c r="D2983" s="164">
        <v>24.01</v>
      </c>
      <c r="E2983" s="165" t="s">
        <v>7192</v>
      </c>
      <c r="F2983" s="617">
        <v>44747</v>
      </c>
    </row>
    <row r="2984" spans="1:6" x14ac:dyDescent="0.3">
      <c r="A2984" s="169" t="s">
        <v>6732</v>
      </c>
      <c r="B2984" s="190" t="s">
        <v>7210</v>
      </c>
      <c r="C2984" s="163" t="s">
        <v>1376</v>
      </c>
      <c r="D2984" s="164">
        <v>1293.32</v>
      </c>
      <c r="E2984" s="165" t="s">
        <v>7192</v>
      </c>
      <c r="F2984" s="617">
        <v>44747</v>
      </c>
    </row>
    <row r="2985" spans="1:6" x14ac:dyDescent="0.3">
      <c r="A2985" s="169" t="s">
        <v>6733</v>
      </c>
      <c r="B2985" s="190" t="s">
        <v>7211</v>
      </c>
      <c r="C2985" s="163" t="s">
        <v>1376</v>
      </c>
      <c r="D2985" s="164">
        <v>481.11</v>
      </c>
      <c r="E2985" s="165" t="s">
        <v>7192</v>
      </c>
      <c r="F2985" s="617">
        <v>44747</v>
      </c>
    </row>
    <row r="2986" spans="1:6" x14ac:dyDescent="0.3">
      <c r="A2986" s="169" t="s">
        <v>6734</v>
      </c>
      <c r="B2986" s="190" t="s">
        <v>7212</v>
      </c>
      <c r="C2986" s="163" t="s">
        <v>1376</v>
      </c>
      <c r="D2986" s="164">
        <v>543.66</v>
      </c>
      <c r="E2986" s="165" t="s">
        <v>7192</v>
      </c>
      <c r="F2986" s="617">
        <v>44747</v>
      </c>
    </row>
    <row r="2987" spans="1:6" x14ac:dyDescent="0.3">
      <c r="A2987" s="169" t="s">
        <v>6735</v>
      </c>
      <c r="B2987" s="190" t="s">
        <v>7213</v>
      </c>
      <c r="C2987" s="163" t="s">
        <v>1376</v>
      </c>
      <c r="D2987" s="164">
        <v>264.97000000000003</v>
      </c>
      <c r="E2987" s="165" t="s">
        <v>7192</v>
      </c>
      <c r="F2987" s="617">
        <v>44747</v>
      </c>
    </row>
    <row r="2988" spans="1:6" x14ac:dyDescent="0.3">
      <c r="A2988" s="169" t="s">
        <v>6736</v>
      </c>
      <c r="B2988" s="190" t="s">
        <v>1564</v>
      </c>
      <c r="C2988" s="163" t="s">
        <v>1376</v>
      </c>
      <c r="D2988" s="164">
        <v>56.9</v>
      </c>
      <c r="E2988" s="165" t="s">
        <v>3610</v>
      </c>
      <c r="F2988" s="617">
        <v>44747</v>
      </c>
    </row>
    <row r="2989" spans="1:6" x14ac:dyDescent="0.3">
      <c r="A2989" s="169" t="s">
        <v>6737</v>
      </c>
      <c r="B2989" s="190" t="s">
        <v>8347</v>
      </c>
      <c r="C2989" s="163" t="s">
        <v>29</v>
      </c>
      <c r="D2989" s="164">
        <v>1</v>
      </c>
      <c r="E2989" s="165" t="s">
        <v>8010</v>
      </c>
      <c r="F2989" s="617">
        <v>45615</v>
      </c>
    </row>
    <row r="2990" spans="1:6" x14ac:dyDescent="0.3">
      <c r="A2990" s="169" t="s">
        <v>6738</v>
      </c>
      <c r="B2990" s="190" t="s">
        <v>7216</v>
      </c>
      <c r="C2990" s="163" t="s">
        <v>1376</v>
      </c>
      <c r="D2990" s="164">
        <f>(((((95400/136)*1.1651)*1.03)/1.03)*1.02)/1.02</f>
        <v>817.2833823529412</v>
      </c>
      <c r="E2990" s="165" t="s">
        <v>7215</v>
      </c>
      <c r="F2990" s="617">
        <v>44747</v>
      </c>
    </row>
    <row r="2991" spans="1:6" x14ac:dyDescent="0.3">
      <c r="A2991" s="169" t="s">
        <v>6739</v>
      </c>
      <c r="B2991" s="190" t="s">
        <v>7217</v>
      </c>
      <c r="C2991" s="163" t="s">
        <v>29</v>
      </c>
      <c r="D2991" s="160">
        <v>1</v>
      </c>
      <c r="E2991" s="165" t="s">
        <v>7215</v>
      </c>
      <c r="F2991" s="617">
        <v>44747</v>
      </c>
    </row>
    <row r="2992" spans="1:6" x14ac:dyDescent="0.3">
      <c r="A2992" s="169" t="s">
        <v>6740</v>
      </c>
      <c r="B2992" s="190" t="s">
        <v>7218</v>
      </c>
      <c r="C2992" s="163" t="s">
        <v>29</v>
      </c>
      <c r="D2992" s="160">
        <v>1</v>
      </c>
      <c r="E2992" s="165" t="s">
        <v>2335</v>
      </c>
      <c r="F2992" s="617">
        <v>44747</v>
      </c>
    </row>
    <row r="2993" spans="1:6" x14ac:dyDescent="0.3">
      <c r="A2993" s="169" t="s">
        <v>6741</v>
      </c>
      <c r="B2993" s="190" t="s">
        <v>8349</v>
      </c>
      <c r="C2993" s="163" t="s">
        <v>29</v>
      </c>
      <c r="D2993" s="160">
        <v>1</v>
      </c>
      <c r="E2993" s="165" t="s">
        <v>2335</v>
      </c>
      <c r="F2993" s="617">
        <v>44747</v>
      </c>
    </row>
    <row r="2994" spans="1:6" x14ac:dyDescent="0.3">
      <c r="A2994" s="169" t="s">
        <v>6742</v>
      </c>
      <c r="B2994" s="190" t="s">
        <v>7219</v>
      </c>
      <c r="C2994" s="163" t="s">
        <v>29</v>
      </c>
      <c r="D2994" s="160">
        <v>1</v>
      </c>
      <c r="E2994" s="165" t="s">
        <v>2335</v>
      </c>
      <c r="F2994" s="617">
        <v>44747</v>
      </c>
    </row>
    <row r="2995" spans="1:6" x14ac:dyDescent="0.3">
      <c r="A2995" s="169" t="s">
        <v>6743</v>
      </c>
      <c r="B2995" s="190" t="s">
        <v>7887</v>
      </c>
      <c r="C2995" s="163" t="s">
        <v>29</v>
      </c>
      <c r="D2995" s="160">
        <v>1</v>
      </c>
      <c r="E2995" s="165" t="s">
        <v>2335</v>
      </c>
      <c r="F2995" s="617">
        <v>44747</v>
      </c>
    </row>
    <row r="2996" spans="1:6" x14ac:dyDescent="0.3">
      <c r="A2996" s="169" t="s">
        <v>6744</v>
      </c>
      <c r="B2996" s="190" t="s">
        <v>7220</v>
      </c>
      <c r="C2996" s="163" t="s">
        <v>29</v>
      </c>
      <c r="D2996" s="160">
        <v>1</v>
      </c>
      <c r="E2996" s="165" t="s">
        <v>2335</v>
      </c>
      <c r="F2996" s="617">
        <v>44747</v>
      </c>
    </row>
    <row r="2997" spans="1:6" x14ac:dyDescent="0.3">
      <c r="A2997" s="169" t="s">
        <v>6745</v>
      </c>
      <c r="B2997" s="190" t="s">
        <v>7221</v>
      </c>
      <c r="C2997" s="163" t="s">
        <v>29</v>
      </c>
      <c r="D2997" s="160">
        <v>1</v>
      </c>
      <c r="E2997" s="165" t="s">
        <v>2335</v>
      </c>
      <c r="F2997" s="617">
        <v>44747</v>
      </c>
    </row>
    <row r="2998" spans="1:6" x14ac:dyDescent="0.3">
      <c r="A2998" s="169" t="s">
        <v>6746</v>
      </c>
      <c r="B2998" s="190" t="s">
        <v>7226</v>
      </c>
      <c r="C2998" s="163" t="s">
        <v>2088</v>
      </c>
      <c r="D2998" s="164">
        <f>((((88.23/20)*1.03)/1.03)*1.02)/1.02</f>
        <v>4.4115000000000002</v>
      </c>
      <c r="E2998" s="165" t="s">
        <v>947</v>
      </c>
      <c r="F2998" s="617">
        <v>44747</v>
      </c>
    </row>
    <row r="2999" spans="1:6" x14ac:dyDescent="0.3">
      <c r="A2999" s="169" t="s">
        <v>6747</v>
      </c>
      <c r="B2999" s="190" t="s">
        <v>7239</v>
      </c>
      <c r="C2999" s="163" t="s">
        <v>2088</v>
      </c>
      <c r="D2999" s="164">
        <v>28.05</v>
      </c>
      <c r="E2999" s="165" t="s">
        <v>947</v>
      </c>
      <c r="F2999" s="617">
        <v>44747</v>
      </c>
    </row>
    <row r="3000" spans="1:6" x14ac:dyDescent="0.3">
      <c r="A3000" s="169" t="s">
        <v>6748</v>
      </c>
      <c r="B3000" s="190" t="s">
        <v>7227</v>
      </c>
      <c r="C3000" s="163" t="s">
        <v>29</v>
      </c>
      <c r="D3000" s="160">
        <v>1</v>
      </c>
      <c r="E3000" s="165" t="s">
        <v>7228</v>
      </c>
      <c r="F3000" s="617">
        <v>44755</v>
      </c>
    </row>
    <row r="3001" spans="1:6" ht="24.6" x14ac:dyDescent="0.3">
      <c r="A3001" s="169" t="s">
        <v>6749</v>
      </c>
      <c r="B3001" s="190" t="s">
        <v>7229</v>
      </c>
      <c r="C3001" s="163" t="s">
        <v>73</v>
      </c>
      <c r="D3001" s="164">
        <v>25</v>
      </c>
      <c r="E3001" s="165" t="s">
        <v>4482</v>
      </c>
      <c r="F3001" s="617">
        <v>44784</v>
      </c>
    </row>
    <row r="3002" spans="1:6" x14ac:dyDescent="0.3">
      <c r="A3002" s="169" t="s">
        <v>6750</v>
      </c>
      <c r="B3002" s="190" t="s">
        <v>7230</v>
      </c>
      <c r="C3002" s="163" t="s">
        <v>73</v>
      </c>
      <c r="D3002" s="164">
        <f>((125+18)*1.02)/1.02</f>
        <v>143</v>
      </c>
      <c r="E3002" s="165" t="s">
        <v>4482</v>
      </c>
      <c r="F3002" s="617">
        <v>44784</v>
      </c>
    </row>
    <row r="3003" spans="1:6" ht="29.4" customHeight="1" x14ac:dyDescent="0.3">
      <c r="A3003" s="169" t="s">
        <v>6751</v>
      </c>
      <c r="B3003" s="190" t="s">
        <v>7236</v>
      </c>
      <c r="C3003" s="163" t="s">
        <v>73</v>
      </c>
      <c r="D3003" s="164">
        <v>18</v>
      </c>
      <c r="E3003" s="165" t="s">
        <v>4482</v>
      </c>
      <c r="F3003" s="617">
        <v>44784</v>
      </c>
    </row>
    <row r="3004" spans="1:6" x14ac:dyDescent="0.3">
      <c r="A3004" s="169" t="s">
        <v>6752</v>
      </c>
      <c r="B3004" s="190" t="s">
        <v>7328</v>
      </c>
      <c r="C3004" s="163" t="s">
        <v>73</v>
      </c>
      <c r="D3004" s="164">
        <v>102.1</v>
      </c>
      <c r="E3004" s="165" t="s">
        <v>4482</v>
      </c>
      <c r="F3004" s="617">
        <v>44784</v>
      </c>
    </row>
    <row r="3005" spans="1:6" x14ac:dyDescent="0.3">
      <c r="A3005" s="169" t="s">
        <v>6753</v>
      </c>
      <c r="B3005" s="190" t="s">
        <v>7231</v>
      </c>
      <c r="C3005" s="163" t="s">
        <v>73</v>
      </c>
      <c r="D3005" s="164">
        <v>6</v>
      </c>
      <c r="E3005" s="165" t="s">
        <v>4482</v>
      </c>
      <c r="F3005" s="617">
        <v>44784</v>
      </c>
    </row>
    <row r="3006" spans="1:6" x14ac:dyDescent="0.3">
      <c r="A3006" s="169" t="s">
        <v>6754</v>
      </c>
      <c r="B3006" s="190" t="s">
        <v>8745</v>
      </c>
      <c r="C3006" s="163" t="s">
        <v>1376</v>
      </c>
      <c r="D3006" s="164">
        <v>89.5</v>
      </c>
      <c r="E3006" s="165" t="s">
        <v>8743</v>
      </c>
      <c r="F3006" s="617">
        <v>44759</v>
      </c>
    </row>
    <row r="3007" spans="1:6" x14ac:dyDescent="0.3">
      <c r="A3007" s="169" t="s">
        <v>6755</v>
      </c>
      <c r="B3007" s="190" t="s">
        <v>8744</v>
      </c>
      <c r="C3007" s="163" t="s">
        <v>1376</v>
      </c>
      <c r="D3007" s="164">
        <v>89.5</v>
      </c>
      <c r="E3007" s="165" t="s">
        <v>8743</v>
      </c>
      <c r="F3007" s="617">
        <v>44759</v>
      </c>
    </row>
    <row r="3008" spans="1:6" x14ac:dyDescent="0.3">
      <c r="A3008" s="169" t="s">
        <v>6756</v>
      </c>
      <c r="B3008" s="190" t="s">
        <v>8746</v>
      </c>
      <c r="C3008" s="163" t="s">
        <v>1376</v>
      </c>
      <c r="D3008" s="164">
        <v>94.5</v>
      </c>
      <c r="E3008" s="165" t="s">
        <v>8743</v>
      </c>
      <c r="F3008" s="617">
        <v>45304</v>
      </c>
    </row>
    <row r="3009" spans="1:6" x14ac:dyDescent="0.3">
      <c r="A3009" s="169" t="s">
        <v>6757</v>
      </c>
      <c r="B3009" s="190" t="s">
        <v>8742</v>
      </c>
      <c r="C3009" s="163" t="s">
        <v>1376</v>
      </c>
      <c r="D3009" s="164">
        <v>9</v>
      </c>
      <c r="E3009" s="165" t="s">
        <v>1109</v>
      </c>
      <c r="F3009" s="617">
        <v>45304</v>
      </c>
    </row>
    <row r="3010" spans="1:6" x14ac:dyDescent="0.3">
      <c r="A3010" s="169" t="s">
        <v>6758</v>
      </c>
      <c r="B3010" s="190" t="s">
        <v>7249</v>
      </c>
      <c r="C3010" s="163" t="s">
        <v>74</v>
      </c>
      <c r="D3010" s="164">
        <f>((((566.666666666667*1.0863)*1.03)/1.03)*1.02)/1.02</f>
        <v>615.57000000000039</v>
      </c>
      <c r="E3010" s="165" t="s">
        <v>7237</v>
      </c>
      <c r="F3010" s="617">
        <v>44759</v>
      </c>
    </row>
    <row r="3011" spans="1:6" x14ac:dyDescent="0.3">
      <c r="A3011" s="169" t="s">
        <v>6759</v>
      </c>
      <c r="B3011" s="190" t="str">
        <f>CONCATENATE("Encargos Socias"," - ",'04. Histograma MO'!CE38*100,"%")</f>
        <v>Encargos Socias - 85,98%</v>
      </c>
      <c r="C3011" s="163" t="s">
        <v>29</v>
      </c>
      <c r="D3011" s="160">
        <v>1</v>
      </c>
      <c r="E3011" s="165" t="s">
        <v>3578</v>
      </c>
      <c r="F3011" s="617">
        <v>44759</v>
      </c>
    </row>
    <row r="3012" spans="1:6" x14ac:dyDescent="0.3">
      <c r="A3012" s="169" t="s">
        <v>6760</v>
      </c>
      <c r="B3012" s="190" t="s">
        <v>7271</v>
      </c>
      <c r="C3012" s="163" t="s">
        <v>73</v>
      </c>
      <c r="D3012" s="164">
        <v>117</v>
      </c>
      <c r="E3012" s="165" t="s">
        <v>3610</v>
      </c>
      <c r="F3012" s="617"/>
    </row>
    <row r="3013" spans="1:6" x14ac:dyDescent="0.3">
      <c r="A3013" s="169" t="s">
        <v>6761</v>
      </c>
      <c r="B3013" s="190" t="s">
        <v>7290</v>
      </c>
      <c r="C3013" s="163" t="s">
        <v>37</v>
      </c>
      <c r="D3013" s="164">
        <v>2200</v>
      </c>
      <c r="E3013" s="165" t="s">
        <v>8633</v>
      </c>
      <c r="F3013" s="617">
        <v>45448</v>
      </c>
    </row>
    <row r="3014" spans="1:6" x14ac:dyDescent="0.3">
      <c r="A3014" s="169" t="s">
        <v>6762</v>
      </c>
      <c r="B3014" s="190" t="s">
        <v>8749</v>
      </c>
      <c r="C3014" s="163" t="s">
        <v>1376</v>
      </c>
      <c r="D3014" s="164">
        <v>638</v>
      </c>
      <c r="E3014" s="165" t="s">
        <v>8757</v>
      </c>
      <c r="F3014" s="617">
        <v>44789</v>
      </c>
    </row>
    <row r="3015" spans="1:6" x14ac:dyDescent="0.3">
      <c r="A3015" s="169" t="s">
        <v>6763</v>
      </c>
      <c r="B3015" s="190" t="s">
        <v>8750</v>
      </c>
      <c r="C3015" s="163" t="s">
        <v>1376</v>
      </c>
      <c r="D3015" s="164">
        <v>638</v>
      </c>
      <c r="E3015" s="165" t="s">
        <v>8757</v>
      </c>
      <c r="F3015" s="617">
        <v>44789</v>
      </c>
    </row>
    <row r="3016" spans="1:6" x14ac:dyDescent="0.3">
      <c r="A3016" s="169" t="s">
        <v>6764</v>
      </c>
      <c r="B3016" s="190" t="s">
        <v>8751</v>
      </c>
      <c r="C3016" s="163" t="s">
        <v>1376</v>
      </c>
      <c r="D3016" s="164">
        <v>638</v>
      </c>
      <c r="E3016" s="165" t="s">
        <v>8757</v>
      </c>
      <c r="F3016" s="617">
        <v>44789</v>
      </c>
    </row>
    <row r="3017" spans="1:6" x14ac:dyDescent="0.3">
      <c r="A3017" s="169" t="s">
        <v>6765</v>
      </c>
      <c r="B3017" s="190" t="s">
        <v>8752</v>
      </c>
      <c r="C3017" s="163" t="s">
        <v>1376</v>
      </c>
      <c r="D3017" s="164">
        <v>638</v>
      </c>
      <c r="E3017" s="165" t="s">
        <v>8757</v>
      </c>
      <c r="F3017" s="617">
        <v>44789</v>
      </c>
    </row>
    <row r="3018" spans="1:6" x14ac:dyDescent="0.3">
      <c r="A3018" s="169" t="s">
        <v>6766</v>
      </c>
      <c r="B3018" s="190" t="s">
        <v>8753</v>
      </c>
      <c r="C3018" s="163" t="s">
        <v>1376</v>
      </c>
      <c r="D3018" s="164">
        <v>698</v>
      </c>
      <c r="E3018" s="165" t="s">
        <v>8757</v>
      </c>
      <c r="F3018" s="617">
        <v>44789</v>
      </c>
    </row>
    <row r="3019" spans="1:6" x14ac:dyDescent="0.3">
      <c r="A3019" s="169" t="s">
        <v>6767</v>
      </c>
      <c r="B3019" s="190" t="s">
        <v>8754</v>
      </c>
      <c r="C3019" s="163" t="s">
        <v>1376</v>
      </c>
      <c r="D3019" s="164">
        <v>950</v>
      </c>
      <c r="E3019" s="165" t="s">
        <v>8757</v>
      </c>
      <c r="F3019" s="617">
        <v>44789</v>
      </c>
    </row>
    <row r="3020" spans="1:6" x14ac:dyDescent="0.3">
      <c r="A3020" s="169" t="s">
        <v>6768</v>
      </c>
      <c r="B3020" s="190" t="s">
        <v>8755</v>
      </c>
      <c r="C3020" s="163" t="s">
        <v>1376</v>
      </c>
      <c r="D3020" s="164">
        <v>950</v>
      </c>
      <c r="E3020" s="165" t="s">
        <v>8757</v>
      </c>
      <c r="F3020" s="617">
        <v>44789</v>
      </c>
    </row>
    <row r="3021" spans="1:6" x14ac:dyDescent="0.3">
      <c r="A3021" s="169" t="s">
        <v>6769</v>
      </c>
      <c r="B3021" s="190" t="s">
        <v>8756</v>
      </c>
      <c r="C3021" s="163" t="s">
        <v>1376</v>
      </c>
      <c r="D3021" s="164">
        <v>950</v>
      </c>
      <c r="E3021" s="165" t="s">
        <v>8757</v>
      </c>
      <c r="F3021" s="617">
        <v>44789</v>
      </c>
    </row>
    <row r="3022" spans="1:6" x14ac:dyDescent="0.3">
      <c r="A3022" s="169" t="s">
        <v>6770</v>
      </c>
      <c r="B3022" s="190" t="s">
        <v>8758</v>
      </c>
      <c r="C3022" s="163" t="s">
        <v>29</v>
      </c>
      <c r="D3022" s="164">
        <v>2500</v>
      </c>
      <c r="E3022" s="165" t="s">
        <v>8757</v>
      </c>
      <c r="F3022" s="617">
        <v>44789</v>
      </c>
    </row>
    <row r="3023" spans="1:6" x14ac:dyDescent="0.3">
      <c r="A3023" s="169" t="s">
        <v>6771</v>
      </c>
      <c r="B3023" s="190" t="s">
        <v>7294</v>
      </c>
      <c r="C3023" s="163" t="s">
        <v>1376</v>
      </c>
      <c r="D3023" s="164">
        <v>120</v>
      </c>
      <c r="E3023" s="165" t="s">
        <v>8757</v>
      </c>
      <c r="F3023" s="617">
        <v>44791</v>
      </c>
    </row>
    <row r="3024" spans="1:6" x14ac:dyDescent="0.3">
      <c r="A3024" s="169" t="s">
        <v>6772</v>
      </c>
      <c r="B3024" s="190" t="s">
        <v>8702</v>
      </c>
      <c r="C3024" s="163" t="s">
        <v>1376</v>
      </c>
      <c r="D3024" s="164">
        <v>1132.8900000000001</v>
      </c>
      <c r="E3024" s="165" t="s">
        <v>8731</v>
      </c>
      <c r="F3024" s="617">
        <v>45450</v>
      </c>
    </row>
    <row r="3025" spans="1:6" x14ac:dyDescent="0.3">
      <c r="A3025" s="169" t="s">
        <v>6773</v>
      </c>
      <c r="B3025" s="190" t="s">
        <v>8703</v>
      </c>
      <c r="C3025" s="163" t="s">
        <v>1376</v>
      </c>
      <c r="D3025" s="164">
        <v>3692</v>
      </c>
      <c r="E3025" s="165" t="s">
        <v>8731</v>
      </c>
      <c r="F3025" s="617">
        <v>45450</v>
      </c>
    </row>
    <row r="3026" spans="1:6" x14ac:dyDescent="0.3">
      <c r="A3026" s="169" t="s">
        <v>6774</v>
      </c>
      <c r="B3026" s="190" t="s">
        <v>8704</v>
      </c>
      <c r="C3026" s="163" t="s">
        <v>1376</v>
      </c>
      <c r="D3026" s="164">
        <v>3282</v>
      </c>
      <c r="E3026" s="165" t="s">
        <v>8731</v>
      </c>
      <c r="F3026" s="617">
        <v>45450</v>
      </c>
    </row>
    <row r="3027" spans="1:6" x14ac:dyDescent="0.3">
      <c r="A3027" s="169" t="s">
        <v>6775</v>
      </c>
      <c r="B3027" s="190" t="s">
        <v>8705</v>
      </c>
      <c r="C3027" s="163" t="s">
        <v>1376</v>
      </c>
      <c r="D3027" s="164">
        <v>3345.52</v>
      </c>
      <c r="E3027" s="165" t="s">
        <v>8731</v>
      </c>
      <c r="F3027" s="617">
        <v>45450</v>
      </c>
    </row>
    <row r="3028" spans="1:6" x14ac:dyDescent="0.3">
      <c r="A3028" s="169" t="s">
        <v>6776</v>
      </c>
      <c r="B3028" s="190" t="s">
        <v>8706</v>
      </c>
      <c r="C3028" s="163" t="s">
        <v>1376</v>
      </c>
      <c r="D3028" s="164">
        <v>895.57</v>
      </c>
      <c r="E3028" s="165" t="s">
        <v>8731</v>
      </c>
      <c r="F3028" s="617">
        <v>45450</v>
      </c>
    </row>
    <row r="3029" spans="1:6" x14ac:dyDescent="0.3">
      <c r="A3029" s="169" t="s">
        <v>6777</v>
      </c>
      <c r="B3029" s="190" t="s">
        <v>8707</v>
      </c>
      <c r="C3029" s="163" t="s">
        <v>1376</v>
      </c>
      <c r="D3029" s="164">
        <v>2503</v>
      </c>
      <c r="E3029" s="165" t="s">
        <v>8731</v>
      </c>
      <c r="F3029" s="617">
        <v>45450</v>
      </c>
    </row>
    <row r="3030" spans="1:6" x14ac:dyDescent="0.3">
      <c r="A3030" s="169" t="s">
        <v>6778</v>
      </c>
      <c r="B3030" s="190" t="s">
        <v>8708</v>
      </c>
      <c r="C3030" s="163" t="s">
        <v>1376</v>
      </c>
      <c r="D3030" s="164">
        <v>3065.86</v>
      </c>
      <c r="E3030" s="165" t="s">
        <v>8731</v>
      </c>
      <c r="F3030" s="617">
        <v>45450</v>
      </c>
    </row>
    <row r="3031" spans="1:6" x14ac:dyDescent="0.3">
      <c r="A3031" s="169" t="s">
        <v>6779</v>
      </c>
      <c r="B3031" s="190" t="s">
        <v>8709</v>
      </c>
      <c r="C3031" s="163" t="s">
        <v>1376</v>
      </c>
      <c r="D3031" s="164">
        <v>1596</v>
      </c>
      <c r="E3031" s="165" t="s">
        <v>8731</v>
      </c>
      <c r="F3031" s="617">
        <v>45450</v>
      </c>
    </row>
    <row r="3032" spans="1:6" x14ac:dyDescent="0.3">
      <c r="A3032" s="169" t="s">
        <v>6780</v>
      </c>
      <c r="B3032" s="190" t="s">
        <v>8710</v>
      </c>
      <c r="C3032" s="163" t="s">
        <v>1376</v>
      </c>
      <c r="D3032" s="164">
        <v>1649</v>
      </c>
      <c r="E3032" s="165" t="s">
        <v>8731</v>
      </c>
      <c r="F3032" s="617">
        <v>45450</v>
      </c>
    </row>
    <row r="3033" spans="1:6" x14ac:dyDescent="0.3">
      <c r="A3033" s="169" t="s">
        <v>6781</v>
      </c>
      <c r="B3033" s="190" t="s">
        <v>8711</v>
      </c>
      <c r="C3033" s="163" t="s">
        <v>1376</v>
      </c>
      <c r="D3033" s="164">
        <v>5713</v>
      </c>
      <c r="E3033" s="165" t="s">
        <v>8731</v>
      </c>
      <c r="F3033" s="617">
        <v>45450</v>
      </c>
    </row>
    <row r="3034" spans="1:6" x14ac:dyDescent="0.3">
      <c r="A3034" s="169" t="s">
        <v>6782</v>
      </c>
      <c r="B3034" s="190" t="s">
        <v>8712</v>
      </c>
      <c r="C3034" s="163" t="s">
        <v>1376</v>
      </c>
      <c r="D3034" s="164">
        <v>1510</v>
      </c>
      <c r="E3034" s="165" t="s">
        <v>8731</v>
      </c>
      <c r="F3034" s="617">
        <v>45450</v>
      </c>
    </row>
    <row r="3035" spans="1:6" x14ac:dyDescent="0.3">
      <c r="A3035" s="169" t="s">
        <v>6783</v>
      </c>
      <c r="B3035" s="190" t="s">
        <v>8713</v>
      </c>
      <c r="C3035" s="163" t="s">
        <v>1376</v>
      </c>
      <c r="D3035" s="164">
        <v>2954</v>
      </c>
      <c r="E3035" s="165" t="s">
        <v>8731</v>
      </c>
      <c r="F3035" s="617">
        <v>45450</v>
      </c>
    </row>
    <row r="3036" spans="1:6" x14ac:dyDescent="0.3">
      <c r="A3036" s="169" t="s">
        <v>6784</v>
      </c>
      <c r="B3036" s="190" t="s">
        <v>8714</v>
      </c>
      <c r="C3036" s="163" t="s">
        <v>1376</v>
      </c>
      <c r="D3036" s="164">
        <v>2774</v>
      </c>
      <c r="E3036" s="165" t="s">
        <v>8731</v>
      </c>
      <c r="F3036" s="617">
        <v>45450</v>
      </c>
    </row>
    <row r="3037" spans="1:6" x14ac:dyDescent="0.3">
      <c r="A3037" s="169" t="s">
        <v>6785</v>
      </c>
      <c r="B3037" s="190" t="s">
        <v>8715</v>
      </c>
      <c r="C3037" s="163" t="s">
        <v>1376</v>
      </c>
      <c r="D3037" s="164">
        <v>13936</v>
      </c>
      <c r="E3037" s="165" t="s">
        <v>8731</v>
      </c>
      <c r="F3037" s="617">
        <v>45450</v>
      </c>
    </row>
    <row r="3038" spans="1:6" x14ac:dyDescent="0.3">
      <c r="A3038" s="169" t="s">
        <v>6786</v>
      </c>
      <c r="B3038" s="190" t="s">
        <v>8716</v>
      </c>
      <c r="C3038" s="163" t="s">
        <v>1376</v>
      </c>
      <c r="D3038" s="164">
        <v>12130</v>
      </c>
      <c r="E3038" s="165" t="s">
        <v>8731</v>
      </c>
      <c r="F3038" s="617">
        <v>45450</v>
      </c>
    </row>
    <row r="3039" spans="1:6" x14ac:dyDescent="0.3">
      <c r="A3039" s="169" t="s">
        <v>6787</v>
      </c>
      <c r="B3039" s="190" t="s">
        <v>8717</v>
      </c>
      <c r="C3039" s="163" t="s">
        <v>1376</v>
      </c>
      <c r="D3039" s="164">
        <v>7320</v>
      </c>
      <c r="E3039" s="165" t="s">
        <v>8731</v>
      </c>
      <c r="F3039" s="617">
        <v>45450</v>
      </c>
    </row>
    <row r="3040" spans="1:6" x14ac:dyDescent="0.3">
      <c r="A3040" s="169" t="s">
        <v>6788</v>
      </c>
      <c r="B3040" s="190" t="s">
        <v>8718</v>
      </c>
      <c r="C3040" s="163" t="s">
        <v>1376</v>
      </c>
      <c r="D3040" s="164">
        <v>2063.5</v>
      </c>
      <c r="E3040" s="165" t="s">
        <v>8731</v>
      </c>
      <c r="F3040" s="617">
        <v>45450</v>
      </c>
    </row>
    <row r="3041" spans="1:6" x14ac:dyDescent="0.3">
      <c r="A3041" s="169" t="s">
        <v>6789</v>
      </c>
      <c r="B3041" s="190" t="s">
        <v>8719</v>
      </c>
      <c r="C3041" s="163" t="s">
        <v>1376</v>
      </c>
      <c r="D3041" s="164">
        <v>2256.5</v>
      </c>
      <c r="E3041" s="165" t="s">
        <v>8731</v>
      </c>
      <c r="F3041" s="617">
        <v>45450</v>
      </c>
    </row>
    <row r="3042" spans="1:6" x14ac:dyDescent="0.3">
      <c r="A3042" s="169" t="s">
        <v>6790</v>
      </c>
      <c r="B3042" s="190" t="s">
        <v>8720</v>
      </c>
      <c r="C3042" s="163" t="s">
        <v>1376</v>
      </c>
      <c r="D3042" s="164">
        <v>2590</v>
      </c>
      <c r="E3042" s="165" t="s">
        <v>8731</v>
      </c>
      <c r="F3042" s="617">
        <v>45450</v>
      </c>
    </row>
    <row r="3043" spans="1:6" x14ac:dyDescent="0.3">
      <c r="A3043" s="169" t="s">
        <v>6791</v>
      </c>
      <c r="B3043" s="190" t="s">
        <v>8648</v>
      </c>
      <c r="C3043" s="163" t="s">
        <v>29</v>
      </c>
      <c r="D3043" s="164">
        <f>440000+580000</f>
        <v>1020000</v>
      </c>
      <c r="E3043" s="165" t="s">
        <v>8644</v>
      </c>
      <c r="F3043" s="617">
        <v>45450</v>
      </c>
    </row>
    <row r="3044" spans="1:6" x14ac:dyDescent="0.3">
      <c r="A3044" s="169" t="s">
        <v>6792</v>
      </c>
      <c r="B3044" s="190" t="s">
        <v>8647</v>
      </c>
      <c r="C3044" s="163" t="s">
        <v>29</v>
      </c>
      <c r="D3044" s="164">
        <f>120000+160000</f>
        <v>280000</v>
      </c>
      <c r="E3044" s="165" t="s">
        <v>8644</v>
      </c>
      <c r="F3044" s="617">
        <v>45450</v>
      </c>
    </row>
    <row r="3045" spans="1:6" x14ac:dyDescent="0.3">
      <c r="A3045" s="169" t="s">
        <v>6793</v>
      </c>
      <c r="B3045" s="190" t="s">
        <v>8659</v>
      </c>
      <c r="C3045" s="163" t="s">
        <v>29</v>
      </c>
      <c r="D3045" s="164">
        <f>330000+440000</f>
        <v>770000</v>
      </c>
      <c r="E3045" s="165" t="s">
        <v>8644</v>
      </c>
      <c r="F3045" s="617">
        <v>45450</v>
      </c>
    </row>
    <row r="3046" spans="1:6" x14ac:dyDescent="0.3">
      <c r="A3046" s="169" t="s">
        <v>6794</v>
      </c>
      <c r="B3046" s="190" t="s">
        <v>8646</v>
      </c>
      <c r="C3046" s="163" t="s">
        <v>29</v>
      </c>
      <c r="D3046" s="164">
        <f>310000+400000</f>
        <v>710000</v>
      </c>
      <c r="E3046" s="165" t="s">
        <v>8644</v>
      </c>
      <c r="F3046" s="617">
        <v>45450</v>
      </c>
    </row>
    <row r="3047" spans="1:6" x14ac:dyDescent="0.3">
      <c r="A3047" s="169" t="s">
        <v>6795</v>
      </c>
      <c r="B3047" s="190" t="s">
        <v>8645</v>
      </c>
      <c r="C3047" s="163" t="s">
        <v>29</v>
      </c>
      <c r="D3047" s="164">
        <f>120000+170000</f>
        <v>290000</v>
      </c>
      <c r="E3047" s="165" t="s">
        <v>8644</v>
      </c>
      <c r="F3047" s="617">
        <v>45450</v>
      </c>
    </row>
    <row r="3048" spans="1:6" x14ac:dyDescent="0.3">
      <c r="A3048" s="169" t="s">
        <v>6796</v>
      </c>
      <c r="B3048" s="190" t="s">
        <v>8464</v>
      </c>
      <c r="C3048" s="163" t="s">
        <v>1376</v>
      </c>
      <c r="D3048" s="164">
        <v>115000</v>
      </c>
      <c r="E3048" s="165" t="s">
        <v>8367</v>
      </c>
      <c r="F3048" s="617">
        <v>45602</v>
      </c>
    </row>
    <row r="3049" spans="1:6" x14ac:dyDescent="0.3">
      <c r="A3049" s="169" t="s">
        <v>6797</v>
      </c>
      <c r="B3049" s="190" t="s">
        <v>7503</v>
      </c>
      <c r="C3049" s="163" t="s">
        <v>29</v>
      </c>
      <c r="D3049" s="160">
        <v>1</v>
      </c>
      <c r="E3049" s="165" t="s">
        <v>3610</v>
      </c>
      <c r="F3049" s="617"/>
    </row>
    <row r="3050" spans="1:6" x14ac:dyDescent="0.3">
      <c r="A3050" s="169" t="s">
        <v>6798</v>
      </c>
      <c r="B3050" s="190" t="s">
        <v>7295</v>
      </c>
      <c r="C3050" s="163" t="s">
        <v>29</v>
      </c>
      <c r="D3050" s="164">
        <v>73900</v>
      </c>
      <c r="E3050" s="165" t="s">
        <v>8644</v>
      </c>
      <c r="F3050" s="617"/>
    </row>
    <row r="3051" spans="1:6" x14ac:dyDescent="0.3">
      <c r="A3051" s="169" t="s">
        <v>6799</v>
      </c>
      <c r="B3051" s="190" t="s">
        <v>7298</v>
      </c>
      <c r="C3051" s="163" t="s">
        <v>29</v>
      </c>
      <c r="D3051" s="160">
        <v>1</v>
      </c>
      <c r="E3051" s="165"/>
      <c r="F3051" s="617"/>
    </row>
    <row r="3052" spans="1:6" x14ac:dyDescent="0.3">
      <c r="A3052" s="169" t="s">
        <v>6800</v>
      </c>
      <c r="B3052" s="190" t="s">
        <v>7293</v>
      </c>
      <c r="C3052" s="163" t="s">
        <v>29</v>
      </c>
      <c r="D3052" s="164">
        <v>40000</v>
      </c>
      <c r="E3052" s="165" t="s">
        <v>3610</v>
      </c>
      <c r="F3052" s="617">
        <v>45449</v>
      </c>
    </row>
    <row r="3053" spans="1:6" x14ac:dyDescent="0.3">
      <c r="A3053" s="169" t="s">
        <v>6801</v>
      </c>
      <c r="B3053" s="190" t="s">
        <v>7299</v>
      </c>
      <c r="C3053" s="163" t="s">
        <v>37</v>
      </c>
      <c r="D3053" s="837">
        <v>1050</v>
      </c>
      <c r="E3053" s="165" t="s">
        <v>7304</v>
      </c>
      <c r="F3053" s="617"/>
    </row>
    <row r="3054" spans="1:6" x14ac:dyDescent="0.3">
      <c r="A3054" s="169" t="s">
        <v>6802</v>
      </c>
      <c r="B3054" s="156" t="s">
        <v>7303</v>
      </c>
      <c r="C3054" s="163" t="s">
        <v>37</v>
      </c>
      <c r="D3054" s="164">
        <v>850</v>
      </c>
      <c r="E3054" s="165"/>
      <c r="F3054" s="617"/>
    </row>
    <row r="3055" spans="1:6" x14ac:dyDescent="0.3">
      <c r="A3055" s="169" t="s">
        <v>6803</v>
      </c>
      <c r="B3055" s="190" t="s">
        <v>7306</v>
      </c>
      <c r="C3055" s="163" t="s">
        <v>29</v>
      </c>
      <c r="D3055" s="160">
        <v>1</v>
      </c>
      <c r="E3055" s="165"/>
      <c r="F3055" s="617"/>
    </row>
    <row r="3056" spans="1:6" x14ac:dyDescent="0.3">
      <c r="A3056" s="169" t="s">
        <v>6804</v>
      </c>
      <c r="B3056" s="190" t="s">
        <v>7309</v>
      </c>
      <c r="C3056" s="163" t="s">
        <v>29</v>
      </c>
      <c r="D3056" s="160">
        <v>1</v>
      </c>
      <c r="E3056" s="165"/>
      <c r="F3056" s="617"/>
    </row>
    <row r="3057" spans="1:6" x14ac:dyDescent="0.3">
      <c r="A3057" s="169" t="s">
        <v>6805</v>
      </c>
      <c r="B3057" s="190" t="s">
        <v>7317</v>
      </c>
      <c r="C3057" s="163" t="s">
        <v>1376</v>
      </c>
      <c r="D3057" s="164">
        <v>820.55</v>
      </c>
      <c r="E3057" s="165" t="s">
        <v>7325</v>
      </c>
      <c r="F3057" s="617">
        <v>44788</v>
      </c>
    </row>
    <row r="3058" spans="1:6" x14ac:dyDescent="0.3">
      <c r="A3058" s="169" t="s">
        <v>6806</v>
      </c>
      <c r="B3058" s="190" t="s">
        <v>7318</v>
      </c>
      <c r="C3058" s="163" t="s">
        <v>1376</v>
      </c>
      <c r="D3058" s="164">
        <v>418.32</v>
      </c>
      <c r="E3058" s="165" t="s">
        <v>7325</v>
      </c>
      <c r="F3058" s="617">
        <v>44788</v>
      </c>
    </row>
    <row r="3059" spans="1:6" x14ac:dyDescent="0.3">
      <c r="A3059" s="169" t="s">
        <v>6807</v>
      </c>
      <c r="B3059" s="190" t="s">
        <v>7319</v>
      </c>
      <c r="C3059" s="163" t="s">
        <v>1376</v>
      </c>
      <c r="D3059" s="164">
        <v>17</v>
      </c>
      <c r="E3059" s="165" t="s">
        <v>7326</v>
      </c>
      <c r="F3059" s="617">
        <v>44657</v>
      </c>
    </row>
    <row r="3060" spans="1:6" x14ac:dyDescent="0.3">
      <c r="A3060" s="169" t="s">
        <v>6808</v>
      </c>
      <c r="B3060" s="190" t="s">
        <v>7320</v>
      </c>
      <c r="C3060" s="163" t="s">
        <v>1376</v>
      </c>
      <c r="D3060" s="164">
        <f>((((4.15*50)*1.03)/1.03)*1.02)/1.02</f>
        <v>207.50000000000003</v>
      </c>
      <c r="E3060" s="165" t="s">
        <v>7326</v>
      </c>
      <c r="F3060" s="617">
        <v>44657</v>
      </c>
    </row>
    <row r="3061" spans="1:6" x14ac:dyDescent="0.3">
      <c r="A3061" s="169" t="s">
        <v>6809</v>
      </c>
      <c r="B3061" s="190" t="s">
        <v>7321</v>
      </c>
      <c r="C3061" s="163" t="s">
        <v>1376</v>
      </c>
      <c r="D3061" s="164">
        <v>112.53</v>
      </c>
      <c r="E3061" s="165" t="s">
        <v>7325</v>
      </c>
      <c r="F3061" s="617">
        <v>44788</v>
      </c>
    </row>
    <row r="3062" spans="1:6" x14ac:dyDescent="0.3">
      <c r="A3062" s="169" t="s">
        <v>6810</v>
      </c>
      <c r="B3062" s="190" t="s">
        <v>7322</v>
      </c>
      <c r="C3062" s="163" t="s">
        <v>1376</v>
      </c>
      <c r="D3062" s="164">
        <f>((((4.2*50)*1.03)/1.03)*1.02)/1.02</f>
        <v>210</v>
      </c>
      <c r="E3062" s="165" t="s">
        <v>7326</v>
      </c>
      <c r="F3062" s="617">
        <v>44657</v>
      </c>
    </row>
    <row r="3063" spans="1:6" x14ac:dyDescent="0.3">
      <c r="A3063" s="169" t="s">
        <v>6811</v>
      </c>
      <c r="B3063" s="190" t="s">
        <v>7323</v>
      </c>
      <c r="C3063" s="163" t="s">
        <v>1376</v>
      </c>
      <c r="D3063" s="164">
        <v>17</v>
      </c>
      <c r="E3063" s="165" t="s">
        <v>7326</v>
      </c>
      <c r="F3063" s="617">
        <v>44657</v>
      </c>
    </row>
    <row r="3064" spans="1:6" x14ac:dyDescent="0.3">
      <c r="A3064" s="169" t="s">
        <v>6812</v>
      </c>
      <c r="B3064" s="190" t="s">
        <v>7324</v>
      </c>
      <c r="C3064" s="163" t="s">
        <v>1376</v>
      </c>
      <c r="D3064" s="164">
        <f>((((26.28+6.25)*1.03)/1.03)*1.02)/1.02</f>
        <v>32.53</v>
      </c>
      <c r="E3064" s="165" t="s">
        <v>7326</v>
      </c>
      <c r="F3064" s="617">
        <v>44657</v>
      </c>
    </row>
    <row r="3065" spans="1:6" x14ac:dyDescent="0.3">
      <c r="A3065" s="169" t="s">
        <v>6813</v>
      </c>
      <c r="B3065" s="190" t="s">
        <v>7327</v>
      </c>
      <c r="C3065" s="163" t="s">
        <v>1376</v>
      </c>
      <c r="D3065" s="164">
        <f>((((7.5*50)*1.03)/1.03)*1.02)/1.02</f>
        <v>375</v>
      </c>
      <c r="E3065" s="165" t="s">
        <v>7326</v>
      </c>
      <c r="F3065" s="617">
        <v>44657</v>
      </c>
    </row>
    <row r="3066" spans="1:6" x14ac:dyDescent="0.3">
      <c r="A3066" s="169" t="s">
        <v>6814</v>
      </c>
      <c r="B3066" s="190" t="s">
        <v>7329</v>
      </c>
      <c r="C3066" s="163" t="s">
        <v>29</v>
      </c>
      <c r="D3066" s="160">
        <v>1</v>
      </c>
      <c r="E3066" s="165" t="s">
        <v>4482</v>
      </c>
      <c r="F3066" s="617">
        <v>44784</v>
      </c>
    </row>
    <row r="3067" spans="1:6" x14ac:dyDescent="0.3">
      <c r="A3067" s="169" t="s">
        <v>6815</v>
      </c>
      <c r="B3067" s="190" t="s">
        <v>7330</v>
      </c>
      <c r="C3067" s="163" t="s">
        <v>73</v>
      </c>
      <c r="D3067" s="164">
        <v>30</v>
      </c>
      <c r="E3067" s="165" t="s">
        <v>4482</v>
      </c>
      <c r="F3067" s="617">
        <v>44784</v>
      </c>
    </row>
    <row r="3068" spans="1:6" x14ac:dyDescent="0.3">
      <c r="A3068" s="169" t="s">
        <v>6816</v>
      </c>
      <c r="B3068" s="190" t="s">
        <v>7331</v>
      </c>
      <c r="C3068" s="163" t="s">
        <v>73</v>
      </c>
      <c r="D3068" s="164">
        <v>89</v>
      </c>
      <c r="E3068" s="165" t="s">
        <v>4482</v>
      </c>
      <c r="F3068" s="617">
        <v>44784</v>
      </c>
    </row>
    <row r="3069" spans="1:6" x14ac:dyDescent="0.3">
      <c r="A3069" s="169" t="s">
        <v>6817</v>
      </c>
      <c r="B3069" s="190" t="s">
        <v>7333</v>
      </c>
      <c r="C3069" s="163" t="s">
        <v>73</v>
      </c>
      <c r="D3069" s="164">
        <v>953.33333333333337</v>
      </c>
      <c r="E3069" s="165" t="s">
        <v>7334</v>
      </c>
      <c r="F3069" s="617">
        <v>44791</v>
      </c>
    </row>
    <row r="3070" spans="1:6" x14ac:dyDescent="0.3">
      <c r="A3070" s="169" t="s">
        <v>6818</v>
      </c>
      <c r="B3070" s="190" t="s">
        <v>7977</v>
      </c>
      <c r="C3070" s="163" t="s">
        <v>73</v>
      </c>
      <c r="D3070" s="164">
        <v>913.83</v>
      </c>
      <c r="E3070" s="826" t="s">
        <v>3816</v>
      </c>
      <c r="F3070" s="617">
        <v>45196</v>
      </c>
    </row>
    <row r="3071" spans="1:6" x14ac:dyDescent="0.3">
      <c r="A3071" s="169" t="s">
        <v>6819</v>
      </c>
      <c r="B3071" s="190" t="s">
        <v>7286</v>
      </c>
      <c r="C3071" s="163" t="s">
        <v>73</v>
      </c>
      <c r="D3071" s="164">
        <v>198</v>
      </c>
      <c r="E3071" s="165" t="s">
        <v>7332</v>
      </c>
      <c r="F3071" s="617"/>
    </row>
    <row r="3072" spans="1:6" x14ac:dyDescent="0.3">
      <c r="A3072" s="169" t="s">
        <v>6820</v>
      </c>
      <c r="B3072" s="190" t="s">
        <v>7335</v>
      </c>
      <c r="C3072" s="163" t="s">
        <v>73</v>
      </c>
      <c r="D3072" s="164">
        <v>68.23</v>
      </c>
      <c r="E3072" s="165" t="s">
        <v>1024</v>
      </c>
      <c r="F3072" s="617">
        <v>44785</v>
      </c>
    </row>
    <row r="3073" spans="1:6" x14ac:dyDescent="0.3">
      <c r="A3073" s="169" t="s">
        <v>6821</v>
      </c>
      <c r="B3073" s="190" t="s">
        <v>7336</v>
      </c>
      <c r="C3073" s="163" t="s">
        <v>73</v>
      </c>
      <c r="D3073" s="164">
        <v>74.709999999999994</v>
      </c>
      <c r="E3073" s="165" t="s">
        <v>1024</v>
      </c>
      <c r="F3073" s="617">
        <v>44785</v>
      </c>
    </row>
    <row r="3074" spans="1:6" x14ac:dyDescent="0.3">
      <c r="A3074" s="169" t="s">
        <v>6822</v>
      </c>
      <c r="B3074" s="190" t="s">
        <v>7337</v>
      </c>
      <c r="C3074" s="163" t="s">
        <v>73</v>
      </c>
      <c r="D3074" s="164">
        <v>89.56</v>
      </c>
      <c r="E3074" s="165" t="s">
        <v>1024</v>
      </c>
      <c r="F3074" s="617">
        <v>44785</v>
      </c>
    </row>
    <row r="3075" spans="1:6" x14ac:dyDescent="0.3">
      <c r="A3075" s="169" t="s">
        <v>6823</v>
      </c>
      <c r="B3075" s="190" t="s">
        <v>7338</v>
      </c>
      <c r="C3075" s="163" t="s">
        <v>73</v>
      </c>
      <c r="D3075" s="164">
        <v>229.98</v>
      </c>
      <c r="E3075" s="165" t="s">
        <v>1024</v>
      </c>
      <c r="F3075" s="617">
        <v>44785</v>
      </c>
    </row>
    <row r="3076" spans="1:6" x14ac:dyDescent="0.3">
      <c r="A3076" s="169" t="s">
        <v>6824</v>
      </c>
      <c r="B3076" s="190" t="s">
        <v>7340</v>
      </c>
      <c r="C3076" s="163" t="s">
        <v>73</v>
      </c>
      <c r="D3076" s="164">
        <v>96.59</v>
      </c>
      <c r="E3076" s="165" t="s">
        <v>1024</v>
      </c>
      <c r="F3076" s="617">
        <v>44785</v>
      </c>
    </row>
    <row r="3077" spans="1:6" x14ac:dyDescent="0.3">
      <c r="A3077" s="169" t="s">
        <v>6825</v>
      </c>
      <c r="B3077" s="190" t="s">
        <v>7341</v>
      </c>
      <c r="C3077" s="163" t="s">
        <v>73</v>
      </c>
      <c r="D3077" s="164">
        <v>96.54</v>
      </c>
      <c r="E3077" s="165" t="s">
        <v>1024</v>
      </c>
      <c r="F3077" s="617">
        <v>44785</v>
      </c>
    </row>
    <row r="3078" spans="1:6" x14ac:dyDescent="0.3">
      <c r="A3078" s="169" t="s">
        <v>6826</v>
      </c>
      <c r="B3078" s="190" t="s">
        <v>7342</v>
      </c>
      <c r="C3078" s="163" t="s">
        <v>73</v>
      </c>
      <c r="D3078" s="164">
        <v>90.14</v>
      </c>
      <c r="E3078" s="165" t="s">
        <v>1024</v>
      </c>
      <c r="F3078" s="617">
        <v>44785</v>
      </c>
    </row>
    <row r="3079" spans="1:6" x14ac:dyDescent="0.3">
      <c r="A3079" s="169" t="s">
        <v>6827</v>
      </c>
      <c r="B3079" s="190" t="s">
        <v>7417</v>
      </c>
      <c r="C3079" s="163" t="s">
        <v>74</v>
      </c>
      <c r="D3079" s="164">
        <v>20.74</v>
      </c>
      <c r="E3079" s="165" t="s">
        <v>7339</v>
      </c>
      <c r="F3079" s="617">
        <v>45183</v>
      </c>
    </row>
    <row r="3080" spans="1:6" x14ac:dyDescent="0.3">
      <c r="A3080" s="169" t="s">
        <v>6828</v>
      </c>
      <c r="B3080" s="190" t="s">
        <v>7814</v>
      </c>
      <c r="C3080" s="163" t="s">
        <v>74</v>
      </c>
      <c r="D3080" s="164">
        <v>14.1</v>
      </c>
      <c r="E3080" s="165" t="s">
        <v>7339</v>
      </c>
      <c r="F3080" s="617">
        <v>45183</v>
      </c>
    </row>
    <row r="3081" spans="1:6" x14ac:dyDescent="0.3">
      <c r="A3081" s="169" t="s">
        <v>6829</v>
      </c>
      <c r="B3081" s="190" t="s">
        <v>7857</v>
      </c>
      <c r="C3081" s="163" t="s">
        <v>1376</v>
      </c>
      <c r="D3081" s="164">
        <f>((1.63*1485)*1.02)/1.02</f>
        <v>2420.5499999999997</v>
      </c>
      <c r="E3081" s="165" t="s">
        <v>7861</v>
      </c>
      <c r="F3081" s="617">
        <v>44785</v>
      </c>
    </row>
    <row r="3082" spans="1:6" x14ac:dyDescent="0.3">
      <c r="A3082" s="169" t="s">
        <v>6830</v>
      </c>
      <c r="B3082" s="190" t="s">
        <v>7859</v>
      </c>
      <c r="C3082" s="163" t="s">
        <v>1376</v>
      </c>
      <c r="D3082" s="164">
        <f>((1.4*1485)*1.02)/1.02</f>
        <v>2079</v>
      </c>
      <c r="E3082" s="165" t="s">
        <v>7861</v>
      </c>
      <c r="F3082" s="617">
        <v>44785</v>
      </c>
    </row>
    <row r="3083" spans="1:6" x14ac:dyDescent="0.3">
      <c r="A3083" s="169" t="s">
        <v>6831</v>
      </c>
      <c r="B3083" s="190" t="s">
        <v>7858</v>
      </c>
      <c r="C3083" s="163" t="s">
        <v>1376</v>
      </c>
      <c r="D3083" s="164">
        <f>((1.32*1485)*1.02)/1.02</f>
        <v>1960.2</v>
      </c>
      <c r="E3083" s="165" t="s">
        <v>7861</v>
      </c>
      <c r="F3083" s="617">
        <v>44785</v>
      </c>
    </row>
    <row r="3084" spans="1:6" x14ac:dyDescent="0.3">
      <c r="A3084" s="169" t="s">
        <v>6832</v>
      </c>
      <c r="B3084" s="190" t="s">
        <v>7860</v>
      </c>
      <c r="C3084" s="163" t="s">
        <v>1376</v>
      </c>
      <c r="D3084" s="164">
        <f>((1.08*1485)*1.02)/1.02</f>
        <v>1603.8000000000002</v>
      </c>
      <c r="E3084" s="165" t="s">
        <v>7861</v>
      </c>
      <c r="F3084" s="617">
        <v>44797</v>
      </c>
    </row>
    <row r="3085" spans="1:6" x14ac:dyDescent="0.3">
      <c r="A3085" s="169" t="s">
        <v>6833</v>
      </c>
      <c r="B3085" s="190" t="s">
        <v>7862</v>
      </c>
      <c r="C3085" s="163" t="s">
        <v>1376</v>
      </c>
      <c r="D3085" s="164">
        <f>((2.06*1485)*1.02)/1.02</f>
        <v>3059.1</v>
      </c>
      <c r="E3085" s="165" t="s">
        <v>7861</v>
      </c>
      <c r="F3085" s="617">
        <v>44791</v>
      </c>
    </row>
    <row r="3086" spans="1:6" x14ac:dyDescent="0.3">
      <c r="A3086" s="169" t="s">
        <v>6834</v>
      </c>
      <c r="B3086" s="190" t="s">
        <v>7863</v>
      </c>
      <c r="C3086" s="163" t="s">
        <v>1376</v>
      </c>
      <c r="D3086" s="164">
        <f>((0.9*0.5*1281)*1.02)/1.02</f>
        <v>576.45000000000005</v>
      </c>
      <c r="E3086" s="165" t="s">
        <v>7861</v>
      </c>
      <c r="F3086" s="617">
        <v>44797</v>
      </c>
    </row>
    <row r="3087" spans="1:6" x14ac:dyDescent="0.3">
      <c r="A3087" s="169" t="s">
        <v>6835</v>
      </c>
      <c r="B3087" s="190" t="s">
        <v>7865</v>
      </c>
      <c r="C3087" s="163" t="s">
        <v>1376</v>
      </c>
      <c r="D3087" s="164">
        <v>250</v>
      </c>
      <c r="E3087" s="165" t="s">
        <v>7314</v>
      </c>
      <c r="F3087" s="617">
        <v>44791</v>
      </c>
    </row>
    <row r="3088" spans="1:6" x14ac:dyDescent="0.3">
      <c r="A3088" s="169" t="s">
        <v>6836</v>
      </c>
      <c r="B3088" s="156" t="s">
        <v>7345</v>
      </c>
      <c r="C3088" s="163" t="s">
        <v>73</v>
      </c>
      <c r="D3088" s="164">
        <v>314.5</v>
      </c>
      <c r="E3088" s="165" t="s">
        <v>7861</v>
      </c>
      <c r="F3088" s="617">
        <v>44797</v>
      </c>
    </row>
    <row r="3089" spans="1:6" x14ac:dyDescent="0.3">
      <c r="A3089" s="169" t="s">
        <v>6837</v>
      </c>
      <c r="B3089" s="190" t="s">
        <v>7346</v>
      </c>
      <c r="C3089" s="163" t="s">
        <v>73</v>
      </c>
      <c r="D3089" s="164">
        <v>160</v>
      </c>
      <c r="E3089" s="165" t="s">
        <v>7884</v>
      </c>
      <c r="F3089" s="617">
        <v>44791</v>
      </c>
    </row>
    <row r="3090" spans="1:6" x14ac:dyDescent="0.3">
      <c r="A3090" s="169" t="s">
        <v>6838</v>
      </c>
      <c r="B3090" s="156" t="s">
        <v>7855</v>
      </c>
      <c r="C3090" s="163" t="s">
        <v>73</v>
      </c>
      <c r="D3090" s="164">
        <v>314.5</v>
      </c>
      <c r="E3090" s="165" t="s">
        <v>7861</v>
      </c>
      <c r="F3090" s="617">
        <v>44797</v>
      </c>
    </row>
    <row r="3091" spans="1:6" x14ac:dyDescent="0.3">
      <c r="A3091" s="169" t="s">
        <v>6839</v>
      </c>
      <c r="B3091" s="190" t="s">
        <v>7463</v>
      </c>
      <c r="C3091" s="163" t="s">
        <v>73</v>
      </c>
      <c r="D3091" s="164">
        <v>160</v>
      </c>
      <c r="E3091" s="165" t="s">
        <v>7884</v>
      </c>
      <c r="F3091" s="617">
        <v>44791</v>
      </c>
    </row>
    <row r="3092" spans="1:6" x14ac:dyDescent="0.3">
      <c r="A3092" s="169" t="s">
        <v>6840</v>
      </c>
      <c r="B3092" s="190" t="s">
        <v>7348</v>
      </c>
      <c r="C3092" s="163" t="s">
        <v>74</v>
      </c>
      <c r="D3092" s="164">
        <v>46.89</v>
      </c>
      <c r="E3092" s="165" t="s">
        <v>7861</v>
      </c>
      <c r="F3092" s="617">
        <v>44796</v>
      </c>
    </row>
    <row r="3093" spans="1:6" x14ac:dyDescent="0.3">
      <c r="A3093" s="169" t="s">
        <v>6841</v>
      </c>
      <c r="B3093" s="190" t="s">
        <v>7349</v>
      </c>
      <c r="C3093" s="163" t="s">
        <v>73</v>
      </c>
      <c r="D3093" s="164">
        <v>165.04854368932038</v>
      </c>
      <c r="E3093" s="165" t="s">
        <v>2297</v>
      </c>
      <c r="F3093" s="617">
        <v>44791</v>
      </c>
    </row>
    <row r="3094" spans="1:6" x14ac:dyDescent="0.3">
      <c r="A3094" s="169" t="s">
        <v>6842</v>
      </c>
      <c r="B3094" s="190" t="s">
        <v>7350</v>
      </c>
      <c r="C3094" s="163" t="s">
        <v>29</v>
      </c>
      <c r="D3094" s="160">
        <v>1</v>
      </c>
      <c r="E3094" s="165"/>
      <c r="F3094" s="617"/>
    </row>
    <row r="3095" spans="1:6" x14ac:dyDescent="0.3">
      <c r="A3095" s="169" t="s">
        <v>6843</v>
      </c>
      <c r="B3095" s="190" t="s">
        <v>7351</v>
      </c>
      <c r="C3095" s="163" t="s">
        <v>29</v>
      </c>
      <c r="D3095" s="160">
        <v>1</v>
      </c>
      <c r="E3095" s="165"/>
      <c r="F3095" s="617"/>
    </row>
    <row r="3096" spans="1:6" x14ac:dyDescent="0.3">
      <c r="A3096" s="169" t="s">
        <v>6844</v>
      </c>
      <c r="B3096" s="190" t="s">
        <v>7352</v>
      </c>
      <c r="C3096" s="163" t="s">
        <v>7270</v>
      </c>
      <c r="D3096" s="164">
        <v>265</v>
      </c>
      <c r="E3096" s="165" t="s">
        <v>7353</v>
      </c>
      <c r="F3096" s="617"/>
    </row>
    <row r="3097" spans="1:6" x14ac:dyDescent="0.3">
      <c r="A3097" s="169" t="s">
        <v>6845</v>
      </c>
      <c r="B3097" s="190" t="s">
        <v>8747</v>
      </c>
      <c r="C3097" s="163" t="s">
        <v>1376</v>
      </c>
      <c r="D3097" s="164">
        <v>72.5</v>
      </c>
      <c r="E3097" s="165" t="s">
        <v>8743</v>
      </c>
      <c r="F3097" s="617">
        <v>44788</v>
      </c>
    </row>
    <row r="3098" spans="1:6" x14ac:dyDescent="0.3">
      <c r="A3098" s="169" t="s">
        <v>6846</v>
      </c>
      <c r="B3098" s="190" t="s">
        <v>8748</v>
      </c>
      <c r="C3098" s="163" t="s">
        <v>1376</v>
      </c>
      <c r="D3098" s="164">
        <v>49.5</v>
      </c>
      <c r="E3098" s="165" t="s">
        <v>8743</v>
      </c>
      <c r="F3098" s="617">
        <v>44788</v>
      </c>
    </row>
    <row r="3099" spans="1:6" x14ac:dyDescent="0.3">
      <c r="A3099" s="169" t="s">
        <v>6847</v>
      </c>
      <c r="B3099" s="190" t="s">
        <v>7354</v>
      </c>
      <c r="C3099" s="163" t="s">
        <v>1376</v>
      </c>
      <c r="D3099" s="164">
        <v>294.95</v>
      </c>
      <c r="E3099" s="165" t="s">
        <v>7192</v>
      </c>
      <c r="F3099" s="617">
        <v>44788</v>
      </c>
    </row>
    <row r="3100" spans="1:6" x14ac:dyDescent="0.3">
      <c r="A3100" s="169" t="s">
        <v>6848</v>
      </c>
      <c r="B3100" s="190" t="s">
        <v>7355</v>
      </c>
      <c r="C3100" s="163" t="s">
        <v>1376</v>
      </c>
      <c r="D3100" s="164">
        <v>40</v>
      </c>
      <c r="E3100" s="165" t="s">
        <v>7192</v>
      </c>
      <c r="F3100" s="617">
        <v>44788</v>
      </c>
    </row>
    <row r="3101" spans="1:6" x14ac:dyDescent="0.3">
      <c r="A3101" s="169" t="s">
        <v>6849</v>
      </c>
      <c r="B3101" s="190" t="s">
        <v>7356</v>
      </c>
      <c r="C3101" s="163" t="s">
        <v>1376</v>
      </c>
      <c r="D3101" s="164">
        <v>348.2</v>
      </c>
      <c r="E3101" s="165" t="s">
        <v>7192</v>
      </c>
      <c r="F3101" s="617">
        <v>44788</v>
      </c>
    </row>
    <row r="3102" spans="1:6" x14ac:dyDescent="0.3">
      <c r="A3102" s="169" t="s">
        <v>6850</v>
      </c>
      <c r="B3102" s="190" t="s">
        <v>7357</v>
      </c>
      <c r="C3102" s="163" t="s">
        <v>1376</v>
      </c>
      <c r="D3102" s="164">
        <v>102.41</v>
      </c>
      <c r="E3102" s="165" t="s">
        <v>7192</v>
      </c>
      <c r="F3102" s="617">
        <v>44789</v>
      </c>
    </row>
    <row r="3103" spans="1:6" x14ac:dyDescent="0.3">
      <c r="A3103" s="169" t="s">
        <v>6851</v>
      </c>
      <c r="B3103" s="190" t="s">
        <v>7358</v>
      </c>
      <c r="C3103" s="163" t="s">
        <v>1376</v>
      </c>
      <c r="D3103" s="164">
        <v>106.71</v>
      </c>
      <c r="E3103" s="165" t="s">
        <v>7192</v>
      </c>
      <c r="F3103" s="617">
        <v>44790</v>
      </c>
    </row>
    <row r="3104" spans="1:6" x14ac:dyDescent="0.3">
      <c r="A3104" s="169" t="s">
        <v>6852</v>
      </c>
      <c r="B3104" s="190" t="s">
        <v>7359</v>
      </c>
      <c r="C3104" s="163" t="s">
        <v>1376</v>
      </c>
      <c r="D3104" s="164">
        <v>2142.75</v>
      </c>
      <c r="E3104" s="165" t="s">
        <v>7192</v>
      </c>
      <c r="F3104" s="617">
        <v>44791</v>
      </c>
    </row>
    <row r="3105" spans="1:6" x14ac:dyDescent="0.3">
      <c r="A3105" s="169" t="s">
        <v>6853</v>
      </c>
      <c r="B3105" s="190" t="s">
        <v>7360</v>
      </c>
      <c r="C3105" s="163" t="s">
        <v>1376</v>
      </c>
      <c r="D3105" s="164">
        <v>115.02</v>
      </c>
      <c r="E3105" s="165" t="s">
        <v>7192</v>
      </c>
      <c r="F3105" s="617">
        <v>44792</v>
      </c>
    </row>
    <row r="3106" spans="1:6" x14ac:dyDescent="0.3">
      <c r="A3106" s="169" t="s">
        <v>6854</v>
      </c>
      <c r="B3106" s="190" t="s">
        <v>7361</v>
      </c>
      <c r="C3106" s="163" t="s">
        <v>1376</v>
      </c>
      <c r="D3106" s="164">
        <v>44.01</v>
      </c>
      <c r="E3106" s="165" t="s">
        <v>7192</v>
      </c>
      <c r="F3106" s="617">
        <v>44793</v>
      </c>
    </row>
    <row r="3107" spans="1:6" x14ac:dyDescent="0.3">
      <c r="A3107" s="169" t="s">
        <v>6855</v>
      </c>
      <c r="B3107" s="190" t="s">
        <v>7362</v>
      </c>
      <c r="C3107" s="163" t="s">
        <v>1376</v>
      </c>
      <c r="D3107" s="164">
        <v>154.87</v>
      </c>
      <c r="E3107" s="165" t="s">
        <v>7192</v>
      </c>
      <c r="F3107" s="617">
        <v>44794</v>
      </c>
    </row>
    <row r="3108" spans="1:6" x14ac:dyDescent="0.3">
      <c r="A3108" s="169" t="s">
        <v>6856</v>
      </c>
      <c r="B3108" s="190" t="s">
        <v>7363</v>
      </c>
      <c r="C3108" s="163" t="s">
        <v>1376</v>
      </c>
      <c r="D3108" s="164">
        <v>1156.8599999999999</v>
      </c>
      <c r="E3108" s="165" t="s">
        <v>7192</v>
      </c>
      <c r="F3108" s="617">
        <v>44795</v>
      </c>
    </row>
    <row r="3109" spans="1:6" x14ac:dyDescent="0.3">
      <c r="A3109" s="169" t="s">
        <v>6857</v>
      </c>
      <c r="B3109" s="190" t="s">
        <v>7364</v>
      </c>
      <c r="C3109" s="163" t="s">
        <v>1376</v>
      </c>
      <c r="D3109" s="164">
        <v>357.19</v>
      </c>
      <c r="E3109" s="165" t="s">
        <v>7192</v>
      </c>
      <c r="F3109" s="617">
        <v>44796</v>
      </c>
    </row>
    <row r="3110" spans="1:6" x14ac:dyDescent="0.3">
      <c r="A3110" s="169" t="s">
        <v>6858</v>
      </c>
      <c r="B3110" s="190" t="s">
        <v>7365</v>
      </c>
      <c r="C3110" s="163" t="s">
        <v>1376</v>
      </c>
      <c r="D3110" s="164">
        <v>2268.17</v>
      </c>
      <c r="E3110" s="165" t="s">
        <v>7192</v>
      </c>
      <c r="F3110" s="617">
        <v>44797</v>
      </c>
    </row>
    <row r="3111" spans="1:6" x14ac:dyDescent="0.3">
      <c r="A3111" s="169" t="s">
        <v>6859</v>
      </c>
      <c r="B3111" s="190" t="s">
        <v>7366</v>
      </c>
      <c r="C3111" s="163" t="s">
        <v>1376</v>
      </c>
      <c r="D3111" s="164">
        <v>86.4</v>
      </c>
      <c r="E3111" s="165" t="s">
        <v>7192</v>
      </c>
      <c r="F3111" s="617">
        <v>44798</v>
      </c>
    </row>
    <row r="3112" spans="1:6" x14ac:dyDescent="0.3">
      <c r="A3112" s="169" t="s">
        <v>6860</v>
      </c>
      <c r="B3112" s="190" t="s">
        <v>7367</v>
      </c>
      <c r="C3112" s="163" t="s">
        <v>1376</v>
      </c>
      <c r="D3112" s="164">
        <v>690.94</v>
      </c>
      <c r="E3112" s="165" t="s">
        <v>7192</v>
      </c>
      <c r="F3112" s="617">
        <v>44799</v>
      </c>
    </row>
    <row r="3113" spans="1:6" x14ac:dyDescent="0.3">
      <c r="A3113" s="169" t="s">
        <v>6861</v>
      </c>
      <c r="B3113" s="190" t="s">
        <v>7368</v>
      </c>
      <c r="C3113" s="163" t="s">
        <v>1376</v>
      </c>
      <c r="D3113" s="164">
        <f>((((346.03*1.1)*1.03)/1.03)*1.02)/1.02</f>
        <v>380.63299999999998</v>
      </c>
      <c r="E3113" s="165" t="s">
        <v>2725</v>
      </c>
      <c r="F3113" s="617">
        <v>44483</v>
      </c>
    </row>
    <row r="3114" spans="1:6" x14ac:dyDescent="0.3">
      <c r="A3114" s="169" t="s">
        <v>6862</v>
      </c>
      <c r="B3114" s="190" t="s">
        <v>7375</v>
      </c>
      <c r="C3114" s="163" t="s">
        <v>1376</v>
      </c>
      <c r="D3114" s="164">
        <f>((((383.61*1.1)*1.03)/1.03)*1.02)/1.02</f>
        <v>421.97100000000006</v>
      </c>
      <c r="E3114" s="165" t="s">
        <v>2725</v>
      </c>
      <c r="F3114" s="617">
        <v>44483</v>
      </c>
    </row>
    <row r="3115" spans="1:6" x14ac:dyDescent="0.3">
      <c r="A3115" s="169" t="s">
        <v>6863</v>
      </c>
      <c r="B3115" s="190" t="s">
        <v>7378</v>
      </c>
      <c r="C3115" s="163" t="s">
        <v>29</v>
      </c>
      <c r="D3115" s="164">
        <v>15000</v>
      </c>
      <c r="E3115" s="165" t="s">
        <v>3610</v>
      </c>
      <c r="F3115" s="617"/>
    </row>
    <row r="3116" spans="1:6" x14ac:dyDescent="0.3">
      <c r="A3116" s="169" t="s">
        <v>7369</v>
      </c>
      <c r="B3116" s="190" t="s">
        <v>7379</v>
      </c>
      <c r="C3116" s="163" t="s">
        <v>1376</v>
      </c>
      <c r="D3116" s="164">
        <v>60</v>
      </c>
      <c r="E3116" s="165" t="s">
        <v>3610</v>
      </c>
      <c r="F3116" s="617">
        <v>44483</v>
      </c>
    </row>
    <row r="3117" spans="1:6" x14ac:dyDescent="0.3">
      <c r="A3117" s="169" t="s">
        <v>7370</v>
      </c>
      <c r="B3117" s="190" t="s">
        <v>7824</v>
      </c>
      <c r="C3117" s="163" t="s">
        <v>73</v>
      </c>
      <c r="D3117" s="164">
        <f>(35000/1850)/1.02</f>
        <v>18.547959724430314</v>
      </c>
      <c r="E3117" s="165" t="s">
        <v>3610</v>
      </c>
      <c r="F3117" s="617"/>
    </row>
    <row r="3118" spans="1:6" x14ac:dyDescent="0.3">
      <c r="A3118" s="169" t="s">
        <v>7371</v>
      </c>
      <c r="B3118" s="190" t="s">
        <v>7554</v>
      </c>
      <c r="C3118" s="163" t="s">
        <v>29</v>
      </c>
      <c r="D3118" s="160">
        <v>1</v>
      </c>
      <c r="E3118" s="165" t="s">
        <v>3610</v>
      </c>
      <c r="F3118" s="617"/>
    </row>
    <row r="3119" spans="1:6" x14ac:dyDescent="0.3">
      <c r="A3119" s="169" t="s">
        <v>7372</v>
      </c>
      <c r="B3119" s="190" t="s">
        <v>7385</v>
      </c>
      <c r="C3119" s="163" t="s">
        <v>1376</v>
      </c>
      <c r="D3119" s="164">
        <v>800</v>
      </c>
      <c r="E3119" s="165" t="s">
        <v>3610</v>
      </c>
      <c r="F3119" s="617">
        <v>44483</v>
      </c>
    </row>
    <row r="3120" spans="1:6" x14ac:dyDescent="0.3">
      <c r="A3120" s="169" t="s">
        <v>7373</v>
      </c>
      <c r="B3120" s="190" t="s">
        <v>7386</v>
      </c>
      <c r="C3120" s="163" t="s">
        <v>1376</v>
      </c>
      <c r="D3120" s="164">
        <v>45</v>
      </c>
      <c r="E3120" s="165" t="s">
        <v>3610</v>
      </c>
      <c r="F3120" s="617"/>
    </row>
    <row r="3121" spans="1:6" x14ac:dyDescent="0.3">
      <c r="A3121" s="169" t="s">
        <v>7374</v>
      </c>
      <c r="B3121" s="190" t="s">
        <v>7398</v>
      </c>
      <c r="C3121" s="163" t="s">
        <v>1376</v>
      </c>
      <c r="D3121" s="164">
        <v>8</v>
      </c>
      <c r="E3121" s="165" t="s">
        <v>3610</v>
      </c>
      <c r="F3121" s="617"/>
    </row>
    <row r="3122" spans="1:6" x14ac:dyDescent="0.3">
      <c r="A3122" s="169" t="s">
        <v>7387</v>
      </c>
      <c r="B3122" s="190" t="s">
        <v>7400</v>
      </c>
      <c r="C3122" s="163" t="s">
        <v>7401</v>
      </c>
      <c r="D3122" s="164">
        <v>37</v>
      </c>
      <c r="E3122" s="165" t="s">
        <v>3610</v>
      </c>
      <c r="F3122" s="617"/>
    </row>
    <row r="3123" spans="1:6" x14ac:dyDescent="0.3">
      <c r="A3123" s="169" t="s">
        <v>7388</v>
      </c>
      <c r="B3123" s="190" t="s">
        <v>7402</v>
      </c>
      <c r="C3123" s="163" t="s">
        <v>29</v>
      </c>
      <c r="D3123" s="164">
        <v>8000</v>
      </c>
      <c r="E3123" s="165" t="s">
        <v>3610</v>
      </c>
      <c r="F3123" s="617"/>
    </row>
    <row r="3124" spans="1:6" x14ac:dyDescent="0.3">
      <c r="A3124" s="169" t="s">
        <v>7389</v>
      </c>
      <c r="B3124" s="190" t="s">
        <v>7406</v>
      </c>
      <c r="C3124" s="163" t="s">
        <v>73</v>
      </c>
      <c r="D3124" s="164">
        <f>((((42*1.2)*1.03)/1.03)*1.02)/1.02</f>
        <v>50.4</v>
      </c>
      <c r="E3124" s="165" t="s">
        <v>7407</v>
      </c>
      <c r="F3124" s="617"/>
    </row>
    <row r="3125" spans="1:6" x14ac:dyDescent="0.3">
      <c r="A3125" s="169" t="s">
        <v>7390</v>
      </c>
      <c r="B3125" s="190" t="s">
        <v>7412</v>
      </c>
      <c r="C3125" s="163" t="s">
        <v>29</v>
      </c>
      <c r="D3125" s="160">
        <v>1</v>
      </c>
      <c r="E3125" s="165" t="s">
        <v>3543</v>
      </c>
      <c r="F3125" s="617"/>
    </row>
    <row r="3126" spans="1:6" x14ac:dyDescent="0.3">
      <c r="A3126" s="169" t="s">
        <v>7391</v>
      </c>
      <c r="B3126" s="190" t="s">
        <v>7418</v>
      </c>
      <c r="C3126" s="163" t="s">
        <v>6309</v>
      </c>
      <c r="D3126" s="164">
        <v>120</v>
      </c>
      <c r="E3126" s="165" t="s">
        <v>6307</v>
      </c>
      <c r="F3126" s="617">
        <v>45183</v>
      </c>
    </row>
    <row r="3127" spans="1:6" x14ac:dyDescent="0.3">
      <c r="A3127" s="169" t="s">
        <v>7392</v>
      </c>
      <c r="B3127" s="190" t="s">
        <v>7419</v>
      </c>
      <c r="C3127" s="163" t="s">
        <v>1376</v>
      </c>
      <c r="D3127" s="164">
        <v>1300</v>
      </c>
      <c r="E3127" s="165" t="s">
        <v>6307</v>
      </c>
      <c r="F3127" s="617">
        <v>45183</v>
      </c>
    </row>
    <row r="3128" spans="1:6" x14ac:dyDescent="0.3">
      <c r="A3128" s="169" t="s">
        <v>7393</v>
      </c>
      <c r="B3128" s="190" t="s">
        <v>7422</v>
      </c>
      <c r="C3128" s="163" t="s">
        <v>73</v>
      </c>
      <c r="D3128" s="164">
        <v>90</v>
      </c>
      <c r="E3128" s="165" t="s">
        <v>4482</v>
      </c>
      <c r="F3128" s="617"/>
    </row>
    <row r="3129" spans="1:6" x14ac:dyDescent="0.3">
      <c r="A3129" s="169" t="s">
        <v>7394</v>
      </c>
      <c r="B3129" s="190" t="s">
        <v>8352</v>
      </c>
      <c r="C3129" s="163" t="s">
        <v>29</v>
      </c>
      <c r="D3129" s="164">
        <f>11060.84+31172.95</f>
        <v>42233.79</v>
      </c>
      <c r="E3129" s="165" t="s">
        <v>4482</v>
      </c>
      <c r="F3129" s="617"/>
    </row>
    <row r="3130" spans="1:6" x14ac:dyDescent="0.3">
      <c r="A3130" s="169" t="s">
        <v>7395</v>
      </c>
      <c r="B3130" s="190" t="s">
        <v>8397</v>
      </c>
      <c r="C3130" s="163" t="s">
        <v>73</v>
      </c>
      <c r="D3130" s="164">
        <v>160</v>
      </c>
      <c r="E3130" s="165"/>
      <c r="F3130" s="617"/>
    </row>
    <row r="3131" spans="1:6" x14ac:dyDescent="0.3">
      <c r="A3131" s="169" t="s">
        <v>7396</v>
      </c>
      <c r="B3131" s="190" t="s">
        <v>8721</v>
      </c>
      <c r="C3131" s="163" t="s">
        <v>1376</v>
      </c>
      <c r="D3131" s="164">
        <v>1100</v>
      </c>
      <c r="E3131" s="165" t="s">
        <v>8731</v>
      </c>
      <c r="F3131" s="617"/>
    </row>
    <row r="3132" spans="1:6" x14ac:dyDescent="0.3">
      <c r="A3132" s="169" t="s">
        <v>7397</v>
      </c>
      <c r="B3132" s="190" t="s">
        <v>8722</v>
      </c>
      <c r="C3132" s="163" t="s">
        <v>1376</v>
      </c>
      <c r="D3132" s="164">
        <v>7879.29</v>
      </c>
      <c r="E3132" s="165" t="s">
        <v>8731</v>
      </c>
      <c r="F3132" s="617"/>
    </row>
    <row r="3133" spans="1:6" x14ac:dyDescent="0.3">
      <c r="A3133" s="169" t="s">
        <v>7426</v>
      </c>
      <c r="B3133" s="190" t="s">
        <v>8723</v>
      </c>
      <c r="C3133" s="163" t="s">
        <v>1376</v>
      </c>
      <c r="D3133" s="164">
        <v>7879.29</v>
      </c>
      <c r="E3133" s="165" t="s">
        <v>8731</v>
      </c>
      <c r="F3133" s="617"/>
    </row>
    <row r="3134" spans="1:6" x14ac:dyDescent="0.3">
      <c r="A3134" s="169" t="s">
        <v>7427</v>
      </c>
      <c r="B3134" s="190" t="s">
        <v>8724</v>
      </c>
      <c r="C3134" s="163" t="s">
        <v>1376</v>
      </c>
      <c r="D3134" s="164">
        <v>1410.75</v>
      </c>
      <c r="E3134" s="165" t="s">
        <v>8731</v>
      </c>
      <c r="F3134" s="617"/>
    </row>
    <row r="3135" spans="1:6" x14ac:dyDescent="0.3">
      <c r="A3135" s="169" t="s">
        <v>7428</v>
      </c>
      <c r="B3135" s="190" t="s">
        <v>8725</v>
      </c>
      <c r="C3135" s="163" t="s">
        <v>1376</v>
      </c>
      <c r="D3135" s="164">
        <v>4075.5</v>
      </c>
      <c r="E3135" s="165" t="s">
        <v>8731</v>
      </c>
      <c r="F3135" s="617"/>
    </row>
    <row r="3136" spans="1:6" x14ac:dyDescent="0.3">
      <c r="A3136" s="169" t="s">
        <v>7429</v>
      </c>
      <c r="B3136" s="190" t="s">
        <v>8726</v>
      </c>
      <c r="C3136" s="163" t="s">
        <v>1376</v>
      </c>
      <c r="D3136" s="164">
        <v>3239.5</v>
      </c>
      <c r="E3136" s="165" t="s">
        <v>8731</v>
      </c>
      <c r="F3136" s="617"/>
    </row>
    <row r="3137" spans="1:6" x14ac:dyDescent="0.3">
      <c r="A3137" s="169" t="s">
        <v>7430</v>
      </c>
      <c r="B3137" s="190" t="s">
        <v>8727</v>
      </c>
      <c r="C3137" s="163" t="s">
        <v>1376</v>
      </c>
      <c r="D3137" s="164">
        <v>3239.5</v>
      </c>
      <c r="E3137" s="165" t="s">
        <v>8731</v>
      </c>
      <c r="F3137" s="617"/>
    </row>
    <row r="3138" spans="1:6" x14ac:dyDescent="0.3">
      <c r="A3138" s="169" t="s">
        <v>7431</v>
      </c>
      <c r="B3138" s="190" t="s">
        <v>8728</v>
      </c>
      <c r="C3138" s="163" t="s">
        <v>1376</v>
      </c>
      <c r="D3138" s="164">
        <v>5381.83</v>
      </c>
      <c r="E3138" s="165" t="s">
        <v>8731</v>
      </c>
      <c r="F3138" s="617"/>
    </row>
    <row r="3139" spans="1:6" x14ac:dyDescent="0.3">
      <c r="A3139" s="169" t="s">
        <v>7432</v>
      </c>
      <c r="B3139" s="190" t="s">
        <v>8729</v>
      </c>
      <c r="C3139" s="163" t="s">
        <v>1376</v>
      </c>
      <c r="D3139" s="164">
        <v>5381.83</v>
      </c>
      <c r="E3139" s="165" t="s">
        <v>8731</v>
      </c>
      <c r="F3139" s="617"/>
    </row>
    <row r="3140" spans="1:6" x14ac:dyDescent="0.3">
      <c r="A3140" s="169" t="s">
        <v>7433</v>
      </c>
      <c r="B3140" s="190" t="s">
        <v>8730</v>
      </c>
      <c r="C3140" s="163" t="s">
        <v>1376</v>
      </c>
      <c r="D3140" s="164">
        <v>2109</v>
      </c>
      <c r="E3140" s="165" t="s">
        <v>8731</v>
      </c>
      <c r="F3140" s="617"/>
    </row>
    <row r="3141" spans="1:6" x14ac:dyDescent="0.3">
      <c r="A3141" s="169" t="s">
        <v>7434</v>
      </c>
      <c r="B3141" s="190" t="s">
        <v>7435</v>
      </c>
      <c r="C3141" s="163" t="s">
        <v>29</v>
      </c>
      <c r="D3141" s="164">
        <f>((1602026.61*0.9)*1.02)/1.02</f>
        <v>1441823.949</v>
      </c>
      <c r="E3141" s="165"/>
      <c r="F3141" s="617"/>
    </row>
    <row r="3142" spans="1:6" x14ac:dyDescent="0.3">
      <c r="A3142" s="169" t="s">
        <v>7436</v>
      </c>
      <c r="B3142" s="190" t="s">
        <v>7453</v>
      </c>
      <c r="C3142" s="163" t="s">
        <v>1376</v>
      </c>
      <c r="D3142" s="164">
        <v>1126.3399999999999</v>
      </c>
      <c r="E3142" s="165"/>
      <c r="F3142" s="617"/>
    </row>
    <row r="3143" spans="1:6" x14ac:dyDescent="0.3">
      <c r="A3143" s="169" t="s">
        <v>7437</v>
      </c>
      <c r="B3143" s="190" t="s">
        <v>7454</v>
      </c>
      <c r="C3143" s="163" t="s">
        <v>1376</v>
      </c>
      <c r="D3143" s="164">
        <v>1357.26</v>
      </c>
      <c r="E3143" s="165"/>
      <c r="F3143" s="617"/>
    </row>
    <row r="3144" spans="1:6" x14ac:dyDescent="0.3">
      <c r="A3144" s="169" t="s">
        <v>7438</v>
      </c>
      <c r="B3144" s="190" t="s">
        <v>7455</v>
      </c>
      <c r="C3144" s="163" t="s">
        <v>1376</v>
      </c>
      <c r="D3144" s="164">
        <v>189</v>
      </c>
      <c r="E3144" s="165"/>
      <c r="F3144" s="617"/>
    </row>
    <row r="3145" spans="1:6" x14ac:dyDescent="0.3">
      <c r="A3145" s="169" t="s">
        <v>7439</v>
      </c>
      <c r="B3145" s="190" t="s">
        <v>7456</v>
      </c>
      <c r="C3145" s="163" t="s">
        <v>1376</v>
      </c>
      <c r="D3145" s="164">
        <v>246</v>
      </c>
      <c r="E3145" s="165"/>
      <c r="F3145" s="617"/>
    </row>
    <row r="3146" spans="1:6" x14ac:dyDescent="0.3">
      <c r="A3146" s="169" t="s">
        <v>7440</v>
      </c>
      <c r="B3146" s="190" t="s">
        <v>7457</v>
      </c>
      <c r="C3146" s="163" t="s">
        <v>29</v>
      </c>
      <c r="D3146" s="160">
        <v>1</v>
      </c>
      <c r="E3146" s="165"/>
      <c r="F3146" s="617"/>
    </row>
    <row r="3147" spans="1:6" x14ac:dyDescent="0.3">
      <c r="A3147" s="169" t="s">
        <v>7441</v>
      </c>
      <c r="B3147" s="190" t="s">
        <v>7465</v>
      </c>
      <c r="C3147" s="163" t="s">
        <v>74</v>
      </c>
      <c r="D3147" s="164">
        <v>60.9</v>
      </c>
      <c r="E3147" s="165"/>
      <c r="F3147" s="617"/>
    </row>
    <row r="3148" spans="1:6" x14ac:dyDescent="0.3">
      <c r="A3148" s="169" t="s">
        <v>7442</v>
      </c>
      <c r="B3148" s="190" t="s">
        <v>7471</v>
      </c>
      <c r="C3148" s="163" t="s">
        <v>29</v>
      </c>
      <c r="D3148" s="160">
        <v>1</v>
      </c>
      <c r="E3148" s="165"/>
      <c r="F3148" s="617"/>
    </row>
    <row r="3149" spans="1:6" x14ac:dyDescent="0.3">
      <c r="A3149" s="169" t="s">
        <v>7443</v>
      </c>
      <c r="B3149" s="190" t="s">
        <v>7474</v>
      </c>
      <c r="C3149" s="163" t="s">
        <v>29</v>
      </c>
      <c r="D3149" s="160">
        <v>1</v>
      </c>
      <c r="E3149" s="165"/>
      <c r="F3149" s="617"/>
    </row>
    <row r="3150" spans="1:6" x14ac:dyDescent="0.3">
      <c r="A3150" s="169" t="s">
        <v>7444</v>
      </c>
      <c r="B3150" s="190" t="s">
        <v>7477</v>
      </c>
      <c r="C3150" s="163" t="s">
        <v>1376</v>
      </c>
      <c r="D3150" s="164">
        <v>1300</v>
      </c>
      <c r="E3150" s="165"/>
      <c r="F3150" s="617"/>
    </row>
    <row r="3151" spans="1:6" x14ac:dyDescent="0.3">
      <c r="A3151" s="169" t="s">
        <v>7445</v>
      </c>
      <c r="B3151" s="190" t="s">
        <v>7543</v>
      </c>
      <c r="C3151" s="163" t="s">
        <v>29</v>
      </c>
      <c r="D3151" s="160">
        <v>1</v>
      </c>
      <c r="E3151" s="165"/>
      <c r="F3151" s="617"/>
    </row>
    <row r="3152" spans="1:6" x14ac:dyDescent="0.3">
      <c r="A3152" s="169" t="s">
        <v>7446</v>
      </c>
      <c r="B3152" s="190" t="s">
        <v>7478</v>
      </c>
      <c r="C3152" s="163" t="s">
        <v>29</v>
      </c>
      <c r="D3152" s="160">
        <v>1</v>
      </c>
      <c r="E3152" s="165"/>
      <c r="F3152" s="617"/>
    </row>
    <row r="3153" spans="1:6" x14ac:dyDescent="0.3">
      <c r="A3153" s="169" t="s">
        <v>7447</v>
      </c>
      <c r="B3153" s="190" t="s">
        <v>7480</v>
      </c>
      <c r="C3153" s="163" t="s">
        <v>1376</v>
      </c>
      <c r="D3153" s="164">
        <v>0.25</v>
      </c>
      <c r="E3153" s="165"/>
      <c r="F3153" s="617"/>
    </row>
    <row r="3154" spans="1:6" x14ac:dyDescent="0.3">
      <c r="A3154" s="169" t="s">
        <v>7448</v>
      </c>
      <c r="B3154" s="190" t="s">
        <v>7481</v>
      </c>
      <c r="C3154" s="163" t="s">
        <v>1376</v>
      </c>
      <c r="D3154" s="164">
        <v>0.49000000000000005</v>
      </c>
      <c r="E3154" s="165"/>
      <c r="F3154" s="617"/>
    </row>
    <row r="3155" spans="1:6" x14ac:dyDescent="0.3">
      <c r="A3155" s="169" t="s">
        <v>7449</v>
      </c>
      <c r="B3155" s="190" t="s">
        <v>7789</v>
      </c>
      <c r="C3155" s="163" t="s">
        <v>74</v>
      </c>
      <c r="D3155" s="164">
        <v>50</v>
      </c>
      <c r="E3155" s="165"/>
      <c r="F3155" s="617"/>
    </row>
    <row r="3156" spans="1:6" x14ac:dyDescent="0.3">
      <c r="A3156" s="169" t="s">
        <v>7450</v>
      </c>
      <c r="B3156" s="190" t="s">
        <v>7483</v>
      </c>
      <c r="C3156" s="163" t="s">
        <v>74</v>
      </c>
      <c r="D3156" s="164">
        <v>32</v>
      </c>
      <c r="E3156" s="165"/>
      <c r="F3156" s="617"/>
    </row>
    <row r="3157" spans="1:6" x14ac:dyDescent="0.3">
      <c r="A3157" s="169" t="s">
        <v>7451</v>
      </c>
      <c r="B3157" s="190" t="s">
        <v>7484</v>
      </c>
      <c r="C3157" s="163" t="s">
        <v>74</v>
      </c>
      <c r="D3157" s="164">
        <v>47.5</v>
      </c>
      <c r="E3157" s="165"/>
      <c r="F3157" s="617"/>
    </row>
    <row r="3158" spans="1:6" x14ac:dyDescent="0.3">
      <c r="A3158" s="169" t="s">
        <v>7452</v>
      </c>
      <c r="B3158" s="190" t="s">
        <v>7485</v>
      </c>
      <c r="C3158" s="163" t="s">
        <v>7343</v>
      </c>
      <c r="D3158" s="164">
        <v>124</v>
      </c>
      <c r="E3158" s="165"/>
      <c r="F3158" s="617"/>
    </row>
    <row r="3159" spans="1:6" x14ac:dyDescent="0.3">
      <c r="A3159" s="169" t="s">
        <v>7488</v>
      </c>
      <c r="B3159" s="190" t="s">
        <v>7487</v>
      </c>
      <c r="C3159" s="163" t="s">
        <v>29</v>
      </c>
      <c r="D3159" s="160">
        <v>1</v>
      </c>
      <c r="E3159" s="165"/>
      <c r="F3159" s="617"/>
    </row>
    <row r="3160" spans="1:6" x14ac:dyDescent="0.3">
      <c r="A3160" s="169" t="s">
        <v>7489</v>
      </c>
      <c r="B3160" s="190" t="s">
        <v>7500</v>
      </c>
      <c r="C3160" s="163" t="s">
        <v>3238</v>
      </c>
      <c r="D3160" s="160">
        <v>1</v>
      </c>
      <c r="E3160" s="165"/>
      <c r="F3160" s="617"/>
    </row>
    <row r="3161" spans="1:6" x14ac:dyDescent="0.3">
      <c r="A3161" s="169" t="s">
        <v>7490</v>
      </c>
      <c r="B3161" s="190" t="s">
        <v>7501</v>
      </c>
      <c r="C3161" s="163" t="s">
        <v>74</v>
      </c>
      <c r="D3161" s="164">
        <f>((((174.5856/9)*1.03)/1.03)*1.02)/1.02</f>
        <v>19.398399999999999</v>
      </c>
      <c r="E3161" s="165"/>
      <c r="F3161" s="617"/>
    </row>
    <row r="3162" spans="1:6" x14ac:dyDescent="0.3">
      <c r="A3162" s="169" t="s">
        <v>7491</v>
      </c>
      <c r="B3162" s="190" t="s">
        <v>7502</v>
      </c>
      <c r="C3162" s="163" t="s">
        <v>74</v>
      </c>
      <c r="D3162" s="164">
        <v>6.4</v>
      </c>
      <c r="E3162" s="165"/>
      <c r="F3162" s="617"/>
    </row>
    <row r="3163" spans="1:6" x14ac:dyDescent="0.3">
      <c r="A3163" s="169" t="s">
        <v>7492</v>
      </c>
      <c r="B3163" s="190" t="s">
        <v>7504</v>
      </c>
      <c r="C3163" s="163" t="s">
        <v>73</v>
      </c>
      <c r="D3163" s="164">
        <v>2000</v>
      </c>
      <c r="E3163" s="165"/>
      <c r="F3163" s="617"/>
    </row>
    <row r="3164" spans="1:6" x14ac:dyDescent="0.3">
      <c r="A3164" s="169" t="s">
        <v>7493</v>
      </c>
      <c r="B3164" s="190" t="s">
        <v>7505</v>
      </c>
      <c r="C3164" s="163" t="s">
        <v>73</v>
      </c>
      <c r="D3164" s="164">
        <v>150</v>
      </c>
      <c r="E3164" s="165"/>
      <c r="F3164" s="617"/>
    </row>
    <row r="3165" spans="1:6" x14ac:dyDescent="0.3">
      <c r="A3165" s="169" t="s">
        <v>7494</v>
      </c>
      <c r="B3165" s="190" t="s">
        <v>7506</v>
      </c>
      <c r="C3165" s="163" t="s">
        <v>73</v>
      </c>
      <c r="D3165" s="164">
        <v>17.100000000000001</v>
      </c>
      <c r="E3165" s="165"/>
      <c r="F3165" s="617"/>
    </row>
    <row r="3166" spans="1:6" x14ac:dyDescent="0.3">
      <c r="A3166" s="169" t="s">
        <v>7495</v>
      </c>
      <c r="B3166" s="190" t="s">
        <v>7507</v>
      </c>
      <c r="C3166" s="163" t="s">
        <v>73</v>
      </c>
      <c r="D3166" s="164">
        <v>49.25</v>
      </c>
      <c r="E3166" s="165"/>
      <c r="F3166" s="617"/>
    </row>
    <row r="3167" spans="1:6" x14ac:dyDescent="0.3">
      <c r="A3167" s="169" t="s">
        <v>7496</v>
      </c>
      <c r="B3167" s="190" t="s">
        <v>7508</v>
      </c>
      <c r="C3167" s="163" t="s">
        <v>73</v>
      </c>
      <c r="D3167" s="164">
        <v>39.590000000000003</v>
      </c>
      <c r="E3167" s="165"/>
      <c r="F3167" s="617"/>
    </row>
    <row r="3168" spans="1:6" x14ac:dyDescent="0.3">
      <c r="A3168" s="169" t="s">
        <v>7497</v>
      </c>
      <c r="B3168" s="190" t="s">
        <v>7509</v>
      </c>
      <c r="C3168" s="163" t="s">
        <v>73</v>
      </c>
      <c r="D3168" s="164">
        <v>105.88</v>
      </c>
      <c r="E3168" s="165"/>
      <c r="F3168" s="617"/>
    </row>
    <row r="3169" spans="1:6" x14ac:dyDescent="0.3">
      <c r="A3169" s="169" t="s">
        <v>7510</v>
      </c>
      <c r="B3169" s="190" t="s">
        <v>7516</v>
      </c>
      <c r="C3169" s="163" t="s">
        <v>73</v>
      </c>
      <c r="D3169" s="164">
        <v>170</v>
      </c>
      <c r="E3169" s="165"/>
      <c r="F3169" s="617"/>
    </row>
    <row r="3170" spans="1:6" x14ac:dyDescent="0.3">
      <c r="A3170" s="169" t="s">
        <v>7511</v>
      </c>
      <c r="B3170" s="190" t="s">
        <v>7517</v>
      </c>
      <c r="C3170" s="163" t="s">
        <v>73</v>
      </c>
      <c r="D3170" s="164">
        <v>75</v>
      </c>
      <c r="E3170" s="165"/>
      <c r="F3170" s="617"/>
    </row>
    <row r="3171" spans="1:6" x14ac:dyDescent="0.3">
      <c r="A3171" s="169" t="s">
        <v>7512</v>
      </c>
      <c r="B3171" s="190" t="s">
        <v>8035</v>
      </c>
      <c r="C3171" s="163" t="s">
        <v>1376</v>
      </c>
      <c r="D3171" s="164">
        <v>790</v>
      </c>
      <c r="E3171" s="165" t="s">
        <v>8036</v>
      </c>
      <c r="F3171" s="617"/>
    </row>
    <row r="3172" spans="1:6" x14ac:dyDescent="0.3">
      <c r="A3172" s="169" t="s">
        <v>7513</v>
      </c>
      <c r="B3172" s="190" t="s">
        <v>7519</v>
      </c>
      <c r="C3172" s="163" t="s">
        <v>73</v>
      </c>
      <c r="D3172" s="164">
        <v>220.4</v>
      </c>
      <c r="E3172" s="165"/>
      <c r="F3172" s="617"/>
    </row>
    <row r="3173" spans="1:6" x14ac:dyDescent="0.3">
      <c r="A3173" s="169" t="s">
        <v>7514</v>
      </c>
      <c r="B3173" s="190" t="s">
        <v>7518</v>
      </c>
      <c r="C3173" s="163" t="s">
        <v>73</v>
      </c>
      <c r="D3173" s="164">
        <v>399</v>
      </c>
      <c r="E3173" s="165"/>
      <c r="F3173" s="617"/>
    </row>
    <row r="3174" spans="1:6" x14ac:dyDescent="0.3">
      <c r="A3174" s="169" t="s">
        <v>7515</v>
      </c>
      <c r="B3174" s="190" t="s">
        <v>7533</v>
      </c>
      <c r="C3174" s="163" t="s">
        <v>73</v>
      </c>
      <c r="D3174" s="164">
        <v>200.27</v>
      </c>
      <c r="E3174" s="165"/>
      <c r="F3174" s="617"/>
    </row>
    <row r="3175" spans="1:6" x14ac:dyDescent="0.3">
      <c r="A3175" s="169" t="s">
        <v>7520</v>
      </c>
      <c r="B3175" s="190" t="s">
        <v>7531</v>
      </c>
      <c r="C3175" s="163" t="s">
        <v>73</v>
      </c>
      <c r="D3175" s="164">
        <v>77.55</v>
      </c>
      <c r="E3175" s="165"/>
      <c r="F3175" s="617"/>
    </row>
    <row r="3176" spans="1:6" x14ac:dyDescent="0.3">
      <c r="A3176" s="169" t="s">
        <v>7521</v>
      </c>
      <c r="B3176" s="190" t="s">
        <v>7532</v>
      </c>
      <c r="C3176" s="163" t="s">
        <v>73</v>
      </c>
      <c r="D3176" s="164">
        <v>97.73</v>
      </c>
      <c r="E3176" s="165"/>
      <c r="F3176" s="617"/>
    </row>
    <row r="3177" spans="1:6" x14ac:dyDescent="0.3">
      <c r="A3177" s="169" t="s">
        <v>7522</v>
      </c>
      <c r="B3177" s="190" t="s">
        <v>8050</v>
      </c>
      <c r="C3177" s="163" t="s">
        <v>29</v>
      </c>
      <c r="D3177" s="164">
        <v>1</v>
      </c>
      <c r="E3177" s="165"/>
      <c r="F3177" s="617"/>
    </row>
    <row r="3178" spans="1:6" x14ac:dyDescent="0.3">
      <c r="A3178" s="169" t="s">
        <v>7523</v>
      </c>
      <c r="B3178" s="190" t="s">
        <v>7534</v>
      </c>
      <c r="C3178" s="163" t="s">
        <v>29</v>
      </c>
      <c r="D3178" s="160">
        <v>1</v>
      </c>
      <c r="E3178" s="165"/>
      <c r="F3178" s="617"/>
    </row>
    <row r="3179" spans="1:6" x14ac:dyDescent="0.3">
      <c r="A3179" s="169" t="s">
        <v>7524</v>
      </c>
      <c r="B3179" s="190" t="s">
        <v>7535</v>
      </c>
      <c r="C3179" s="163" t="s">
        <v>37</v>
      </c>
      <c r="D3179" s="164">
        <f>((14000/3)*1.02)/1.02</f>
        <v>4666.666666666667</v>
      </c>
      <c r="E3179" s="165"/>
      <c r="F3179" s="617"/>
    </row>
    <row r="3180" spans="1:6" x14ac:dyDescent="0.3">
      <c r="A3180" s="169" t="s">
        <v>7525</v>
      </c>
      <c r="B3180" s="190" t="s">
        <v>7537</v>
      </c>
      <c r="C3180" s="163" t="s">
        <v>29</v>
      </c>
      <c r="D3180" s="164">
        <v>20000</v>
      </c>
      <c r="E3180" s="165"/>
      <c r="F3180" s="617"/>
    </row>
    <row r="3181" spans="1:6" x14ac:dyDescent="0.3">
      <c r="A3181" s="169" t="s">
        <v>7526</v>
      </c>
      <c r="B3181" s="156" t="s">
        <v>7568</v>
      </c>
      <c r="C3181" s="163" t="s">
        <v>72</v>
      </c>
      <c r="D3181" s="164">
        <v>725</v>
      </c>
      <c r="E3181" s="165" t="s">
        <v>2261</v>
      </c>
      <c r="F3181" s="617"/>
    </row>
    <row r="3182" spans="1:6" x14ac:dyDescent="0.3">
      <c r="A3182" s="169" t="s">
        <v>7527</v>
      </c>
      <c r="B3182" s="190" t="s">
        <v>7542</v>
      </c>
      <c r="C3182" s="163" t="s">
        <v>29</v>
      </c>
      <c r="D3182" s="160">
        <v>1</v>
      </c>
      <c r="E3182" s="165"/>
      <c r="F3182" s="617"/>
    </row>
    <row r="3183" spans="1:6" x14ac:dyDescent="0.3">
      <c r="A3183" s="169" t="s">
        <v>7528</v>
      </c>
      <c r="B3183" s="190" t="s">
        <v>7544</v>
      </c>
      <c r="C3183" s="163" t="s">
        <v>29</v>
      </c>
      <c r="D3183" s="160">
        <v>1</v>
      </c>
      <c r="E3183" s="165"/>
      <c r="F3183" s="617"/>
    </row>
    <row r="3184" spans="1:6" x14ac:dyDescent="0.3">
      <c r="A3184" s="169" t="s">
        <v>7529</v>
      </c>
      <c r="B3184" s="190" t="s">
        <v>7545</v>
      </c>
      <c r="C3184" s="163" t="s">
        <v>74</v>
      </c>
      <c r="D3184" s="164">
        <v>300</v>
      </c>
      <c r="E3184" s="165"/>
      <c r="F3184" s="617"/>
    </row>
    <row r="3185" spans="1:6" x14ac:dyDescent="0.3">
      <c r="A3185" s="169" t="s">
        <v>7530</v>
      </c>
      <c r="B3185" s="190" t="s">
        <v>7546</v>
      </c>
      <c r="C3185" s="163" t="s">
        <v>29</v>
      </c>
      <c r="D3185" s="160">
        <v>1</v>
      </c>
      <c r="E3185" s="165"/>
      <c r="F3185" s="617"/>
    </row>
    <row r="3186" spans="1:6" x14ac:dyDescent="0.3">
      <c r="A3186" s="169" t="s">
        <v>7547</v>
      </c>
      <c r="B3186" s="190" t="s">
        <v>7555</v>
      </c>
      <c r="C3186" s="163" t="s">
        <v>7556</v>
      </c>
      <c r="D3186" s="164">
        <v>27000</v>
      </c>
      <c r="E3186" s="165"/>
      <c r="F3186" s="617"/>
    </row>
    <row r="3187" spans="1:6" x14ac:dyDescent="0.3">
      <c r="A3187" s="169" t="s">
        <v>7548</v>
      </c>
      <c r="B3187" s="190" t="s">
        <v>7557</v>
      </c>
      <c r="C3187" s="163" t="s">
        <v>73</v>
      </c>
      <c r="D3187" s="164">
        <f>((31000/17.6)*1.02)/1.02</f>
        <v>1761.3636363636363</v>
      </c>
      <c r="E3187" s="165"/>
      <c r="F3187" s="617"/>
    </row>
    <row r="3188" spans="1:6" x14ac:dyDescent="0.3">
      <c r="A3188" s="169" t="s">
        <v>7549</v>
      </c>
      <c r="B3188" s="190" t="s">
        <v>7558</v>
      </c>
      <c r="C3188" s="163" t="s">
        <v>37</v>
      </c>
      <c r="D3188" s="164">
        <v>6891.85</v>
      </c>
      <c r="E3188" s="165"/>
      <c r="F3188" s="617"/>
    </row>
    <row r="3189" spans="1:6" x14ac:dyDescent="0.3">
      <c r="A3189" s="169" t="s">
        <v>7550</v>
      </c>
      <c r="B3189" s="190" t="s">
        <v>7559</v>
      </c>
      <c r="C3189" s="163" t="s">
        <v>37</v>
      </c>
      <c r="D3189" s="164">
        <v>5386.7</v>
      </c>
      <c r="E3189" s="165"/>
      <c r="F3189" s="617"/>
    </row>
    <row r="3190" spans="1:6" x14ac:dyDescent="0.3">
      <c r="A3190" s="169" t="s">
        <v>7551</v>
      </c>
      <c r="B3190" s="190" t="s">
        <v>8051</v>
      </c>
      <c r="C3190" s="163" t="s">
        <v>74</v>
      </c>
      <c r="D3190" s="164">
        <v>125</v>
      </c>
      <c r="E3190" s="165"/>
      <c r="F3190" s="617"/>
    </row>
    <row r="3191" spans="1:6" x14ac:dyDescent="0.3">
      <c r="A3191" s="169" t="s">
        <v>7552</v>
      </c>
      <c r="B3191" s="190" t="s">
        <v>7566</v>
      </c>
      <c r="C3191" s="163" t="s">
        <v>1376</v>
      </c>
      <c r="D3191" s="164">
        <f>((300/1000)*1.02)/1.02</f>
        <v>0.3</v>
      </c>
      <c r="E3191" s="165"/>
      <c r="F3191" s="617"/>
    </row>
    <row r="3192" spans="1:6" x14ac:dyDescent="0.3">
      <c r="A3192" s="169" t="s">
        <v>7553</v>
      </c>
      <c r="B3192" s="190" t="s">
        <v>7586</v>
      </c>
      <c r="C3192" s="163" t="s">
        <v>73</v>
      </c>
      <c r="D3192" s="164">
        <f>((44.65+6.71)*1.02)/1.02</f>
        <v>51.36</v>
      </c>
      <c r="E3192" s="165" t="s">
        <v>1024</v>
      </c>
      <c r="F3192" s="617"/>
    </row>
    <row r="3193" spans="1:6" x14ac:dyDescent="0.3">
      <c r="A3193" s="169" t="s">
        <v>7571</v>
      </c>
      <c r="B3193" s="190" t="s">
        <v>7587</v>
      </c>
      <c r="C3193" s="163" t="s">
        <v>73</v>
      </c>
      <c r="D3193" s="164">
        <f>((72.8+11.73)*1.02)/1.02</f>
        <v>84.53</v>
      </c>
      <c r="E3193" s="165" t="s">
        <v>1024</v>
      </c>
      <c r="F3193" s="617"/>
    </row>
    <row r="3194" spans="1:6" x14ac:dyDescent="0.3">
      <c r="A3194" s="169" t="s">
        <v>7572</v>
      </c>
      <c r="B3194" s="190" t="s">
        <v>7588</v>
      </c>
      <c r="C3194" s="163" t="s">
        <v>73</v>
      </c>
      <c r="D3194" s="164">
        <v>138.66</v>
      </c>
      <c r="E3194" s="165" t="s">
        <v>7589</v>
      </c>
      <c r="F3194" s="617"/>
    </row>
    <row r="3195" spans="1:6" x14ac:dyDescent="0.3">
      <c r="A3195" s="169" t="s">
        <v>7573</v>
      </c>
      <c r="B3195" s="190" t="s">
        <v>7590</v>
      </c>
      <c r="C3195" s="163" t="s">
        <v>73</v>
      </c>
      <c r="D3195" s="164">
        <f>((52.24+11.3)*1.02)/1.02</f>
        <v>63.54</v>
      </c>
      <c r="E3195" s="165" t="s">
        <v>1024</v>
      </c>
      <c r="F3195" s="617"/>
    </row>
    <row r="3196" spans="1:6" x14ac:dyDescent="0.3">
      <c r="A3196" s="169" t="s">
        <v>7574</v>
      </c>
      <c r="B3196" s="190" t="s">
        <v>7593</v>
      </c>
      <c r="C3196" s="163" t="s">
        <v>73</v>
      </c>
      <c r="D3196" s="164">
        <f>((97.23+11.27)*1.02)/1.02</f>
        <v>108.5</v>
      </c>
      <c r="E3196" s="165" t="s">
        <v>1024</v>
      </c>
      <c r="F3196" s="617"/>
    </row>
    <row r="3197" spans="1:6" x14ac:dyDescent="0.3">
      <c r="A3197" s="169" t="s">
        <v>7575</v>
      </c>
      <c r="B3197" s="190" t="s">
        <v>7594</v>
      </c>
      <c r="C3197" s="163" t="s">
        <v>73</v>
      </c>
      <c r="D3197" s="164">
        <f>((128.49+9.22)*1.02)/1.02</f>
        <v>137.71</v>
      </c>
      <c r="E3197" s="165" t="s">
        <v>1024</v>
      </c>
      <c r="F3197" s="617"/>
    </row>
    <row r="3198" spans="1:6" x14ac:dyDescent="0.3">
      <c r="A3198" s="169" t="s">
        <v>7576</v>
      </c>
      <c r="B3198" s="190" t="s">
        <v>7595</v>
      </c>
      <c r="C3198" s="163" t="s">
        <v>73</v>
      </c>
      <c r="D3198" s="164">
        <f>((128.49+9.22)*1.02)/1.02</f>
        <v>137.71</v>
      </c>
      <c r="E3198" s="165" t="s">
        <v>1024</v>
      </c>
      <c r="F3198" s="617"/>
    </row>
    <row r="3199" spans="1:6" x14ac:dyDescent="0.3">
      <c r="A3199" s="169" t="s">
        <v>7577</v>
      </c>
      <c r="B3199" s="190" t="s">
        <v>7591</v>
      </c>
      <c r="C3199" s="163" t="s">
        <v>73</v>
      </c>
      <c r="D3199" s="164">
        <f>((70.89+11.32)*1.02)/1.02</f>
        <v>82.210000000000008</v>
      </c>
      <c r="E3199" s="165" t="s">
        <v>1024</v>
      </c>
      <c r="F3199" s="617"/>
    </row>
    <row r="3200" spans="1:6" x14ac:dyDescent="0.3">
      <c r="A3200" s="169" t="s">
        <v>7578</v>
      </c>
      <c r="B3200" s="190" t="s">
        <v>7587</v>
      </c>
      <c r="C3200" s="163" t="s">
        <v>73</v>
      </c>
      <c r="D3200" s="164">
        <f>((73.27+11.73)*1.02)/1.02</f>
        <v>85</v>
      </c>
      <c r="E3200" s="165" t="s">
        <v>1024</v>
      </c>
      <c r="F3200" s="617"/>
    </row>
    <row r="3201" spans="1:6" x14ac:dyDescent="0.3">
      <c r="A3201" s="169" t="s">
        <v>7579</v>
      </c>
      <c r="B3201" s="190" t="s">
        <v>7592</v>
      </c>
      <c r="C3201" s="163" t="s">
        <v>73</v>
      </c>
      <c r="D3201" s="164">
        <f>((77.7+11.27)*1.02)/1.02</f>
        <v>88.97</v>
      </c>
      <c r="E3201" s="165" t="s">
        <v>1024</v>
      </c>
      <c r="F3201" s="617"/>
    </row>
    <row r="3202" spans="1:6" x14ac:dyDescent="0.3">
      <c r="A3202" s="169" t="s">
        <v>7580</v>
      </c>
      <c r="B3202" s="190" t="s">
        <v>8076</v>
      </c>
      <c r="C3202" s="163" t="s">
        <v>74</v>
      </c>
      <c r="D3202" s="164">
        <v>29.23</v>
      </c>
      <c r="E3202" s="165"/>
      <c r="F3202" s="617"/>
    </row>
    <row r="3203" spans="1:6" x14ac:dyDescent="0.3">
      <c r="A3203" s="169" t="s">
        <v>7581</v>
      </c>
      <c r="B3203" s="190" t="s">
        <v>7596</v>
      </c>
      <c r="C3203" s="163" t="s">
        <v>74</v>
      </c>
      <c r="D3203" s="164">
        <v>39.26</v>
      </c>
      <c r="E3203" s="165"/>
      <c r="F3203" s="617"/>
    </row>
    <row r="3204" spans="1:6" x14ac:dyDescent="0.3">
      <c r="A3204" s="169" t="s">
        <v>7582</v>
      </c>
      <c r="B3204" s="190" t="s">
        <v>7597</v>
      </c>
      <c r="C3204" s="163" t="s">
        <v>74</v>
      </c>
      <c r="D3204" s="164">
        <f>((1.2*1.2*D3198/11)*1.02)/1.02</f>
        <v>18.027490909090911</v>
      </c>
      <c r="E3204" s="165"/>
      <c r="F3204" s="617"/>
    </row>
    <row r="3205" spans="1:6" x14ac:dyDescent="0.3">
      <c r="A3205" s="169" t="s">
        <v>7583</v>
      </c>
      <c r="B3205" s="190" t="s">
        <v>7598</v>
      </c>
      <c r="C3205" s="163" t="s">
        <v>74</v>
      </c>
      <c r="D3205" s="164">
        <f>((0.9*0.9*D3201/8)*1.02)/1.02</f>
        <v>9.0082125000000008</v>
      </c>
      <c r="E3205" s="165"/>
      <c r="F3205" s="617"/>
    </row>
    <row r="3206" spans="1:6" x14ac:dyDescent="0.3">
      <c r="A3206" s="169" t="s">
        <v>7584</v>
      </c>
      <c r="B3206" s="190" t="s">
        <v>7599</v>
      </c>
      <c r="C3206" s="163" t="s">
        <v>73</v>
      </c>
      <c r="D3206" s="164">
        <f>((163.43+10.8)*1.02)/1.02</f>
        <v>174.23000000000002</v>
      </c>
      <c r="E3206" s="165" t="s">
        <v>1024</v>
      </c>
      <c r="F3206" s="617"/>
    </row>
    <row r="3207" spans="1:6" x14ac:dyDescent="0.3">
      <c r="A3207" s="169" t="s">
        <v>7585</v>
      </c>
      <c r="B3207" s="190" t="s">
        <v>7600</v>
      </c>
      <c r="C3207" s="163" t="s">
        <v>73</v>
      </c>
      <c r="D3207" s="164">
        <f>((92.4+11.27)*1.02)/1.02</f>
        <v>103.67</v>
      </c>
      <c r="E3207" s="165" t="s">
        <v>1024</v>
      </c>
      <c r="F3207" s="617"/>
    </row>
    <row r="3208" spans="1:6" x14ac:dyDescent="0.3">
      <c r="A3208" s="169" t="s">
        <v>7601</v>
      </c>
      <c r="B3208" s="190" t="s">
        <v>8026</v>
      </c>
      <c r="C3208" s="163" t="s">
        <v>73</v>
      </c>
      <c r="D3208" s="164">
        <v>110</v>
      </c>
      <c r="E3208" s="165" t="s">
        <v>7314</v>
      </c>
      <c r="F3208" s="617"/>
    </row>
    <row r="3209" spans="1:6" x14ac:dyDescent="0.3">
      <c r="A3209" s="169" t="s">
        <v>7602</v>
      </c>
      <c r="B3209" s="190" t="s">
        <v>7609</v>
      </c>
      <c r="C3209" s="163" t="s">
        <v>1376</v>
      </c>
      <c r="D3209" s="164">
        <v>51560.12</v>
      </c>
      <c r="E3209" s="165"/>
      <c r="F3209" s="617"/>
    </row>
    <row r="3210" spans="1:6" x14ac:dyDescent="0.3">
      <c r="A3210" s="169" t="s">
        <v>7603</v>
      </c>
      <c r="B3210" s="190" t="s">
        <v>7611</v>
      </c>
      <c r="C3210" s="163" t="s">
        <v>37</v>
      </c>
      <c r="D3210" s="164">
        <v>3500</v>
      </c>
      <c r="E3210" s="165" t="s">
        <v>7922</v>
      </c>
      <c r="F3210" s="617">
        <v>45383</v>
      </c>
    </row>
    <row r="3211" spans="1:6" x14ac:dyDescent="0.3">
      <c r="A3211" s="169" t="s">
        <v>7604</v>
      </c>
      <c r="B3211" s="190" t="s">
        <v>7612</v>
      </c>
      <c r="C3211" s="163" t="s">
        <v>1376</v>
      </c>
      <c r="D3211" s="164">
        <v>75</v>
      </c>
      <c r="E3211" s="165"/>
      <c r="F3211" s="617"/>
    </row>
    <row r="3212" spans="1:6" x14ac:dyDescent="0.3">
      <c r="A3212" s="169" t="s">
        <v>7605</v>
      </c>
      <c r="B3212" s="190" t="s">
        <v>7613</v>
      </c>
      <c r="C3212" s="163" t="s">
        <v>37</v>
      </c>
      <c r="D3212" s="164">
        <v>2662</v>
      </c>
      <c r="E3212" s="165"/>
      <c r="F3212" s="617"/>
    </row>
    <row r="3213" spans="1:6" x14ac:dyDescent="0.3">
      <c r="A3213" s="169" t="s">
        <v>7606</v>
      </c>
      <c r="B3213" s="190" t="s">
        <v>7615</v>
      </c>
      <c r="C3213" s="163" t="s">
        <v>1376</v>
      </c>
      <c r="D3213" s="164">
        <v>22.54</v>
      </c>
      <c r="E3213" s="165"/>
      <c r="F3213" s="617"/>
    </row>
    <row r="3214" spans="1:6" x14ac:dyDescent="0.3">
      <c r="A3214" s="169" t="s">
        <v>7607</v>
      </c>
      <c r="B3214" s="190" t="s">
        <v>7633</v>
      </c>
      <c r="C3214" s="163" t="s">
        <v>29</v>
      </c>
      <c r="D3214" s="160">
        <v>1</v>
      </c>
      <c r="E3214" s="165" t="s">
        <v>7988</v>
      </c>
      <c r="F3214" s="617">
        <v>45427</v>
      </c>
    </row>
    <row r="3215" spans="1:6" x14ac:dyDescent="0.3">
      <c r="A3215" s="169" t="s">
        <v>7608</v>
      </c>
      <c r="B3215" s="190" t="s">
        <v>7634</v>
      </c>
      <c r="C3215" s="163" t="s">
        <v>29</v>
      </c>
      <c r="D3215" s="160">
        <v>1</v>
      </c>
      <c r="E3215" s="165" t="s">
        <v>7988</v>
      </c>
      <c r="F3215" s="617">
        <v>45427</v>
      </c>
    </row>
    <row r="3216" spans="1:6" x14ac:dyDescent="0.3">
      <c r="A3216" s="169" t="s">
        <v>7617</v>
      </c>
      <c r="B3216" s="190" t="s">
        <v>7752</v>
      </c>
      <c r="C3216" s="163" t="s">
        <v>37</v>
      </c>
      <c r="D3216" s="164">
        <f>420*50</f>
        <v>21000</v>
      </c>
      <c r="E3216" s="165" t="s">
        <v>7988</v>
      </c>
      <c r="F3216" s="617">
        <v>45427</v>
      </c>
    </row>
    <row r="3217" spans="1:6" x14ac:dyDescent="0.3">
      <c r="A3217" s="169" t="s">
        <v>7618</v>
      </c>
      <c r="B3217" s="190" t="s">
        <v>7632</v>
      </c>
      <c r="C3217" s="163" t="s">
        <v>29</v>
      </c>
      <c r="D3217" s="160">
        <v>1</v>
      </c>
      <c r="E3217" s="165" t="s">
        <v>7988</v>
      </c>
      <c r="F3217" s="617">
        <v>45427</v>
      </c>
    </row>
    <row r="3218" spans="1:6" x14ac:dyDescent="0.3">
      <c r="A3218" s="169" t="s">
        <v>7619</v>
      </c>
      <c r="B3218" s="190" t="s">
        <v>7637</v>
      </c>
      <c r="C3218" s="163" t="s">
        <v>73</v>
      </c>
      <c r="D3218" s="164">
        <v>240</v>
      </c>
      <c r="E3218" s="165" t="s">
        <v>7987</v>
      </c>
      <c r="F3218" s="617">
        <v>45365</v>
      </c>
    </row>
    <row r="3219" spans="1:6" x14ac:dyDescent="0.3">
      <c r="A3219" s="169" t="s">
        <v>7620</v>
      </c>
      <c r="B3219" s="190" t="s">
        <v>8047</v>
      </c>
      <c r="C3219" s="163" t="s">
        <v>73</v>
      </c>
      <c r="D3219" s="164">
        <v>420</v>
      </c>
      <c r="E3219" s="165" t="s">
        <v>7987</v>
      </c>
      <c r="F3219" s="617">
        <v>45365</v>
      </c>
    </row>
    <row r="3220" spans="1:6" x14ac:dyDescent="0.3">
      <c r="A3220" s="169" t="s">
        <v>7621</v>
      </c>
      <c r="B3220" s="190" t="s">
        <v>8031</v>
      </c>
      <c r="C3220" s="163" t="s">
        <v>29</v>
      </c>
      <c r="D3220" s="164">
        <v>1</v>
      </c>
      <c r="E3220" s="165" t="s">
        <v>8032</v>
      </c>
      <c r="F3220" s="617">
        <v>45615</v>
      </c>
    </row>
    <row r="3221" spans="1:6" x14ac:dyDescent="0.3">
      <c r="A3221" s="169" t="s">
        <v>7622</v>
      </c>
      <c r="B3221" s="190" t="s">
        <v>7638</v>
      </c>
      <c r="C3221" s="163" t="s">
        <v>73</v>
      </c>
      <c r="D3221" s="164">
        <v>21.9</v>
      </c>
      <c r="E3221" s="165"/>
      <c r="F3221" s="617"/>
    </row>
    <row r="3222" spans="1:6" x14ac:dyDescent="0.3">
      <c r="A3222" s="169" t="s">
        <v>7623</v>
      </c>
      <c r="B3222" s="190" t="s">
        <v>7640</v>
      </c>
      <c r="C3222" s="163" t="s">
        <v>73</v>
      </c>
      <c r="D3222" s="164">
        <v>18.100000000000001</v>
      </c>
      <c r="E3222" s="165"/>
      <c r="F3222" s="617"/>
    </row>
    <row r="3223" spans="1:6" x14ac:dyDescent="0.3">
      <c r="A3223" s="169" t="s">
        <v>7624</v>
      </c>
      <c r="B3223" s="190" t="s">
        <v>7641</v>
      </c>
      <c r="C3223" s="163" t="s">
        <v>73</v>
      </c>
      <c r="D3223" s="164">
        <v>89.9</v>
      </c>
      <c r="E3223" s="165"/>
      <c r="F3223" s="617"/>
    </row>
    <row r="3224" spans="1:6" x14ac:dyDescent="0.3">
      <c r="A3224" s="169" t="s">
        <v>7625</v>
      </c>
      <c r="B3224" s="190" t="s">
        <v>7642</v>
      </c>
      <c r="C3224" s="163" t="s">
        <v>73</v>
      </c>
      <c r="D3224" s="164">
        <v>84</v>
      </c>
      <c r="E3224" s="165"/>
      <c r="F3224" s="617"/>
    </row>
    <row r="3225" spans="1:6" x14ac:dyDescent="0.3">
      <c r="A3225" s="169" t="s">
        <v>7626</v>
      </c>
      <c r="B3225" s="190" t="s">
        <v>7643</v>
      </c>
      <c r="C3225" s="163" t="s">
        <v>73</v>
      </c>
      <c r="D3225" s="164">
        <v>49.9</v>
      </c>
      <c r="E3225" s="165"/>
      <c r="F3225" s="617"/>
    </row>
    <row r="3226" spans="1:6" x14ac:dyDescent="0.3">
      <c r="A3226" s="169" t="s">
        <v>7627</v>
      </c>
      <c r="B3226" s="190" t="s">
        <v>7644</v>
      </c>
      <c r="C3226" s="163" t="s">
        <v>73</v>
      </c>
      <c r="D3226" s="164">
        <v>89.9</v>
      </c>
      <c r="E3226" s="165"/>
      <c r="F3226" s="617"/>
    </row>
    <row r="3227" spans="1:6" x14ac:dyDescent="0.3">
      <c r="A3227" s="169" t="s">
        <v>7628</v>
      </c>
      <c r="B3227" s="190" t="s">
        <v>7645</v>
      </c>
      <c r="C3227" s="163" t="s">
        <v>73</v>
      </c>
      <c r="D3227" s="164">
        <v>190</v>
      </c>
      <c r="E3227" s="165"/>
      <c r="F3227" s="617"/>
    </row>
    <row r="3228" spans="1:6" x14ac:dyDescent="0.3">
      <c r="A3228" s="169" t="s">
        <v>7629</v>
      </c>
      <c r="B3228" s="190" t="s">
        <v>8027</v>
      </c>
      <c r="C3228" s="163" t="s">
        <v>73</v>
      </c>
      <c r="D3228" s="164">
        <v>255</v>
      </c>
      <c r="E3228" s="165" t="s">
        <v>2297</v>
      </c>
      <c r="F3228" s="617">
        <v>45617</v>
      </c>
    </row>
    <row r="3229" spans="1:6" x14ac:dyDescent="0.3">
      <c r="A3229" s="169" t="s">
        <v>7630</v>
      </c>
      <c r="B3229" s="190" t="s">
        <v>7646</v>
      </c>
      <c r="C3229" s="163" t="s">
        <v>74</v>
      </c>
      <c r="D3229" s="164">
        <v>691.1</v>
      </c>
      <c r="E3229" s="165"/>
      <c r="F3229" s="617"/>
    </row>
    <row r="3230" spans="1:6" x14ac:dyDescent="0.3">
      <c r="A3230" s="169" t="s">
        <v>7631</v>
      </c>
      <c r="B3230" s="190" t="s">
        <v>7657</v>
      </c>
      <c r="C3230" s="163" t="s">
        <v>1376</v>
      </c>
      <c r="D3230" s="164">
        <v>800</v>
      </c>
      <c r="E3230" s="165"/>
      <c r="F3230" s="617"/>
    </row>
    <row r="3231" spans="1:6" x14ac:dyDescent="0.3">
      <c r="A3231" s="169" t="s">
        <v>7647</v>
      </c>
      <c r="B3231" s="190" t="s">
        <v>7816</v>
      </c>
      <c r="C3231" s="163" t="s">
        <v>1376</v>
      </c>
      <c r="D3231" s="164">
        <v>1500</v>
      </c>
      <c r="E3231" s="165"/>
      <c r="F3231" s="617"/>
    </row>
    <row r="3232" spans="1:6" x14ac:dyDescent="0.3">
      <c r="A3232" s="169" t="s">
        <v>7648</v>
      </c>
      <c r="B3232" s="190" t="s">
        <v>7658</v>
      </c>
      <c r="C3232" s="163" t="s">
        <v>1376</v>
      </c>
      <c r="D3232" s="164">
        <v>15000</v>
      </c>
      <c r="E3232" s="165"/>
      <c r="F3232" s="617"/>
    </row>
    <row r="3233" spans="1:6" x14ac:dyDescent="0.3">
      <c r="A3233" s="169" t="s">
        <v>7649</v>
      </c>
      <c r="B3233" s="190" t="s">
        <v>7659</v>
      </c>
      <c r="C3233" s="163" t="s">
        <v>1376</v>
      </c>
      <c r="D3233" s="164">
        <v>6350</v>
      </c>
      <c r="E3233" s="165"/>
      <c r="F3233" s="617"/>
    </row>
    <row r="3234" spans="1:6" x14ac:dyDescent="0.3">
      <c r="A3234" s="169" t="s">
        <v>7650</v>
      </c>
      <c r="B3234" s="190" t="s">
        <v>7817</v>
      </c>
      <c r="C3234" s="163" t="s">
        <v>73</v>
      </c>
      <c r="D3234" s="164">
        <v>927</v>
      </c>
      <c r="E3234" s="165"/>
      <c r="F3234" s="617"/>
    </row>
    <row r="3235" spans="1:6" x14ac:dyDescent="0.3">
      <c r="A3235" s="169" t="s">
        <v>7651</v>
      </c>
      <c r="B3235" s="190" t="s">
        <v>7660</v>
      </c>
      <c r="C3235" s="163" t="s">
        <v>89</v>
      </c>
      <c r="D3235" s="164">
        <v>38.24</v>
      </c>
      <c r="E3235" s="165"/>
      <c r="F3235" s="617"/>
    </row>
    <row r="3236" spans="1:6" x14ac:dyDescent="0.3">
      <c r="A3236" s="169" t="s">
        <v>7652</v>
      </c>
      <c r="B3236" s="190" t="s">
        <v>7682</v>
      </c>
      <c r="C3236" s="163" t="s">
        <v>29</v>
      </c>
      <c r="D3236" s="164">
        <v>37257</v>
      </c>
      <c r="E3236" s="165"/>
      <c r="F3236" s="617"/>
    </row>
    <row r="3237" spans="1:6" x14ac:dyDescent="0.3">
      <c r="A3237" s="169" t="s">
        <v>7653</v>
      </c>
      <c r="B3237" s="190" t="s">
        <v>8423</v>
      </c>
      <c r="C3237" s="163" t="s">
        <v>1376</v>
      </c>
      <c r="D3237" s="164">
        <v>1325.78</v>
      </c>
      <c r="E3237" s="165" t="s">
        <v>3086</v>
      </c>
      <c r="F3237" s="617">
        <v>45406</v>
      </c>
    </row>
    <row r="3238" spans="1:6" x14ac:dyDescent="0.3">
      <c r="A3238" s="169" t="s">
        <v>7654</v>
      </c>
      <c r="B3238" s="190" t="s">
        <v>8424</v>
      </c>
      <c r="C3238" s="163" t="s">
        <v>1376</v>
      </c>
      <c r="D3238" s="164">
        <v>1325.78</v>
      </c>
      <c r="E3238" s="165" t="s">
        <v>3086</v>
      </c>
      <c r="F3238" s="617">
        <v>45406</v>
      </c>
    </row>
    <row r="3239" spans="1:6" x14ac:dyDescent="0.3">
      <c r="A3239" s="169" t="s">
        <v>7655</v>
      </c>
      <c r="B3239" s="190" t="s">
        <v>8425</v>
      </c>
      <c r="C3239" s="163" t="s">
        <v>1376</v>
      </c>
      <c r="D3239" s="164">
        <v>1325.78</v>
      </c>
      <c r="E3239" s="165" t="s">
        <v>3086</v>
      </c>
      <c r="F3239" s="617">
        <v>45406</v>
      </c>
    </row>
    <row r="3240" spans="1:6" x14ac:dyDescent="0.3">
      <c r="A3240" s="169" t="s">
        <v>7656</v>
      </c>
      <c r="B3240" s="190" t="s">
        <v>7853</v>
      </c>
      <c r="C3240" s="163" t="s">
        <v>1376</v>
      </c>
      <c r="D3240" s="164">
        <v>1028.1300000000001</v>
      </c>
      <c r="E3240" s="165"/>
      <c r="F3240" s="617"/>
    </row>
    <row r="3241" spans="1:6" x14ac:dyDescent="0.3">
      <c r="A3241" s="169" t="s">
        <v>7661</v>
      </c>
      <c r="B3241" s="190" t="s">
        <v>8426</v>
      </c>
      <c r="C3241" s="163" t="s">
        <v>1376</v>
      </c>
      <c r="D3241" s="164">
        <v>1525.78</v>
      </c>
      <c r="E3241" s="165" t="s">
        <v>3086</v>
      </c>
      <c r="F3241" s="617">
        <v>45406</v>
      </c>
    </row>
    <row r="3242" spans="1:6" x14ac:dyDescent="0.3">
      <c r="A3242" s="169" t="s">
        <v>7662</v>
      </c>
      <c r="B3242" s="190" t="s">
        <v>7965</v>
      </c>
      <c r="C3242" s="163" t="s">
        <v>1376</v>
      </c>
      <c r="D3242" s="164">
        <v>725.78</v>
      </c>
      <c r="E3242" s="165" t="s">
        <v>3086</v>
      </c>
      <c r="F3242" s="617">
        <v>45406</v>
      </c>
    </row>
    <row r="3243" spans="1:6" x14ac:dyDescent="0.3">
      <c r="A3243" s="169" t="s">
        <v>7663</v>
      </c>
      <c r="B3243" s="190" t="s">
        <v>7854</v>
      </c>
      <c r="C3243" s="163" t="s">
        <v>1376</v>
      </c>
      <c r="D3243" s="164">
        <v>1202.1500000000001</v>
      </c>
      <c r="E3243" s="165" t="s">
        <v>3086</v>
      </c>
      <c r="F3243" s="617">
        <v>45406</v>
      </c>
    </row>
    <row r="3244" spans="1:6" x14ac:dyDescent="0.3">
      <c r="A3244" s="169" t="s">
        <v>7664</v>
      </c>
      <c r="B3244" s="190" t="s">
        <v>7964</v>
      </c>
      <c r="C3244" s="163" t="s">
        <v>1376</v>
      </c>
      <c r="D3244" s="164">
        <f>725.78/(0.7*2.1)*0.45*0.7*2</f>
        <v>311.04857142857145</v>
      </c>
      <c r="E3244" s="165" t="s">
        <v>3086</v>
      </c>
      <c r="F3244" s="617">
        <v>45406</v>
      </c>
    </row>
    <row r="3245" spans="1:6" x14ac:dyDescent="0.3">
      <c r="A3245" s="169" t="s">
        <v>7665</v>
      </c>
      <c r="B3245" s="190" t="s">
        <v>7963</v>
      </c>
      <c r="C3245" s="163" t="s">
        <v>1376</v>
      </c>
      <c r="D3245" s="164">
        <v>725.78</v>
      </c>
      <c r="E3245" s="165" t="s">
        <v>3086</v>
      </c>
      <c r="F3245" s="617">
        <v>45406</v>
      </c>
    </row>
    <row r="3246" spans="1:6" x14ac:dyDescent="0.3">
      <c r="A3246" s="169" t="s">
        <v>7666</v>
      </c>
      <c r="B3246" s="190" t="s">
        <v>7671</v>
      </c>
      <c r="C3246" s="163" t="s">
        <v>29</v>
      </c>
      <c r="D3246" s="160">
        <v>1</v>
      </c>
      <c r="E3246" s="165"/>
      <c r="F3246" s="617"/>
    </row>
    <row r="3247" spans="1:6" x14ac:dyDescent="0.3">
      <c r="A3247" s="169" t="s">
        <v>7667</v>
      </c>
      <c r="B3247" s="190" t="s">
        <v>7675</v>
      </c>
      <c r="C3247" s="163" t="s">
        <v>7270</v>
      </c>
      <c r="D3247" s="164">
        <v>13.8</v>
      </c>
      <c r="E3247" s="165"/>
      <c r="F3247" s="617"/>
    </row>
    <row r="3248" spans="1:6" x14ac:dyDescent="0.3">
      <c r="A3248" s="169" t="s">
        <v>7668</v>
      </c>
      <c r="B3248" s="190" t="s">
        <v>7676</v>
      </c>
      <c r="C3248" s="163" t="s">
        <v>6950</v>
      </c>
      <c r="D3248" s="164">
        <v>1900</v>
      </c>
      <c r="E3248" s="165"/>
      <c r="F3248" s="617"/>
    </row>
    <row r="3249" spans="1:6" x14ac:dyDescent="0.3">
      <c r="A3249" s="169" t="s">
        <v>7669</v>
      </c>
      <c r="B3249" s="190" t="s">
        <v>7678</v>
      </c>
      <c r="C3249" s="163" t="s">
        <v>73</v>
      </c>
      <c r="D3249" s="164">
        <v>89</v>
      </c>
      <c r="E3249" s="165"/>
      <c r="F3249" s="617"/>
    </row>
    <row r="3250" spans="1:6" x14ac:dyDescent="0.3">
      <c r="A3250" s="169" t="s">
        <v>7670</v>
      </c>
      <c r="B3250" s="190" t="s">
        <v>7763</v>
      </c>
      <c r="C3250" s="163" t="s">
        <v>29</v>
      </c>
      <c r="D3250" s="160">
        <v>1</v>
      </c>
      <c r="E3250" s="165"/>
      <c r="F3250" s="617"/>
    </row>
    <row r="3251" spans="1:6" x14ac:dyDescent="0.3">
      <c r="A3251" s="169" t="s">
        <v>7772</v>
      </c>
      <c r="B3251" s="190" t="s">
        <v>7782</v>
      </c>
      <c r="C3251" s="163" t="s">
        <v>2088</v>
      </c>
      <c r="D3251" s="164">
        <v>46.9</v>
      </c>
      <c r="E3251" s="165"/>
      <c r="F3251" s="617"/>
    </row>
    <row r="3252" spans="1:6" x14ac:dyDescent="0.3">
      <c r="A3252" s="169" t="s">
        <v>7773</v>
      </c>
      <c r="B3252" s="190" t="s">
        <v>7787</v>
      </c>
      <c r="C3252" s="163" t="s">
        <v>1376</v>
      </c>
      <c r="D3252" s="164">
        <v>1900</v>
      </c>
      <c r="E3252" s="165"/>
      <c r="F3252" s="617"/>
    </row>
    <row r="3253" spans="1:6" x14ac:dyDescent="0.3">
      <c r="A3253" s="169" t="s">
        <v>7774</v>
      </c>
      <c r="B3253" s="190" t="s">
        <v>7955</v>
      </c>
      <c r="C3253" s="163" t="s">
        <v>73</v>
      </c>
      <c r="D3253" s="164">
        <f>92.4+11.27</f>
        <v>103.67</v>
      </c>
      <c r="E3253" s="165" t="s">
        <v>1024</v>
      </c>
      <c r="F3253" s="617">
        <v>45453</v>
      </c>
    </row>
    <row r="3254" spans="1:6" x14ac:dyDescent="0.3">
      <c r="A3254" s="169" t="s">
        <v>7775</v>
      </c>
      <c r="B3254" s="190" t="s">
        <v>7951</v>
      </c>
      <c r="C3254" s="163" t="s">
        <v>73</v>
      </c>
      <c r="D3254" s="164">
        <f>79.41+11.54</f>
        <v>90.949999999999989</v>
      </c>
      <c r="E3254" s="165" t="s">
        <v>1024</v>
      </c>
      <c r="F3254" s="617">
        <v>45453</v>
      </c>
    </row>
    <row r="3255" spans="1:6" x14ac:dyDescent="0.3">
      <c r="A3255" s="169" t="s">
        <v>7776</v>
      </c>
      <c r="B3255" s="190" t="s">
        <v>7952</v>
      </c>
      <c r="C3255" s="163" t="s">
        <v>73</v>
      </c>
      <c r="D3255" s="164">
        <f>139.64+10.8</f>
        <v>150.44</v>
      </c>
      <c r="E3255" s="165" t="s">
        <v>1024</v>
      </c>
      <c r="F3255" s="617">
        <v>45453</v>
      </c>
    </row>
    <row r="3256" spans="1:6" x14ac:dyDescent="0.3">
      <c r="A3256" s="169" t="s">
        <v>7777</v>
      </c>
      <c r="B3256" s="190" t="s">
        <v>7953</v>
      </c>
      <c r="C3256" s="163" t="s">
        <v>73</v>
      </c>
      <c r="D3256" s="164">
        <f>139.86+9.63</f>
        <v>149.49</v>
      </c>
      <c r="E3256" s="165" t="s">
        <v>1024</v>
      </c>
      <c r="F3256" s="617">
        <v>45453</v>
      </c>
    </row>
    <row r="3257" spans="1:6" x14ac:dyDescent="0.3">
      <c r="A3257" s="169" t="s">
        <v>7778</v>
      </c>
      <c r="B3257" s="190" t="s">
        <v>7954</v>
      </c>
      <c r="C3257" s="163" t="s">
        <v>73</v>
      </c>
      <c r="D3257" s="164">
        <f>42.1+8.13</f>
        <v>50.230000000000004</v>
      </c>
      <c r="E3257" s="165" t="s">
        <v>1024</v>
      </c>
      <c r="F3257" s="617">
        <v>45453</v>
      </c>
    </row>
    <row r="3258" spans="1:6" x14ac:dyDescent="0.3">
      <c r="A3258" s="169" t="s">
        <v>7779</v>
      </c>
      <c r="B3258" s="190" t="s">
        <v>7956</v>
      </c>
      <c r="C3258" s="163" t="s">
        <v>73</v>
      </c>
      <c r="D3258" s="164">
        <f>119.92+9.22</f>
        <v>129.14000000000001</v>
      </c>
      <c r="E3258" s="165" t="s">
        <v>1024</v>
      </c>
      <c r="F3258" s="617">
        <v>45453</v>
      </c>
    </row>
    <row r="3259" spans="1:6" x14ac:dyDescent="0.3">
      <c r="A3259" s="169" t="s">
        <v>7780</v>
      </c>
      <c r="B3259" s="190" t="s">
        <v>7957</v>
      </c>
      <c r="C3259" s="163" t="s">
        <v>73</v>
      </c>
      <c r="D3259" s="164">
        <f>191.52+10.8</f>
        <v>202.32000000000002</v>
      </c>
      <c r="E3259" s="165" t="s">
        <v>1024</v>
      </c>
      <c r="F3259" s="617">
        <v>45453</v>
      </c>
    </row>
    <row r="3260" spans="1:6" x14ac:dyDescent="0.3">
      <c r="A3260" s="169" t="s">
        <v>7781</v>
      </c>
      <c r="B3260" s="190" t="s">
        <v>7974</v>
      </c>
      <c r="C3260" s="163" t="s">
        <v>73</v>
      </c>
      <c r="D3260" s="164">
        <f>191.52+10.8</f>
        <v>202.32000000000002</v>
      </c>
      <c r="E3260" s="165" t="s">
        <v>1024</v>
      </c>
      <c r="F3260" s="617">
        <v>45453</v>
      </c>
    </row>
    <row r="3261" spans="1:6" x14ac:dyDescent="0.3">
      <c r="A3261" s="169" t="s">
        <v>7790</v>
      </c>
      <c r="B3261" s="190" t="s">
        <v>7958</v>
      </c>
      <c r="C3261" s="163" t="s">
        <v>73</v>
      </c>
      <c r="D3261" s="164">
        <f>128.49+9.22</f>
        <v>137.71</v>
      </c>
      <c r="E3261" s="165" t="s">
        <v>1024</v>
      </c>
      <c r="F3261" s="617">
        <v>45453</v>
      </c>
    </row>
    <row r="3262" spans="1:6" x14ac:dyDescent="0.3">
      <c r="A3262" s="169" t="s">
        <v>7791</v>
      </c>
      <c r="B3262" s="190" t="s">
        <v>7959</v>
      </c>
      <c r="C3262" s="163" t="s">
        <v>73</v>
      </c>
      <c r="D3262" s="164">
        <f>111.51+11.57</f>
        <v>123.08000000000001</v>
      </c>
      <c r="E3262" s="165" t="s">
        <v>1024</v>
      </c>
      <c r="F3262" s="617">
        <v>45453</v>
      </c>
    </row>
    <row r="3263" spans="1:6" x14ac:dyDescent="0.3">
      <c r="A3263" s="169" t="s">
        <v>7792</v>
      </c>
      <c r="B3263" s="190" t="s">
        <v>7960</v>
      </c>
      <c r="C3263" s="163" t="s">
        <v>73</v>
      </c>
      <c r="D3263" s="164">
        <f>68.24+8.09</f>
        <v>76.33</v>
      </c>
      <c r="E3263" s="165" t="s">
        <v>1024</v>
      </c>
      <c r="F3263" s="617">
        <v>45453</v>
      </c>
    </row>
    <row r="3264" spans="1:6" x14ac:dyDescent="0.3">
      <c r="A3264" s="169" t="s">
        <v>7793</v>
      </c>
      <c r="B3264" s="190" t="s">
        <v>7976</v>
      </c>
      <c r="C3264" s="163" t="s">
        <v>74</v>
      </c>
      <c r="D3264" s="164">
        <f>0.6*0.6*D3256/2</f>
        <v>26.908200000000001</v>
      </c>
      <c r="E3264" s="165" t="s">
        <v>1024</v>
      </c>
      <c r="F3264" s="617">
        <v>45453</v>
      </c>
    </row>
    <row r="3265" spans="1:6" x14ac:dyDescent="0.3">
      <c r="A3265" s="169" t="s">
        <v>7794</v>
      </c>
      <c r="B3265" s="190" t="s">
        <v>7975</v>
      </c>
      <c r="C3265" s="163" t="s">
        <v>73</v>
      </c>
      <c r="D3265" s="164">
        <f>77.47+11.32</f>
        <v>88.789999999999992</v>
      </c>
      <c r="E3265" s="165" t="s">
        <v>1024</v>
      </c>
      <c r="F3265" s="617">
        <v>45453</v>
      </c>
    </row>
    <row r="3266" spans="1:6" x14ac:dyDescent="0.3">
      <c r="A3266" s="169" t="s">
        <v>7795</v>
      </c>
      <c r="B3266" s="190" t="s">
        <v>7979</v>
      </c>
      <c r="C3266" s="163" t="s">
        <v>74</v>
      </c>
      <c r="D3266" s="164">
        <f>0.4*0.4*27.9</f>
        <v>4.4640000000000004</v>
      </c>
      <c r="E3266" s="165" t="s">
        <v>7978</v>
      </c>
      <c r="F3266" s="617">
        <v>45453</v>
      </c>
    </row>
    <row r="3267" spans="1:6" x14ac:dyDescent="0.3">
      <c r="A3267" s="169" t="s">
        <v>7796</v>
      </c>
      <c r="B3267" s="190" t="s">
        <v>8732</v>
      </c>
      <c r="C3267" s="163" t="s">
        <v>1376</v>
      </c>
      <c r="D3267" s="164">
        <v>7783</v>
      </c>
      <c r="E3267" s="165" t="s">
        <v>8731</v>
      </c>
      <c r="F3267" s="617"/>
    </row>
    <row r="3268" spans="1:6" x14ac:dyDescent="0.3">
      <c r="A3268" s="169" t="s">
        <v>7797</v>
      </c>
      <c r="B3268" s="190"/>
      <c r="C3268" s="163"/>
      <c r="D3268" s="164"/>
      <c r="E3268" s="165"/>
      <c r="F3268" s="617"/>
    </row>
    <row r="3269" spans="1:6" x14ac:dyDescent="0.3">
      <c r="A3269" s="169" t="s">
        <v>7798</v>
      </c>
      <c r="B3269" s="190"/>
      <c r="C3269" s="163"/>
      <c r="D3269" s="164"/>
      <c r="E3269" s="165"/>
      <c r="F3269" s="617"/>
    </row>
    <row r="3270" spans="1:6" x14ac:dyDescent="0.3">
      <c r="A3270" s="169" t="s">
        <v>7799</v>
      </c>
      <c r="B3270" s="190"/>
      <c r="C3270" s="163"/>
      <c r="D3270" s="164"/>
      <c r="E3270" s="165"/>
      <c r="F3270" s="617"/>
    </row>
    <row r="3271" spans="1:6" x14ac:dyDescent="0.3">
      <c r="A3271" s="169" t="s">
        <v>7800</v>
      </c>
      <c r="B3271" s="190"/>
      <c r="C3271" s="163"/>
      <c r="D3271" s="164"/>
      <c r="E3271" s="165"/>
      <c r="F3271" s="617"/>
    </row>
    <row r="3272" spans="1:6" x14ac:dyDescent="0.3">
      <c r="A3272" s="169" t="s">
        <v>7801</v>
      </c>
      <c r="B3272" s="190"/>
      <c r="C3272" s="163"/>
      <c r="D3272" s="164"/>
      <c r="E3272" s="165"/>
      <c r="F3272" s="617"/>
    </row>
    <row r="3273" spans="1:6" x14ac:dyDescent="0.3">
      <c r="A3273" s="169" t="s">
        <v>7802</v>
      </c>
      <c r="B3273" s="190"/>
      <c r="C3273" s="163"/>
      <c r="D3273" s="164"/>
      <c r="E3273" s="165"/>
      <c r="F3273" s="617"/>
    </row>
    <row r="3274" spans="1:6" x14ac:dyDescent="0.3">
      <c r="A3274" s="169" t="s">
        <v>7803</v>
      </c>
      <c r="B3274" s="190"/>
      <c r="C3274" s="163"/>
      <c r="D3274" s="164"/>
      <c r="E3274" s="165"/>
      <c r="F3274" s="617"/>
    </row>
    <row r="3275" spans="1:6" x14ac:dyDescent="0.3">
      <c r="A3275" s="169" t="s">
        <v>7804</v>
      </c>
      <c r="B3275" s="190"/>
      <c r="C3275" s="163"/>
      <c r="D3275" s="164"/>
      <c r="E3275" s="165"/>
      <c r="F3275" s="617"/>
    </row>
    <row r="3276" spans="1:6" x14ac:dyDescent="0.3">
      <c r="A3276" s="169" t="s">
        <v>7805</v>
      </c>
      <c r="B3276" s="190"/>
      <c r="C3276" s="163"/>
      <c r="D3276" s="164"/>
      <c r="E3276" s="165"/>
      <c r="F3276" s="617"/>
    </row>
    <row r="3277" spans="1:6" x14ac:dyDescent="0.3">
      <c r="A3277" s="169" t="s">
        <v>7806</v>
      </c>
      <c r="B3277" s="190"/>
      <c r="C3277" s="163"/>
      <c r="D3277" s="164"/>
      <c r="E3277" s="165"/>
      <c r="F3277" s="617"/>
    </row>
    <row r="3278" spans="1:6" x14ac:dyDescent="0.3">
      <c r="A3278" s="169" t="s">
        <v>7807</v>
      </c>
      <c r="B3278" s="190"/>
      <c r="C3278" s="163"/>
      <c r="D3278" s="164"/>
      <c r="E3278" s="165"/>
      <c r="F3278" s="617"/>
    </row>
    <row r="3279" spans="1:6" x14ac:dyDescent="0.3">
      <c r="A3279" s="169" t="s">
        <v>7808</v>
      </c>
      <c r="B3279" s="190"/>
      <c r="C3279" s="163"/>
      <c r="D3279" s="164"/>
      <c r="E3279" s="165"/>
      <c r="F3279" s="617"/>
    </row>
    <row r="3280" spans="1:6" x14ac:dyDescent="0.3">
      <c r="A3280" s="169" t="s">
        <v>7809</v>
      </c>
      <c r="B3280" s="190"/>
      <c r="C3280" s="163"/>
      <c r="D3280" s="164"/>
      <c r="E3280" s="165"/>
      <c r="F3280" s="617"/>
    </row>
    <row r="3281" spans="1:6" x14ac:dyDescent="0.3">
      <c r="A3281" s="169" t="s">
        <v>7810</v>
      </c>
      <c r="B3281" s="190"/>
      <c r="C3281" s="163"/>
      <c r="D3281" s="164"/>
      <c r="E3281" s="165"/>
      <c r="F3281" s="617"/>
    </row>
    <row r="3282" spans="1:6" x14ac:dyDescent="0.3">
      <c r="A3282" s="169" t="s">
        <v>7811</v>
      </c>
      <c r="B3282" s="190"/>
      <c r="C3282" s="163"/>
      <c r="D3282" s="164"/>
      <c r="E3282" s="165"/>
      <c r="F3282" s="617"/>
    </row>
    <row r="3283" spans="1:6" x14ac:dyDescent="0.3">
      <c r="A3283" s="169" t="s">
        <v>7812</v>
      </c>
      <c r="B3283" s="190"/>
      <c r="C3283" s="163"/>
      <c r="D3283" s="164"/>
      <c r="E3283" s="165"/>
      <c r="F3283" s="617"/>
    </row>
    <row r="3284" spans="1:6" x14ac:dyDescent="0.3">
      <c r="A3284" s="169" t="s">
        <v>7813</v>
      </c>
      <c r="B3284" s="190"/>
      <c r="C3284" s="163"/>
      <c r="D3284" s="164"/>
      <c r="E3284" s="165"/>
      <c r="F3284" s="617"/>
    </row>
    <row r="3285" spans="1:6" x14ac:dyDescent="0.3">
      <c r="A3285" s="169" t="s">
        <v>7818</v>
      </c>
      <c r="B3285" s="190" t="s">
        <v>8377</v>
      </c>
      <c r="C3285" s="163" t="s">
        <v>1376</v>
      </c>
      <c r="D3285" s="164">
        <f>2.5*0.6*1281</f>
        <v>1921.5</v>
      </c>
      <c r="E3285" s="165" t="s">
        <v>7973</v>
      </c>
      <c r="F3285" s="617"/>
    </row>
    <row r="3286" spans="1:6" x14ac:dyDescent="0.3">
      <c r="A3286" s="169" t="s">
        <v>7819</v>
      </c>
      <c r="B3286" s="190" t="s">
        <v>8734</v>
      </c>
      <c r="C3286" s="163" t="s">
        <v>1376</v>
      </c>
      <c r="D3286" s="164">
        <v>540</v>
      </c>
      <c r="E3286" s="165" t="s">
        <v>7973</v>
      </c>
      <c r="F3286" s="617"/>
    </row>
    <row r="3287" spans="1:6" x14ac:dyDescent="0.3">
      <c r="A3287" s="169" t="s">
        <v>7820</v>
      </c>
      <c r="B3287" s="190" t="s">
        <v>8378</v>
      </c>
      <c r="C3287" s="163" t="s">
        <v>1376</v>
      </c>
      <c r="D3287" s="164">
        <f>2.25*0.7*1381</f>
        <v>2175.0749999999998</v>
      </c>
      <c r="E3287" s="165" t="s">
        <v>7973</v>
      </c>
      <c r="F3287" s="617"/>
    </row>
    <row r="3288" spans="1:6" x14ac:dyDescent="0.3">
      <c r="A3288" s="169" t="s">
        <v>7821</v>
      </c>
      <c r="B3288" s="190" t="s">
        <v>8379</v>
      </c>
      <c r="C3288" s="163" t="s">
        <v>1376</v>
      </c>
      <c r="D3288" s="164">
        <f>2.8*0.65*1381</f>
        <v>2513.4199999999996</v>
      </c>
      <c r="E3288" s="165" t="s">
        <v>7973</v>
      </c>
      <c r="F3288" s="617"/>
    </row>
    <row r="3289" spans="1:6" x14ac:dyDescent="0.3">
      <c r="A3289" s="169" t="s">
        <v>7822</v>
      </c>
      <c r="B3289" s="190" t="s">
        <v>8735</v>
      </c>
      <c r="C3289" s="163" t="s">
        <v>1376</v>
      </c>
      <c r="D3289" s="164">
        <v>415</v>
      </c>
      <c r="E3289" s="165" t="s">
        <v>7973</v>
      </c>
      <c r="F3289" s="617"/>
    </row>
    <row r="3290" spans="1:6" x14ac:dyDescent="0.3">
      <c r="A3290" s="169" t="s">
        <v>7823</v>
      </c>
      <c r="B3290" s="190" t="s">
        <v>8380</v>
      </c>
      <c r="C3290" s="163" t="s">
        <v>1376</v>
      </c>
      <c r="D3290" s="164">
        <f>2*0.65*1381</f>
        <v>1795.3</v>
      </c>
      <c r="E3290" s="165" t="s">
        <v>7973</v>
      </c>
      <c r="F3290" s="617"/>
    </row>
    <row r="3291" spans="1:6" x14ac:dyDescent="0.3">
      <c r="A3291" s="169" t="s">
        <v>7866</v>
      </c>
      <c r="B3291" s="190" t="s">
        <v>7962</v>
      </c>
      <c r="C3291" s="163" t="s">
        <v>1376</v>
      </c>
      <c r="D3291" s="164">
        <f>2.87*0.6*1281</f>
        <v>2205.8820000000001</v>
      </c>
      <c r="E3291" s="165" t="s">
        <v>7973</v>
      </c>
      <c r="F3291" s="617"/>
    </row>
    <row r="3292" spans="1:6" x14ac:dyDescent="0.3">
      <c r="A3292" s="169" t="s">
        <v>7867</v>
      </c>
      <c r="B3292" s="190" t="s">
        <v>8733</v>
      </c>
      <c r="C3292" s="163" t="s">
        <v>1376</v>
      </c>
      <c r="D3292" s="164">
        <v>225</v>
      </c>
      <c r="E3292" s="165" t="s">
        <v>7973</v>
      </c>
      <c r="F3292" s="617"/>
    </row>
    <row r="3293" spans="1:6" x14ac:dyDescent="0.3">
      <c r="A3293" s="169" t="s">
        <v>7868</v>
      </c>
      <c r="B3293" s="190" t="s">
        <v>8381</v>
      </c>
      <c r="C3293" s="163" t="s">
        <v>1376</v>
      </c>
      <c r="D3293" s="164">
        <f>1.16*0.5*1081</f>
        <v>626.9799999999999</v>
      </c>
      <c r="E3293" s="165" t="s">
        <v>7973</v>
      </c>
      <c r="F3293" s="617"/>
    </row>
    <row r="3294" spans="1:6" x14ac:dyDescent="0.3">
      <c r="A3294" s="169" t="s">
        <v>7869</v>
      </c>
      <c r="B3294" s="190" t="s">
        <v>8382</v>
      </c>
      <c r="C3294" s="163" t="s">
        <v>1376</v>
      </c>
      <c r="D3294" s="164">
        <f>0.8*0.5*1081</f>
        <v>432.40000000000003</v>
      </c>
      <c r="E3294" s="165" t="s">
        <v>7973</v>
      </c>
      <c r="F3294" s="617"/>
    </row>
    <row r="3295" spans="1:6" x14ac:dyDescent="0.3">
      <c r="A3295" s="169" t="s">
        <v>7870</v>
      </c>
      <c r="B3295" s="190" t="s">
        <v>8383</v>
      </c>
      <c r="C3295" s="163" t="s">
        <v>1376</v>
      </c>
      <c r="D3295" s="164">
        <f>1.23*0.5*1081</f>
        <v>664.81499999999994</v>
      </c>
      <c r="E3295" s="165" t="s">
        <v>7973</v>
      </c>
      <c r="F3295" s="617"/>
    </row>
    <row r="3296" spans="1:6" x14ac:dyDescent="0.3">
      <c r="A3296" s="169" t="s">
        <v>7871</v>
      </c>
      <c r="B3296" s="190" t="s">
        <v>7881</v>
      </c>
      <c r="C3296" s="163" t="s">
        <v>1376</v>
      </c>
      <c r="D3296" s="164">
        <f>((3.77*0.8*1485)*1.02)/1.02</f>
        <v>4478.76</v>
      </c>
      <c r="E3296" s="165" t="s">
        <v>7973</v>
      </c>
      <c r="F3296" s="617"/>
    </row>
    <row r="3297" spans="1:6" x14ac:dyDescent="0.3">
      <c r="A3297" s="169" t="s">
        <v>7872</v>
      </c>
      <c r="B3297" s="190" t="s">
        <v>7882</v>
      </c>
      <c r="C3297" s="163" t="s">
        <v>1376</v>
      </c>
      <c r="D3297" s="164">
        <f>((2.8*0.8*1485)*1.02)/1.02</f>
        <v>3326.3999999999996</v>
      </c>
      <c r="E3297" s="165" t="s">
        <v>7973</v>
      </c>
      <c r="F3297" s="617"/>
    </row>
    <row r="3298" spans="1:6" x14ac:dyDescent="0.3">
      <c r="A3298" s="169" t="s">
        <v>7873</v>
      </c>
      <c r="B3298" s="190" t="s">
        <v>7883</v>
      </c>
      <c r="C3298" s="163" t="s">
        <v>1376</v>
      </c>
      <c r="D3298" s="164">
        <f>1.93*0.6*1281</f>
        <v>1483.3979999999999</v>
      </c>
      <c r="E3298" s="165" t="s">
        <v>7973</v>
      </c>
      <c r="F3298" s="617"/>
    </row>
    <row r="3299" spans="1:6" x14ac:dyDescent="0.3">
      <c r="A3299" s="169" t="s">
        <v>7874</v>
      </c>
      <c r="B3299" s="190" t="s">
        <v>7914</v>
      </c>
      <c r="C3299" s="163" t="s">
        <v>7913</v>
      </c>
      <c r="D3299" s="164">
        <v>31</v>
      </c>
      <c r="E3299" s="165" t="s">
        <v>7915</v>
      </c>
      <c r="F3299" s="617">
        <v>45449</v>
      </c>
    </row>
    <row r="3300" spans="1:6" x14ac:dyDescent="0.3">
      <c r="A3300" s="169" t="s">
        <v>7875</v>
      </c>
      <c r="B3300" s="190" t="s">
        <v>7916</v>
      </c>
      <c r="C3300" s="163" t="s">
        <v>89</v>
      </c>
      <c r="D3300" s="164"/>
      <c r="E3300" s="165"/>
      <c r="F3300" s="617">
        <v>45449</v>
      </c>
    </row>
    <row r="3301" spans="1:6" x14ac:dyDescent="0.3">
      <c r="A3301" s="169" t="s">
        <v>7876</v>
      </c>
      <c r="B3301" s="190" t="s">
        <v>7917</v>
      </c>
      <c r="C3301" s="163" t="s">
        <v>89</v>
      </c>
      <c r="D3301" s="164">
        <v>5.8898400000000004</v>
      </c>
      <c r="E3301" s="165" t="s">
        <v>7072</v>
      </c>
      <c r="F3301" s="617">
        <v>45406</v>
      </c>
    </row>
    <row r="3302" spans="1:6" x14ac:dyDescent="0.3">
      <c r="A3302" s="169" t="s">
        <v>7877</v>
      </c>
      <c r="B3302" s="190" t="s">
        <v>7918</v>
      </c>
      <c r="C3302" s="163" t="s">
        <v>89</v>
      </c>
      <c r="D3302" s="164">
        <v>3.5</v>
      </c>
      <c r="E3302" s="165" t="s">
        <v>7919</v>
      </c>
      <c r="F3302" s="617">
        <v>45449</v>
      </c>
    </row>
    <row r="3303" spans="1:6" x14ac:dyDescent="0.3">
      <c r="A3303" s="169" t="s">
        <v>7878</v>
      </c>
      <c r="B3303" s="190" t="s">
        <v>7920</v>
      </c>
      <c r="C3303" s="163" t="s">
        <v>29</v>
      </c>
      <c r="D3303" s="164">
        <v>40452</v>
      </c>
      <c r="E3303" s="165" t="s">
        <v>7915</v>
      </c>
      <c r="F3303" s="617">
        <v>45449</v>
      </c>
    </row>
    <row r="3304" spans="1:6" x14ac:dyDescent="0.3">
      <c r="A3304" s="169" t="s">
        <v>7879</v>
      </c>
      <c r="B3304" s="190" t="s">
        <v>7936</v>
      </c>
      <c r="C3304" s="163" t="s">
        <v>37</v>
      </c>
      <c r="D3304" s="164">
        <v>7292</v>
      </c>
      <c r="E3304" s="165" t="s">
        <v>7937</v>
      </c>
      <c r="F3304" s="617">
        <v>45440</v>
      </c>
    </row>
    <row r="3305" spans="1:6" x14ac:dyDescent="0.3">
      <c r="A3305" s="169" t="s">
        <v>7880</v>
      </c>
      <c r="B3305" s="190" t="s">
        <v>7938</v>
      </c>
      <c r="C3305" s="163" t="s">
        <v>37</v>
      </c>
      <c r="D3305" s="164">
        <v>1000</v>
      </c>
      <c r="E3305" s="165" t="s">
        <v>7942</v>
      </c>
      <c r="F3305" s="617">
        <v>45440</v>
      </c>
    </row>
    <row r="3306" spans="1:6" x14ac:dyDescent="0.3">
      <c r="A3306" s="169" t="s">
        <v>7923</v>
      </c>
      <c r="B3306" s="190" t="s">
        <v>7939</v>
      </c>
      <c r="C3306" s="163" t="s">
        <v>1376</v>
      </c>
      <c r="D3306" s="164">
        <v>1000</v>
      </c>
      <c r="E3306" s="165" t="s">
        <v>7942</v>
      </c>
      <c r="F3306" s="617">
        <v>45440</v>
      </c>
    </row>
    <row r="3307" spans="1:6" x14ac:dyDescent="0.3">
      <c r="A3307" s="169" t="s">
        <v>7924</v>
      </c>
      <c r="B3307" s="190" t="s">
        <v>7940</v>
      </c>
      <c r="C3307" s="163" t="s">
        <v>29</v>
      </c>
      <c r="D3307" s="164">
        <v>1</v>
      </c>
      <c r="E3307" s="165" t="s">
        <v>7942</v>
      </c>
      <c r="F3307" s="617">
        <v>45440</v>
      </c>
    </row>
    <row r="3308" spans="1:6" x14ac:dyDescent="0.3">
      <c r="A3308" s="169" t="s">
        <v>7925</v>
      </c>
      <c r="B3308" s="190" t="s">
        <v>7941</v>
      </c>
      <c r="C3308" s="163" t="s">
        <v>29</v>
      </c>
      <c r="D3308" s="164">
        <v>1</v>
      </c>
      <c r="E3308" s="165" t="s">
        <v>7942</v>
      </c>
      <c r="F3308" s="617">
        <v>45440</v>
      </c>
    </row>
    <row r="3309" spans="1:6" x14ac:dyDescent="0.3">
      <c r="A3309" s="169" t="s">
        <v>7926</v>
      </c>
      <c r="B3309" s="190" t="s">
        <v>8016</v>
      </c>
      <c r="C3309" s="163" t="s">
        <v>73</v>
      </c>
      <c r="D3309" s="164">
        <v>110</v>
      </c>
      <c r="E3309" s="165" t="s">
        <v>2297</v>
      </c>
      <c r="F3309" s="617">
        <v>45426</v>
      </c>
    </row>
    <row r="3310" spans="1:6" x14ac:dyDescent="0.3">
      <c r="A3310" s="169" t="s">
        <v>7927</v>
      </c>
      <c r="B3310" s="190" t="s">
        <v>7966</v>
      </c>
      <c r="C3310" s="163" t="s">
        <v>2088</v>
      </c>
      <c r="D3310" s="164">
        <v>47.84</v>
      </c>
      <c r="E3310" s="165" t="s">
        <v>7967</v>
      </c>
      <c r="F3310" s="617">
        <v>45426</v>
      </c>
    </row>
    <row r="3311" spans="1:6" x14ac:dyDescent="0.3">
      <c r="A3311" s="169" t="s">
        <v>7928</v>
      </c>
      <c r="B3311" s="190" t="s">
        <v>7971</v>
      </c>
      <c r="C3311" s="163" t="s">
        <v>2088</v>
      </c>
      <c r="D3311" s="164">
        <v>23.9</v>
      </c>
      <c r="E3311" s="165" t="s">
        <v>7967</v>
      </c>
      <c r="F3311" s="617">
        <v>45426</v>
      </c>
    </row>
    <row r="3312" spans="1:6" x14ac:dyDescent="0.3">
      <c r="A3312" s="169" t="s">
        <v>7929</v>
      </c>
      <c r="B3312" s="190" t="s">
        <v>7968</v>
      </c>
      <c r="C3312" s="163" t="s">
        <v>1376</v>
      </c>
      <c r="D3312" s="164">
        <v>2458.8000000000002</v>
      </c>
      <c r="E3312" s="165" t="s">
        <v>7967</v>
      </c>
      <c r="F3312" s="617">
        <v>45426</v>
      </c>
    </row>
    <row r="3313" spans="1:6" x14ac:dyDescent="0.3">
      <c r="A3313" s="169" t="s">
        <v>7930</v>
      </c>
      <c r="B3313" s="190" t="s">
        <v>7969</v>
      </c>
      <c r="C3313" s="163" t="s">
        <v>1376</v>
      </c>
      <c r="D3313" s="164">
        <v>43.6</v>
      </c>
      <c r="E3313" s="165" t="s">
        <v>7967</v>
      </c>
      <c r="F3313" s="617">
        <v>45426</v>
      </c>
    </row>
    <row r="3314" spans="1:6" x14ac:dyDescent="0.3">
      <c r="A3314" s="169" t="s">
        <v>7931</v>
      </c>
      <c r="B3314" s="190" t="s">
        <v>7980</v>
      </c>
      <c r="C3314" s="163" t="s">
        <v>7970</v>
      </c>
      <c r="D3314" s="164">
        <v>1561.194</v>
      </c>
      <c r="E3314" s="165" t="s">
        <v>7967</v>
      </c>
      <c r="F3314" s="617">
        <v>45426</v>
      </c>
    </row>
    <row r="3315" spans="1:6" x14ac:dyDescent="0.3">
      <c r="A3315" s="169" t="s">
        <v>7932</v>
      </c>
      <c r="B3315" s="190" t="s">
        <v>7982</v>
      </c>
      <c r="C3315" s="163" t="s">
        <v>73</v>
      </c>
      <c r="D3315" s="164">
        <v>148.44999999999999</v>
      </c>
      <c r="E3315" s="165" t="s">
        <v>3816</v>
      </c>
      <c r="F3315" s="617">
        <v>45453</v>
      </c>
    </row>
    <row r="3316" spans="1:6" x14ac:dyDescent="0.3">
      <c r="A3316" s="169" t="s">
        <v>7933</v>
      </c>
      <c r="B3316" s="190" t="s">
        <v>7985</v>
      </c>
      <c r="C3316" s="163" t="s">
        <v>73</v>
      </c>
      <c r="D3316" s="164">
        <v>28.15</v>
      </c>
      <c r="E3316" s="165" t="s">
        <v>7186</v>
      </c>
      <c r="F3316" s="617">
        <v>45453</v>
      </c>
    </row>
    <row r="3317" spans="1:6" x14ac:dyDescent="0.3">
      <c r="A3317" s="169" t="s">
        <v>7934</v>
      </c>
      <c r="B3317" s="190" t="s">
        <v>7986</v>
      </c>
      <c r="C3317" s="163" t="s">
        <v>73</v>
      </c>
      <c r="D3317" s="164">
        <v>30.72</v>
      </c>
      <c r="E3317" s="165" t="s">
        <v>7186</v>
      </c>
      <c r="F3317" s="617">
        <v>45453</v>
      </c>
    </row>
    <row r="3318" spans="1:6" x14ac:dyDescent="0.3">
      <c r="A3318" s="169" t="s">
        <v>7935</v>
      </c>
      <c r="B3318" s="190" t="s">
        <v>8017</v>
      </c>
      <c r="C3318" s="163" t="s">
        <v>74</v>
      </c>
      <c r="D3318" s="164">
        <v>350</v>
      </c>
      <c r="E3318" s="165" t="s">
        <v>7990</v>
      </c>
      <c r="F3318" s="617">
        <v>45453</v>
      </c>
    </row>
    <row r="3319" spans="1:6" x14ac:dyDescent="0.3">
      <c r="A3319" s="169" t="s">
        <v>7991</v>
      </c>
      <c r="B3319" s="190" t="s">
        <v>7999</v>
      </c>
      <c r="C3319" s="163" t="s">
        <v>74</v>
      </c>
      <c r="D3319" s="164">
        <f>81.89*1.4</f>
        <v>114.64599999999999</v>
      </c>
      <c r="E3319" s="165" t="s">
        <v>3610</v>
      </c>
      <c r="F3319" s="617">
        <v>45453</v>
      </c>
    </row>
    <row r="3320" spans="1:6" x14ac:dyDescent="0.3">
      <c r="A3320" s="169" t="s">
        <v>7992</v>
      </c>
      <c r="B3320" s="190" t="s">
        <v>8000</v>
      </c>
      <c r="C3320" s="163" t="s">
        <v>74</v>
      </c>
      <c r="D3320" s="164">
        <v>285</v>
      </c>
      <c r="E3320" s="165" t="s">
        <v>3610</v>
      </c>
      <c r="F3320" s="617">
        <v>45453</v>
      </c>
    </row>
    <row r="3321" spans="1:6" x14ac:dyDescent="0.3">
      <c r="A3321" s="169" t="s">
        <v>7993</v>
      </c>
      <c r="B3321" s="190" t="s">
        <v>8001</v>
      </c>
      <c r="C3321" s="163" t="s">
        <v>1376</v>
      </c>
      <c r="D3321" s="164"/>
      <c r="E3321" s="165"/>
      <c r="F3321" s="617"/>
    </row>
    <row r="3322" spans="1:6" x14ac:dyDescent="0.3">
      <c r="A3322" s="169" t="s">
        <v>7994</v>
      </c>
      <c r="B3322" s="190" t="s">
        <v>8002</v>
      </c>
      <c r="C3322" s="163" t="s">
        <v>1376</v>
      </c>
      <c r="D3322" s="164"/>
      <c r="E3322" s="165"/>
      <c r="F3322" s="617"/>
    </row>
    <row r="3323" spans="1:6" x14ac:dyDescent="0.3">
      <c r="A3323" s="169" t="s">
        <v>7995</v>
      </c>
      <c r="B3323" s="190" t="s">
        <v>8003</v>
      </c>
      <c r="C3323" s="163" t="s">
        <v>73</v>
      </c>
      <c r="D3323" s="164">
        <v>180</v>
      </c>
      <c r="E3323" s="165" t="s">
        <v>7314</v>
      </c>
      <c r="F3323" s="617">
        <v>45453</v>
      </c>
    </row>
    <row r="3324" spans="1:6" x14ac:dyDescent="0.3">
      <c r="A3324" s="169" t="s">
        <v>7996</v>
      </c>
      <c r="B3324" s="190" t="s">
        <v>8395</v>
      </c>
      <c r="C3324" s="163" t="s">
        <v>74</v>
      </c>
      <c r="D3324" s="164">
        <v>160</v>
      </c>
      <c r="E3324" s="165"/>
      <c r="F3324" s="617"/>
    </row>
    <row r="3325" spans="1:6" x14ac:dyDescent="0.3">
      <c r="A3325" s="169" t="s">
        <v>7997</v>
      </c>
      <c r="B3325" s="190" t="s">
        <v>7827</v>
      </c>
      <c r="C3325" s="163" t="s">
        <v>29</v>
      </c>
      <c r="D3325" s="164">
        <v>1</v>
      </c>
      <c r="E3325" s="165"/>
      <c r="F3325" s="617"/>
    </row>
    <row r="3326" spans="1:6" x14ac:dyDescent="0.3">
      <c r="A3326" s="169" t="s">
        <v>7998</v>
      </c>
      <c r="B3326" s="190" t="s">
        <v>8070</v>
      </c>
      <c r="C3326" s="163" t="s">
        <v>73</v>
      </c>
      <c r="D3326" s="164">
        <v>280</v>
      </c>
      <c r="E3326" s="165"/>
      <c r="F3326" s="617"/>
    </row>
    <row r="3327" spans="1:6" x14ac:dyDescent="0.3">
      <c r="A3327" s="169" t="s">
        <v>8059</v>
      </c>
      <c r="B3327" s="190" t="s">
        <v>8073</v>
      </c>
      <c r="C3327" s="163" t="s">
        <v>72</v>
      </c>
      <c r="D3327" s="164">
        <v>770</v>
      </c>
      <c r="E3327" s="165" t="s">
        <v>2261</v>
      </c>
      <c r="F3327" s="617"/>
    </row>
    <row r="3328" spans="1:6" x14ac:dyDescent="0.3">
      <c r="A3328" s="169" t="s">
        <v>8060</v>
      </c>
      <c r="B3328" s="190" t="s">
        <v>8075</v>
      </c>
      <c r="C3328" s="163" t="s">
        <v>73</v>
      </c>
      <c r="D3328" s="164">
        <f>75.91+8.36</f>
        <v>84.27</v>
      </c>
      <c r="E3328" s="165"/>
      <c r="F3328" s="617"/>
    </row>
    <row r="3329" spans="1:6" x14ac:dyDescent="0.3">
      <c r="A3329" s="169" t="s">
        <v>8061</v>
      </c>
      <c r="B3329" s="190" t="s">
        <v>8427</v>
      </c>
      <c r="C3329" s="163" t="s">
        <v>73</v>
      </c>
      <c r="D3329" s="164">
        <v>336.2</v>
      </c>
      <c r="E3329" s="165"/>
      <c r="F3329" s="617"/>
    </row>
    <row r="3330" spans="1:6" x14ac:dyDescent="0.3">
      <c r="A3330" s="169" t="s">
        <v>8062</v>
      </c>
      <c r="B3330" s="190" t="s">
        <v>8428</v>
      </c>
      <c r="C3330" s="163" t="s">
        <v>73</v>
      </c>
      <c r="D3330" s="164">
        <v>216.37</v>
      </c>
      <c r="E3330" s="165"/>
      <c r="F3330" s="617"/>
    </row>
    <row r="3331" spans="1:6" x14ac:dyDescent="0.3">
      <c r="A3331" s="169" t="s">
        <v>8063</v>
      </c>
      <c r="B3331" s="190" t="s">
        <v>8429</v>
      </c>
      <c r="C3331" s="163" t="s">
        <v>73</v>
      </c>
      <c r="D3331" s="164">
        <v>126.19</v>
      </c>
      <c r="E3331" s="165"/>
      <c r="F3331" s="617"/>
    </row>
    <row r="3332" spans="1:6" x14ac:dyDescent="0.3">
      <c r="A3332" s="169" t="s">
        <v>8064</v>
      </c>
      <c r="B3332" s="190" t="s">
        <v>8430</v>
      </c>
      <c r="C3332" s="163" t="s">
        <v>73</v>
      </c>
      <c r="D3332" s="164">
        <v>350.27</v>
      </c>
      <c r="E3332" s="165"/>
      <c r="F3332" s="617"/>
    </row>
    <row r="3333" spans="1:6" x14ac:dyDescent="0.3">
      <c r="A3333" s="169" t="s">
        <v>8065</v>
      </c>
      <c r="B3333" s="190" t="s">
        <v>8431</v>
      </c>
      <c r="C3333" s="163" t="s">
        <v>73</v>
      </c>
      <c r="D3333" s="164">
        <v>195.17</v>
      </c>
      <c r="E3333" s="165"/>
      <c r="F3333" s="617"/>
    </row>
    <row r="3334" spans="1:6" x14ac:dyDescent="0.3">
      <c r="A3334" s="169" t="s">
        <v>8066</v>
      </c>
      <c r="B3334" s="190" t="s">
        <v>8432</v>
      </c>
      <c r="C3334" s="163" t="s">
        <v>73</v>
      </c>
      <c r="D3334" s="164">
        <v>181</v>
      </c>
      <c r="E3334" s="165"/>
      <c r="F3334" s="617"/>
    </row>
    <row r="3335" spans="1:6" x14ac:dyDescent="0.3">
      <c r="A3335" s="169" t="s">
        <v>8067</v>
      </c>
      <c r="B3335" s="190" t="s">
        <v>8433</v>
      </c>
      <c r="C3335" s="163" t="s">
        <v>73</v>
      </c>
      <c r="D3335" s="164">
        <v>191.3</v>
      </c>
      <c r="E3335" s="165"/>
      <c r="F3335" s="617"/>
    </row>
    <row r="3336" spans="1:6" x14ac:dyDescent="0.3">
      <c r="A3336" s="169" t="s">
        <v>8068</v>
      </c>
      <c r="B3336" s="190" t="s">
        <v>8434</v>
      </c>
      <c r="C3336" s="163" t="s">
        <v>73</v>
      </c>
      <c r="D3336" s="164">
        <v>188.67</v>
      </c>
      <c r="E3336" s="165"/>
      <c r="F3336" s="617"/>
    </row>
    <row r="3337" spans="1:6" x14ac:dyDescent="0.3">
      <c r="A3337" s="169" t="s">
        <v>8069</v>
      </c>
      <c r="B3337" s="190" t="s">
        <v>8435</v>
      </c>
      <c r="C3337" s="163" t="s">
        <v>73</v>
      </c>
      <c r="D3337" s="164">
        <v>113.32</v>
      </c>
      <c r="E3337" s="165"/>
      <c r="F3337" s="617"/>
    </row>
    <row r="3338" spans="1:6" x14ac:dyDescent="0.3">
      <c r="A3338" s="169" t="s">
        <v>8353</v>
      </c>
      <c r="B3338" s="190" t="s">
        <v>8436</v>
      </c>
      <c r="C3338" s="163" t="s">
        <v>73</v>
      </c>
      <c r="D3338" s="164">
        <v>130.63999999999999</v>
      </c>
      <c r="E3338" s="165"/>
      <c r="F3338" s="617"/>
    </row>
    <row r="3339" spans="1:6" x14ac:dyDescent="0.3">
      <c r="A3339" s="169" t="s">
        <v>8354</v>
      </c>
      <c r="B3339" s="190" t="s">
        <v>8437</v>
      </c>
      <c r="C3339" s="163" t="s">
        <v>73</v>
      </c>
      <c r="D3339" s="164">
        <v>373.06</v>
      </c>
      <c r="E3339" s="165"/>
      <c r="F3339" s="617"/>
    </row>
    <row r="3340" spans="1:6" ht="24.6" x14ac:dyDescent="0.3">
      <c r="A3340" s="169" t="s">
        <v>8355</v>
      </c>
      <c r="B3340" s="190" t="s">
        <v>8438</v>
      </c>
      <c r="C3340" s="163" t="s">
        <v>73</v>
      </c>
      <c r="D3340" s="164">
        <v>365.04</v>
      </c>
      <c r="E3340" s="165"/>
      <c r="F3340" s="617"/>
    </row>
    <row r="3341" spans="1:6" ht="24.6" x14ac:dyDescent="0.3">
      <c r="A3341" s="169" t="s">
        <v>8356</v>
      </c>
      <c r="B3341" s="190" t="s">
        <v>8439</v>
      </c>
      <c r="C3341" s="163" t="s">
        <v>73</v>
      </c>
      <c r="D3341" s="164">
        <v>323.67</v>
      </c>
      <c r="E3341" s="165"/>
      <c r="F3341" s="617"/>
    </row>
    <row r="3342" spans="1:6" x14ac:dyDescent="0.3">
      <c r="A3342" s="169" t="s">
        <v>8357</v>
      </c>
      <c r="B3342" s="190" t="s">
        <v>8440</v>
      </c>
      <c r="C3342" s="163" t="s">
        <v>73</v>
      </c>
      <c r="D3342" s="164">
        <v>366.3</v>
      </c>
      <c r="E3342" s="165"/>
      <c r="F3342" s="617"/>
    </row>
    <row r="3343" spans="1:6" x14ac:dyDescent="0.3">
      <c r="A3343" s="169" t="s">
        <v>8358</v>
      </c>
      <c r="B3343" s="190" t="s">
        <v>8441</v>
      </c>
      <c r="C3343" s="163" t="s">
        <v>73</v>
      </c>
      <c r="D3343" s="164">
        <v>335.82</v>
      </c>
      <c r="E3343" s="165"/>
      <c r="F3343" s="617"/>
    </row>
    <row r="3344" spans="1:6" x14ac:dyDescent="0.3">
      <c r="A3344" s="169" t="s">
        <v>8359</v>
      </c>
      <c r="B3344" s="190" t="s">
        <v>8442</v>
      </c>
      <c r="C3344" s="163" t="s">
        <v>73</v>
      </c>
      <c r="D3344" s="164">
        <v>126.19</v>
      </c>
      <c r="E3344" s="165"/>
      <c r="F3344" s="617"/>
    </row>
    <row r="3345" spans="1:6" x14ac:dyDescent="0.3">
      <c r="A3345" s="169" t="s">
        <v>8360</v>
      </c>
      <c r="B3345" s="190" t="s">
        <v>8443</v>
      </c>
      <c r="C3345" s="163" t="s">
        <v>73</v>
      </c>
      <c r="D3345" s="164">
        <v>89.33</v>
      </c>
      <c r="E3345" s="165"/>
      <c r="F3345" s="617"/>
    </row>
    <row r="3346" spans="1:6" x14ac:dyDescent="0.3">
      <c r="A3346" s="169" t="s">
        <v>8361</v>
      </c>
      <c r="B3346" s="190" t="s">
        <v>8444</v>
      </c>
      <c r="C3346" s="163" t="s">
        <v>73</v>
      </c>
      <c r="D3346" s="164">
        <v>119.16</v>
      </c>
      <c r="E3346" s="165"/>
      <c r="F3346" s="617"/>
    </row>
    <row r="3347" spans="1:6" x14ac:dyDescent="0.3">
      <c r="A3347" s="169" t="s">
        <v>8362</v>
      </c>
      <c r="B3347" s="190"/>
      <c r="C3347" s="163"/>
      <c r="D3347" s="164"/>
      <c r="E3347" s="165"/>
      <c r="F3347" s="617"/>
    </row>
    <row r="3348" spans="1:6" x14ac:dyDescent="0.3">
      <c r="A3348" s="169" t="s">
        <v>8363</v>
      </c>
      <c r="B3348" s="190"/>
      <c r="C3348" s="163"/>
      <c r="D3348" s="164"/>
      <c r="E3348" s="165"/>
      <c r="F3348" s="617"/>
    </row>
    <row r="3349" spans="1:6" x14ac:dyDescent="0.3">
      <c r="A3349" s="169" t="s">
        <v>8364</v>
      </c>
      <c r="B3349" s="190" t="s">
        <v>8389</v>
      </c>
      <c r="C3349" s="163" t="s">
        <v>73</v>
      </c>
      <c r="D3349" s="164">
        <v>4.76</v>
      </c>
      <c r="E3349" s="165"/>
      <c r="F3349" s="617"/>
    </row>
    <row r="3350" spans="1:6" x14ac:dyDescent="0.3">
      <c r="A3350" s="169" t="s">
        <v>8398</v>
      </c>
      <c r="B3350" s="190" t="s">
        <v>8420</v>
      </c>
      <c r="C3350" s="163" t="s">
        <v>89</v>
      </c>
      <c r="D3350" s="164">
        <v>13.5</v>
      </c>
      <c r="E3350" s="165"/>
      <c r="F3350" s="617"/>
    </row>
    <row r="3351" spans="1:6" x14ac:dyDescent="0.3">
      <c r="A3351" s="169" t="s">
        <v>8399</v>
      </c>
      <c r="B3351" s="190" t="s">
        <v>8766</v>
      </c>
      <c r="C3351" s="163" t="s">
        <v>73</v>
      </c>
      <c r="D3351" s="164">
        <v>130</v>
      </c>
      <c r="E3351" s="165"/>
      <c r="F3351" s="617"/>
    </row>
    <row r="3352" spans="1:6" x14ac:dyDescent="0.3">
      <c r="A3352" s="169" t="s">
        <v>8400</v>
      </c>
      <c r="B3352" s="190"/>
      <c r="C3352" s="163"/>
      <c r="D3352" s="164"/>
      <c r="E3352" s="165"/>
      <c r="F3352" s="617"/>
    </row>
    <row r="3353" spans="1:6" x14ac:dyDescent="0.3">
      <c r="A3353" s="169" t="s">
        <v>8401</v>
      </c>
      <c r="B3353" s="190"/>
      <c r="C3353" s="163"/>
      <c r="D3353" s="164"/>
      <c r="E3353" s="165"/>
      <c r="F3353" s="617"/>
    </row>
    <row r="3354" spans="1:6" x14ac:dyDescent="0.3">
      <c r="A3354" s="169" t="s">
        <v>8402</v>
      </c>
      <c r="B3354" s="190"/>
      <c r="C3354" s="163"/>
      <c r="D3354" s="164"/>
      <c r="E3354" s="165"/>
      <c r="F3354" s="617"/>
    </row>
    <row r="3355" spans="1:6" x14ac:dyDescent="0.3">
      <c r="A3355" s="169" t="s">
        <v>8403</v>
      </c>
      <c r="B3355" s="190"/>
      <c r="C3355" s="163"/>
      <c r="D3355" s="164"/>
      <c r="E3355" s="165"/>
      <c r="F3355" s="617"/>
    </row>
    <row r="3356" spans="1:6" x14ac:dyDescent="0.3">
      <c r="A3356" s="169" t="s">
        <v>8404</v>
      </c>
      <c r="B3356" s="190"/>
      <c r="C3356" s="163"/>
      <c r="D3356" s="164"/>
      <c r="E3356" s="165"/>
      <c r="F3356" s="617"/>
    </row>
    <row r="3357" spans="1:6" x14ac:dyDescent="0.3">
      <c r="A3357" s="169" t="s">
        <v>8405</v>
      </c>
      <c r="B3357" s="190"/>
      <c r="C3357" s="163"/>
      <c r="D3357" s="164"/>
      <c r="E3357" s="165"/>
      <c r="F3357" s="617"/>
    </row>
    <row r="3358" spans="1:6" x14ac:dyDescent="0.3">
      <c r="A3358" s="169" t="s">
        <v>8406</v>
      </c>
      <c r="B3358" s="190"/>
      <c r="C3358" s="163"/>
      <c r="D3358" s="164"/>
      <c r="E3358" s="165"/>
      <c r="F3358" s="617"/>
    </row>
    <row r="3359" spans="1:6" x14ac:dyDescent="0.3">
      <c r="A3359" s="169" t="s">
        <v>8407</v>
      </c>
      <c r="B3359" s="190"/>
      <c r="C3359" s="163"/>
      <c r="D3359" s="164"/>
      <c r="E3359" s="165"/>
      <c r="F3359" s="617"/>
    </row>
    <row r="3360" spans="1:6" x14ac:dyDescent="0.3">
      <c r="A3360" s="169" t="s">
        <v>8408</v>
      </c>
      <c r="B3360" s="190"/>
      <c r="C3360" s="163"/>
      <c r="D3360" s="164"/>
      <c r="E3360" s="165"/>
      <c r="F3360" s="617"/>
    </row>
    <row r="3361" spans="1:6" x14ac:dyDescent="0.3">
      <c r="A3361" s="169" t="s">
        <v>8409</v>
      </c>
      <c r="B3361" s="190"/>
      <c r="C3361" s="163"/>
      <c r="D3361" s="164"/>
      <c r="E3361" s="165"/>
      <c r="F3361" s="617"/>
    </row>
    <row r="3362" spans="1:6" x14ac:dyDescent="0.3">
      <c r="A3362" s="169" t="s">
        <v>8410</v>
      </c>
      <c r="B3362" s="190"/>
      <c r="C3362" s="163"/>
      <c r="D3362" s="164"/>
      <c r="E3362" s="165"/>
      <c r="F3362" s="617"/>
    </row>
    <row r="3363" spans="1:6" x14ac:dyDescent="0.3">
      <c r="A3363" s="169" t="s">
        <v>8411</v>
      </c>
      <c r="B3363" s="190"/>
      <c r="C3363" s="163"/>
      <c r="D3363" s="164"/>
      <c r="E3363" s="165"/>
      <c r="F3363" s="617"/>
    </row>
    <row r="3364" spans="1:6" x14ac:dyDescent="0.3">
      <c r="A3364" s="169" t="s">
        <v>8412</v>
      </c>
      <c r="B3364" s="190"/>
      <c r="C3364" s="163"/>
      <c r="D3364" s="164"/>
      <c r="E3364" s="165"/>
      <c r="F3364" s="617"/>
    </row>
    <row r="3365" spans="1:6" x14ac:dyDescent="0.3">
      <c r="A3365" s="169" t="s">
        <v>8413</v>
      </c>
      <c r="B3365" s="190"/>
      <c r="C3365" s="163"/>
      <c r="D3365" s="164"/>
      <c r="E3365" s="165"/>
      <c r="F3365" s="617"/>
    </row>
    <row r="3366" spans="1:6" x14ac:dyDescent="0.3">
      <c r="A3366" s="169" t="s">
        <v>8414</v>
      </c>
      <c r="B3366" s="190"/>
      <c r="C3366" s="163"/>
      <c r="D3366" s="164"/>
      <c r="E3366" s="165"/>
      <c r="F3366" s="617"/>
    </row>
    <row r="3367" spans="1:6" x14ac:dyDescent="0.3">
      <c r="A3367" s="169" t="s">
        <v>8415</v>
      </c>
      <c r="B3367" s="190"/>
      <c r="C3367" s="163"/>
      <c r="D3367" s="164"/>
      <c r="E3367" s="165"/>
      <c r="F3367" s="617"/>
    </row>
    <row r="3368" spans="1:6" x14ac:dyDescent="0.3">
      <c r="A3368" s="169" t="s">
        <v>8416</v>
      </c>
      <c r="B3368" s="190"/>
      <c r="C3368" s="163"/>
      <c r="D3368" s="164"/>
      <c r="E3368" s="165"/>
      <c r="F3368" s="617"/>
    </row>
    <row r="3369" spans="1:6" x14ac:dyDescent="0.3">
      <c r="A3369" s="169" t="s">
        <v>8417</v>
      </c>
      <c r="B3369" s="190"/>
      <c r="C3369" s="163"/>
      <c r="D3369" s="164"/>
      <c r="E3369" s="165"/>
      <c r="F3369" s="617"/>
    </row>
    <row r="3370" spans="1:6" x14ac:dyDescent="0.3">
      <c r="A3370" s="169" t="s">
        <v>8418</v>
      </c>
      <c r="B3370" s="190"/>
      <c r="C3370" s="163"/>
      <c r="D3370" s="164"/>
      <c r="E3370" s="165"/>
      <c r="F3370" s="617"/>
    </row>
    <row r="3371" spans="1:6" x14ac:dyDescent="0.3">
      <c r="A3371" s="169" t="s">
        <v>8419</v>
      </c>
      <c r="B3371" s="190"/>
      <c r="C3371" s="163"/>
      <c r="D3371" s="164"/>
      <c r="E3371" s="165"/>
      <c r="F3371" s="617"/>
    </row>
    <row r="3372" spans="1:6" x14ac:dyDescent="0.3">
      <c r="A3372" s="169"/>
      <c r="B3372" s="190"/>
      <c r="C3372" s="163"/>
      <c r="D3372" s="164"/>
      <c r="E3372" s="165"/>
      <c r="F3372" s="617"/>
    </row>
    <row r="3373" spans="1:6" x14ac:dyDescent="0.3">
      <c r="A3373" s="169"/>
      <c r="B3373" s="190"/>
      <c r="C3373" s="163"/>
      <c r="D3373" s="164"/>
      <c r="E3373" s="165"/>
      <c r="F3373" s="617"/>
    </row>
    <row r="3374" spans="1:6" x14ac:dyDescent="0.3">
      <c r="A3374" s="169"/>
      <c r="B3374" s="190"/>
      <c r="C3374" s="163"/>
      <c r="D3374" s="164"/>
      <c r="E3374" s="165"/>
      <c r="F3374" s="617"/>
    </row>
    <row r="3375" spans="1:6" x14ac:dyDescent="0.3">
      <c r="A3375" s="169"/>
      <c r="B3375" s="190"/>
      <c r="C3375" s="163"/>
      <c r="D3375" s="164"/>
      <c r="E3375" s="165"/>
      <c r="F3375" s="617"/>
    </row>
    <row r="3376" spans="1:6" x14ac:dyDescent="0.3">
      <c r="A3376" s="169"/>
      <c r="B3376" s="190"/>
      <c r="C3376" s="163"/>
      <c r="D3376" s="164"/>
      <c r="E3376" s="165"/>
      <c r="F3376" s="617"/>
    </row>
    <row r="3377" spans="1:6" x14ac:dyDescent="0.3">
      <c r="A3377" s="169"/>
      <c r="B3377" s="190"/>
      <c r="C3377" s="163"/>
      <c r="D3377" s="164"/>
      <c r="E3377" s="165"/>
      <c r="F3377" s="617"/>
    </row>
  </sheetData>
  <autoFilter ref="A3:J3371" xr:uid="{00000000-0001-0000-0700-000000000000}"/>
  <mergeCells count="1">
    <mergeCell ref="A2:F2"/>
  </mergeCells>
  <phoneticPr fontId="2" type="noConversion"/>
  <hyperlinks>
    <hyperlink ref="G2388" r:id="rId1" xr:uid="{0C6765E1-D9C1-424B-A5EF-31D27BFF6E66}"/>
    <hyperlink ref="G2447" r:id="rId2" display="https://www.americanas.com.br/produto/46483915?sellerId=30491528000171&amp;opn=YSMESP" xr:uid="{F48E0DB9-CC79-4FD4-9254-870E8E239430}"/>
    <hyperlink ref="G2452" r:id="rId3" display="https://www.abcdaconstrucao.com.br/produto/ralo-rotativo-de-inox-15x15cm-com-caixilho-1415-meber-80567?gclid=CjwKCAjw2bmLBhBREiwAZ6ugo8Wt_65x5oI-WNQmulksUFNHWrVnwxVxRcLjNUIQeqIab2jUZUbHvRoCFawQAvD_BwE" xr:uid="{FF4F342D-17A5-4BD1-AA6D-32B3D9C155FD}"/>
    <hyperlink ref="G2451" r:id="rId4" display="https://www.diba695.com.br/ralo-linear-70cm-com-grelha-areia--27265260-14662/p?idsku=26777&amp;utm_source=googleMerchant&amp;utm_medium=XML&amp;utm_keywords=googleshoppingv2&amp;gclid=CjwKCAjwn8SLBhAyEiwAHNTJbbFVdnDcvxtQxZQvI95kCMarWm86A0oypZ1YLMXD8AZ2QXnLy8M81hoCpWIQAvD_BwE" xr:uid="{23324C60-DE5C-4A07-95E2-5D7A0AF795B5}"/>
  </hyperlinks>
  <pageMargins left="0.511811024" right="0.511811024" top="0.78740157499999996" bottom="0.78740157499999996" header="0.31496062000000002" footer="0.31496062000000002"/>
  <pageSetup paperSize="9" orientation="portrait" r:id="rId5"/>
  <legacyDrawing r:id="rId6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812CE-3B1C-448D-A184-915D87DB4408}">
  <sheetPr>
    <pageSetUpPr fitToPage="1"/>
  </sheetPr>
  <dimension ref="A2:CH49"/>
  <sheetViews>
    <sheetView showGridLines="0" zoomScale="115" zoomScaleNormal="115" zoomScaleSheetLayoutView="80" workbookViewId="0">
      <pane xSplit="1" ySplit="8" topLeftCell="BP36" activePane="bottomRight" state="frozen"/>
      <selection pane="topRight" activeCell="B1" sqref="B1"/>
      <selection pane="bottomLeft" activeCell="A9" sqref="A9"/>
      <selection pane="bottomRight" activeCell="CF38" sqref="CF38"/>
    </sheetView>
  </sheetViews>
  <sheetFormatPr defaultRowHeight="11.4" x14ac:dyDescent="0.2"/>
  <cols>
    <col min="1" max="1" width="32.109375" style="849" bestFit="1" customWidth="1"/>
    <col min="2" max="43" width="4.88671875" style="849" customWidth="1"/>
    <col min="44" max="45" width="5.109375" style="849" customWidth="1"/>
    <col min="46" max="61" width="4.88671875" style="849" customWidth="1"/>
    <col min="62" max="63" width="5.109375" style="849" customWidth="1"/>
    <col min="64" max="75" width="4.88671875" style="849" customWidth="1"/>
    <col min="76" max="77" width="5.109375" style="849" customWidth="1"/>
    <col min="78" max="79" width="4.88671875" style="849" customWidth="1"/>
    <col min="80" max="81" width="5.109375" style="849" customWidth="1"/>
    <col min="82" max="82" width="8.33203125" style="850" bestFit="1" customWidth="1"/>
    <col min="83" max="83" width="16.33203125" style="849" bestFit="1" customWidth="1"/>
    <col min="84" max="84" width="20" style="849" bestFit="1" customWidth="1"/>
    <col min="85" max="85" width="12.33203125" style="849" bestFit="1" customWidth="1"/>
    <col min="86" max="86" width="15.33203125" style="849" bestFit="1" customWidth="1"/>
    <col min="87" max="317" width="8.88671875" style="849"/>
    <col min="318" max="318" width="31.33203125" style="849" customWidth="1"/>
    <col min="319" max="336" width="4.44140625" style="849" customWidth="1"/>
    <col min="337" max="337" width="4" style="849" customWidth="1"/>
    <col min="338" max="338" width="8.33203125" style="849" bestFit="1" customWidth="1"/>
    <col min="339" max="339" width="16.33203125" style="849" bestFit="1" customWidth="1"/>
    <col min="340" max="340" width="20" style="849" bestFit="1" customWidth="1"/>
    <col min="341" max="341" width="7.6640625" style="849" customWidth="1"/>
    <col min="342" max="342" width="14.6640625" style="849" customWidth="1"/>
    <col min="343" max="573" width="8.88671875" style="849"/>
    <col min="574" max="574" width="31.33203125" style="849" customWidth="1"/>
    <col min="575" max="592" width="4.44140625" style="849" customWidth="1"/>
    <col min="593" max="593" width="4" style="849" customWidth="1"/>
    <col min="594" max="594" width="8.33203125" style="849" bestFit="1" customWidth="1"/>
    <col min="595" max="595" width="16.33203125" style="849" bestFit="1" customWidth="1"/>
    <col min="596" max="596" width="20" style="849" bestFit="1" customWidth="1"/>
    <col min="597" max="597" width="7.6640625" style="849" customWidth="1"/>
    <col min="598" max="598" width="14.6640625" style="849" customWidth="1"/>
    <col min="599" max="829" width="8.88671875" style="849"/>
    <col min="830" max="830" width="31.33203125" style="849" customWidth="1"/>
    <col min="831" max="848" width="4.44140625" style="849" customWidth="1"/>
    <col min="849" max="849" width="4" style="849" customWidth="1"/>
    <col min="850" max="850" width="8.33203125" style="849" bestFit="1" customWidth="1"/>
    <col min="851" max="851" width="16.33203125" style="849" bestFit="1" customWidth="1"/>
    <col min="852" max="852" width="20" style="849" bestFit="1" customWidth="1"/>
    <col min="853" max="853" width="7.6640625" style="849" customWidth="1"/>
    <col min="854" max="854" width="14.6640625" style="849" customWidth="1"/>
    <col min="855" max="1085" width="8.88671875" style="849"/>
    <col min="1086" max="1086" width="31.33203125" style="849" customWidth="1"/>
    <col min="1087" max="1104" width="4.44140625" style="849" customWidth="1"/>
    <col min="1105" max="1105" width="4" style="849" customWidth="1"/>
    <col min="1106" max="1106" width="8.33203125" style="849" bestFit="1" customWidth="1"/>
    <col min="1107" max="1107" width="16.33203125" style="849" bestFit="1" customWidth="1"/>
    <col min="1108" max="1108" width="20" style="849" bestFit="1" customWidth="1"/>
    <col min="1109" max="1109" width="7.6640625" style="849" customWidth="1"/>
    <col min="1110" max="1110" width="14.6640625" style="849" customWidth="1"/>
    <col min="1111" max="1341" width="8.88671875" style="849"/>
    <col min="1342" max="1342" width="31.33203125" style="849" customWidth="1"/>
    <col min="1343" max="1360" width="4.44140625" style="849" customWidth="1"/>
    <col min="1361" max="1361" width="4" style="849" customWidth="1"/>
    <col min="1362" max="1362" width="8.33203125" style="849" bestFit="1" customWidth="1"/>
    <col min="1363" max="1363" width="16.33203125" style="849" bestFit="1" customWidth="1"/>
    <col min="1364" max="1364" width="20" style="849" bestFit="1" customWidth="1"/>
    <col min="1365" max="1365" width="7.6640625" style="849" customWidth="1"/>
    <col min="1366" max="1366" width="14.6640625" style="849" customWidth="1"/>
    <col min="1367" max="1597" width="8.88671875" style="849"/>
    <col min="1598" max="1598" width="31.33203125" style="849" customWidth="1"/>
    <col min="1599" max="1616" width="4.44140625" style="849" customWidth="1"/>
    <col min="1617" max="1617" width="4" style="849" customWidth="1"/>
    <col min="1618" max="1618" width="8.33203125" style="849" bestFit="1" customWidth="1"/>
    <col min="1619" max="1619" width="16.33203125" style="849" bestFit="1" customWidth="1"/>
    <col min="1620" max="1620" width="20" style="849" bestFit="1" customWidth="1"/>
    <col min="1621" max="1621" width="7.6640625" style="849" customWidth="1"/>
    <col min="1622" max="1622" width="14.6640625" style="849" customWidth="1"/>
    <col min="1623" max="1853" width="8.88671875" style="849"/>
    <col min="1854" max="1854" width="31.33203125" style="849" customWidth="1"/>
    <col min="1855" max="1872" width="4.44140625" style="849" customWidth="1"/>
    <col min="1873" max="1873" width="4" style="849" customWidth="1"/>
    <col min="1874" max="1874" width="8.33203125" style="849" bestFit="1" customWidth="1"/>
    <col min="1875" max="1875" width="16.33203125" style="849" bestFit="1" customWidth="1"/>
    <col min="1876" max="1876" width="20" style="849" bestFit="1" customWidth="1"/>
    <col min="1877" max="1877" width="7.6640625" style="849" customWidth="1"/>
    <col min="1878" max="1878" width="14.6640625" style="849" customWidth="1"/>
    <col min="1879" max="2109" width="8.88671875" style="849"/>
    <col min="2110" max="2110" width="31.33203125" style="849" customWidth="1"/>
    <col min="2111" max="2128" width="4.44140625" style="849" customWidth="1"/>
    <col min="2129" max="2129" width="4" style="849" customWidth="1"/>
    <col min="2130" max="2130" width="8.33203125" style="849" bestFit="1" customWidth="1"/>
    <col min="2131" max="2131" width="16.33203125" style="849" bestFit="1" customWidth="1"/>
    <col min="2132" max="2132" width="20" style="849" bestFit="1" customWidth="1"/>
    <col min="2133" max="2133" width="7.6640625" style="849" customWidth="1"/>
    <col min="2134" max="2134" width="14.6640625" style="849" customWidth="1"/>
    <col min="2135" max="2365" width="8.88671875" style="849"/>
    <col min="2366" max="2366" width="31.33203125" style="849" customWidth="1"/>
    <col min="2367" max="2384" width="4.44140625" style="849" customWidth="1"/>
    <col min="2385" max="2385" width="4" style="849" customWidth="1"/>
    <col min="2386" max="2386" width="8.33203125" style="849" bestFit="1" customWidth="1"/>
    <col min="2387" max="2387" width="16.33203125" style="849" bestFit="1" customWidth="1"/>
    <col min="2388" max="2388" width="20" style="849" bestFit="1" customWidth="1"/>
    <col min="2389" max="2389" width="7.6640625" style="849" customWidth="1"/>
    <col min="2390" max="2390" width="14.6640625" style="849" customWidth="1"/>
    <col min="2391" max="2621" width="8.88671875" style="849"/>
    <col min="2622" max="2622" width="31.33203125" style="849" customWidth="1"/>
    <col min="2623" max="2640" width="4.44140625" style="849" customWidth="1"/>
    <col min="2641" max="2641" width="4" style="849" customWidth="1"/>
    <col min="2642" max="2642" width="8.33203125" style="849" bestFit="1" customWidth="1"/>
    <col min="2643" max="2643" width="16.33203125" style="849" bestFit="1" customWidth="1"/>
    <col min="2644" max="2644" width="20" style="849" bestFit="1" customWidth="1"/>
    <col min="2645" max="2645" width="7.6640625" style="849" customWidth="1"/>
    <col min="2646" max="2646" width="14.6640625" style="849" customWidth="1"/>
    <col min="2647" max="2877" width="8.88671875" style="849"/>
    <col min="2878" max="2878" width="31.33203125" style="849" customWidth="1"/>
    <col min="2879" max="2896" width="4.44140625" style="849" customWidth="1"/>
    <col min="2897" max="2897" width="4" style="849" customWidth="1"/>
    <col min="2898" max="2898" width="8.33203125" style="849" bestFit="1" customWidth="1"/>
    <col min="2899" max="2899" width="16.33203125" style="849" bestFit="1" customWidth="1"/>
    <col min="2900" max="2900" width="20" style="849" bestFit="1" customWidth="1"/>
    <col min="2901" max="2901" width="7.6640625" style="849" customWidth="1"/>
    <col min="2902" max="2902" width="14.6640625" style="849" customWidth="1"/>
    <col min="2903" max="3133" width="8.88671875" style="849"/>
    <col min="3134" max="3134" width="31.33203125" style="849" customWidth="1"/>
    <col min="3135" max="3152" width="4.44140625" style="849" customWidth="1"/>
    <col min="3153" max="3153" width="4" style="849" customWidth="1"/>
    <col min="3154" max="3154" width="8.33203125" style="849" bestFit="1" customWidth="1"/>
    <col min="3155" max="3155" width="16.33203125" style="849" bestFit="1" customWidth="1"/>
    <col min="3156" max="3156" width="20" style="849" bestFit="1" customWidth="1"/>
    <col min="3157" max="3157" width="7.6640625" style="849" customWidth="1"/>
    <col min="3158" max="3158" width="14.6640625" style="849" customWidth="1"/>
    <col min="3159" max="3389" width="8.88671875" style="849"/>
    <col min="3390" max="3390" width="31.33203125" style="849" customWidth="1"/>
    <col min="3391" max="3408" width="4.44140625" style="849" customWidth="1"/>
    <col min="3409" max="3409" width="4" style="849" customWidth="1"/>
    <col min="3410" max="3410" width="8.33203125" style="849" bestFit="1" customWidth="1"/>
    <col min="3411" max="3411" width="16.33203125" style="849" bestFit="1" customWidth="1"/>
    <col min="3412" max="3412" width="20" style="849" bestFit="1" customWidth="1"/>
    <col min="3413" max="3413" width="7.6640625" style="849" customWidth="1"/>
    <col min="3414" max="3414" width="14.6640625" style="849" customWidth="1"/>
    <col min="3415" max="3645" width="8.88671875" style="849"/>
    <col min="3646" max="3646" width="31.33203125" style="849" customWidth="1"/>
    <col min="3647" max="3664" width="4.44140625" style="849" customWidth="1"/>
    <col min="3665" max="3665" width="4" style="849" customWidth="1"/>
    <col min="3666" max="3666" width="8.33203125" style="849" bestFit="1" customWidth="1"/>
    <col min="3667" max="3667" width="16.33203125" style="849" bestFit="1" customWidth="1"/>
    <col min="3668" max="3668" width="20" style="849" bestFit="1" customWidth="1"/>
    <col min="3669" max="3669" width="7.6640625" style="849" customWidth="1"/>
    <col min="3670" max="3670" width="14.6640625" style="849" customWidth="1"/>
    <col min="3671" max="3901" width="8.88671875" style="849"/>
    <col min="3902" max="3902" width="31.33203125" style="849" customWidth="1"/>
    <col min="3903" max="3920" width="4.44140625" style="849" customWidth="1"/>
    <col min="3921" max="3921" width="4" style="849" customWidth="1"/>
    <col min="3922" max="3922" width="8.33203125" style="849" bestFit="1" customWidth="1"/>
    <col min="3923" max="3923" width="16.33203125" style="849" bestFit="1" customWidth="1"/>
    <col min="3924" max="3924" width="20" style="849" bestFit="1" customWidth="1"/>
    <col min="3925" max="3925" width="7.6640625" style="849" customWidth="1"/>
    <col min="3926" max="3926" width="14.6640625" style="849" customWidth="1"/>
    <col min="3927" max="4157" width="8.88671875" style="849"/>
    <col min="4158" max="4158" width="31.33203125" style="849" customWidth="1"/>
    <col min="4159" max="4176" width="4.44140625" style="849" customWidth="1"/>
    <col min="4177" max="4177" width="4" style="849" customWidth="1"/>
    <col min="4178" max="4178" width="8.33203125" style="849" bestFit="1" customWidth="1"/>
    <col min="4179" max="4179" width="16.33203125" style="849" bestFit="1" customWidth="1"/>
    <col min="4180" max="4180" width="20" style="849" bestFit="1" customWidth="1"/>
    <col min="4181" max="4181" width="7.6640625" style="849" customWidth="1"/>
    <col min="4182" max="4182" width="14.6640625" style="849" customWidth="1"/>
    <col min="4183" max="4413" width="8.88671875" style="849"/>
    <col min="4414" max="4414" width="31.33203125" style="849" customWidth="1"/>
    <col min="4415" max="4432" width="4.44140625" style="849" customWidth="1"/>
    <col min="4433" max="4433" width="4" style="849" customWidth="1"/>
    <col min="4434" max="4434" width="8.33203125" style="849" bestFit="1" customWidth="1"/>
    <col min="4435" max="4435" width="16.33203125" style="849" bestFit="1" customWidth="1"/>
    <col min="4436" max="4436" width="20" style="849" bestFit="1" customWidth="1"/>
    <col min="4437" max="4437" width="7.6640625" style="849" customWidth="1"/>
    <col min="4438" max="4438" width="14.6640625" style="849" customWidth="1"/>
    <col min="4439" max="4669" width="8.88671875" style="849"/>
    <col min="4670" max="4670" width="31.33203125" style="849" customWidth="1"/>
    <col min="4671" max="4688" width="4.44140625" style="849" customWidth="1"/>
    <col min="4689" max="4689" width="4" style="849" customWidth="1"/>
    <col min="4690" max="4690" width="8.33203125" style="849" bestFit="1" customWidth="1"/>
    <col min="4691" max="4691" width="16.33203125" style="849" bestFit="1" customWidth="1"/>
    <col min="4692" max="4692" width="20" style="849" bestFit="1" customWidth="1"/>
    <col min="4693" max="4693" width="7.6640625" style="849" customWidth="1"/>
    <col min="4694" max="4694" width="14.6640625" style="849" customWidth="1"/>
    <col min="4695" max="4925" width="8.88671875" style="849"/>
    <col min="4926" max="4926" width="31.33203125" style="849" customWidth="1"/>
    <col min="4927" max="4944" width="4.44140625" style="849" customWidth="1"/>
    <col min="4945" max="4945" width="4" style="849" customWidth="1"/>
    <col min="4946" max="4946" width="8.33203125" style="849" bestFit="1" customWidth="1"/>
    <col min="4947" max="4947" width="16.33203125" style="849" bestFit="1" customWidth="1"/>
    <col min="4948" max="4948" width="20" style="849" bestFit="1" customWidth="1"/>
    <col min="4949" max="4949" width="7.6640625" style="849" customWidth="1"/>
    <col min="4950" max="4950" width="14.6640625" style="849" customWidth="1"/>
    <col min="4951" max="5181" width="8.88671875" style="849"/>
    <col min="5182" max="5182" width="31.33203125" style="849" customWidth="1"/>
    <col min="5183" max="5200" width="4.44140625" style="849" customWidth="1"/>
    <col min="5201" max="5201" width="4" style="849" customWidth="1"/>
    <col min="5202" max="5202" width="8.33203125" style="849" bestFit="1" customWidth="1"/>
    <col min="5203" max="5203" width="16.33203125" style="849" bestFit="1" customWidth="1"/>
    <col min="5204" max="5204" width="20" style="849" bestFit="1" customWidth="1"/>
    <col min="5205" max="5205" width="7.6640625" style="849" customWidth="1"/>
    <col min="5206" max="5206" width="14.6640625" style="849" customWidth="1"/>
    <col min="5207" max="5437" width="8.88671875" style="849"/>
    <col min="5438" max="5438" width="31.33203125" style="849" customWidth="1"/>
    <col min="5439" max="5456" width="4.44140625" style="849" customWidth="1"/>
    <col min="5457" max="5457" width="4" style="849" customWidth="1"/>
    <col min="5458" max="5458" width="8.33203125" style="849" bestFit="1" customWidth="1"/>
    <col min="5459" max="5459" width="16.33203125" style="849" bestFit="1" customWidth="1"/>
    <col min="5460" max="5460" width="20" style="849" bestFit="1" customWidth="1"/>
    <col min="5461" max="5461" width="7.6640625" style="849" customWidth="1"/>
    <col min="5462" max="5462" width="14.6640625" style="849" customWidth="1"/>
    <col min="5463" max="5693" width="8.88671875" style="849"/>
    <col min="5694" max="5694" width="31.33203125" style="849" customWidth="1"/>
    <col min="5695" max="5712" width="4.44140625" style="849" customWidth="1"/>
    <col min="5713" max="5713" width="4" style="849" customWidth="1"/>
    <col min="5714" max="5714" width="8.33203125" style="849" bestFit="1" customWidth="1"/>
    <col min="5715" max="5715" width="16.33203125" style="849" bestFit="1" customWidth="1"/>
    <col min="5716" max="5716" width="20" style="849" bestFit="1" customWidth="1"/>
    <col min="5717" max="5717" width="7.6640625" style="849" customWidth="1"/>
    <col min="5718" max="5718" width="14.6640625" style="849" customWidth="1"/>
    <col min="5719" max="5949" width="8.88671875" style="849"/>
    <col min="5950" max="5950" width="31.33203125" style="849" customWidth="1"/>
    <col min="5951" max="5968" width="4.44140625" style="849" customWidth="1"/>
    <col min="5969" max="5969" width="4" style="849" customWidth="1"/>
    <col min="5970" max="5970" width="8.33203125" style="849" bestFit="1" customWidth="1"/>
    <col min="5971" max="5971" width="16.33203125" style="849" bestFit="1" customWidth="1"/>
    <col min="5972" max="5972" width="20" style="849" bestFit="1" customWidth="1"/>
    <col min="5973" max="5973" width="7.6640625" style="849" customWidth="1"/>
    <col min="5974" max="5974" width="14.6640625" style="849" customWidth="1"/>
    <col min="5975" max="6205" width="8.88671875" style="849"/>
    <col min="6206" max="6206" width="31.33203125" style="849" customWidth="1"/>
    <col min="6207" max="6224" width="4.44140625" style="849" customWidth="1"/>
    <col min="6225" max="6225" width="4" style="849" customWidth="1"/>
    <col min="6226" max="6226" width="8.33203125" style="849" bestFit="1" customWidth="1"/>
    <col min="6227" max="6227" width="16.33203125" style="849" bestFit="1" customWidth="1"/>
    <col min="6228" max="6228" width="20" style="849" bestFit="1" customWidth="1"/>
    <col min="6229" max="6229" width="7.6640625" style="849" customWidth="1"/>
    <col min="6230" max="6230" width="14.6640625" style="849" customWidth="1"/>
    <col min="6231" max="6461" width="8.88671875" style="849"/>
    <col min="6462" max="6462" width="31.33203125" style="849" customWidth="1"/>
    <col min="6463" max="6480" width="4.44140625" style="849" customWidth="1"/>
    <col min="6481" max="6481" width="4" style="849" customWidth="1"/>
    <col min="6482" max="6482" width="8.33203125" style="849" bestFit="1" customWidth="1"/>
    <col min="6483" max="6483" width="16.33203125" style="849" bestFit="1" customWidth="1"/>
    <col min="6484" max="6484" width="20" style="849" bestFit="1" customWidth="1"/>
    <col min="6485" max="6485" width="7.6640625" style="849" customWidth="1"/>
    <col min="6486" max="6486" width="14.6640625" style="849" customWidth="1"/>
    <col min="6487" max="6717" width="8.88671875" style="849"/>
    <col min="6718" max="6718" width="31.33203125" style="849" customWidth="1"/>
    <col min="6719" max="6736" width="4.44140625" style="849" customWidth="1"/>
    <col min="6737" max="6737" width="4" style="849" customWidth="1"/>
    <col min="6738" max="6738" width="8.33203125" style="849" bestFit="1" customWidth="1"/>
    <col min="6739" max="6739" width="16.33203125" style="849" bestFit="1" customWidth="1"/>
    <col min="6740" max="6740" width="20" style="849" bestFit="1" customWidth="1"/>
    <col min="6741" max="6741" width="7.6640625" style="849" customWidth="1"/>
    <col min="6742" max="6742" width="14.6640625" style="849" customWidth="1"/>
    <col min="6743" max="6973" width="8.88671875" style="849"/>
    <col min="6974" max="6974" width="31.33203125" style="849" customWidth="1"/>
    <col min="6975" max="6992" width="4.44140625" style="849" customWidth="1"/>
    <col min="6993" max="6993" width="4" style="849" customWidth="1"/>
    <col min="6994" max="6994" width="8.33203125" style="849" bestFit="1" customWidth="1"/>
    <col min="6995" max="6995" width="16.33203125" style="849" bestFit="1" customWidth="1"/>
    <col min="6996" max="6996" width="20" style="849" bestFit="1" customWidth="1"/>
    <col min="6997" max="6997" width="7.6640625" style="849" customWidth="1"/>
    <col min="6998" max="6998" width="14.6640625" style="849" customWidth="1"/>
    <col min="6999" max="7229" width="8.88671875" style="849"/>
    <col min="7230" max="7230" width="31.33203125" style="849" customWidth="1"/>
    <col min="7231" max="7248" width="4.44140625" style="849" customWidth="1"/>
    <col min="7249" max="7249" width="4" style="849" customWidth="1"/>
    <col min="7250" max="7250" width="8.33203125" style="849" bestFit="1" customWidth="1"/>
    <col min="7251" max="7251" width="16.33203125" style="849" bestFit="1" customWidth="1"/>
    <col min="7252" max="7252" width="20" style="849" bestFit="1" customWidth="1"/>
    <col min="7253" max="7253" width="7.6640625" style="849" customWidth="1"/>
    <col min="7254" max="7254" width="14.6640625" style="849" customWidth="1"/>
    <col min="7255" max="7485" width="8.88671875" style="849"/>
    <col min="7486" max="7486" width="31.33203125" style="849" customWidth="1"/>
    <col min="7487" max="7504" width="4.44140625" style="849" customWidth="1"/>
    <col min="7505" max="7505" width="4" style="849" customWidth="1"/>
    <col min="7506" max="7506" width="8.33203125" style="849" bestFit="1" customWidth="1"/>
    <col min="7507" max="7507" width="16.33203125" style="849" bestFit="1" customWidth="1"/>
    <col min="7508" max="7508" width="20" style="849" bestFit="1" customWidth="1"/>
    <col min="7509" max="7509" width="7.6640625" style="849" customWidth="1"/>
    <col min="7510" max="7510" width="14.6640625" style="849" customWidth="1"/>
    <col min="7511" max="7741" width="8.88671875" style="849"/>
    <col min="7742" max="7742" width="31.33203125" style="849" customWidth="1"/>
    <col min="7743" max="7760" width="4.44140625" style="849" customWidth="1"/>
    <col min="7761" max="7761" width="4" style="849" customWidth="1"/>
    <col min="7762" max="7762" width="8.33203125" style="849" bestFit="1" customWidth="1"/>
    <col min="7763" max="7763" width="16.33203125" style="849" bestFit="1" customWidth="1"/>
    <col min="7764" max="7764" width="20" style="849" bestFit="1" customWidth="1"/>
    <col min="7765" max="7765" width="7.6640625" style="849" customWidth="1"/>
    <col min="7766" max="7766" width="14.6640625" style="849" customWidth="1"/>
    <col min="7767" max="7997" width="8.88671875" style="849"/>
    <col min="7998" max="7998" width="31.33203125" style="849" customWidth="1"/>
    <col min="7999" max="8016" width="4.44140625" style="849" customWidth="1"/>
    <col min="8017" max="8017" width="4" style="849" customWidth="1"/>
    <col min="8018" max="8018" width="8.33203125" style="849" bestFit="1" customWidth="1"/>
    <col min="8019" max="8019" width="16.33203125" style="849" bestFit="1" customWidth="1"/>
    <col min="8020" max="8020" width="20" style="849" bestFit="1" customWidth="1"/>
    <col min="8021" max="8021" width="7.6640625" style="849" customWidth="1"/>
    <col min="8022" max="8022" width="14.6640625" style="849" customWidth="1"/>
    <col min="8023" max="8253" width="8.88671875" style="849"/>
    <col min="8254" max="8254" width="31.33203125" style="849" customWidth="1"/>
    <col min="8255" max="8272" width="4.44140625" style="849" customWidth="1"/>
    <col min="8273" max="8273" width="4" style="849" customWidth="1"/>
    <col min="8274" max="8274" width="8.33203125" style="849" bestFit="1" customWidth="1"/>
    <col min="8275" max="8275" width="16.33203125" style="849" bestFit="1" customWidth="1"/>
    <col min="8276" max="8276" width="20" style="849" bestFit="1" customWidth="1"/>
    <col min="8277" max="8277" width="7.6640625" style="849" customWidth="1"/>
    <col min="8278" max="8278" width="14.6640625" style="849" customWidth="1"/>
    <col min="8279" max="8509" width="8.88671875" style="849"/>
    <col min="8510" max="8510" width="31.33203125" style="849" customWidth="1"/>
    <col min="8511" max="8528" width="4.44140625" style="849" customWidth="1"/>
    <col min="8529" max="8529" width="4" style="849" customWidth="1"/>
    <col min="8530" max="8530" width="8.33203125" style="849" bestFit="1" customWidth="1"/>
    <col min="8531" max="8531" width="16.33203125" style="849" bestFit="1" customWidth="1"/>
    <col min="8532" max="8532" width="20" style="849" bestFit="1" customWidth="1"/>
    <col min="8533" max="8533" width="7.6640625" style="849" customWidth="1"/>
    <col min="8534" max="8534" width="14.6640625" style="849" customWidth="1"/>
    <col min="8535" max="8765" width="8.88671875" style="849"/>
    <col min="8766" max="8766" width="31.33203125" style="849" customWidth="1"/>
    <col min="8767" max="8784" width="4.44140625" style="849" customWidth="1"/>
    <col min="8785" max="8785" width="4" style="849" customWidth="1"/>
    <col min="8786" max="8786" width="8.33203125" style="849" bestFit="1" customWidth="1"/>
    <col min="8787" max="8787" width="16.33203125" style="849" bestFit="1" customWidth="1"/>
    <col min="8788" max="8788" width="20" style="849" bestFit="1" customWidth="1"/>
    <col min="8789" max="8789" width="7.6640625" style="849" customWidth="1"/>
    <col min="8790" max="8790" width="14.6640625" style="849" customWidth="1"/>
    <col min="8791" max="9021" width="8.88671875" style="849"/>
    <col min="9022" max="9022" width="31.33203125" style="849" customWidth="1"/>
    <col min="9023" max="9040" width="4.44140625" style="849" customWidth="1"/>
    <col min="9041" max="9041" width="4" style="849" customWidth="1"/>
    <col min="9042" max="9042" width="8.33203125" style="849" bestFit="1" customWidth="1"/>
    <col min="9043" max="9043" width="16.33203125" style="849" bestFit="1" customWidth="1"/>
    <col min="9044" max="9044" width="20" style="849" bestFit="1" customWidth="1"/>
    <col min="9045" max="9045" width="7.6640625" style="849" customWidth="1"/>
    <col min="9046" max="9046" width="14.6640625" style="849" customWidth="1"/>
    <col min="9047" max="9277" width="8.88671875" style="849"/>
    <col min="9278" max="9278" width="31.33203125" style="849" customWidth="1"/>
    <col min="9279" max="9296" width="4.44140625" style="849" customWidth="1"/>
    <col min="9297" max="9297" width="4" style="849" customWidth="1"/>
    <col min="9298" max="9298" width="8.33203125" style="849" bestFit="1" customWidth="1"/>
    <col min="9299" max="9299" width="16.33203125" style="849" bestFit="1" customWidth="1"/>
    <col min="9300" max="9300" width="20" style="849" bestFit="1" customWidth="1"/>
    <col min="9301" max="9301" width="7.6640625" style="849" customWidth="1"/>
    <col min="9302" max="9302" width="14.6640625" style="849" customWidth="1"/>
    <col min="9303" max="9533" width="8.88671875" style="849"/>
    <col min="9534" max="9534" width="31.33203125" style="849" customWidth="1"/>
    <col min="9535" max="9552" width="4.44140625" style="849" customWidth="1"/>
    <col min="9553" max="9553" width="4" style="849" customWidth="1"/>
    <col min="9554" max="9554" width="8.33203125" style="849" bestFit="1" customWidth="1"/>
    <col min="9555" max="9555" width="16.33203125" style="849" bestFit="1" customWidth="1"/>
    <col min="9556" max="9556" width="20" style="849" bestFit="1" customWidth="1"/>
    <col min="9557" max="9557" width="7.6640625" style="849" customWidth="1"/>
    <col min="9558" max="9558" width="14.6640625" style="849" customWidth="1"/>
    <col min="9559" max="9789" width="8.88671875" style="849"/>
    <col min="9790" max="9790" width="31.33203125" style="849" customWidth="1"/>
    <col min="9791" max="9808" width="4.44140625" style="849" customWidth="1"/>
    <col min="9809" max="9809" width="4" style="849" customWidth="1"/>
    <col min="9810" max="9810" width="8.33203125" style="849" bestFit="1" customWidth="1"/>
    <col min="9811" max="9811" width="16.33203125" style="849" bestFit="1" customWidth="1"/>
    <col min="9812" max="9812" width="20" style="849" bestFit="1" customWidth="1"/>
    <col min="9813" max="9813" width="7.6640625" style="849" customWidth="1"/>
    <col min="9814" max="9814" width="14.6640625" style="849" customWidth="1"/>
    <col min="9815" max="10045" width="8.88671875" style="849"/>
    <col min="10046" max="10046" width="31.33203125" style="849" customWidth="1"/>
    <col min="10047" max="10064" width="4.44140625" style="849" customWidth="1"/>
    <col min="10065" max="10065" width="4" style="849" customWidth="1"/>
    <col min="10066" max="10066" width="8.33203125" style="849" bestFit="1" customWidth="1"/>
    <col min="10067" max="10067" width="16.33203125" style="849" bestFit="1" customWidth="1"/>
    <col min="10068" max="10068" width="20" style="849" bestFit="1" customWidth="1"/>
    <col min="10069" max="10069" width="7.6640625" style="849" customWidth="1"/>
    <col min="10070" max="10070" width="14.6640625" style="849" customWidth="1"/>
    <col min="10071" max="10301" width="8.88671875" style="849"/>
    <col min="10302" max="10302" width="31.33203125" style="849" customWidth="1"/>
    <col min="10303" max="10320" width="4.44140625" style="849" customWidth="1"/>
    <col min="10321" max="10321" width="4" style="849" customWidth="1"/>
    <col min="10322" max="10322" width="8.33203125" style="849" bestFit="1" customWidth="1"/>
    <col min="10323" max="10323" width="16.33203125" style="849" bestFit="1" customWidth="1"/>
    <col min="10324" max="10324" width="20" style="849" bestFit="1" customWidth="1"/>
    <col min="10325" max="10325" width="7.6640625" style="849" customWidth="1"/>
    <col min="10326" max="10326" width="14.6640625" style="849" customWidth="1"/>
    <col min="10327" max="10557" width="8.88671875" style="849"/>
    <col min="10558" max="10558" width="31.33203125" style="849" customWidth="1"/>
    <col min="10559" max="10576" width="4.44140625" style="849" customWidth="1"/>
    <col min="10577" max="10577" width="4" style="849" customWidth="1"/>
    <col min="10578" max="10578" width="8.33203125" style="849" bestFit="1" customWidth="1"/>
    <col min="10579" max="10579" width="16.33203125" style="849" bestFit="1" customWidth="1"/>
    <col min="10580" max="10580" width="20" style="849" bestFit="1" customWidth="1"/>
    <col min="10581" max="10581" width="7.6640625" style="849" customWidth="1"/>
    <col min="10582" max="10582" width="14.6640625" style="849" customWidth="1"/>
    <col min="10583" max="10813" width="8.88671875" style="849"/>
    <col min="10814" max="10814" width="31.33203125" style="849" customWidth="1"/>
    <col min="10815" max="10832" width="4.44140625" style="849" customWidth="1"/>
    <col min="10833" max="10833" width="4" style="849" customWidth="1"/>
    <col min="10834" max="10834" width="8.33203125" style="849" bestFit="1" customWidth="1"/>
    <col min="10835" max="10835" width="16.33203125" style="849" bestFit="1" customWidth="1"/>
    <col min="10836" max="10836" width="20" style="849" bestFit="1" customWidth="1"/>
    <col min="10837" max="10837" width="7.6640625" style="849" customWidth="1"/>
    <col min="10838" max="10838" width="14.6640625" style="849" customWidth="1"/>
    <col min="10839" max="11069" width="8.88671875" style="849"/>
    <col min="11070" max="11070" width="31.33203125" style="849" customWidth="1"/>
    <col min="11071" max="11088" width="4.44140625" style="849" customWidth="1"/>
    <col min="11089" max="11089" width="4" style="849" customWidth="1"/>
    <col min="11090" max="11090" width="8.33203125" style="849" bestFit="1" customWidth="1"/>
    <col min="11091" max="11091" width="16.33203125" style="849" bestFit="1" customWidth="1"/>
    <col min="11092" max="11092" width="20" style="849" bestFit="1" customWidth="1"/>
    <col min="11093" max="11093" width="7.6640625" style="849" customWidth="1"/>
    <col min="11094" max="11094" width="14.6640625" style="849" customWidth="1"/>
    <col min="11095" max="11325" width="8.88671875" style="849"/>
    <col min="11326" max="11326" width="31.33203125" style="849" customWidth="1"/>
    <col min="11327" max="11344" width="4.44140625" style="849" customWidth="1"/>
    <col min="11345" max="11345" width="4" style="849" customWidth="1"/>
    <col min="11346" max="11346" width="8.33203125" style="849" bestFit="1" customWidth="1"/>
    <col min="11347" max="11347" width="16.33203125" style="849" bestFit="1" customWidth="1"/>
    <col min="11348" max="11348" width="20" style="849" bestFit="1" customWidth="1"/>
    <col min="11349" max="11349" width="7.6640625" style="849" customWidth="1"/>
    <col min="11350" max="11350" width="14.6640625" style="849" customWidth="1"/>
    <col min="11351" max="11581" width="8.88671875" style="849"/>
    <col min="11582" max="11582" width="31.33203125" style="849" customWidth="1"/>
    <col min="11583" max="11600" width="4.44140625" style="849" customWidth="1"/>
    <col min="11601" max="11601" width="4" style="849" customWidth="1"/>
    <col min="11602" max="11602" width="8.33203125" style="849" bestFit="1" customWidth="1"/>
    <col min="11603" max="11603" width="16.33203125" style="849" bestFit="1" customWidth="1"/>
    <col min="11604" max="11604" width="20" style="849" bestFit="1" customWidth="1"/>
    <col min="11605" max="11605" width="7.6640625" style="849" customWidth="1"/>
    <col min="11606" max="11606" width="14.6640625" style="849" customWidth="1"/>
    <col min="11607" max="11837" width="8.88671875" style="849"/>
    <col min="11838" max="11838" width="31.33203125" style="849" customWidth="1"/>
    <col min="11839" max="11856" width="4.44140625" style="849" customWidth="1"/>
    <col min="11857" max="11857" width="4" style="849" customWidth="1"/>
    <col min="11858" max="11858" width="8.33203125" style="849" bestFit="1" customWidth="1"/>
    <col min="11859" max="11859" width="16.33203125" style="849" bestFit="1" customWidth="1"/>
    <col min="11860" max="11860" width="20" style="849" bestFit="1" customWidth="1"/>
    <col min="11861" max="11861" width="7.6640625" style="849" customWidth="1"/>
    <col min="11862" max="11862" width="14.6640625" style="849" customWidth="1"/>
    <col min="11863" max="12093" width="8.88671875" style="849"/>
    <col min="12094" max="12094" width="31.33203125" style="849" customWidth="1"/>
    <col min="12095" max="12112" width="4.44140625" style="849" customWidth="1"/>
    <col min="12113" max="12113" width="4" style="849" customWidth="1"/>
    <col min="12114" max="12114" width="8.33203125" style="849" bestFit="1" customWidth="1"/>
    <col min="12115" max="12115" width="16.33203125" style="849" bestFit="1" customWidth="1"/>
    <col min="12116" max="12116" width="20" style="849" bestFit="1" customWidth="1"/>
    <col min="12117" max="12117" width="7.6640625" style="849" customWidth="1"/>
    <col min="12118" max="12118" width="14.6640625" style="849" customWidth="1"/>
    <col min="12119" max="12349" width="8.88671875" style="849"/>
    <col min="12350" max="12350" width="31.33203125" style="849" customWidth="1"/>
    <col min="12351" max="12368" width="4.44140625" style="849" customWidth="1"/>
    <col min="12369" max="12369" width="4" style="849" customWidth="1"/>
    <col min="12370" max="12370" width="8.33203125" style="849" bestFit="1" customWidth="1"/>
    <col min="12371" max="12371" width="16.33203125" style="849" bestFit="1" customWidth="1"/>
    <col min="12372" max="12372" width="20" style="849" bestFit="1" customWidth="1"/>
    <col min="12373" max="12373" width="7.6640625" style="849" customWidth="1"/>
    <col min="12374" max="12374" width="14.6640625" style="849" customWidth="1"/>
    <col min="12375" max="12605" width="8.88671875" style="849"/>
    <col min="12606" max="12606" width="31.33203125" style="849" customWidth="1"/>
    <col min="12607" max="12624" width="4.44140625" style="849" customWidth="1"/>
    <col min="12625" max="12625" width="4" style="849" customWidth="1"/>
    <col min="12626" max="12626" width="8.33203125" style="849" bestFit="1" customWidth="1"/>
    <col min="12627" max="12627" width="16.33203125" style="849" bestFit="1" customWidth="1"/>
    <col min="12628" max="12628" width="20" style="849" bestFit="1" customWidth="1"/>
    <col min="12629" max="12629" width="7.6640625" style="849" customWidth="1"/>
    <col min="12630" max="12630" width="14.6640625" style="849" customWidth="1"/>
    <col min="12631" max="12861" width="8.88671875" style="849"/>
    <col min="12862" max="12862" width="31.33203125" style="849" customWidth="1"/>
    <col min="12863" max="12880" width="4.44140625" style="849" customWidth="1"/>
    <col min="12881" max="12881" width="4" style="849" customWidth="1"/>
    <col min="12882" max="12882" width="8.33203125" style="849" bestFit="1" customWidth="1"/>
    <col min="12883" max="12883" width="16.33203125" style="849" bestFit="1" customWidth="1"/>
    <col min="12884" max="12884" width="20" style="849" bestFit="1" customWidth="1"/>
    <col min="12885" max="12885" width="7.6640625" style="849" customWidth="1"/>
    <col min="12886" max="12886" width="14.6640625" style="849" customWidth="1"/>
    <col min="12887" max="13117" width="8.88671875" style="849"/>
    <col min="13118" max="13118" width="31.33203125" style="849" customWidth="1"/>
    <col min="13119" max="13136" width="4.44140625" style="849" customWidth="1"/>
    <col min="13137" max="13137" width="4" style="849" customWidth="1"/>
    <col min="13138" max="13138" width="8.33203125" style="849" bestFit="1" customWidth="1"/>
    <col min="13139" max="13139" width="16.33203125" style="849" bestFit="1" customWidth="1"/>
    <col min="13140" max="13140" width="20" style="849" bestFit="1" customWidth="1"/>
    <col min="13141" max="13141" width="7.6640625" style="849" customWidth="1"/>
    <col min="13142" max="13142" width="14.6640625" style="849" customWidth="1"/>
    <col min="13143" max="13373" width="8.88671875" style="849"/>
    <col min="13374" max="13374" width="31.33203125" style="849" customWidth="1"/>
    <col min="13375" max="13392" width="4.44140625" style="849" customWidth="1"/>
    <col min="13393" max="13393" width="4" style="849" customWidth="1"/>
    <col min="13394" max="13394" width="8.33203125" style="849" bestFit="1" customWidth="1"/>
    <col min="13395" max="13395" width="16.33203125" style="849" bestFit="1" customWidth="1"/>
    <col min="13396" max="13396" width="20" style="849" bestFit="1" customWidth="1"/>
    <col min="13397" max="13397" width="7.6640625" style="849" customWidth="1"/>
    <col min="13398" max="13398" width="14.6640625" style="849" customWidth="1"/>
    <col min="13399" max="13629" width="8.88671875" style="849"/>
    <col min="13630" max="13630" width="31.33203125" style="849" customWidth="1"/>
    <col min="13631" max="13648" width="4.44140625" style="849" customWidth="1"/>
    <col min="13649" max="13649" width="4" style="849" customWidth="1"/>
    <col min="13650" max="13650" width="8.33203125" style="849" bestFit="1" customWidth="1"/>
    <col min="13651" max="13651" width="16.33203125" style="849" bestFit="1" customWidth="1"/>
    <col min="13652" max="13652" width="20" style="849" bestFit="1" customWidth="1"/>
    <col min="13653" max="13653" width="7.6640625" style="849" customWidth="1"/>
    <col min="13654" max="13654" width="14.6640625" style="849" customWidth="1"/>
    <col min="13655" max="13885" width="8.88671875" style="849"/>
    <col min="13886" max="13886" width="31.33203125" style="849" customWidth="1"/>
    <col min="13887" max="13904" width="4.44140625" style="849" customWidth="1"/>
    <col min="13905" max="13905" width="4" style="849" customWidth="1"/>
    <col min="13906" max="13906" width="8.33203125" style="849" bestFit="1" customWidth="1"/>
    <col min="13907" max="13907" width="16.33203125" style="849" bestFit="1" customWidth="1"/>
    <col min="13908" max="13908" width="20" style="849" bestFit="1" customWidth="1"/>
    <col min="13909" max="13909" width="7.6640625" style="849" customWidth="1"/>
    <col min="13910" max="13910" width="14.6640625" style="849" customWidth="1"/>
    <col min="13911" max="14141" width="8.88671875" style="849"/>
    <col min="14142" max="14142" width="31.33203125" style="849" customWidth="1"/>
    <col min="14143" max="14160" width="4.44140625" style="849" customWidth="1"/>
    <col min="14161" max="14161" width="4" style="849" customWidth="1"/>
    <col min="14162" max="14162" width="8.33203125" style="849" bestFit="1" customWidth="1"/>
    <col min="14163" max="14163" width="16.33203125" style="849" bestFit="1" customWidth="1"/>
    <col min="14164" max="14164" width="20" style="849" bestFit="1" customWidth="1"/>
    <col min="14165" max="14165" width="7.6640625" style="849" customWidth="1"/>
    <col min="14166" max="14166" width="14.6640625" style="849" customWidth="1"/>
    <col min="14167" max="14397" width="8.88671875" style="849"/>
    <col min="14398" max="14398" width="31.33203125" style="849" customWidth="1"/>
    <col min="14399" max="14416" width="4.44140625" style="849" customWidth="1"/>
    <col min="14417" max="14417" width="4" style="849" customWidth="1"/>
    <col min="14418" max="14418" width="8.33203125" style="849" bestFit="1" customWidth="1"/>
    <col min="14419" max="14419" width="16.33203125" style="849" bestFit="1" customWidth="1"/>
    <col min="14420" max="14420" width="20" style="849" bestFit="1" customWidth="1"/>
    <col min="14421" max="14421" width="7.6640625" style="849" customWidth="1"/>
    <col min="14422" max="14422" width="14.6640625" style="849" customWidth="1"/>
    <col min="14423" max="14653" width="8.88671875" style="849"/>
    <col min="14654" max="14654" width="31.33203125" style="849" customWidth="1"/>
    <col min="14655" max="14672" width="4.44140625" style="849" customWidth="1"/>
    <col min="14673" max="14673" width="4" style="849" customWidth="1"/>
    <col min="14674" max="14674" width="8.33203125" style="849" bestFit="1" customWidth="1"/>
    <col min="14675" max="14675" width="16.33203125" style="849" bestFit="1" customWidth="1"/>
    <col min="14676" max="14676" width="20" style="849" bestFit="1" customWidth="1"/>
    <col min="14677" max="14677" width="7.6640625" style="849" customWidth="1"/>
    <col min="14678" max="14678" width="14.6640625" style="849" customWidth="1"/>
    <col min="14679" max="14909" width="8.88671875" style="849"/>
    <col min="14910" max="14910" width="31.33203125" style="849" customWidth="1"/>
    <col min="14911" max="14928" width="4.44140625" style="849" customWidth="1"/>
    <col min="14929" max="14929" width="4" style="849" customWidth="1"/>
    <col min="14930" max="14930" width="8.33203125" style="849" bestFit="1" customWidth="1"/>
    <col min="14931" max="14931" width="16.33203125" style="849" bestFit="1" customWidth="1"/>
    <col min="14932" max="14932" width="20" style="849" bestFit="1" customWidth="1"/>
    <col min="14933" max="14933" width="7.6640625" style="849" customWidth="1"/>
    <col min="14934" max="14934" width="14.6640625" style="849" customWidth="1"/>
    <col min="14935" max="15165" width="8.88671875" style="849"/>
    <col min="15166" max="15166" width="31.33203125" style="849" customWidth="1"/>
    <col min="15167" max="15184" width="4.44140625" style="849" customWidth="1"/>
    <col min="15185" max="15185" width="4" style="849" customWidth="1"/>
    <col min="15186" max="15186" width="8.33203125" style="849" bestFit="1" customWidth="1"/>
    <col min="15187" max="15187" width="16.33203125" style="849" bestFit="1" customWidth="1"/>
    <col min="15188" max="15188" width="20" style="849" bestFit="1" customWidth="1"/>
    <col min="15189" max="15189" width="7.6640625" style="849" customWidth="1"/>
    <col min="15190" max="15190" width="14.6640625" style="849" customWidth="1"/>
    <col min="15191" max="15421" width="8.88671875" style="849"/>
    <col min="15422" max="15422" width="31.33203125" style="849" customWidth="1"/>
    <col min="15423" max="15440" width="4.44140625" style="849" customWidth="1"/>
    <col min="15441" max="15441" width="4" style="849" customWidth="1"/>
    <col min="15442" max="15442" width="8.33203125" style="849" bestFit="1" customWidth="1"/>
    <col min="15443" max="15443" width="16.33203125" style="849" bestFit="1" customWidth="1"/>
    <col min="15444" max="15444" width="20" style="849" bestFit="1" customWidth="1"/>
    <col min="15445" max="15445" width="7.6640625" style="849" customWidth="1"/>
    <col min="15446" max="15446" width="14.6640625" style="849" customWidth="1"/>
    <col min="15447" max="15677" width="8.88671875" style="849"/>
    <col min="15678" max="15678" width="31.33203125" style="849" customWidth="1"/>
    <col min="15679" max="15696" width="4.44140625" style="849" customWidth="1"/>
    <col min="15697" max="15697" width="4" style="849" customWidth="1"/>
    <col min="15698" max="15698" width="8.33203125" style="849" bestFit="1" customWidth="1"/>
    <col min="15699" max="15699" width="16.33203125" style="849" bestFit="1" customWidth="1"/>
    <col min="15700" max="15700" width="20" style="849" bestFit="1" customWidth="1"/>
    <col min="15701" max="15701" width="7.6640625" style="849" customWidth="1"/>
    <col min="15702" max="15702" width="14.6640625" style="849" customWidth="1"/>
    <col min="15703" max="15933" width="8.88671875" style="849"/>
    <col min="15934" max="15934" width="31.33203125" style="849" customWidth="1"/>
    <col min="15935" max="15952" width="4.44140625" style="849" customWidth="1"/>
    <col min="15953" max="15953" width="4" style="849" customWidth="1"/>
    <col min="15954" max="15954" width="8.33203125" style="849" bestFit="1" customWidth="1"/>
    <col min="15955" max="15955" width="16.33203125" style="849" bestFit="1" customWidth="1"/>
    <col min="15956" max="15956" width="20" style="849" bestFit="1" customWidth="1"/>
    <col min="15957" max="15957" width="7.6640625" style="849" customWidth="1"/>
    <col min="15958" max="15958" width="14.6640625" style="849" customWidth="1"/>
    <col min="15959" max="16189" width="8.88671875" style="849"/>
    <col min="16190" max="16190" width="31.33203125" style="849" customWidth="1"/>
    <col min="16191" max="16208" width="4.44140625" style="849" customWidth="1"/>
    <col min="16209" max="16209" width="4" style="849" customWidth="1"/>
    <col min="16210" max="16210" width="8.33203125" style="849" bestFit="1" customWidth="1"/>
    <col min="16211" max="16211" width="16.33203125" style="849" bestFit="1" customWidth="1"/>
    <col min="16212" max="16212" width="20" style="849" bestFit="1" customWidth="1"/>
    <col min="16213" max="16213" width="7.6640625" style="849" customWidth="1"/>
    <col min="16214" max="16214" width="14.6640625" style="849" customWidth="1"/>
    <col min="16215" max="16384" width="8.88671875" style="849"/>
  </cols>
  <sheetData>
    <row r="2" spans="1:85" s="845" customFormat="1" ht="15" customHeight="1" x14ac:dyDescent="0.3">
      <c r="A2" s="843"/>
      <c r="B2" s="1157" t="s">
        <v>24</v>
      </c>
      <c r="C2" s="1157"/>
      <c r="D2" s="1157"/>
      <c r="E2" s="1157"/>
      <c r="F2" s="1157"/>
      <c r="G2" s="1157"/>
      <c r="H2" s="1157"/>
      <c r="I2" s="1157"/>
      <c r="J2" s="1157"/>
      <c r="K2" s="1157"/>
      <c r="L2" s="1157"/>
      <c r="M2" s="1157"/>
      <c r="N2" s="1157"/>
      <c r="O2" s="1157"/>
      <c r="P2" s="1157"/>
      <c r="Q2" s="1157"/>
      <c r="R2" s="1157"/>
      <c r="S2" s="1157"/>
      <c r="T2" s="1157"/>
      <c r="U2" s="1157"/>
      <c r="V2" s="1157"/>
      <c r="W2" s="1157"/>
      <c r="X2" s="1157"/>
      <c r="Y2" s="1157"/>
      <c r="Z2" s="1157"/>
      <c r="AA2" s="1157"/>
      <c r="AB2" s="1157"/>
      <c r="AC2" s="1157"/>
      <c r="AD2" s="1157"/>
      <c r="AE2" s="1157"/>
      <c r="AF2" s="1157"/>
      <c r="AG2" s="1157"/>
      <c r="AH2" s="1157"/>
      <c r="AI2" s="1157"/>
      <c r="AJ2" s="1157"/>
      <c r="AK2" s="1157"/>
      <c r="AL2" s="1157"/>
      <c r="AM2" s="1157"/>
      <c r="AN2" s="1157"/>
      <c r="AO2" s="1157"/>
      <c r="AP2" s="1157"/>
      <c r="AQ2" s="1157"/>
      <c r="AR2" s="1157"/>
      <c r="AS2" s="1157"/>
      <c r="AT2" s="1157"/>
      <c r="AU2" s="1157"/>
      <c r="AV2" s="1157"/>
      <c r="AW2" s="1157"/>
      <c r="AX2" s="1157"/>
      <c r="AY2" s="1157"/>
      <c r="AZ2" s="1157"/>
      <c r="BA2" s="1157"/>
      <c r="BB2" s="1157"/>
      <c r="BC2" s="1157"/>
      <c r="BD2" s="1157"/>
      <c r="BE2" s="1157"/>
      <c r="BF2" s="1157"/>
      <c r="BG2" s="1157"/>
      <c r="BH2" s="1157"/>
      <c r="BI2" s="1157"/>
      <c r="BJ2" s="1157"/>
      <c r="BK2" s="1157"/>
      <c r="BL2" s="1157"/>
      <c r="BM2" s="1157"/>
      <c r="BN2" s="1157"/>
      <c r="BO2" s="1157"/>
      <c r="BP2" s="1157"/>
      <c r="BQ2" s="1157"/>
      <c r="BR2" s="1157"/>
      <c r="BS2" s="1157"/>
      <c r="BT2" s="1157"/>
      <c r="BU2" s="1157"/>
      <c r="BV2" s="1157"/>
      <c r="BW2" s="1157"/>
      <c r="BX2" s="1157"/>
      <c r="BY2" s="1157"/>
      <c r="BZ2" s="1157"/>
      <c r="CA2" s="1157"/>
      <c r="CB2" s="1157"/>
      <c r="CC2" s="1157"/>
      <c r="CD2" s="1157"/>
      <c r="CE2" s="1157"/>
      <c r="CF2" s="844" t="s">
        <v>1000</v>
      </c>
    </row>
    <row r="3" spans="1:85" s="845" customFormat="1" ht="17.25" customHeight="1" x14ac:dyDescent="0.3">
      <c r="A3" s="843"/>
      <c r="B3" s="1157"/>
      <c r="C3" s="1157"/>
      <c r="D3" s="1157"/>
      <c r="E3" s="1157"/>
      <c r="F3" s="1157"/>
      <c r="G3" s="1157"/>
      <c r="H3" s="1157"/>
      <c r="I3" s="1157"/>
      <c r="J3" s="1157"/>
      <c r="K3" s="1157"/>
      <c r="L3" s="1157"/>
      <c r="M3" s="1157"/>
      <c r="N3" s="1157"/>
      <c r="O3" s="1157"/>
      <c r="P3" s="1157"/>
      <c r="Q3" s="1157"/>
      <c r="R3" s="1157"/>
      <c r="S3" s="1157"/>
      <c r="T3" s="1157"/>
      <c r="U3" s="1157"/>
      <c r="V3" s="1157"/>
      <c r="W3" s="1157"/>
      <c r="X3" s="1157"/>
      <c r="Y3" s="1157"/>
      <c r="Z3" s="1157"/>
      <c r="AA3" s="1157"/>
      <c r="AB3" s="1157"/>
      <c r="AC3" s="1157"/>
      <c r="AD3" s="1157"/>
      <c r="AE3" s="1157"/>
      <c r="AF3" s="1157"/>
      <c r="AG3" s="1157"/>
      <c r="AH3" s="1157"/>
      <c r="AI3" s="1157"/>
      <c r="AJ3" s="1157"/>
      <c r="AK3" s="1157"/>
      <c r="AL3" s="1157"/>
      <c r="AM3" s="1157"/>
      <c r="AN3" s="1157"/>
      <c r="AO3" s="1157"/>
      <c r="AP3" s="1157"/>
      <c r="AQ3" s="1157"/>
      <c r="AR3" s="1157"/>
      <c r="AS3" s="1157"/>
      <c r="AT3" s="1157"/>
      <c r="AU3" s="1157"/>
      <c r="AV3" s="1157"/>
      <c r="AW3" s="1157"/>
      <c r="AX3" s="1157"/>
      <c r="AY3" s="1157"/>
      <c r="AZ3" s="1157"/>
      <c r="BA3" s="1157"/>
      <c r="BB3" s="1157"/>
      <c r="BC3" s="1157"/>
      <c r="BD3" s="1157"/>
      <c r="BE3" s="1157"/>
      <c r="BF3" s="1157"/>
      <c r="BG3" s="1157"/>
      <c r="BH3" s="1157"/>
      <c r="BI3" s="1157"/>
      <c r="BJ3" s="1157"/>
      <c r="BK3" s="1157"/>
      <c r="BL3" s="1157"/>
      <c r="BM3" s="1157"/>
      <c r="BN3" s="1157"/>
      <c r="BO3" s="1157"/>
      <c r="BP3" s="1157"/>
      <c r="BQ3" s="1157"/>
      <c r="BR3" s="1157"/>
      <c r="BS3" s="1157"/>
      <c r="BT3" s="1157"/>
      <c r="BU3" s="1157"/>
      <c r="BV3" s="1157"/>
      <c r="BW3" s="1157"/>
      <c r="BX3" s="1157"/>
      <c r="BY3" s="1157"/>
      <c r="BZ3" s="1157"/>
      <c r="CA3" s="1157"/>
      <c r="CB3" s="1157"/>
      <c r="CC3" s="1157"/>
      <c r="CD3" s="1157"/>
      <c r="CE3" s="1157"/>
      <c r="CF3" s="846">
        <f>'02. Orçamento'!L2</f>
        <v>36</v>
      </c>
    </row>
    <row r="4" spans="1:85" s="845" customFormat="1" ht="14.4" thickBot="1" x14ac:dyDescent="0.35">
      <c r="A4" s="847"/>
      <c r="B4" s="1158"/>
      <c r="C4" s="1158"/>
      <c r="D4" s="1158"/>
      <c r="E4" s="1158"/>
      <c r="F4" s="1158"/>
      <c r="G4" s="1158"/>
      <c r="H4" s="1158"/>
      <c r="I4" s="1158"/>
      <c r="J4" s="1158"/>
      <c r="K4" s="1158"/>
      <c r="L4" s="1158"/>
      <c r="M4" s="1158"/>
      <c r="N4" s="1158"/>
      <c r="O4" s="1158"/>
      <c r="P4" s="1158"/>
      <c r="Q4" s="1158"/>
      <c r="R4" s="1158"/>
      <c r="S4" s="1158"/>
      <c r="T4" s="1158"/>
      <c r="U4" s="1158"/>
      <c r="V4" s="1158"/>
      <c r="W4" s="1158"/>
      <c r="X4" s="1158"/>
      <c r="Y4" s="1158"/>
      <c r="Z4" s="1158"/>
      <c r="AA4" s="1158"/>
      <c r="AB4" s="1158"/>
      <c r="AC4" s="1158"/>
      <c r="AD4" s="1158"/>
      <c r="AE4" s="1158"/>
      <c r="AF4" s="1158"/>
      <c r="AG4" s="1158"/>
      <c r="AH4" s="1158"/>
      <c r="AI4" s="1158"/>
      <c r="AJ4" s="1158"/>
      <c r="AK4" s="1158"/>
      <c r="AL4" s="1158"/>
      <c r="AM4" s="1158"/>
      <c r="AN4" s="1158"/>
      <c r="AO4" s="1158"/>
      <c r="AP4" s="1158"/>
      <c r="AQ4" s="1158"/>
      <c r="AR4" s="1158"/>
      <c r="AS4" s="1158"/>
      <c r="AT4" s="1158"/>
      <c r="AU4" s="1158"/>
      <c r="AV4" s="1158"/>
      <c r="AW4" s="1158"/>
      <c r="AX4" s="1158"/>
      <c r="AY4" s="1158"/>
      <c r="AZ4" s="1158"/>
      <c r="BA4" s="1158"/>
      <c r="BB4" s="1158"/>
      <c r="BC4" s="1158"/>
      <c r="BD4" s="1158"/>
      <c r="BE4" s="1158"/>
      <c r="BF4" s="1158"/>
      <c r="BG4" s="1158"/>
      <c r="BH4" s="1158"/>
      <c r="BI4" s="1158"/>
      <c r="BJ4" s="1158"/>
      <c r="BK4" s="1158"/>
      <c r="BL4" s="1158"/>
      <c r="BM4" s="1158"/>
      <c r="BN4" s="1158"/>
      <c r="BO4" s="1158"/>
      <c r="BP4" s="1158"/>
      <c r="BQ4" s="1158"/>
      <c r="BR4" s="1158"/>
      <c r="BS4" s="1158"/>
      <c r="BT4" s="1158"/>
      <c r="BU4" s="1158"/>
      <c r="BV4" s="1158"/>
      <c r="BW4" s="1158"/>
      <c r="BX4" s="1158"/>
      <c r="BY4" s="1158"/>
      <c r="BZ4" s="1158"/>
      <c r="CA4" s="1158"/>
      <c r="CB4" s="1158"/>
      <c r="CC4" s="1158"/>
      <c r="CD4" s="1158"/>
      <c r="CE4" s="1158"/>
      <c r="CF4" s="848"/>
    </row>
    <row r="5" spans="1:85" ht="12.6" thickTop="1" thickBot="1" x14ac:dyDescent="0.25"/>
    <row r="6" spans="1:85" ht="25.5" customHeight="1" thickBot="1" x14ac:dyDescent="0.25">
      <c r="A6" s="1159" t="s">
        <v>7717</v>
      </c>
      <c r="B6" s="1160"/>
      <c r="C6" s="1160"/>
      <c r="D6" s="1160"/>
      <c r="E6" s="1160"/>
      <c r="F6" s="1160"/>
      <c r="G6" s="1160"/>
      <c r="H6" s="1160"/>
      <c r="I6" s="1160"/>
      <c r="J6" s="1160"/>
      <c r="K6" s="1160"/>
      <c r="L6" s="1160"/>
      <c r="M6" s="1160"/>
      <c r="N6" s="1160"/>
      <c r="O6" s="1160"/>
      <c r="P6" s="1160"/>
      <c r="Q6" s="1160"/>
      <c r="R6" s="1160"/>
      <c r="S6" s="1160"/>
      <c r="T6" s="1160"/>
      <c r="U6" s="1160"/>
      <c r="V6" s="1160"/>
      <c r="W6" s="1160"/>
      <c r="X6" s="1160"/>
      <c r="Y6" s="1160"/>
      <c r="Z6" s="1160"/>
      <c r="AA6" s="1160"/>
      <c r="AB6" s="1160"/>
      <c r="AC6" s="1160"/>
      <c r="AD6" s="1160"/>
      <c r="AE6" s="1160"/>
      <c r="AF6" s="1160"/>
      <c r="AG6" s="1160"/>
      <c r="AH6" s="1160"/>
      <c r="AI6" s="1160"/>
      <c r="AJ6" s="1160"/>
      <c r="AK6" s="1160"/>
      <c r="AL6" s="1160"/>
      <c r="AM6" s="1160"/>
      <c r="AN6" s="1160"/>
      <c r="AO6" s="1160"/>
      <c r="AP6" s="1160"/>
      <c r="AQ6" s="1160"/>
      <c r="AR6" s="1160"/>
      <c r="AS6" s="1160"/>
      <c r="AT6" s="1160"/>
      <c r="AU6" s="1160"/>
      <c r="AV6" s="1160"/>
      <c r="AW6" s="1160"/>
      <c r="AX6" s="1160"/>
      <c r="AY6" s="1160"/>
      <c r="AZ6" s="1160"/>
      <c r="BA6" s="1160"/>
      <c r="BB6" s="1160"/>
      <c r="BC6" s="1160"/>
      <c r="BD6" s="1160"/>
      <c r="BE6" s="1160"/>
      <c r="BF6" s="1160"/>
      <c r="BG6" s="1160"/>
      <c r="BH6" s="1160"/>
      <c r="BI6" s="1160"/>
      <c r="BJ6" s="1160"/>
      <c r="BK6" s="1160"/>
      <c r="BL6" s="1160"/>
      <c r="BM6" s="1160"/>
      <c r="BN6" s="1160"/>
      <c r="BO6" s="1160"/>
      <c r="BP6" s="1160"/>
      <c r="BQ6" s="1160"/>
      <c r="BR6" s="1160"/>
      <c r="BS6" s="1160"/>
      <c r="BT6" s="1160"/>
      <c r="BU6" s="1160"/>
      <c r="BV6" s="1160"/>
      <c r="BW6" s="1160"/>
      <c r="BX6" s="1160"/>
      <c r="BY6" s="1160"/>
      <c r="BZ6" s="1160"/>
      <c r="CA6" s="1160"/>
      <c r="CB6" s="1160"/>
      <c r="CC6" s="1160"/>
      <c r="CD6" s="1160"/>
      <c r="CE6" s="1160"/>
      <c r="CF6" s="1161"/>
    </row>
    <row r="7" spans="1:85" ht="15" customHeight="1" x14ac:dyDescent="0.25">
      <c r="A7" s="1162" t="s">
        <v>1281</v>
      </c>
      <c r="B7" s="1153" t="s">
        <v>2</v>
      </c>
      <c r="C7" s="1154"/>
      <c r="D7" s="1153" t="s">
        <v>3</v>
      </c>
      <c r="E7" s="1154"/>
      <c r="F7" s="1153" t="s">
        <v>4</v>
      </c>
      <c r="G7" s="1154"/>
      <c r="H7" s="1153" t="s">
        <v>5</v>
      </c>
      <c r="I7" s="1154"/>
      <c r="J7" s="1153" t="s">
        <v>6</v>
      </c>
      <c r="K7" s="1154"/>
      <c r="L7" s="1153" t="s">
        <v>7</v>
      </c>
      <c r="M7" s="1154"/>
      <c r="N7" s="1153" t="s">
        <v>8</v>
      </c>
      <c r="O7" s="1154"/>
      <c r="P7" s="1153" t="s">
        <v>9</v>
      </c>
      <c r="Q7" s="1154"/>
      <c r="R7" s="1153" t="s">
        <v>10</v>
      </c>
      <c r="S7" s="1154"/>
      <c r="T7" s="1153" t="s">
        <v>11</v>
      </c>
      <c r="U7" s="1154"/>
      <c r="V7" s="1153" t="s">
        <v>12</v>
      </c>
      <c r="W7" s="1154"/>
      <c r="X7" s="1153" t="s">
        <v>13</v>
      </c>
      <c r="Y7" s="1154"/>
      <c r="Z7" s="1153" t="s">
        <v>14</v>
      </c>
      <c r="AA7" s="1154"/>
      <c r="AB7" s="1153" t="s">
        <v>15</v>
      </c>
      <c r="AC7" s="1154"/>
      <c r="AD7" s="1153" t="s">
        <v>16</v>
      </c>
      <c r="AE7" s="1154"/>
      <c r="AF7" s="1153" t="s">
        <v>17</v>
      </c>
      <c r="AG7" s="1154"/>
      <c r="AH7" s="1153" t="s">
        <v>18</v>
      </c>
      <c r="AI7" s="1154"/>
      <c r="AJ7" s="1153" t="s">
        <v>19</v>
      </c>
      <c r="AK7" s="1154"/>
      <c r="AL7" s="1153" t="s">
        <v>20</v>
      </c>
      <c r="AM7" s="1154"/>
      <c r="AN7" s="1153" t="s">
        <v>21</v>
      </c>
      <c r="AO7" s="1154"/>
      <c r="AP7" s="1153" t="s">
        <v>7718</v>
      </c>
      <c r="AQ7" s="1154"/>
      <c r="AR7" s="1153" t="s">
        <v>7719</v>
      </c>
      <c r="AS7" s="1154"/>
      <c r="AT7" s="1153" t="s">
        <v>7720</v>
      </c>
      <c r="AU7" s="1154"/>
      <c r="AV7" s="1153" t="s">
        <v>7721</v>
      </c>
      <c r="AW7" s="1154"/>
      <c r="AX7" s="1153" t="s">
        <v>8614</v>
      </c>
      <c r="AY7" s="1154"/>
      <c r="AZ7" s="1153" t="s">
        <v>8615</v>
      </c>
      <c r="BA7" s="1154"/>
      <c r="BB7" s="1153" t="s">
        <v>8616</v>
      </c>
      <c r="BC7" s="1154"/>
      <c r="BD7" s="1153" t="s">
        <v>8617</v>
      </c>
      <c r="BE7" s="1154"/>
      <c r="BF7" s="1153" t="s">
        <v>8618</v>
      </c>
      <c r="BG7" s="1154"/>
      <c r="BH7" s="1153" t="s">
        <v>8619</v>
      </c>
      <c r="BI7" s="1154"/>
      <c r="BJ7" s="1153" t="s">
        <v>8620</v>
      </c>
      <c r="BK7" s="1154"/>
      <c r="BL7" s="1153" t="s">
        <v>8621</v>
      </c>
      <c r="BM7" s="1154"/>
      <c r="BN7" s="1153" t="s">
        <v>8622</v>
      </c>
      <c r="BO7" s="1154"/>
      <c r="BP7" s="1153" t="s">
        <v>8623</v>
      </c>
      <c r="BQ7" s="1154"/>
      <c r="BR7" s="1153" t="s">
        <v>8624</v>
      </c>
      <c r="BS7" s="1154"/>
      <c r="BT7" s="1153" t="s">
        <v>8625</v>
      </c>
      <c r="BU7" s="1154"/>
      <c r="BV7" s="1153" t="s">
        <v>8626</v>
      </c>
      <c r="BW7" s="1154"/>
      <c r="BX7" s="1153" t="s">
        <v>8627</v>
      </c>
      <c r="BY7" s="1154"/>
      <c r="BZ7" s="1153" t="s">
        <v>8628</v>
      </c>
      <c r="CA7" s="1154"/>
      <c r="CB7" s="1153" t="s">
        <v>8629</v>
      </c>
      <c r="CC7" s="1154"/>
      <c r="CD7" s="1168" t="s">
        <v>7722</v>
      </c>
      <c r="CE7" s="1164" t="s">
        <v>3531</v>
      </c>
      <c r="CF7" s="1166" t="s">
        <v>7723</v>
      </c>
      <c r="CG7" s="851"/>
    </row>
    <row r="8" spans="1:85" ht="15" customHeight="1" thickBot="1" x14ac:dyDescent="0.3">
      <c r="A8" s="1163"/>
      <c r="B8" s="852" t="s">
        <v>7724</v>
      </c>
      <c r="C8" s="852" t="s">
        <v>1264</v>
      </c>
      <c r="D8" s="852" t="s">
        <v>7724</v>
      </c>
      <c r="E8" s="852" t="s">
        <v>1264</v>
      </c>
      <c r="F8" s="852" t="s">
        <v>7724</v>
      </c>
      <c r="G8" s="852" t="s">
        <v>1264</v>
      </c>
      <c r="H8" s="852" t="s">
        <v>7724</v>
      </c>
      <c r="I8" s="852" t="s">
        <v>1264</v>
      </c>
      <c r="J8" s="852" t="s">
        <v>7724</v>
      </c>
      <c r="K8" s="852" t="s">
        <v>1264</v>
      </c>
      <c r="L8" s="852" t="s">
        <v>7724</v>
      </c>
      <c r="M8" s="852" t="s">
        <v>1264</v>
      </c>
      <c r="N8" s="852" t="s">
        <v>7724</v>
      </c>
      <c r="O8" s="852" t="s">
        <v>1264</v>
      </c>
      <c r="P8" s="852" t="s">
        <v>7724</v>
      </c>
      <c r="Q8" s="852" t="s">
        <v>1264</v>
      </c>
      <c r="R8" s="852" t="s">
        <v>7724</v>
      </c>
      <c r="S8" s="852" t="s">
        <v>1264</v>
      </c>
      <c r="T8" s="852" t="s">
        <v>7724</v>
      </c>
      <c r="U8" s="852" t="s">
        <v>1264</v>
      </c>
      <c r="V8" s="852" t="s">
        <v>7724</v>
      </c>
      <c r="W8" s="852" t="s">
        <v>1264</v>
      </c>
      <c r="X8" s="852" t="s">
        <v>7724</v>
      </c>
      <c r="Y8" s="852" t="s">
        <v>1264</v>
      </c>
      <c r="Z8" s="852" t="s">
        <v>7724</v>
      </c>
      <c r="AA8" s="852" t="s">
        <v>1264</v>
      </c>
      <c r="AB8" s="852" t="s">
        <v>7724</v>
      </c>
      <c r="AC8" s="852" t="s">
        <v>1264</v>
      </c>
      <c r="AD8" s="852" t="s">
        <v>7724</v>
      </c>
      <c r="AE8" s="852" t="s">
        <v>1264</v>
      </c>
      <c r="AF8" s="852" t="s">
        <v>7724</v>
      </c>
      <c r="AG8" s="852" t="s">
        <v>1264</v>
      </c>
      <c r="AH8" s="852" t="s">
        <v>7724</v>
      </c>
      <c r="AI8" s="852" t="s">
        <v>1264</v>
      </c>
      <c r="AJ8" s="852" t="s">
        <v>7724</v>
      </c>
      <c r="AK8" s="852" t="s">
        <v>1264</v>
      </c>
      <c r="AL8" s="852" t="s">
        <v>7724</v>
      </c>
      <c r="AM8" s="852" t="s">
        <v>1264</v>
      </c>
      <c r="AN8" s="852" t="s">
        <v>7724</v>
      </c>
      <c r="AO8" s="852" t="s">
        <v>1264</v>
      </c>
      <c r="AP8" s="852" t="s">
        <v>7724</v>
      </c>
      <c r="AQ8" s="852" t="s">
        <v>1264</v>
      </c>
      <c r="AR8" s="852" t="s">
        <v>7724</v>
      </c>
      <c r="AS8" s="852" t="s">
        <v>1264</v>
      </c>
      <c r="AT8" s="852" t="s">
        <v>7724</v>
      </c>
      <c r="AU8" s="852" t="s">
        <v>1264</v>
      </c>
      <c r="AV8" s="852" t="s">
        <v>7724</v>
      </c>
      <c r="AW8" s="852" t="s">
        <v>1264</v>
      </c>
      <c r="AX8" s="852" t="s">
        <v>7724</v>
      </c>
      <c r="AY8" s="852" t="s">
        <v>1264</v>
      </c>
      <c r="AZ8" s="852" t="s">
        <v>7724</v>
      </c>
      <c r="BA8" s="852" t="s">
        <v>1264</v>
      </c>
      <c r="BB8" s="852" t="s">
        <v>7724</v>
      </c>
      <c r="BC8" s="852" t="s">
        <v>1264</v>
      </c>
      <c r="BD8" s="852" t="s">
        <v>7724</v>
      </c>
      <c r="BE8" s="852" t="s">
        <v>1264</v>
      </c>
      <c r="BF8" s="852" t="s">
        <v>7724</v>
      </c>
      <c r="BG8" s="852" t="s">
        <v>1264</v>
      </c>
      <c r="BH8" s="852" t="s">
        <v>7724</v>
      </c>
      <c r="BI8" s="852" t="s">
        <v>1264</v>
      </c>
      <c r="BJ8" s="852" t="s">
        <v>7724</v>
      </c>
      <c r="BK8" s="852" t="s">
        <v>1264</v>
      </c>
      <c r="BL8" s="852" t="s">
        <v>7724</v>
      </c>
      <c r="BM8" s="852" t="s">
        <v>1264</v>
      </c>
      <c r="BN8" s="852" t="s">
        <v>7724</v>
      </c>
      <c r="BO8" s="852" t="s">
        <v>1264</v>
      </c>
      <c r="BP8" s="852" t="s">
        <v>7724</v>
      </c>
      <c r="BQ8" s="852" t="s">
        <v>1264</v>
      </c>
      <c r="BR8" s="852" t="s">
        <v>7724</v>
      </c>
      <c r="BS8" s="852" t="s">
        <v>1264</v>
      </c>
      <c r="BT8" s="852" t="s">
        <v>7724</v>
      </c>
      <c r="BU8" s="852" t="s">
        <v>1264</v>
      </c>
      <c r="BV8" s="852" t="s">
        <v>7724</v>
      </c>
      <c r="BW8" s="852" t="s">
        <v>1264</v>
      </c>
      <c r="BX8" s="852" t="s">
        <v>7724</v>
      </c>
      <c r="BY8" s="852" t="s">
        <v>1264</v>
      </c>
      <c r="BZ8" s="852" t="s">
        <v>7724</v>
      </c>
      <c r="CA8" s="852" t="s">
        <v>1264</v>
      </c>
      <c r="CB8" s="852" t="s">
        <v>7724</v>
      </c>
      <c r="CC8" s="852" t="s">
        <v>1264</v>
      </c>
      <c r="CD8" s="1169"/>
      <c r="CE8" s="1165"/>
      <c r="CF8" s="1167"/>
      <c r="CG8" s="851"/>
    </row>
    <row r="9" spans="1:85" ht="15" customHeight="1" x14ac:dyDescent="0.25">
      <c r="A9" s="915" t="s">
        <v>7753</v>
      </c>
      <c r="B9" s="908"/>
      <c r="C9" s="907"/>
      <c r="D9" s="908"/>
      <c r="E9" s="907"/>
      <c r="F9" s="908"/>
      <c r="G9" s="907"/>
      <c r="H9" s="908"/>
      <c r="I9" s="907"/>
      <c r="J9" s="908"/>
      <c r="K9" s="907"/>
      <c r="L9" s="909"/>
      <c r="M9" s="907"/>
      <c r="N9" s="908"/>
      <c r="O9" s="907"/>
      <c r="P9" s="908"/>
      <c r="Q9" s="907"/>
      <c r="R9" s="908"/>
      <c r="S9" s="907"/>
      <c r="T9" s="908"/>
      <c r="U9" s="907"/>
      <c r="V9" s="908"/>
      <c r="W9" s="907"/>
      <c r="X9" s="908"/>
      <c r="Y9" s="907"/>
      <c r="Z9" s="908"/>
      <c r="AA9" s="907"/>
      <c r="AB9" s="908"/>
      <c r="AC9" s="907"/>
      <c r="AD9" s="908"/>
      <c r="AE9" s="907"/>
      <c r="AF9" s="908"/>
      <c r="AG9" s="907"/>
      <c r="AH9" s="908"/>
      <c r="AI9" s="907"/>
      <c r="AJ9" s="908"/>
      <c r="AK9" s="907"/>
      <c r="AL9" s="908"/>
      <c r="AM9" s="907"/>
      <c r="AN9" s="908"/>
      <c r="AO9" s="907"/>
      <c r="AP9" s="908"/>
      <c r="AQ9" s="907"/>
      <c r="AR9" s="908"/>
      <c r="AS9" s="907"/>
      <c r="AT9" s="908"/>
      <c r="AU9" s="907"/>
      <c r="AV9" s="908"/>
      <c r="AW9" s="907"/>
      <c r="AX9" s="908"/>
      <c r="AY9" s="907"/>
      <c r="AZ9" s="908"/>
      <c r="BA9" s="907"/>
      <c r="BB9" s="908"/>
      <c r="BC9" s="907"/>
      <c r="BD9" s="908"/>
      <c r="BE9" s="907"/>
      <c r="BF9" s="908"/>
      <c r="BG9" s="907"/>
      <c r="BH9" s="908"/>
      <c r="BI9" s="907"/>
      <c r="BJ9" s="908"/>
      <c r="BK9" s="907"/>
      <c r="BL9" s="908"/>
      <c r="BM9" s="907"/>
      <c r="BN9" s="908"/>
      <c r="BO9" s="907"/>
      <c r="BP9" s="908"/>
      <c r="BQ9" s="907"/>
      <c r="BR9" s="908"/>
      <c r="BS9" s="907"/>
      <c r="BT9" s="908"/>
      <c r="BU9" s="907"/>
      <c r="BV9" s="908"/>
      <c r="BW9" s="907"/>
      <c r="BX9" s="908"/>
      <c r="BY9" s="907"/>
      <c r="BZ9" s="908"/>
      <c r="CA9" s="907"/>
      <c r="CB9" s="908"/>
      <c r="CC9" s="910"/>
      <c r="CD9" s="911"/>
      <c r="CE9" s="912"/>
      <c r="CF9" s="913">
        <f>SUM(CF10:CF15)</f>
        <v>320400</v>
      </c>
    </row>
    <row r="10" spans="1:85" ht="15" customHeight="1" x14ac:dyDescent="0.25">
      <c r="A10" s="855" t="s">
        <v>8630</v>
      </c>
      <c r="B10" s="856">
        <v>0.5</v>
      </c>
      <c r="C10" s="857"/>
      <c r="D10" s="856">
        <f t="shared" ref="D10" si="0">B10</f>
        <v>0.5</v>
      </c>
      <c r="E10" s="857"/>
      <c r="F10" s="856">
        <f t="shared" ref="F10" si="1">D10</f>
        <v>0.5</v>
      </c>
      <c r="G10" s="857"/>
      <c r="H10" s="856">
        <f t="shared" ref="H10" si="2">F10</f>
        <v>0.5</v>
      </c>
      <c r="I10" s="857"/>
      <c r="J10" s="856">
        <f t="shared" ref="J10" si="3">H10</f>
        <v>0.5</v>
      </c>
      <c r="K10" s="857"/>
      <c r="L10" s="856">
        <f t="shared" ref="L10" si="4">J10</f>
        <v>0.5</v>
      </c>
      <c r="M10" s="857"/>
      <c r="N10" s="856">
        <f t="shared" ref="N10" si="5">L10</f>
        <v>0.5</v>
      </c>
      <c r="O10" s="857"/>
      <c r="P10" s="856">
        <f t="shared" ref="P10" si="6">N10</f>
        <v>0.5</v>
      </c>
      <c r="Q10" s="857"/>
      <c r="R10" s="856">
        <f t="shared" ref="R10" si="7">P10</f>
        <v>0.5</v>
      </c>
      <c r="S10" s="857"/>
      <c r="T10" s="856">
        <f t="shared" ref="T10" si="8">R10</f>
        <v>0.5</v>
      </c>
      <c r="U10" s="857"/>
      <c r="V10" s="856">
        <f t="shared" ref="V10" si="9">T10</f>
        <v>0.5</v>
      </c>
      <c r="W10" s="857"/>
      <c r="X10" s="856">
        <f t="shared" ref="X10" si="10">V10</f>
        <v>0.5</v>
      </c>
      <c r="Y10" s="857"/>
      <c r="Z10" s="856">
        <f t="shared" ref="Z10" si="11">X10</f>
        <v>0.5</v>
      </c>
      <c r="AA10" s="857"/>
      <c r="AB10" s="856">
        <f t="shared" ref="AB10:AF10" si="12">Z10</f>
        <v>0.5</v>
      </c>
      <c r="AC10" s="857"/>
      <c r="AD10" s="856">
        <f t="shared" si="12"/>
        <v>0.5</v>
      </c>
      <c r="AE10" s="857"/>
      <c r="AF10" s="856">
        <f t="shared" si="12"/>
        <v>0.5</v>
      </c>
      <c r="AG10" s="857"/>
      <c r="AH10" s="856">
        <f t="shared" ref="AH10:AH16" si="13">R10</f>
        <v>0.5</v>
      </c>
      <c r="AI10" s="857"/>
      <c r="AJ10" s="856">
        <f t="shared" ref="AJ10:AJ16" si="14">AH10</f>
        <v>0.5</v>
      </c>
      <c r="AK10" s="857"/>
      <c r="AL10" s="856">
        <f>AJ10</f>
        <v>0.5</v>
      </c>
      <c r="AM10" s="857"/>
      <c r="AN10" s="856">
        <f>AL10</f>
        <v>0.5</v>
      </c>
      <c r="AO10" s="857"/>
      <c r="AP10" s="856">
        <f>AN10</f>
        <v>0.5</v>
      </c>
      <c r="AQ10" s="857"/>
      <c r="AR10" s="856">
        <f>AP10</f>
        <v>0.5</v>
      </c>
      <c r="AS10" s="857"/>
      <c r="AT10" s="856">
        <f>AR10</f>
        <v>0.5</v>
      </c>
      <c r="AU10" s="857"/>
      <c r="AV10" s="856">
        <f>AT10</f>
        <v>0.5</v>
      </c>
      <c r="AW10" s="857"/>
      <c r="AX10" s="856">
        <f>AV10</f>
        <v>0.5</v>
      </c>
      <c r="AY10" s="857"/>
      <c r="AZ10" s="856">
        <f>AX10</f>
        <v>0.5</v>
      </c>
      <c r="BA10" s="857"/>
      <c r="BB10" s="856">
        <f>AZ10</f>
        <v>0.5</v>
      </c>
      <c r="BC10" s="857"/>
      <c r="BD10" s="856">
        <f>BB10</f>
        <v>0.5</v>
      </c>
      <c r="BE10" s="857"/>
      <c r="BF10" s="856">
        <f>BD10</f>
        <v>0.5</v>
      </c>
      <c r="BG10" s="857"/>
      <c r="BH10" s="856">
        <f>BF10</f>
        <v>0.5</v>
      </c>
      <c r="BI10" s="857"/>
      <c r="BJ10" s="856">
        <f>BH10</f>
        <v>0.5</v>
      </c>
      <c r="BK10" s="857"/>
      <c r="BL10" s="856">
        <f>BJ10</f>
        <v>0.5</v>
      </c>
      <c r="BM10" s="857"/>
      <c r="BN10" s="856">
        <f>BL10</f>
        <v>0.5</v>
      </c>
      <c r="BO10" s="857"/>
      <c r="BP10" s="856">
        <f>BN10</f>
        <v>0.5</v>
      </c>
      <c r="BQ10" s="857"/>
      <c r="BR10" s="856">
        <f>BP10</f>
        <v>0.5</v>
      </c>
      <c r="BS10" s="857"/>
      <c r="BT10" s="856">
        <f>BR10</f>
        <v>0.5</v>
      </c>
      <c r="BU10" s="857"/>
      <c r="BV10" s="856"/>
      <c r="BW10" s="857"/>
      <c r="BX10" s="856">
        <f>BV10</f>
        <v>0</v>
      </c>
      <c r="BY10" s="857"/>
      <c r="BZ10" s="856">
        <f>BX10</f>
        <v>0</v>
      </c>
      <c r="CA10" s="857"/>
      <c r="CB10" s="856">
        <f t="shared" ref="CB10" si="15">BZ10</f>
        <v>0</v>
      </c>
      <c r="CC10" s="857"/>
      <c r="CD10" s="858">
        <f t="shared" ref="CD10:CD34" si="16">SUMIF($B$8:$CC$8,"QTD",B10:CC10)</f>
        <v>18</v>
      </c>
      <c r="CE10" s="859">
        <v>14000</v>
      </c>
      <c r="CF10" s="860">
        <f>CD10*CE10</f>
        <v>252000</v>
      </c>
    </row>
    <row r="11" spans="1:85" ht="15" customHeight="1" x14ac:dyDescent="0.25">
      <c r="A11" s="855" t="s">
        <v>7759</v>
      </c>
      <c r="B11" s="856"/>
      <c r="C11" s="857"/>
      <c r="D11" s="856">
        <f t="shared" ref="D11" si="17">B11</f>
        <v>0</v>
      </c>
      <c r="E11" s="857"/>
      <c r="F11" s="856">
        <f t="shared" ref="F11" si="18">D11</f>
        <v>0</v>
      </c>
      <c r="G11" s="857"/>
      <c r="H11" s="856">
        <f t="shared" ref="H11" si="19">F11</f>
        <v>0</v>
      </c>
      <c r="I11" s="857"/>
      <c r="J11" s="856">
        <f t="shared" ref="J11" si="20">H11</f>
        <v>0</v>
      </c>
      <c r="K11" s="857"/>
      <c r="L11" s="856">
        <f t="shared" ref="D11:L12" si="21">J11</f>
        <v>0</v>
      </c>
      <c r="M11" s="857"/>
      <c r="N11" s="856">
        <f t="shared" ref="N11:N12" si="22">L11</f>
        <v>0</v>
      </c>
      <c r="O11" s="857"/>
      <c r="P11" s="856">
        <f t="shared" ref="P11:P12" si="23">N11</f>
        <v>0</v>
      </c>
      <c r="Q11" s="857"/>
      <c r="R11" s="856">
        <f t="shared" ref="R11:R12" si="24">P11</f>
        <v>0</v>
      </c>
      <c r="S11" s="857"/>
      <c r="T11" s="856">
        <f t="shared" ref="T11:T12" si="25">R11</f>
        <v>0</v>
      </c>
      <c r="U11" s="857"/>
      <c r="V11" s="856">
        <f t="shared" ref="V11:V12" si="26">T11</f>
        <v>0</v>
      </c>
      <c r="W11" s="857"/>
      <c r="X11" s="856">
        <f t="shared" ref="X11:Z12" si="27">V11</f>
        <v>0</v>
      </c>
      <c r="Y11" s="857"/>
      <c r="Z11" s="856">
        <f t="shared" ref="Z11" si="28">X11</f>
        <v>0</v>
      </c>
      <c r="AA11" s="857"/>
      <c r="AB11" s="856">
        <f t="shared" ref="AB11:AH12" si="29">Z11</f>
        <v>0</v>
      </c>
      <c r="AC11" s="857"/>
      <c r="AD11" s="856">
        <f t="shared" si="29"/>
        <v>0</v>
      </c>
      <c r="AE11" s="857"/>
      <c r="AF11" s="856">
        <f t="shared" si="29"/>
        <v>0</v>
      </c>
      <c r="AG11" s="857"/>
      <c r="AH11" s="856">
        <f t="shared" si="13"/>
        <v>0</v>
      </c>
      <c r="AI11" s="857"/>
      <c r="AJ11" s="856">
        <f t="shared" si="14"/>
        <v>0</v>
      </c>
      <c r="AK11" s="857"/>
      <c r="AL11" s="856">
        <f t="shared" ref="AL11:AL16" si="30">AJ11</f>
        <v>0</v>
      </c>
      <c r="AM11" s="857"/>
      <c r="AN11" s="856">
        <f t="shared" ref="AN11:AN16" si="31">AL11</f>
        <v>0</v>
      </c>
      <c r="AO11" s="857"/>
      <c r="AP11" s="856">
        <f t="shared" ref="AP11:AP16" si="32">AN11</f>
        <v>0</v>
      </c>
      <c r="AQ11" s="857"/>
      <c r="AR11" s="856">
        <f t="shared" ref="AR11:AR16" si="33">AP11</f>
        <v>0</v>
      </c>
      <c r="AS11" s="857"/>
      <c r="AT11" s="856">
        <f t="shared" ref="AT11:AT16" si="34">AR11</f>
        <v>0</v>
      </c>
      <c r="AU11" s="857"/>
      <c r="AV11" s="856">
        <f t="shared" ref="AV11:AV16" si="35">AT11</f>
        <v>0</v>
      </c>
      <c r="AW11" s="857"/>
      <c r="AX11" s="856">
        <f t="shared" ref="AX11:AX16" si="36">AV11</f>
        <v>0</v>
      </c>
      <c r="AY11" s="857"/>
      <c r="AZ11" s="856">
        <f t="shared" ref="AZ11:AZ16" si="37">AX11</f>
        <v>0</v>
      </c>
      <c r="BA11" s="857"/>
      <c r="BB11" s="856">
        <f t="shared" ref="BB11:BB16" si="38">AZ11</f>
        <v>0</v>
      </c>
      <c r="BC11" s="857"/>
      <c r="BD11" s="856">
        <f t="shared" ref="BD11:BD16" si="39">BB11</f>
        <v>0</v>
      </c>
      <c r="BE11" s="857"/>
      <c r="BF11" s="856">
        <f t="shared" ref="BF11:BF16" si="40">BD11</f>
        <v>0</v>
      </c>
      <c r="BG11" s="857"/>
      <c r="BH11" s="856">
        <f t="shared" ref="BH11:BH16" si="41">BF11</f>
        <v>0</v>
      </c>
      <c r="BI11" s="857"/>
      <c r="BJ11" s="856">
        <f t="shared" ref="BJ11:BJ16" si="42">BH11</f>
        <v>0</v>
      </c>
      <c r="BK11" s="857"/>
      <c r="BL11" s="856">
        <f t="shared" ref="BL11:BL16" si="43">BJ11</f>
        <v>0</v>
      </c>
      <c r="BM11" s="857"/>
      <c r="BN11" s="856">
        <f t="shared" ref="BN11:BN16" si="44">BL11</f>
        <v>0</v>
      </c>
      <c r="BO11" s="857"/>
      <c r="BP11" s="856">
        <f t="shared" ref="BP11:BP16" si="45">BN11</f>
        <v>0</v>
      </c>
      <c r="BQ11" s="857"/>
      <c r="BR11" s="856">
        <f t="shared" ref="BR11:BR16" si="46">BP11</f>
        <v>0</v>
      </c>
      <c r="BS11" s="857"/>
      <c r="BT11" s="856">
        <f t="shared" ref="BT11:BT16" si="47">BR11</f>
        <v>0</v>
      </c>
      <c r="BU11" s="857"/>
      <c r="BV11" s="856"/>
      <c r="BW11" s="857"/>
      <c r="BX11" s="856">
        <f t="shared" ref="BX11:BX16" si="48">BV11</f>
        <v>0</v>
      </c>
      <c r="BY11" s="857"/>
      <c r="BZ11" s="856">
        <f t="shared" ref="BZ11:BZ16" si="49">BX11</f>
        <v>0</v>
      </c>
      <c r="CA11" s="857"/>
      <c r="CB11" s="856">
        <f t="shared" ref="CB11:CB12" si="50">BZ11</f>
        <v>0</v>
      </c>
      <c r="CC11" s="857"/>
      <c r="CD11" s="858">
        <f t="shared" si="16"/>
        <v>0</v>
      </c>
      <c r="CE11" s="861">
        <v>4000</v>
      </c>
      <c r="CF11" s="860">
        <f t="shared" ref="CF11" si="51">CD11*CE11</f>
        <v>0</v>
      </c>
    </row>
    <row r="12" spans="1:85" ht="15" customHeight="1" x14ac:dyDescent="0.25">
      <c r="A12" s="855" t="s">
        <v>7727</v>
      </c>
      <c r="B12" s="856">
        <v>1</v>
      </c>
      <c r="C12" s="857"/>
      <c r="D12" s="856">
        <f t="shared" si="21"/>
        <v>1</v>
      </c>
      <c r="E12" s="857"/>
      <c r="F12" s="856">
        <f t="shared" si="21"/>
        <v>1</v>
      </c>
      <c r="G12" s="857"/>
      <c r="H12" s="856">
        <f t="shared" si="21"/>
        <v>1</v>
      </c>
      <c r="I12" s="857"/>
      <c r="J12" s="856">
        <f t="shared" si="21"/>
        <v>1</v>
      </c>
      <c r="K12" s="857"/>
      <c r="L12" s="856">
        <f t="shared" si="21"/>
        <v>1</v>
      </c>
      <c r="M12" s="857"/>
      <c r="N12" s="856">
        <f t="shared" si="22"/>
        <v>1</v>
      </c>
      <c r="O12" s="857"/>
      <c r="P12" s="856">
        <f t="shared" si="23"/>
        <v>1</v>
      </c>
      <c r="Q12" s="857"/>
      <c r="R12" s="856">
        <f t="shared" si="24"/>
        <v>1</v>
      </c>
      <c r="S12" s="857"/>
      <c r="T12" s="856">
        <f t="shared" si="25"/>
        <v>1</v>
      </c>
      <c r="U12" s="857"/>
      <c r="V12" s="856">
        <f t="shared" si="26"/>
        <v>1</v>
      </c>
      <c r="W12" s="857"/>
      <c r="X12" s="856">
        <f t="shared" si="27"/>
        <v>1</v>
      </c>
      <c r="Y12" s="857"/>
      <c r="Z12" s="856">
        <f t="shared" si="27"/>
        <v>1</v>
      </c>
      <c r="AA12" s="857"/>
      <c r="AB12" s="856">
        <f t="shared" si="29"/>
        <v>1</v>
      </c>
      <c r="AC12" s="857"/>
      <c r="AD12" s="856">
        <f t="shared" si="29"/>
        <v>1</v>
      </c>
      <c r="AE12" s="857"/>
      <c r="AF12" s="856">
        <f t="shared" si="29"/>
        <v>1</v>
      </c>
      <c r="AG12" s="857"/>
      <c r="AH12" s="856">
        <f t="shared" si="29"/>
        <v>1</v>
      </c>
      <c r="AI12" s="857"/>
      <c r="AJ12" s="856">
        <f t="shared" si="14"/>
        <v>1</v>
      </c>
      <c r="AK12" s="857"/>
      <c r="AL12" s="856">
        <f t="shared" si="30"/>
        <v>1</v>
      </c>
      <c r="AM12" s="857"/>
      <c r="AN12" s="856">
        <f t="shared" si="31"/>
        <v>1</v>
      </c>
      <c r="AO12" s="857"/>
      <c r="AP12" s="856">
        <f t="shared" si="32"/>
        <v>1</v>
      </c>
      <c r="AQ12" s="857"/>
      <c r="AR12" s="856">
        <f t="shared" si="33"/>
        <v>1</v>
      </c>
      <c r="AS12" s="857"/>
      <c r="AT12" s="856">
        <f t="shared" si="34"/>
        <v>1</v>
      </c>
      <c r="AU12" s="857"/>
      <c r="AV12" s="856">
        <f t="shared" si="35"/>
        <v>1</v>
      </c>
      <c r="AW12" s="857"/>
      <c r="AX12" s="856">
        <f t="shared" si="36"/>
        <v>1</v>
      </c>
      <c r="AY12" s="857"/>
      <c r="AZ12" s="856">
        <f t="shared" si="37"/>
        <v>1</v>
      </c>
      <c r="BA12" s="857"/>
      <c r="BB12" s="856">
        <f t="shared" si="38"/>
        <v>1</v>
      </c>
      <c r="BC12" s="857"/>
      <c r="BD12" s="856">
        <f t="shared" si="39"/>
        <v>1</v>
      </c>
      <c r="BE12" s="857"/>
      <c r="BF12" s="856">
        <f t="shared" si="40"/>
        <v>1</v>
      </c>
      <c r="BG12" s="857"/>
      <c r="BH12" s="856">
        <f t="shared" si="41"/>
        <v>1</v>
      </c>
      <c r="BI12" s="857"/>
      <c r="BJ12" s="856">
        <f t="shared" si="42"/>
        <v>1</v>
      </c>
      <c r="BK12" s="857"/>
      <c r="BL12" s="856">
        <f t="shared" si="43"/>
        <v>1</v>
      </c>
      <c r="BM12" s="857"/>
      <c r="BN12" s="856">
        <f t="shared" si="44"/>
        <v>1</v>
      </c>
      <c r="BO12" s="857"/>
      <c r="BP12" s="856">
        <f t="shared" si="45"/>
        <v>1</v>
      </c>
      <c r="BQ12" s="857"/>
      <c r="BR12" s="856">
        <f t="shared" si="46"/>
        <v>1</v>
      </c>
      <c r="BS12" s="857"/>
      <c r="BT12" s="856">
        <f t="shared" si="47"/>
        <v>1</v>
      </c>
      <c r="BU12" s="857"/>
      <c r="BV12" s="856"/>
      <c r="BW12" s="857"/>
      <c r="BX12" s="856">
        <f t="shared" si="48"/>
        <v>0</v>
      </c>
      <c r="BY12" s="857"/>
      <c r="BZ12" s="856">
        <f t="shared" si="49"/>
        <v>0</v>
      </c>
      <c r="CA12" s="857"/>
      <c r="CB12" s="856">
        <f t="shared" si="50"/>
        <v>0</v>
      </c>
      <c r="CC12" s="857"/>
      <c r="CD12" s="858">
        <f t="shared" si="16"/>
        <v>36</v>
      </c>
      <c r="CE12" s="861">
        <v>1900</v>
      </c>
      <c r="CF12" s="860">
        <f>CD12*CE12</f>
        <v>68400</v>
      </c>
    </row>
    <row r="13" spans="1:85" ht="15" customHeight="1" x14ac:dyDescent="0.25">
      <c r="A13" s="863" t="s">
        <v>7728</v>
      </c>
      <c r="B13" s="856"/>
      <c r="C13" s="857"/>
      <c r="D13" s="856">
        <f t="shared" ref="D13" si="52">B13</f>
        <v>0</v>
      </c>
      <c r="E13" s="857"/>
      <c r="F13" s="856">
        <f t="shared" ref="F13" si="53">D13</f>
        <v>0</v>
      </c>
      <c r="G13" s="857"/>
      <c r="H13" s="856">
        <f t="shared" ref="H13" si="54">F13</f>
        <v>0</v>
      </c>
      <c r="I13" s="857"/>
      <c r="J13" s="856">
        <f t="shared" ref="J13" si="55">H13</f>
        <v>0</v>
      </c>
      <c r="K13" s="857"/>
      <c r="L13" s="856">
        <f t="shared" ref="L13" si="56">J13</f>
        <v>0</v>
      </c>
      <c r="M13" s="857"/>
      <c r="N13" s="856">
        <f t="shared" ref="N13" si="57">L13</f>
        <v>0</v>
      </c>
      <c r="O13" s="857"/>
      <c r="P13" s="856">
        <f t="shared" ref="P13" si="58">N13</f>
        <v>0</v>
      </c>
      <c r="Q13" s="857"/>
      <c r="R13" s="856">
        <f t="shared" ref="R13" si="59">P13</f>
        <v>0</v>
      </c>
      <c r="S13" s="857"/>
      <c r="T13" s="856">
        <f t="shared" ref="T13" si="60">R13</f>
        <v>0</v>
      </c>
      <c r="U13" s="857"/>
      <c r="V13" s="856">
        <f t="shared" ref="V13" si="61">T13</f>
        <v>0</v>
      </c>
      <c r="W13" s="857"/>
      <c r="X13" s="856">
        <f t="shared" ref="X13" si="62">V13</f>
        <v>0</v>
      </c>
      <c r="Y13" s="857"/>
      <c r="Z13" s="856">
        <f t="shared" ref="Z13" si="63">X13</f>
        <v>0</v>
      </c>
      <c r="AA13" s="857"/>
      <c r="AB13" s="856">
        <f t="shared" ref="AB13:AF13" si="64">Z13</f>
        <v>0</v>
      </c>
      <c r="AC13" s="857"/>
      <c r="AD13" s="856">
        <f t="shared" si="64"/>
        <v>0</v>
      </c>
      <c r="AE13" s="857"/>
      <c r="AF13" s="856">
        <f t="shared" si="64"/>
        <v>0</v>
      </c>
      <c r="AG13" s="857"/>
      <c r="AH13" s="856">
        <f t="shared" si="13"/>
        <v>0</v>
      </c>
      <c r="AI13" s="857"/>
      <c r="AJ13" s="856">
        <f t="shared" si="14"/>
        <v>0</v>
      </c>
      <c r="AK13" s="857"/>
      <c r="AL13" s="856">
        <f t="shared" si="30"/>
        <v>0</v>
      </c>
      <c r="AM13" s="857"/>
      <c r="AN13" s="856">
        <f t="shared" si="31"/>
        <v>0</v>
      </c>
      <c r="AO13" s="857"/>
      <c r="AP13" s="856">
        <f t="shared" si="32"/>
        <v>0</v>
      </c>
      <c r="AQ13" s="857"/>
      <c r="AR13" s="856">
        <f t="shared" si="33"/>
        <v>0</v>
      </c>
      <c r="AS13" s="857"/>
      <c r="AT13" s="856">
        <f t="shared" si="34"/>
        <v>0</v>
      </c>
      <c r="AU13" s="857"/>
      <c r="AV13" s="856">
        <f t="shared" si="35"/>
        <v>0</v>
      </c>
      <c r="AW13" s="857"/>
      <c r="AX13" s="856">
        <f t="shared" si="36"/>
        <v>0</v>
      </c>
      <c r="AY13" s="857"/>
      <c r="AZ13" s="856">
        <f t="shared" si="37"/>
        <v>0</v>
      </c>
      <c r="BA13" s="857"/>
      <c r="BB13" s="856">
        <f t="shared" si="38"/>
        <v>0</v>
      </c>
      <c r="BC13" s="857"/>
      <c r="BD13" s="856">
        <f t="shared" si="39"/>
        <v>0</v>
      </c>
      <c r="BE13" s="857"/>
      <c r="BF13" s="856">
        <f t="shared" si="40"/>
        <v>0</v>
      </c>
      <c r="BG13" s="857"/>
      <c r="BH13" s="856">
        <f t="shared" si="41"/>
        <v>0</v>
      </c>
      <c r="BI13" s="857"/>
      <c r="BJ13" s="856">
        <f t="shared" si="42"/>
        <v>0</v>
      </c>
      <c r="BK13" s="857"/>
      <c r="BL13" s="856">
        <f t="shared" si="43"/>
        <v>0</v>
      </c>
      <c r="BM13" s="857"/>
      <c r="BN13" s="856">
        <f t="shared" si="44"/>
        <v>0</v>
      </c>
      <c r="BO13" s="857"/>
      <c r="BP13" s="856">
        <f t="shared" si="45"/>
        <v>0</v>
      </c>
      <c r="BQ13" s="857"/>
      <c r="BR13" s="856">
        <f t="shared" si="46"/>
        <v>0</v>
      </c>
      <c r="BS13" s="857"/>
      <c r="BT13" s="856">
        <f t="shared" si="47"/>
        <v>0</v>
      </c>
      <c r="BU13" s="857"/>
      <c r="BV13" s="856"/>
      <c r="BW13" s="857"/>
      <c r="BX13" s="856">
        <f t="shared" si="48"/>
        <v>0</v>
      </c>
      <c r="BY13" s="857"/>
      <c r="BZ13" s="856">
        <f t="shared" si="49"/>
        <v>0</v>
      </c>
      <c r="CA13" s="857"/>
      <c r="CB13" s="856">
        <f t="shared" ref="CB13" si="65">BZ13</f>
        <v>0</v>
      </c>
      <c r="CC13" s="857"/>
      <c r="CD13" s="858">
        <f t="shared" si="16"/>
        <v>0</v>
      </c>
      <c r="CE13" s="861">
        <v>10000</v>
      </c>
      <c r="CF13" s="860">
        <f>CD13*CE13</f>
        <v>0</v>
      </c>
    </row>
    <row r="14" spans="1:85" ht="15" customHeight="1" x14ac:dyDescent="0.25">
      <c r="A14" s="855" t="s">
        <v>7729</v>
      </c>
      <c r="B14" s="856"/>
      <c r="C14" s="857"/>
      <c r="D14" s="856">
        <f t="shared" ref="D14" si="66">B14</f>
        <v>0</v>
      </c>
      <c r="E14" s="857"/>
      <c r="F14" s="856">
        <f t="shared" ref="F14" si="67">D14</f>
        <v>0</v>
      </c>
      <c r="G14" s="857"/>
      <c r="H14" s="856">
        <f t="shared" ref="H14" si="68">F14</f>
        <v>0</v>
      </c>
      <c r="I14" s="857"/>
      <c r="J14" s="856">
        <f t="shared" ref="J14" si="69">H14</f>
        <v>0</v>
      </c>
      <c r="K14" s="857"/>
      <c r="L14" s="856">
        <f t="shared" ref="L14" si="70">J14</f>
        <v>0</v>
      </c>
      <c r="M14" s="857"/>
      <c r="N14" s="856">
        <f t="shared" ref="N14" si="71">L14</f>
        <v>0</v>
      </c>
      <c r="O14" s="857"/>
      <c r="P14" s="856">
        <f t="shared" ref="P14" si="72">N14</f>
        <v>0</v>
      </c>
      <c r="Q14" s="857"/>
      <c r="R14" s="856">
        <f t="shared" ref="R14" si="73">P14</f>
        <v>0</v>
      </c>
      <c r="S14" s="857"/>
      <c r="T14" s="856">
        <f t="shared" ref="T14" si="74">R14</f>
        <v>0</v>
      </c>
      <c r="U14" s="857"/>
      <c r="V14" s="856">
        <f t="shared" ref="V14" si="75">T14</f>
        <v>0</v>
      </c>
      <c r="W14" s="857"/>
      <c r="X14" s="856">
        <f t="shared" ref="X14" si="76">V14</f>
        <v>0</v>
      </c>
      <c r="Y14" s="857"/>
      <c r="Z14" s="856">
        <f t="shared" ref="Z14" si="77">X14</f>
        <v>0</v>
      </c>
      <c r="AA14" s="857"/>
      <c r="AB14" s="856">
        <f t="shared" ref="AB14:AF14" si="78">Z14</f>
        <v>0</v>
      </c>
      <c r="AC14" s="857"/>
      <c r="AD14" s="856">
        <f t="shared" si="78"/>
        <v>0</v>
      </c>
      <c r="AE14" s="857"/>
      <c r="AF14" s="856">
        <f t="shared" si="78"/>
        <v>0</v>
      </c>
      <c r="AG14" s="857"/>
      <c r="AH14" s="856">
        <f t="shared" si="13"/>
        <v>0</v>
      </c>
      <c r="AI14" s="857"/>
      <c r="AJ14" s="856">
        <f t="shared" si="14"/>
        <v>0</v>
      </c>
      <c r="AK14" s="857"/>
      <c r="AL14" s="856">
        <f t="shared" si="30"/>
        <v>0</v>
      </c>
      <c r="AM14" s="857"/>
      <c r="AN14" s="856">
        <f t="shared" si="31"/>
        <v>0</v>
      </c>
      <c r="AO14" s="857"/>
      <c r="AP14" s="856">
        <f t="shared" si="32"/>
        <v>0</v>
      </c>
      <c r="AQ14" s="857"/>
      <c r="AR14" s="856">
        <f t="shared" si="33"/>
        <v>0</v>
      </c>
      <c r="AS14" s="857"/>
      <c r="AT14" s="856">
        <f t="shared" si="34"/>
        <v>0</v>
      </c>
      <c r="AU14" s="857"/>
      <c r="AV14" s="856">
        <f t="shared" si="35"/>
        <v>0</v>
      </c>
      <c r="AW14" s="857"/>
      <c r="AX14" s="856">
        <f t="shared" si="36"/>
        <v>0</v>
      </c>
      <c r="AY14" s="857"/>
      <c r="AZ14" s="856">
        <f t="shared" si="37"/>
        <v>0</v>
      </c>
      <c r="BA14" s="857"/>
      <c r="BB14" s="856">
        <f t="shared" si="38"/>
        <v>0</v>
      </c>
      <c r="BC14" s="857"/>
      <c r="BD14" s="856">
        <f t="shared" si="39"/>
        <v>0</v>
      </c>
      <c r="BE14" s="857"/>
      <c r="BF14" s="856">
        <f t="shared" si="40"/>
        <v>0</v>
      </c>
      <c r="BG14" s="857"/>
      <c r="BH14" s="856">
        <f t="shared" si="41"/>
        <v>0</v>
      </c>
      <c r="BI14" s="857"/>
      <c r="BJ14" s="856">
        <f t="shared" si="42"/>
        <v>0</v>
      </c>
      <c r="BK14" s="857"/>
      <c r="BL14" s="856">
        <f t="shared" si="43"/>
        <v>0</v>
      </c>
      <c r="BM14" s="857"/>
      <c r="BN14" s="856">
        <f t="shared" si="44"/>
        <v>0</v>
      </c>
      <c r="BO14" s="857"/>
      <c r="BP14" s="856">
        <f t="shared" si="45"/>
        <v>0</v>
      </c>
      <c r="BQ14" s="857"/>
      <c r="BR14" s="856">
        <f t="shared" si="46"/>
        <v>0</v>
      </c>
      <c r="BS14" s="857"/>
      <c r="BT14" s="856">
        <f t="shared" si="47"/>
        <v>0</v>
      </c>
      <c r="BU14" s="857"/>
      <c r="BV14" s="856"/>
      <c r="BW14" s="857"/>
      <c r="BX14" s="856">
        <f t="shared" si="48"/>
        <v>0</v>
      </c>
      <c r="BY14" s="857"/>
      <c r="BZ14" s="856">
        <f t="shared" si="49"/>
        <v>0</v>
      </c>
      <c r="CA14" s="857"/>
      <c r="CB14" s="856">
        <f t="shared" ref="CB14" si="79">BZ14</f>
        <v>0</v>
      </c>
      <c r="CC14" s="857"/>
      <c r="CD14" s="858">
        <f t="shared" si="16"/>
        <v>0</v>
      </c>
      <c r="CE14" s="859">
        <v>16000</v>
      </c>
      <c r="CF14" s="860">
        <f>CD14*CE14</f>
        <v>0</v>
      </c>
    </row>
    <row r="15" spans="1:85" ht="15" customHeight="1" x14ac:dyDescent="0.25">
      <c r="A15" s="855" t="s">
        <v>7758</v>
      </c>
      <c r="B15" s="856"/>
      <c r="C15" s="857"/>
      <c r="D15" s="856">
        <f t="shared" ref="D15" si="80">B15</f>
        <v>0</v>
      </c>
      <c r="E15" s="857"/>
      <c r="F15" s="856">
        <f t="shared" ref="F15" si="81">D15</f>
        <v>0</v>
      </c>
      <c r="G15" s="857"/>
      <c r="H15" s="856">
        <f t="shared" ref="H15" si="82">F15</f>
        <v>0</v>
      </c>
      <c r="I15" s="857"/>
      <c r="J15" s="856">
        <f t="shared" ref="J15" si="83">H15</f>
        <v>0</v>
      </c>
      <c r="K15" s="857"/>
      <c r="L15" s="856">
        <f t="shared" ref="L15" si="84">J15</f>
        <v>0</v>
      </c>
      <c r="M15" s="857"/>
      <c r="N15" s="856">
        <f t="shared" ref="N15" si="85">L15</f>
        <v>0</v>
      </c>
      <c r="O15" s="857"/>
      <c r="P15" s="856">
        <f t="shared" ref="P15" si="86">N15</f>
        <v>0</v>
      </c>
      <c r="Q15" s="857"/>
      <c r="R15" s="856">
        <f t="shared" ref="R15" si="87">P15</f>
        <v>0</v>
      </c>
      <c r="S15" s="857"/>
      <c r="T15" s="856">
        <f t="shared" ref="T15" si="88">R15</f>
        <v>0</v>
      </c>
      <c r="U15" s="857"/>
      <c r="V15" s="856">
        <f t="shared" ref="V15" si="89">T15</f>
        <v>0</v>
      </c>
      <c r="W15" s="857"/>
      <c r="X15" s="856">
        <f t="shared" ref="X15" si="90">V15</f>
        <v>0</v>
      </c>
      <c r="Y15" s="857"/>
      <c r="Z15" s="856">
        <f t="shared" ref="Z15" si="91">X15</f>
        <v>0</v>
      </c>
      <c r="AA15" s="857"/>
      <c r="AB15" s="856">
        <f t="shared" ref="AB15:AF15" si="92">Z15</f>
        <v>0</v>
      </c>
      <c r="AC15" s="857"/>
      <c r="AD15" s="856">
        <f t="shared" si="92"/>
        <v>0</v>
      </c>
      <c r="AE15" s="857"/>
      <c r="AF15" s="856">
        <f t="shared" si="92"/>
        <v>0</v>
      </c>
      <c r="AG15" s="857"/>
      <c r="AH15" s="856">
        <f t="shared" si="13"/>
        <v>0</v>
      </c>
      <c r="AI15" s="857"/>
      <c r="AJ15" s="856">
        <f t="shared" si="14"/>
        <v>0</v>
      </c>
      <c r="AK15" s="857"/>
      <c r="AL15" s="856">
        <f t="shared" si="30"/>
        <v>0</v>
      </c>
      <c r="AM15" s="857"/>
      <c r="AN15" s="856">
        <f t="shared" si="31"/>
        <v>0</v>
      </c>
      <c r="AO15" s="857"/>
      <c r="AP15" s="856">
        <f t="shared" si="32"/>
        <v>0</v>
      </c>
      <c r="AQ15" s="857"/>
      <c r="AR15" s="856">
        <f t="shared" si="33"/>
        <v>0</v>
      </c>
      <c r="AS15" s="857"/>
      <c r="AT15" s="856">
        <f t="shared" si="34"/>
        <v>0</v>
      </c>
      <c r="AU15" s="857"/>
      <c r="AV15" s="856">
        <f t="shared" si="35"/>
        <v>0</v>
      </c>
      <c r="AW15" s="857"/>
      <c r="AX15" s="856">
        <f t="shared" si="36"/>
        <v>0</v>
      </c>
      <c r="AY15" s="857"/>
      <c r="AZ15" s="856">
        <f t="shared" si="37"/>
        <v>0</v>
      </c>
      <c r="BA15" s="857"/>
      <c r="BB15" s="856">
        <f t="shared" si="38"/>
        <v>0</v>
      </c>
      <c r="BC15" s="857"/>
      <c r="BD15" s="856">
        <f t="shared" si="39"/>
        <v>0</v>
      </c>
      <c r="BE15" s="857"/>
      <c r="BF15" s="856">
        <f t="shared" si="40"/>
        <v>0</v>
      </c>
      <c r="BG15" s="857"/>
      <c r="BH15" s="856">
        <f t="shared" si="41"/>
        <v>0</v>
      </c>
      <c r="BI15" s="857"/>
      <c r="BJ15" s="856">
        <f t="shared" si="42"/>
        <v>0</v>
      </c>
      <c r="BK15" s="857"/>
      <c r="BL15" s="856">
        <f t="shared" si="43"/>
        <v>0</v>
      </c>
      <c r="BM15" s="857"/>
      <c r="BN15" s="856">
        <f t="shared" si="44"/>
        <v>0</v>
      </c>
      <c r="BO15" s="857"/>
      <c r="BP15" s="856">
        <f t="shared" si="45"/>
        <v>0</v>
      </c>
      <c r="BQ15" s="857"/>
      <c r="BR15" s="856">
        <f t="shared" si="46"/>
        <v>0</v>
      </c>
      <c r="BS15" s="857"/>
      <c r="BT15" s="856">
        <f t="shared" si="47"/>
        <v>0</v>
      </c>
      <c r="BU15" s="857"/>
      <c r="BV15" s="856"/>
      <c r="BW15" s="857"/>
      <c r="BX15" s="856">
        <f t="shared" si="48"/>
        <v>0</v>
      </c>
      <c r="BY15" s="857"/>
      <c r="BZ15" s="856">
        <f t="shared" si="49"/>
        <v>0</v>
      </c>
      <c r="CA15" s="857"/>
      <c r="CB15" s="856">
        <f t="shared" ref="CB15" si="93">BZ15</f>
        <v>0</v>
      </c>
      <c r="CC15" s="857"/>
      <c r="CD15" s="858">
        <f t="shared" si="16"/>
        <v>0</v>
      </c>
      <c r="CE15" s="861">
        <v>6000</v>
      </c>
      <c r="CF15" s="860">
        <f>CD15*CE15</f>
        <v>0</v>
      </c>
    </row>
    <row r="16" spans="1:85" ht="15" customHeight="1" x14ac:dyDescent="0.25">
      <c r="A16" s="864" t="s">
        <v>7730</v>
      </c>
      <c r="B16" s="856"/>
      <c r="C16" s="857"/>
      <c r="D16" s="856">
        <f t="shared" ref="D16:R16" si="94">B16</f>
        <v>0</v>
      </c>
      <c r="E16" s="857"/>
      <c r="F16" s="856">
        <f t="shared" si="94"/>
        <v>0</v>
      </c>
      <c r="G16" s="857"/>
      <c r="H16" s="856">
        <f t="shared" si="94"/>
        <v>0</v>
      </c>
      <c r="I16" s="857"/>
      <c r="J16" s="856">
        <f t="shared" si="94"/>
        <v>0</v>
      </c>
      <c r="K16" s="857"/>
      <c r="L16" s="856">
        <f t="shared" si="94"/>
        <v>0</v>
      </c>
      <c r="M16" s="857"/>
      <c r="N16" s="856">
        <f t="shared" si="94"/>
        <v>0</v>
      </c>
      <c r="O16" s="857"/>
      <c r="P16" s="856">
        <f t="shared" si="94"/>
        <v>0</v>
      </c>
      <c r="Q16" s="857"/>
      <c r="R16" s="856">
        <f t="shared" si="94"/>
        <v>0</v>
      </c>
      <c r="S16" s="857"/>
      <c r="T16" s="856">
        <f t="shared" ref="T16:AF16" si="95">R16</f>
        <v>0</v>
      </c>
      <c r="U16" s="857"/>
      <c r="V16" s="856">
        <f t="shared" si="95"/>
        <v>0</v>
      </c>
      <c r="W16" s="857"/>
      <c r="X16" s="856">
        <f t="shared" si="95"/>
        <v>0</v>
      </c>
      <c r="Y16" s="857"/>
      <c r="Z16" s="856">
        <f t="shared" si="95"/>
        <v>0</v>
      </c>
      <c r="AA16" s="857"/>
      <c r="AB16" s="856">
        <f t="shared" si="95"/>
        <v>0</v>
      </c>
      <c r="AC16" s="857"/>
      <c r="AD16" s="856">
        <f t="shared" si="95"/>
        <v>0</v>
      </c>
      <c r="AE16" s="857"/>
      <c r="AF16" s="856">
        <f t="shared" si="95"/>
        <v>0</v>
      </c>
      <c r="AG16" s="857"/>
      <c r="AH16" s="856">
        <f t="shared" si="13"/>
        <v>0</v>
      </c>
      <c r="AI16" s="857"/>
      <c r="AJ16" s="856">
        <f t="shared" si="14"/>
        <v>0</v>
      </c>
      <c r="AK16" s="857"/>
      <c r="AL16" s="856">
        <f t="shared" si="30"/>
        <v>0</v>
      </c>
      <c r="AM16" s="857"/>
      <c r="AN16" s="856">
        <f t="shared" si="31"/>
        <v>0</v>
      </c>
      <c r="AO16" s="857"/>
      <c r="AP16" s="856">
        <f t="shared" si="32"/>
        <v>0</v>
      </c>
      <c r="AQ16" s="857"/>
      <c r="AR16" s="856">
        <f t="shared" si="33"/>
        <v>0</v>
      </c>
      <c r="AS16" s="857"/>
      <c r="AT16" s="856">
        <f t="shared" si="34"/>
        <v>0</v>
      </c>
      <c r="AU16" s="857"/>
      <c r="AV16" s="856">
        <f t="shared" si="35"/>
        <v>0</v>
      </c>
      <c r="AW16" s="857"/>
      <c r="AX16" s="856">
        <f t="shared" si="36"/>
        <v>0</v>
      </c>
      <c r="AY16" s="857"/>
      <c r="AZ16" s="856">
        <f t="shared" si="37"/>
        <v>0</v>
      </c>
      <c r="BA16" s="857"/>
      <c r="BB16" s="856">
        <f t="shared" si="38"/>
        <v>0</v>
      </c>
      <c r="BC16" s="857"/>
      <c r="BD16" s="856">
        <f t="shared" si="39"/>
        <v>0</v>
      </c>
      <c r="BE16" s="857"/>
      <c r="BF16" s="856">
        <f t="shared" si="40"/>
        <v>0</v>
      </c>
      <c r="BG16" s="857"/>
      <c r="BH16" s="856">
        <f t="shared" si="41"/>
        <v>0</v>
      </c>
      <c r="BI16" s="857"/>
      <c r="BJ16" s="856">
        <f t="shared" si="42"/>
        <v>0</v>
      </c>
      <c r="BK16" s="857"/>
      <c r="BL16" s="856">
        <f t="shared" si="43"/>
        <v>0</v>
      </c>
      <c r="BM16" s="857"/>
      <c r="BN16" s="856">
        <f t="shared" si="44"/>
        <v>0</v>
      </c>
      <c r="BO16" s="857"/>
      <c r="BP16" s="856">
        <f t="shared" si="45"/>
        <v>0</v>
      </c>
      <c r="BQ16" s="857"/>
      <c r="BR16" s="856">
        <f t="shared" si="46"/>
        <v>0</v>
      </c>
      <c r="BS16" s="857"/>
      <c r="BT16" s="856">
        <f t="shared" si="47"/>
        <v>0</v>
      </c>
      <c r="BU16" s="857"/>
      <c r="BV16" s="856"/>
      <c r="BW16" s="857"/>
      <c r="BX16" s="856">
        <f t="shared" si="48"/>
        <v>0</v>
      </c>
      <c r="BY16" s="857"/>
      <c r="BZ16" s="856">
        <f t="shared" si="49"/>
        <v>0</v>
      </c>
      <c r="CA16" s="857"/>
      <c r="CB16" s="856">
        <f t="shared" ref="CB16:CB32" si="96">BZ16</f>
        <v>0</v>
      </c>
      <c r="CC16" s="857"/>
      <c r="CD16" s="858">
        <f t="shared" ref="CD16" si="97">SUMIF($B$8:$CC$8,"QTD",B16:CC16)</f>
        <v>0</v>
      </c>
      <c r="CE16" s="861">
        <v>5000</v>
      </c>
      <c r="CF16" s="860">
        <f t="shared" ref="CF16" si="98">CD16*CE16</f>
        <v>0</v>
      </c>
    </row>
    <row r="17" spans="1:84" ht="15" customHeight="1" x14ac:dyDescent="0.25">
      <c r="A17" s="915" t="s">
        <v>7757</v>
      </c>
      <c r="B17" s="917"/>
      <c r="C17" s="918"/>
      <c r="D17" s="917"/>
      <c r="E17" s="918"/>
      <c r="F17" s="917"/>
      <c r="G17" s="918"/>
      <c r="H17" s="917"/>
      <c r="I17" s="918"/>
      <c r="J17" s="917"/>
      <c r="K17" s="918"/>
      <c r="L17" s="917"/>
      <c r="M17" s="918"/>
      <c r="N17" s="917"/>
      <c r="O17" s="918"/>
      <c r="P17" s="917"/>
      <c r="Q17" s="918"/>
      <c r="R17" s="917"/>
      <c r="S17" s="918"/>
      <c r="T17" s="917"/>
      <c r="U17" s="918"/>
      <c r="V17" s="917"/>
      <c r="W17" s="918"/>
      <c r="X17" s="917"/>
      <c r="Y17" s="918"/>
      <c r="Z17" s="917"/>
      <c r="AA17" s="918"/>
      <c r="AB17" s="917"/>
      <c r="AC17" s="918"/>
      <c r="AD17" s="917"/>
      <c r="AE17" s="918"/>
      <c r="AF17" s="917"/>
      <c r="AG17" s="918"/>
      <c r="AH17" s="917"/>
      <c r="AI17" s="918"/>
      <c r="AJ17" s="917"/>
      <c r="AK17" s="918"/>
      <c r="AL17" s="917"/>
      <c r="AM17" s="918"/>
      <c r="AN17" s="917"/>
      <c r="AO17" s="918"/>
      <c r="AP17" s="917"/>
      <c r="AQ17" s="918"/>
      <c r="AR17" s="917"/>
      <c r="AS17" s="918"/>
      <c r="AT17" s="917"/>
      <c r="AU17" s="918"/>
      <c r="AV17" s="917"/>
      <c r="AW17" s="918"/>
      <c r="AX17" s="917"/>
      <c r="AY17" s="918"/>
      <c r="AZ17" s="917"/>
      <c r="BA17" s="918"/>
      <c r="BB17" s="917"/>
      <c r="BC17" s="918"/>
      <c r="BD17" s="917"/>
      <c r="BE17" s="918"/>
      <c r="BF17" s="917"/>
      <c r="BG17" s="918"/>
      <c r="BH17" s="917"/>
      <c r="BI17" s="918"/>
      <c r="BJ17" s="917"/>
      <c r="BK17" s="918"/>
      <c r="BL17" s="917"/>
      <c r="BM17" s="918"/>
      <c r="BN17" s="917"/>
      <c r="BO17" s="918"/>
      <c r="BP17" s="917"/>
      <c r="BQ17" s="918"/>
      <c r="BR17" s="917"/>
      <c r="BS17" s="918"/>
      <c r="BT17" s="917"/>
      <c r="BU17" s="918"/>
      <c r="BV17" s="917"/>
      <c r="BW17" s="918"/>
      <c r="BX17" s="917"/>
      <c r="BY17" s="918"/>
      <c r="BZ17" s="917"/>
      <c r="CA17" s="918"/>
      <c r="CB17" s="917"/>
      <c r="CC17" s="916"/>
      <c r="CD17" s="911"/>
      <c r="CE17" s="912"/>
      <c r="CF17" s="913">
        <f>SUM(CF18:CF34)</f>
        <v>1021021.5040000001</v>
      </c>
    </row>
    <row r="18" spans="1:84" ht="15" customHeight="1" x14ac:dyDescent="0.25">
      <c r="A18" s="855" t="s">
        <v>7754</v>
      </c>
      <c r="B18" s="856"/>
      <c r="C18" s="857"/>
      <c r="D18" s="856">
        <f t="shared" ref="D18" si="99">B18</f>
        <v>0</v>
      </c>
      <c r="E18" s="857"/>
      <c r="F18" s="856">
        <f t="shared" ref="F18" si="100">D18</f>
        <v>0</v>
      </c>
      <c r="G18" s="857"/>
      <c r="H18" s="856">
        <f t="shared" ref="H18" si="101">F18</f>
        <v>0</v>
      </c>
      <c r="I18" s="857"/>
      <c r="J18" s="856">
        <f t="shared" ref="J18" si="102">H18</f>
        <v>0</v>
      </c>
      <c r="K18" s="857"/>
      <c r="L18" s="856">
        <f t="shared" ref="L18" si="103">J18</f>
        <v>0</v>
      </c>
      <c r="M18" s="857"/>
      <c r="N18" s="856">
        <f t="shared" ref="N18" si="104">L18</f>
        <v>0</v>
      </c>
      <c r="O18" s="857"/>
      <c r="P18" s="856">
        <f t="shared" ref="P18" si="105">N18</f>
        <v>0</v>
      </c>
      <c r="Q18" s="857"/>
      <c r="R18" s="856">
        <f t="shared" ref="R18" si="106">P18</f>
        <v>0</v>
      </c>
      <c r="S18" s="857"/>
      <c r="T18" s="856">
        <f t="shared" ref="T18" si="107">R18</f>
        <v>0</v>
      </c>
      <c r="U18" s="857"/>
      <c r="V18" s="856">
        <f t="shared" ref="V18" si="108">T18</f>
        <v>0</v>
      </c>
      <c r="W18" s="857"/>
      <c r="X18" s="856">
        <f t="shared" ref="X18" si="109">V18</f>
        <v>0</v>
      </c>
      <c r="Y18" s="857"/>
      <c r="Z18" s="856">
        <f t="shared" ref="Z18" si="110">X18</f>
        <v>0</v>
      </c>
      <c r="AA18" s="857"/>
      <c r="AB18" s="856">
        <f t="shared" ref="AB18:AF18" si="111">Z18</f>
        <v>0</v>
      </c>
      <c r="AC18" s="857"/>
      <c r="AD18" s="856">
        <f t="shared" si="111"/>
        <v>0</v>
      </c>
      <c r="AE18" s="857"/>
      <c r="AF18" s="856">
        <f t="shared" si="111"/>
        <v>0</v>
      </c>
      <c r="AG18" s="857"/>
      <c r="AH18" s="856">
        <f t="shared" ref="AH18:AH32" si="112">R18</f>
        <v>0</v>
      </c>
      <c r="AI18" s="857"/>
      <c r="AJ18" s="856">
        <f t="shared" ref="AJ18:AJ32" si="113">AH18</f>
        <v>0</v>
      </c>
      <c r="AK18" s="857"/>
      <c r="AL18" s="856">
        <f t="shared" ref="AL18:AL32" si="114">AJ18</f>
        <v>0</v>
      </c>
      <c r="AM18" s="857"/>
      <c r="AN18" s="856">
        <f t="shared" ref="AN18:AN32" si="115">AL18</f>
        <v>0</v>
      </c>
      <c r="AO18" s="857"/>
      <c r="AP18" s="856">
        <f t="shared" ref="AP18:AP32" si="116">AN18</f>
        <v>0</v>
      </c>
      <c r="AQ18" s="857"/>
      <c r="AR18" s="856">
        <f t="shared" ref="AR18:AR32" si="117">AP18</f>
        <v>0</v>
      </c>
      <c r="AS18" s="857"/>
      <c r="AT18" s="856">
        <f t="shared" ref="AT18:AT32" si="118">AR18</f>
        <v>0</v>
      </c>
      <c r="AU18" s="857"/>
      <c r="AV18" s="856">
        <f t="shared" ref="AV18:AV32" si="119">AT18</f>
        <v>0</v>
      </c>
      <c r="AW18" s="857"/>
      <c r="AX18" s="856">
        <f t="shared" ref="AX18:AX32" si="120">AV18</f>
        <v>0</v>
      </c>
      <c r="AY18" s="857"/>
      <c r="AZ18" s="856">
        <f t="shared" ref="AZ18:AZ32" si="121">AX18</f>
        <v>0</v>
      </c>
      <c r="BA18" s="857"/>
      <c r="BB18" s="856">
        <f t="shared" ref="BB18:BB32" si="122">AZ18</f>
        <v>0</v>
      </c>
      <c r="BC18" s="857"/>
      <c r="BD18" s="856">
        <f t="shared" ref="BD18:BD32" si="123">BB18</f>
        <v>0</v>
      </c>
      <c r="BE18" s="857"/>
      <c r="BF18" s="856">
        <f t="shared" ref="BF18:BF32" si="124">BD18</f>
        <v>0</v>
      </c>
      <c r="BG18" s="857"/>
      <c r="BH18" s="856">
        <f t="shared" ref="BH18:BH32" si="125">BF18</f>
        <v>0</v>
      </c>
      <c r="BI18" s="857"/>
      <c r="BJ18" s="856">
        <f t="shared" ref="BJ18:BJ32" si="126">BH18</f>
        <v>0</v>
      </c>
      <c r="BK18" s="857"/>
      <c r="BL18" s="856">
        <f t="shared" ref="BL18:BL32" si="127">BJ18</f>
        <v>0</v>
      </c>
      <c r="BM18" s="857"/>
      <c r="BN18" s="856">
        <f t="shared" ref="BN18:BN32" si="128">BL18</f>
        <v>0</v>
      </c>
      <c r="BO18" s="857"/>
      <c r="BP18" s="856">
        <f t="shared" ref="BP18:BP32" si="129">BN18</f>
        <v>0</v>
      </c>
      <c r="BQ18" s="857"/>
      <c r="BR18" s="856">
        <f t="shared" ref="BR18:BR32" si="130">BP18</f>
        <v>0</v>
      </c>
      <c r="BS18" s="857"/>
      <c r="BT18" s="856">
        <f t="shared" ref="BT18:BT32" si="131">BR18</f>
        <v>0</v>
      </c>
      <c r="BU18" s="857"/>
      <c r="BV18" s="856"/>
      <c r="BW18" s="857"/>
      <c r="BX18" s="856">
        <f t="shared" ref="BX18:BX32" si="132">BV18</f>
        <v>0</v>
      </c>
      <c r="BY18" s="857"/>
      <c r="BZ18" s="856">
        <f t="shared" ref="BZ18:BZ32" si="133">BX18</f>
        <v>0</v>
      </c>
      <c r="CA18" s="857"/>
      <c r="CB18" s="856">
        <f t="shared" ref="CB18" si="134">BZ18</f>
        <v>0</v>
      </c>
      <c r="CC18" s="857"/>
      <c r="CD18" s="858">
        <f t="shared" ref="CD18:CD19" si="135">SUMIF($B$8:$CC$8,"QTD",B18:CC18)</f>
        <v>0</v>
      </c>
      <c r="CE18" s="859">
        <v>12900</v>
      </c>
      <c r="CF18" s="860">
        <f>CD18*CE18</f>
        <v>0</v>
      </c>
    </row>
    <row r="19" spans="1:84" ht="15" customHeight="1" x14ac:dyDescent="0.25">
      <c r="A19" s="855" t="s">
        <v>7759</v>
      </c>
      <c r="B19" s="856"/>
      <c r="C19" s="857"/>
      <c r="D19" s="856">
        <f t="shared" ref="D19" si="136">B19</f>
        <v>0</v>
      </c>
      <c r="E19" s="857"/>
      <c r="F19" s="856">
        <f t="shared" ref="F19" si="137">D19</f>
        <v>0</v>
      </c>
      <c r="G19" s="857"/>
      <c r="H19" s="856">
        <f t="shared" ref="H19" si="138">F19</f>
        <v>0</v>
      </c>
      <c r="I19" s="857"/>
      <c r="J19" s="856">
        <f t="shared" ref="J19" si="139">H19</f>
        <v>0</v>
      </c>
      <c r="K19" s="857"/>
      <c r="L19" s="856">
        <f t="shared" ref="L19" si="140">J19</f>
        <v>0</v>
      </c>
      <c r="M19" s="857"/>
      <c r="N19" s="856">
        <f t="shared" ref="N19" si="141">L19</f>
        <v>0</v>
      </c>
      <c r="O19" s="857"/>
      <c r="P19" s="856">
        <f t="shared" ref="P19" si="142">N19</f>
        <v>0</v>
      </c>
      <c r="Q19" s="857"/>
      <c r="R19" s="856">
        <f t="shared" ref="R19" si="143">P19</f>
        <v>0</v>
      </c>
      <c r="S19" s="857"/>
      <c r="T19" s="856">
        <f t="shared" ref="T19" si="144">R19</f>
        <v>0</v>
      </c>
      <c r="U19" s="857"/>
      <c r="V19" s="856">
        <f t="shared" ref="V19" si="145">T19</f>
        <v>0</v>
      </c>
      <c r="W19" s="857"/>
      <c r="X19" s="856">
        <f t="shared" ref="X19" si="146">V19</f>
        <v>0</v>
      </c>
      <c r="Y19" s="857"/>
      <c r="Z19" s="856">
        <f t="shared" ref="Z19" si="147">X19</f>
        <v>0</v>
      </c>
      <c r="AA19" s="857"/>
      <c r="AB19" s="856">
        <f t="shared" ref="AB19:AF19" si="148">Z19</f>
        <v>0</v>
      </c>
      <c r="AC19" s="857"/>
      <c r="AD19" s="856">
        <f t="shared" si="148"/>
        <v>0</v>
      </c>
      <c r="AE19" s="857"/>
      <c r="AF19" s="856">
        <f t="shared" si="148"/>
        <v>0</v>
      </c>
      <c r="AG19" s="857"/>
      <c r="AH19" s="856">
        <f t="shared" si="112"/>
        <v>0</v>
      </c>
      <c r="AI19" s="857"/>
      <c r="AJ19" s="856">
        <f t="shared" si="113"/>
        <v>0</v>
      </c>
      <c r="AK19" s="857"/>
      <c r="AL19" s="856">
        <f t="shared" si="114"/>
        <v>0</v>
      </c>
      <c r="AM19" s="857"/>
      <c r="AN19" s="856">
        <f t="shared" si="115"/>
        <v>0</v>
      </c>
      <c r="AO19" s="857"/>
      <c r="AP19" s="856">
        <f t="shared" si="116"/>
        <v>0</v>
      </c>
      <c r="AQ19" s="857"/>
      <c r="AR19" s="856">
        <f t="shared" si="117"/>
        <v>0</v>
      </c>
      <c r="AS19" s="857"/>
      <c r="AT19" s="856">
        <f t="shared" si="118"/>
        <v>0</v>
      </c>
      <c r="AU19" s="857"/>
      <c r="AV19" s="856">
        <f t="shared" si="119"/>
        <v>0</v>
      </c>
      <c r="AW19" s="857"/>
      <c r="AX19" s="856">
        <f t="shared" si="120"/>
        <v>0</v>
      </c>
      <c r="AY19" s="857"/>
      <c r="AZ19" s="856">
        <f t="shared" si="121"/>
        <v>0</v>
      </c>
      <c r="BA19" s="857"/>
      <c r="BB19" s="856">
        <f t="shared" si="122"/>
        <v>0</v>
      </c>
      <c r="BC19" s="857"/>
      <c r="BD19" s="856">
        <f t="shared" si="123"/>
        <v>0</v>
      </c>
      <c r="BE19" s="857"/>
      <c r="BF19" s="856">
        <f t="shared" si="124"/>
        <v>0</v>
      </c>
      <c r="BG19" s="857"/>
      <c r="BH19" s="856">
        <f t="shared" si="125"/>
        <v>0</v>
      </c>
      <c r="BI19" s="857"/>
      <c r="BJ19" s="856">
        <f t="shared" si="126"/>
        <v>0</v>
      </c>
      <c r="BK19" s="857"/>
      <c r="BL19" s="856">
        <f t="shared" si="127"/>
        <v>0</v>
      </c>
      <c r="BM19" s="857"/>
      <c r="BN19" s="856">
        <f t="shared" si="128"/>
        <v>0</v>
      </c>
      <c r="BO19" s="857"/>
      <c r="BP19" s="856">
        <f t="shared" si="129"/>
        <v>0</v>
      </c>
      <c r="BQ19" s="857"/>
      <c r="BR19" s="856">
        <f t="shared" si="130"/>
        <v>0</v>
      </c>
      <c r="BS19" s="857"/>
      <c r="BT19" s="856">
        <f t="shared" si="131"/>
        <v>0</v>
      </c>
      <c r="BU19" s="857"/>
      <c r="BV19" s="856"/>
      <c r="BW19" s="857"/>
      <c r="BX19" s="856">
        <f t="shared" si="132"/>
        <v>0</v>
      </c>
      <c r="BY19" s="857"/>
      <c r="BZ19" s="856">
        <f t="shared" si="133"/>
        <v>0</v>
      </c>
      <c r="CA19" s="857"/>
      <c r="CB19" s="856">
        <f t="shared" ref="CB19" si="149">BZ19</f>
        <v>0</v>
      </c>
      <c r="CC19" s="857"/>
      <c r="CD19" s="858">
        <f t="shared" si="135"/>
        <v>0</v>
      </c>
      <c r="CE19" s="861">
        <v>9000</v>
      </c>
      <c r="CF19" s="860">
        <f t="shared" ref="CF19" si="150">CD19*CE19</f>
        <v>0</v>
      </c>
    </row>
    <row r="20" spans="1:84" ht="15" customHeight="1" x14ac:dyDescent="0.25">
      <c r="A20" s="863" t="s">
        <v>7728</v>
      </c>
      <c r="B20" s="856"/>
      <c r="C20" s="857"/>
      <c r="D20" s="856">
        <f t="shared" ref="D20:D23" si="151">B20</f>
        <v>0</v>
      </c>
      <c r="E20" s="857"/>
      <c r="F20" s="856">
        <f t="shared" ref="F20:F23" si="152">D20</f>
        <v>0</v>
      </c>
      <c r="G20" s="857"/>
      <c r="H20" s="856">
        <f t="shared" ref="H20:H23" si="153">F20</f>
        <v>0</v>
      </c>
      <c r="I20" s="857"/>
      <c r="J20" s="856">
        <f t="shared" ref="J20:J23" si="154">H20</f>
        <v>0</v>
      </c>
      <c r="K20" s="857"/>
      <c r="L20" s="856">
        <f t="shared" ref="D20:R24" si="155">J20</f>
        <v>0</v>
      </c>
      <c r="M20" s="857"/>
      <c r="N20" s="856">
        <f t="shared" ref="N20:N23" si="156">L20</f>
        <v>0</v>
      </c>
      <c r="O20" s="857"/>
      <c r="P20" s="856">
        <f t="shared" ref="P20:P23" si="157">N20</f>
        <v>0</v>
      </c>
      <c r="Q20" s="857"/>
      <c r="R20" s="856">
        <f t="shared" ref="R20:R23" si="158">P20</f>
        <v>0</v>
      </c>
      <c r="S20" s="857"/>
      <c r="T20" s="856">
        <f t="shared" ref="T20:AH32" si="159">R20</f>
        <v>0</v>
      </c>
      <c r="U20" s="857"/>
      <c r="V20" s="856">
        <f t="shared" ref="V20:V23" si="160">T20</f>
        <v>0</v>
      </c>
      <c r="W20" s="857"/>
      <c r="X20" s="856">
        <f t="shared" ref="X20:X23" si="161">V20</f>
        <v>0</v>
      </c>
      <c r="Y20" s="857"/>
      <c r="Z20" s="856">
        <f t="shared" ref="Z20:Z23" si="162">X20</f>
        <v>0</v>
      </c>
      <c r="AA20" s="857"/>
      <c r="AB20" s="856">
        <f t="shared" ref="AB20:AF23" si="163">Z20</f>
        <v>0</v>
      </c>
      <c r="AC20" s="857"/>
      <c r="AD20" s="856">
        <f t="shared" si="163"/>
        <v>0</v>
      </c>
      <c r="AE20" s="857"/>
      <c r="AF20" s="856">
        <f t="shared" si="163"/>
        <v>0</v>
      </c>
      <c r="AG20" s="857"/>
      <c r="AH20" s="856">
        <f t="shared" si="112"/>
        <v>0</v>
      </c>
      <c r="AI20" s="857"/>
      <c r="AJ20" s="856">
        <f t="shared" si="113"/>
        <v>0</v>
      </c>
      <c r="AK20" s="857"/>
      <c r="AL20" s="856">
        <f t="shared" si="114"/>
        <v>0</v>
      </c>
      <c r="AM20" s="857"/>
      <c r="AN20" s="856">
        <f t="shared" si="115"/>
        <v>0</v>
      </c>
      <c r="AO20" s="857"/>
      <c r="AP20" s="856">
        <f t="shared" si="116"/>
        <v>0</v>
      </c>
      <c r="AQ20" s="857"/>
      <c r="AR20" s="856">
        <f t="shared" si="117"/>
        <v>0</v>
      </c>
      <c r="AS20" s="857"/>
      <c r="AT20" s="856">
        <f t="shared" si="118"/>
        <v>0</v>
      </c>
      <c r="AU20" s="857"/>
      <c r="AV20" s="856">
        <f t="shared" si="119"/>
        <v>0</v>
      </c>
      <c r="AW20" s="857"/>
      <c r="AX20" s="856">
        <f t="shared" si="120"/>
        <v>0</v>
      </c>
      <c r="AY20" s="857"/>
      <c r="AZ20" s="856">
        <f t="shared" si="121"/>
        <v>0</v>
      </c>
      <c r="BA20" s="857"/>
      <c r="BB20" s="856">
        <f t="shared" si="122"/>
        <v>0</v>
      </c>
      <c r="BC20" s="857"/>
      <c r="BD20" s="856">
        <f t="shared" si="123"/>
        <v>0</v>
      </c>
      <c r="BE20" s="857"/>
      <c r="BF20" s="856">
        <f t="shared" si="124"/>
        <v>0</v>
      </c>
      <c r="BG20" s="857"/>
      <c r="BH20" s="856">
        <f t="shared" si="125"/>
        <v>0</v>
      </c>
      <c r="BI20" s="857"/>
      <c r="BJ20" s="856">
        <f t="shared" si="126"/>
        <v>0</v>
      </c>
      <c r="BK20" s="857"/>
      <c r="BL20" s="856">
        <f t="shared" si="127"/>
        <v>0</v>
      </c>
      <c r="BM20" s="857"/>
      <c r="BN20" s="856">
        <f t="shared" si="128"/>
        <v>0</v>
      </c>
      <c r="BO20" s="857"/>
      <c r="BP20" s="856">
        <f t="shared" si="129"/>
        <v>0</v>
      </c>
      <c r="BQ20" s="857"/>
      <c r="BR20" s="856">
        <f t="shared" si="130"/>
        <v>0</v>
      </c>
      <c r="BS20" s="857"/>
      <c r="BT20" s="856">
        <f t="shared" si="131"/>
        <v>0</v>
      </c>
      <c r="BU20" s="857"/>
      <c r="BV20" s="856"/>
      <c r="BW20" s="857"/>
      <c r="BX20" s="856">
        <f t="shared" si="132"/>
        <v>0</v>
      </c>
      <c r="BY20" s="857"/>
      <c r="BZ20" s="856">
        <f t="shared" si="133"/>
        <v>0</v>
      </c>
      <c r="CA20" s="857"/>
      <c r="CB20" s="856">
        <f t="shared" ref="CB20" si="164">BZ20</f>
        <v>0</v>
      </c>
      <c r="CC20" s="857"/>
      <c r="CD20" s="858">
        <f t="shared" ref="CD20:CD23" si="165">SUMIF($B$8:$CC$8,"QTD",B20:CC20)</f>
        <v>0</v>
      </c>
      <c r="CE20" s="861">
        <v>4000</v>
      </c>
      <c r="CF20" s="860">
        <f>CD20*CE20</f>
        <v>0</v>
      </c>
    </row>
    <row r="21" spans="1:84" ht="15" customHeight="1" x14ac:dyDescent="0.25">
      <c r="A21" s="855" t="s">
        <v>7729</v>
      </c>
      <c r="B21" s="856">
        <v>1</v>
      </c>
      <c r="C21" s="857"/>
      <c r="D21" s="856">
        <f t="shared" si="151"/>
        <v>1</v>
      </c>
      <c r="E21" s="857"/>
      <c r="F21" s="856">
        <f t="shared" si="152"/>
        <v>1</v>
      </c>
      <c r="G21" s="857"/>
      <c r="H21" s="856">
        <f t="shared" si="153"/>
        <v>1</v>
      </c>
      <c r="I21" s="857"/>
      <c r="J21" s="856">
        <f t="shared" si="154"/>
        <v>1</v>
      </c>
      <c r="K21" s="857"/>
      <c r="L21" s="856">
        <f t="shared" si="155"/>
        <v>1</v>
      </c>
      <c r="M21" s="857"/>
      <c r="N21" s="856">
        <f t="shared" si="156"/>
        <v>1</v>
      </c>
      <c r="O21" s="857"/>
      <c r="P21" s="856">
        <f t="shared" si="157"/>
        <v>1</v>
      </c>
      <c r="Q21" s="857"/>
      <c r="R21" s="856">
        <f t="shared" si="158"/>
        <v>1</v>
      </c>
      <c r="S21" s="857"/>
      <c r="T21" s="856">
        <f t="shared" si="159"/>
        <v>1</v>
      </c>
      <c r="U21" s="857"/>
      <c r="V21" s="856">
        <f t="shared" si="160"/>
        <v>1</v>
      </c>
      <c r="W21" s="857"/>
      <c r="X21" s="856">
        <f t="shared" si="161"/>
        <v>1</v>
      </c>
      <c r="Y21" s="857"/>
      <c r="Z21" s="856">
        <f t="shared" si="162"/>
        <v>1</v>
      </c>
      <c r="AA21" s="857"/>
      <c r="AB21" s="856">
        <f t="shared" si="163"/>
        <v>1</v>
      </c>
      <c r="AC21" s="857"/>
      <c r="AD21" s="856">
        <f t="shared" si="163"/>
        <v>1</v>
      </c>
      <c r="AE21" s="857"/>
      <c r="AF21" s="856">
        <f t="shared" si="163"/>
        <v>1</v>
      </c>
      <c r="AG21" s="857"/>
      <c r="AH21" s="856">
        <f t="shared" si="112"/>
        <v>1</v>
      </c>
      <c r="AI21" s="857"/>
      <c r="AJ21" s="856">
        <f t="shared" si="113"/>
        <v>1</v>
      </c>
      <c r="AK21" s="857"/>
      <c r="AL21" s="856">
        <f t="shared" si="114"/>
        <v>1</v>
      </c>
      <c r="AM21" s="857"/>
      <c r="AN21" s="856">
        <f t="shared" si="115"/>
        <v>1</v>
      </c>
      <c r="AO21" s="857"/>
      <c r="AP21" s="856">
        <f t="shared" si="116"/>
        <v>1</v>
      </c>
      <c r="AQ21" s="857"/>
      <c r="AR21" s="856">
        <f t="shared" si="117"/>
        <v>1</v>
      </c>
      <c r="AS21" s="857"/>
      <c r="AT21" s="856">
        <f t="shared" si="118"/>
        <v>1</v>
      </c>
      <c r="AU21" s="857"/>
      <c r="AV21" s="856">
        <f t="shared" si="119"/>
        <v>1</v>
      </c>
      <c r="AW21" s="857"/>
      <c r="AX21" s="856">
        <f t="shared" si="120"/>
        <v>1</v>
      </c>
      <c r="AY21" s="857"/>
      <c r="AZ21" s="856">
        <f t="shared" si="121"/>
        <v>1</v>
      </c>
      <c r="BA21" s="857"/>
      <c r="BB21" s="856">
        <f t="shared" si="122"/>
        <v>1</v>
      </c>
      <c r="BC21" s="857"/>
      <c r="BD21" s="856">
        <f t="shared" si="123"/>
        <v>1</v>
      </c>
      <c r="BE21" s="857"/>
      <c r="BF21" s="856">
        <f t="shared" si="124"/>
        <v>1</v>
      </c>
      <c r="BG21" s="857"/>
      <c r="BH21" s="856">
        <f t="shared" si="125"/>
        <v>1</v>
      </c>
      <c r="BI21" s="857"/>
      <c r="BJ21" s="856">
        <f t="shared" si="126"/>
        <v>1</v>
      </c>
      <c r="BK21" s="857"/>
      <c r="BL21" s="856">
        <f t="shared" si="127"/>
        <v>1</v>
      </c>
      <c r="BM21" s="857"/>
      <c r="BN21" s="856">
        <f t="shared" si="128"/>
        <v>1</v>
      </c>
      <c r="BO21" s="857"/>
      <c r="BP21" s="856">
        <f t="shared" si="129"/>
        <v>1</v>
      </c>
      <c r="BQ21" s="857"/>
      <c r="BR21" s="856">
        <f t="shared" si="130"/>
        <v>1</v>
      </c>
      <c r="BS21" s="857"/>
      <c r="BT21" s="856">
        <f t="shared" si="131"/>
        <v>1</v>
      </c>
      <c r="BU21" s="857"/>
      <c r="BV21" s="856"/>
      <c r="BW21" s="857"/>
      <c r="BX21" s="856">
        <f t="shared" si="132"/>
        <v>0</v>
      </c>
      <c r="BY21" s="857"/>
      <c r="BZ21" s="856">
        <f t="shared" si="133"/>
        <v>0</v>
      </c>
      <c r="CA21" s="857"/>
      <c r="CB21" s="856">
        <f t="shared" ref="CB21" si="166">BZ21</f>
        <v>0</v>
      </c>
      <c r="CC21" s="857"/>
      <c r="CD21" s="858">
        <f t="shared" si="165"/>
        <v>36</v>
      </c>
      <c r="CE21" s="859">
        <v>10000</v>
      </c>
      <c r="CF21" s="860">
        <f>CD21*CE21</f>
        <v>360000</v>
      </c>
    </row>
    <row r="22" spans="1:84" ht="15" customHeight="1" x14ac:dyDescent="0.25">
      <c r="A22" s="855" t="s">
        <v>7758</v>
      </c>
      <c r="B22" s="856">
        <v>1</v>
      </c>
      <c r="C22" s="857"/>
      <c r="D22" s="856">
        <f t="shared" si="151"/>
        <v>1</v>
      </c>
      <c r="E22" s="857"/>
      <c r="F22" s="856">
        <f t="shared" si="152"/>
        <v>1</v>
      </c>
      <c r="G22" s="857">
        <v>0.2</v>
      </c>
      <c r="H22" s="856">
        <f t="shared" si="153"/>
        <v>1</v>
      </c>
      <c r="I22" s="857">
        <v>0.2</v>
      </c>
      <c r="J22" s="856">
        <f t="shared" si="154"/>
        <v>1</v>
      </c>
      <c r="K22" s="857">
        <v>0.2</v>
      </c>
      <c r="L22" s="856">
        <f t="shared" si="155"/>
        <v>1</v>
      </c>
      <c r="M22" s="857">
        <v>0.2</v>
      </c>
      <c r="N22" s="856">
        <f t="shared" si="156"/>
        <v>1</v>
      </c>
      <c r="O22" s="857">
        <v>0.2</v>
      </c>
      <c r="P22" s="856">
        <f t="shared" si="157"/>
        <v>1</v>
      </c>
      <c r="Q22" s="857">
        <v>0.2</v>
      </c>
      <c r="R22" s="856">
        <f t="shared" si="158"/>
        <v>1</v>
      </c>
      <c r="S22" s="857">
        <v>0.2</v>
      </c>
      <c r="T22" s="856">
        <f t="shared" si="159"/>
        <v>1</v>
      </c>
      <c r="U22" s="857">
        <v>0.2</v>
      </c>
      <c r="V22" s="856">
        <f t="shared" si="160"/>
        <v>1</v>
      </c>
      <c r="W22" s="857">
        <v>0.2</v>
      </c>
      <c r="X22" s="856">
        <f t="shared" si="161"/>
        <v>1</v>
      </c>
      <c r="Y22" s="857">
        <v>0.2</v>
      </c>
      <c r="Z22" s="856">
        <f t="shared" si="162"/>
        <v>1</v>
      </c>
      <c r="AA22" s="857"/>
      <c r="AB22" s="856">
        <f t="shared" si="163"/>
        <v>1</v>
      </c>
      <c r="AC22" s="857"/>
      <c r="AD22" s="856">
        <f t="shared" si="163"/>
        <v>1</v>
      </c>
      <c r="AE22" s="857"/>
      <c r="AF22" s="856">
        <f t="shared" si="163"/>
        <v>1</v>
      </c>
      <c r="AG22" s="857"/>
      <c r="AH22" s="856">
        <f t="shared" si="112"/>
        <v>1</v>
      </c>
      <c r="AI22" s="857"/>
      <c r="AJ22" s="856">
        <f t="shared" si="113"/>
        <v>1</v>
      </c>
      <c r="AK22" s="857"/>
      <c r="AL22" s="856">
        <f t="shared" si="114"/>
        <v>1</v>
      </c>
      <c r="AM22" s="857"/>
      <c r="AN22" s="856">
        <f t="shared" si="115"/>
        <v>1</v>
      </c>
      <c r="AO22" s="857"/>
      <c r="AP22" s="856">
        <f t="shared" si="116"/>
        <v>1</v>
      </c>
      <c r="AQ22" s="857"/>
      <c r="AR22" s="856">
        <f t="shared" si="117"/>
        <v>1</v>
      </c>
      <c r="AS22" s="857"/>
      <c r="AT22" s="856">
        <f t="shared" si="118"/>
        <v>1</v>
      </c>
      <c r="AU22" s="857"/>
      <c r="AV22" s="856">
        <f t="shared" si="119"/>
        <v>1</v>
      </c>
      <c r="AW22" s="857"/>
      <c r="AX22" s="856">
        <f t="shared" si="120"/>
        <v>1</v>
      </c>
      <c r="AY22" s="857"/>
      <c r="AZ22" s="856">
        <f t="shared" si="121"/>
        <v>1</v>
      </c>
      <c r="BA22" s="857"/>
      <c r="BB22" s="856">
        <f t="shared" si="122"/>
        <v>1</v>
      </c>
      <c r="BC22" s="857"/>
      <c r="BD22" s="856">
        <f t="shared" si="123"/>
        <v>1</v>
      </c>
      <c r="BE22" s="857"/>
      <c r="BF22" s="856">
        <f t="shared" si="124"/>
        <v>1</v>
      </c>
      <c r="BG22" s="857">
        <v>0.2</v>
      </c>
      <c r="BH22" s="856">
        <f t="shared" si="125"/>
        <v>1</v>
      </c>
      <c r="BI22" s="857">
        <v>0.2</v>
      </c>
      <c r="BJ22" s="856">
        <f t="shared" si="126"/>
        <v>1</v>
      </c>
      <c r="BK22" s="857">
        <v>0.2</v>
      </c>
      <c r="BL22" s="856">
        <f t="shared" si="127"/>
        <v>1</v>
      </c>
      <c r="BM22" s="857">
        <v>0.2</v>
      </c>
      <c r="BN22" s="856">
        <f t="shared" si="128"/>
        <v>1</v>
      </c>
      <c r="BO22" s="857">
        <v>0.2</v>
      </c>
      <c r="BP22" s="856">
        <f t="shared" si="129"/>
        <v>1</v>
      </c>
      <c r="BQ22" s="857">
        <v>0.2</v>
      </c>
      <c r="BR22" s="856">
        <f t="shared" si="130"/>
        <v>1</v>
      </c>
      <c r="BS22" s="857">
        <v>0.2</v>
      </c>
      <c r="BT22" s="856">
        <f t="shared" si="131"/>
        <v>1</v>
      </c>
      <c r="BU22" s="857">
        <v>0.2</v>
      </c>
      <c r="BV22" s="856"/>
      <c r="BW22" s="857"/>
      <c r="BX22" s="856">
        <f t="shared" si="132"/>
        <v>0</v>
      </c>
      <c r="BY22" s="857"/>
      <c r="BZ22" s="856">
        <f t="shared" si="133"/>
        <v>0</v>
      </c>
      <c r="CA22" s="857"/>
      <c r="CB22" s="856">
        <f t="shared" ref="CB22:CB24" si="167">BZ22</f>
        <v>0</v>
      </c>
      <c r="CC22" s="857"/>
      <c r="CD22" s="858">
        <f t="shared" si="165"/>
        <v>36</v>
      </c>
      <c r="CE22" s="861">
        <v>4813.9520000000002</v>
      </c>
      <c r="CF22" s="860">
        <f>CD22*CE22</f>
        <v>173302.272</v>
      </c>
    </row>
    <row r="23" spans="1:84" ht="15" customHeight="1" x14ac:dyDescent="0.25">
      <c r="A23" s="864" t="s">
        <v>7730</v>
      </c>
      <c r="B23" s="856"/>
      <c r="C23" s="857"/>
      <c r="D23" s="856">
        <f t="shared" si="151"/>
        <v>0</v>
      </c>
      <c r="E23" s="857"/>
      <c r="F23" s="856">
        <f t="shared" si="152"/>
        <v>0</v>
      </c>
      <c r="G23" s="857"/>
      <c r="H23" s="856">
        <f t="shared" si="153"/>
        <v>0</v>
      </c>
      <c r="I23" s="857"/>
      <c r="J23" s="856">
        <f t="shared" si="154"/>
        <v>0</v>
      </c>
      <c r="K23" s="857"/>
      <c r="L23" s="856">
        <f t="shared" si="155"/>
        <v>0</v>
      </c>
      <c r="M23" s="857"/>
      <c r="N23" s="856">
        <f t="shared" si="156"/>
        <v>0</v>
      </c>
      <c r="O23" s="857"/>
      <c r="P23" s="856">
        <f t="shared" si="157"/>
        <v>0</v>
      </c>
      <c r="Q23" s="857"/>
      <c r="R23" s="856">
        <f t="shared" si="158"/>
        <v>0</v>
      </c>
      <c r="S23" s="857"/>
      <c r="T23" s="856">
        <f t="shared" si="159"/>
        <v>0</v>
      </c>
      <c r="U23" s="857"/>
      <c r="V23" s="856">
        <f t="shared" si="160"/>
        <v>0</v>
      </c>
      <c r="W23" s="857"/>
      <c r="X23" s="856">
        <f t="shared" si="161"/>
        <v>0</v>
      </c>
      <c r="Y23" s="857"/>
      <c r="Z23" s="856">
        <f t="shared" si="162"/>
        <v>0</v>
      </c>
      <c r="AA23" s="857"/>
      <c r="AB23" s="856">
        <f t="shared" si="163"/>
        <v>0</v>
      </c>
      <c r="AC23" s="857"/>
      <c r="AD23" s="856">
        <f t="shared" si="163"/>
        <v>0</v>
      </c>
      <c r="AE23" s="857"/>
      <c r="AF23" s="856">
        <f t="shared" si="163"/>
        <v>0</v>
      </c>
      <c r="AG23" s="857"/>
      <c r="AH23" s="856">
        <f t="shared" si="112"/>
        <v>0</v>
      </c>
      <c r="AI23" s="857"/>
      <c r="AJ23" s="856">
        <f t="shared" si="113"/>
        <v>0</v>
      </c>
      <c r="AK23" s="857"/>
      <c r="AL23" s="856">
        <f t="shared" si="114"/>
        <v>0</v>
      </c>
      <c r="AM23" s="857"/>
      <c r="AN23" s="856">
        <f t="shared" si="115"/>
        <v>0</v>
      </c>
      <c r="AO23" s="857"/>
      <c r="AP23" s="856">
        <f t="shared" si="116"/>
        <v>0</v>
      </c>
      <c r="AQ23" s="857"/>
      <c r="AR23" s="856">
        <f t="shared" si="117"/>
        <v>0</v>
      </c>
      <c r="AS23" s="857"/>
      <c r="AT23" s="856">
        <f t="shared" si="118"/>
        <v>0</v>
      </c>
      <c r="AU23" s="857"/>
      <c r="AV23" s="856">
        <f t="shared" si="119"/>
        <v>0</v>
      </c>
      <c r="AW23" s="857"/>
      <c r="AX23" s="856">
        <f t="shared" si="120"/>
        <v>0</v>
      </c>
      <c r="AY23" s="857"/>
      <c r="AZ23" s="856">
        <f t="shared" si="121"/>
        <v>0</v>
      </c>
      <c r="BA23" s="857"/>
      <c r="BB23" s="856">
        <f t="shared" si="122"/>
        <v>0</v>
      </c>
      <c r="BC23" s="857"/>
      <c r="BD23" s="856">
        <f t="shared" si="123"/>
        <v>0</v>
      </c>
      <c r="BE23" s="857"/>
      <c r="BF23" s="856">
        <f t="shared" si="124"/>
        <v>0</v>
      </c>
      <c r="BG23" s="857"/>
      <c r="BH23" s="856">
        <f t="shared" si="125"/>
        <v>0</v>
      </c>
      <c r="BI23" s="857"/>
      <c r="BJ23" s="856">
        <f t="shared" si="126"/>
        <v>0</v>
      </c>
      <c r="BK23" s="857"/>
      <c r="BL23" s="856">
        <f t="shared" si="127"/>
        <v>0</v>
      </c>
      <c r="BM23" s="857"/>
      <c r="BN23" s="856">
        <f t="shared" si="128"/>
        <v>0</v>
      </c>
      <c r="BO23" s="857"/>
      <c r="BP23" s="856">
        <f t="shared" si="129"/>
        <v>0</v>
      </c>
      <c r="BQ23" s="857"/>
      <c r="BR23" s="856">
        <f t="shared" si="130"/>
        <v>0</v>
      </c>
      <c r="BS23" s="857"/>
      <c r="BT23" s="856">
        <f t="shared" si="131"/>
        <v>0</v>
      </c>
      <c r="BU23" s="857"/>
      <c r="BV23" s="856"/>
      <c r="BW23" s="857"/>
      <c r="BX23" s="856">
        <f t="shared" si="132"/>
        <v>0</v>
      </c>
      <c r="BY23" s="857"/>
      <c r="BZ23" s="856">
        <f t="shared" si="133"/>
        <v>0</v>
      </c>
      <c r="CA23" s="857"/>
      <c r="CB23" s="856">
        <f t="shared" si="167"/>
        <v>0</v>
      </c>
      <c r="CC23" s="857"/>
      <c r="CD23" s="858">
        <f t="shared" si="165"/>
        <v>0</v>
      </c>
      <c r="CE23" s="861">
        <v>3580.7200000000003</v>
      </c>
      <c r="CF23" s="860">
        <f t="shared" ref="CF23" si="168">CD23*CE23</f>
        <v>0</v>
      </c>
    </row>
    <row r="24" spans="1:84" ht="15" customHeight="1" x14ac:dyDescent="0.25">
      <c r="A24" s="864" t="s">
        <v>7731</v>
      </c>
      <c r="B24" s="856"/>
      <c r="C24" s="857"/>
      <c r="D24" s="856">
        <f t="shared" si="155"/>
        <v>0</v>
      </c>
      <c r="E24" s="857"/>
      <c r="F24" s="856">
        <f t="shared" si="155"/>
        <v>0</v>
      </c>
      <c r="G24" s="857"/>
      <c r="H24" s="856">
        <f t="shared" si="155"/>
        <v>0</v>
      </c>
      <c r="I24" s="857"/>
      <c r="J24" s="856">
        <f t="shared" si="155"/>
        <v>0</v>
      </c>
      <c r="K24" s="857"/>
      <c r="L24" s="856">
        <f t="shared" si="155"/>
        <v>0</v>
      </c>
      <c r="M24" s="857"/>
      <c r="N24" s="856">
        <f t="shared" si="155"/>
        <v>0</v>
      </c>
      <c r="O24" s="857"/>
      <c r="P24" s="856">
        <f t="shared" si="155"/>
        <v>0</v>
      </c>
      <c r="Q24" s="857"/>
      <c r="R24" s="856">
        <f t="shared" si="155"/>
        <v>0</v>
      </c>
      <c r="S24" s="857"/>
      <c r="T24" s="856">
        <f t="shared" si="159"/>
        <v>0</v>
      </c>
      <c r="U24" s="857"/>
      <c r="V24" s="856">
        <f t="shared" si="159"/>
        <v>0</v>
      </c>
      <c r="W24" s="857"/>
      <c r="X24" s="856">
        <f t="shared" si="159"/>
        <v>0</v>
      </c>
      <c r="Y24" s="857"/>
      <c r="Z24" s="856">
        <f t="shared" si="159"/>
        <v>0</v>
      </c>
      <c r="AA24" s="857"/>
      <c r="AB24" s="856">
        <f t="shared" si="159"/>
        <v>0</v>
      </c>
      <c r="AC24" s="857"/>
      <c r="AD24" s="856">
        <f t="shared" si="159"/>
        <v>0</v>
      </c>
      <c r="AE24" s="857"/>
      <c r="AF24" s="856">
        <f t="shared" si="159"/>
        <v>0</v>
      </c>
      <c r="AG24" s="857"/>
      <c r="AH24" s="856">
        <f t="shared" si="112"/>
        <v>0</v>
      </c>
      <c r="AI24" s="857"/>
      <c r="AJ24" s="856">
        <f t="shared" si="113"/>
        <v>0</v>
      </c>
      <c r="AK24" s="857"/>
      <c r="AL24" s="856">
        <f t="shared" si="114"/>
        <v>0</v>
      </c>
      <c r="AM24" s="857"/>
      <c r="AN24" s="856">
        <f t="shared" si="115"/>
        <v>0</v>
      </c>
      <c r="AO24" s="857"/>
      <c r="AP24" s="856">
        <f t="shared" si="116"/>
        <v>0</v>
      </c>
      <c r="AQ24" s="857"/>
      <c r="AR24" s="856">
        <f t="shared" si="117"/>
        <v>0</v>
      </c>
      <c r="AS24" s="857"/>
      <c r="AT24" s="856">
        <f t="shared" si="118"/>
        <v>0</v>
      </c>
      <c r="AU24" s="857"/>
      <c r="AV24" s="856">
        <f t="shared" si="119"/>
        <v>0</v>
      </c>
      <c r="AW24" s="857"/>
      <c r="AX24" s="856">
        <f t="shared" si="120"/>
        <v>0</v>
      </c>
      <c r="AY24" s="857"/>
      <c r="AZ24" s="856">
        <f t="shared" si="121"/>
        <v>0</v>
      </c>
      <c r="BA24" s="857"/>
      <c r="BB24" s="856">
        <f t="shared" si="122"/>
        <v>0</v>
      </c>
      <c r="BC24" s="857"/>
      <c r="BD24" s="856">
        <f t="shared" si="123"/>
        <v>0</v>
      </c>
      <c r="BE24" s="857"/>
      <c r="BF24" s="856">
        <f t="shared" si="124"/>
        <v>0</v>
      </c>
      <c r="BG24" s="857"/>
      <c r="BH24" s="856">
        <f t="shared" si="125"/>
        <v>0</v>
      </c>
      <c r="BI24" s="857"/>
      <c r="BJ24" s="856">
        <f t="shared" si="126"/>
        <v>0</v>
      </c>
      <c r="BK24" s="857"/>
      <c r="BL24" s="856">
        <f t="shared" si="127"/>
        <v>0</v>
      </c>
      <c r="BM24" s="857"/>
      <c r="BN24" s="856">
        <f t="shared" si="128"/>
        <v>0</v>
      </c>
      <c r="BO24" s="857"/>
      <c r="BP24" s="856">
        <f t="shared" si="129"/>
        <v>0</v>
      </c>
      <c r="BQ24" s="857"/>
      <c r="BR24" s="856">
        <f t="shared" si="130"/>
        <v>0</v>
      </c>
      <c r="BS24" s="857"/>
      <c r="BT24" s="856">
        <f t="shared" si="131"/>
        <v>0</v>
      </c>
      <c r="BU24" s="857"/>
      <c r="BV24" s="856"/>
      <c r="BW24" s="857"/>
      <c r="BX24" s="856">
        <f t="shared" si="132"/>
        <v>0</v>
      </c>
      <c r="BY24" s="857"/>
      <c r="BZ24" s="856">
        <f t="shared" si="133"/>
        <v>0</v>
      </c>
      <c r="CA24" s="857"/>
      <c r="CB24" s="856">
        <f t="shared" si="167"/>
        <v>0</v>
      </c>
      <c r="CC24" s="857"/>
      <c r="CD24" s="858">
        <f t="shared" si="16"/>
        <v>0</v>
      </c>
      <c r="CE24" s="861">
        <v>3422.848</v>
      </c>
      <c r="CF24" s="860">
        <f>CD24*CE24</f>
        <v>0</v>
      </c>
    </row>
    <row r="25" spans="1:84" ht="15" customHeight="1" x14ac:dyDescent="0.25">
      <c r="A25" s="864" t="s">
        <v>7732</v>
      </c>
      <c r="B25" s="856">
        <v>0</v>
      </c>
      <c r="C25" s="857"/>
      <c r="D25" s="856">
        <f t="shared" ref="D25:R32" si="169">B25</f>
        <v>0</v>
      </c>
      <c r="E25" s="857"/>
      <c r="F25" s="856">
        <f t="shared" si="169"/>
        <v>0</v>
      </c>
      <c r="G25" s="857"/>
      <c r="H25" s="856">
        <f t="shared" si="169"/>
        <v>0</v>
      </c>
      <c r="I25" s="857"/>
      <c r="J25" s="856">
        <f t="shared" si="169"/>
        <v>0</v>
      </c>
      <c r="K25" s="857"/>
      <c r="L25" s="856">
        <f t="shared" si="169"/>
        <v>0</v>
      </c>
      <c r="M25" s="857"/>
      <c r="N25" s="856">
        <f t="shared" si="169"/>
        <v>0</v>
      </c>
      <c r="O25" s="857"/>
      <c r="P25" s="856">
        <f t="shared" si="169"/>
        <v>0</v>
      </c>
      <c r="Q25" s="857"/>
      <c r="R25" s="856">
        <f t="shared" si="169"/>
        <v>0</v>
      </c>
      <c r="S25" s="857"/>
      <c r="T25" s="856">
        <f t="shared" si="159"/>
        <v>0</v>
      </c>
      <c r="U25" s="857"/>
      <c r="V25" s="856">
        <f t="shared" si="159"/>
        <v>0</v>
      </c>
      <c r="W25" s="857"/>
      <c r="X25" s="856">
        <f t="shared" si="159"/>
        <v>0</v>
      </c>
      <c r="Y25" s="857"/>
      <c r="Z25" s="856">
        <v>1</v>
      </c>
      <c r="AA25" s="857"/>
      <c r="AB25" s="856">
        <f t="shared" si="159"/>
        <v>1</v>
      </c>
      <c r="AC25" s="857"/>
      <c r="AD25" s="856">
        <f t="shared" si="159"/>
        <v>1</v>
      </c>
      <c r="AE25" s="857"/>
      <c r="AF25" s="856">
        <f t="shared" si="159"/>
        <v>1</v>
      </c>
      <c r="AG25" s="857"/>
      <c r="AH25" s="856">
        <f t="shared" si="159"/>
        <v>1</v>
      </c>
      <c r="AI25" s="857"/>
      <c r="AJ25" s="856">
        <f t="shared" si="113"/>
        <v>1</v>
      </c>
      <c r="AK25" s="857"/>
      <c r="AL25" s="856">
        <f t="shared" si="114"/>
        <v>1</v>
      </c>
      <c r="AM25" s="857"/>
      <c r="AN25" s="856">
        <f t="shared" si="115"/>
        <v>1</v>
      </c>
      <c r="AO25" s="857"/>
      <c r="AP25" s="856">
        <f t="shared" si="116"/>
        <v>1</v>
      </c>
      <c r="AQ25" s="857"/>
      <c r="AR25" s="856">
        <f t="shared" si="117"/>
        <v>1</v>
      </c>
      <c r="AS25" s="857"/>
      <c r="AT25" s="856">
        <f t="shared" si="118"/>
        <v>1</v>
      </c>
      <c r="AU25" s="857"/>
      <c r="AV25" s="856">
        <f t="shared" si="119"/>
        <v>1</v>
      </c>
      <c r="AW25" s="857"/>
      <c r="AX25" s="856">
        <f t="shared" si="120"/>
        <v>1</v>
      </c>
      <c r="AY25" s="857"/>
      <c r="AZ25" s="856">
        <f t="shared" si="121"/>
        <v>1</v>
      </c>
      <c r="BA25" s="857"/>
      <c r="BB25" s="856">
        <f t="shared" si="122"/>
        <v>1</v>
      </c>
      <c r="BC25" s="857"/>
      <c r="BD25" s="856">
        <f t="shared" si="123"/>
        <v>1</v>
      </c>
      <c r="BE25" s="857"/>
      <c r="BF25" s="856">
        <f t="shared" si="124"/>
        <v>1</v>
      </c>
      <c r="BG25" s="857"/>
      <c r="BH25" s="856">
        <f t="shared" si="125"/>
        <v>1</v>
      </c>
      <c r="BI25" s="857"/>
      <c r="BJ25" s="856">
        <f t="shared" si="126"/>
        <v>1</v>
      </c>
      <c r="BK25" s="857"/>
      <c r="BL25" s="856">
        <f t="shared" si="127"/>
        <v>1</v>
      </c>
      <c r="BM25" s="857"/>
      <c r="BN25" s="856">
        <f t="shared" si="128"/>
        <v>1</v>
      </c>
      <c r="BO25" s="857"/>
      <c r="BP25" s="856">
        <f t="shared" si="129"/>
        <v>1</v>
      </c>
      <c r="BQ25" s="857"/>
      <c r="BR25" s="856">
        <f t="shared" si="130"/>
        <v>1</v>
      </c>
      <c r="BS25" s="857"/>
      <c r="BT25" s="856">
        <f t="shared" si="131"/>
        <v>1</v>
      </c>
      <c r="BU25" s="857"/>
      <c r="BV25" s="856"/>
      <c r="BW25" s="857"/>
      <c r="BX25" s="856">
        <f t="shared" si="132"/>
        <v>0</v>
      </c>
      <c r="BY25" s="857"/>
      <c r="BZ25" s="856">
        <f t="shared" si="133"/>
        <v>0</v>
      </c>
      <c r="CA25" s="857"/>
      <c r="CB25" s="856">
        <f t="shared" si="96"/>
        <v>0</v>
      </c>
      <c r="CC25" s="857"/>
      <c r="CD25" s="858">
        <f t="shared" si="16"/>
        <v>24</v>
      </c>
      <c r="CE25" s="861">
        <v>2203.3440000000001</v>
      </c>
      <c r="CF25" s="860">
        <f>CD25*CE25</f>
        <v>52880.256000000001</v>
      </c>
    </row>
    <row r="26" spans="1:84" ht="15" customHeight="1" x14ac:dyDescent="0.25">
      <c r="A26" s="864" t="s">
        <v>7733</v>
      </c>
      <c r="B26" s="856"/>
      <c r="C26" s="857"/>
      <c r="D26" s="856">
        <f t="shared" si="169"/>
        <v>0</v>
      </c>
      <c r="E26" s="857"/>
      <c r="F26" s="856">
        <f t="shared" si="169"/>
        <v>0</v>
      </c>
      <c r="G26" s="857"/>
      <c r="H26" s="856">
        <f t="shared" si="169"/>
        <v>0</v>
      </c>
      <c r="I26" s="857"/>
      <c r="J26" s="856">
        <f t="shared" si="169"/>
        <v>0</v>
      </c>
      <c r="K26" s="857"/>
      <c r="L26" s="856">
        <f t="shared" si="169"/>
        <v>0</v>
      </c>
      <c r="M26" s="857"/>
      <c r="N26" s="856">
        <f t="shared" si="169"/>
        <v>0</v>
      </c>
      <c r="O26" s="857"/>
      <c r="P26" s="856">
        <f t="shared" si="169"/>
        <v>0</v>
      </c>
      <c r="Q26" s="857"/>
      <c r="R26" s="856">
        <f t="shared" si="169"/>
        <v>0</v>
      </c>
      <c r="S26" s="857"/>
      <c r="T26" s="856">
        <f t="shared" si="159"/>
        <v>0</v>
      </c>
      <c r="U26" s="857"/>
      <c r="V26" s="856">
        <f t="shared" si="159"/>
        <v>0</v>
      </c>
      <c r="W26" s="857"/>
      <c r="X26" s="856">
        <f t="shared" si="159"/>
        <v>0</v>
      </c>
      <c r="Y26" s="857"/>
      <c r="Z26" s="856">
        <f t="shared" si="159"/>
        <v>0</v>
      </c>
      <c r="AA26" s="857"/>
      <c r="AB26" s="856">
        <f t="shared" si="159"/>
        <v>0</v>
      </c>
      <c r="AC26" s="857"/>
      <c r="AD26" s="856">
        <f t="shared" si="159"/>
        <v>0</v>
      </c>
      <c r="AE26" s="857"/>
      <c r="AF26" s="856">
        <f t="shared" si="159"/>
        <v>0</v>
      </c>
      <c r="AG26" s="857"/>
      <c r="AH26" s="856">
        <f t="shared" si="112"/>
        <v>0</v>
      </c>
      <c r="AI26" s="857"/>
      <c r="AJ26" s="856">
        <f t="shared" si="113"/>
        <v>0</v>
      </c>
      <c r="AK26" s="857"/>
      <c r="AL26" s="856">
        <f t="shared" si="114"/>
        <v>0</v>
      </c>
      <c r="AM26" s="857"/>
      <c r="AN26" s="856">
        <f t="shared" si="115"/>
        <v>0</v>
      </c>
      <c r="AO26" s="857"/>
      <c r="AP26" s="856">
        <f t="shared" si="116"/>
        <v>0</v>
      </c>
      <c r="AQ26" s="857"/>
      <c r="AR26" s="856">
        <f t="shared" si="117"/>
        <v>0</v>
      </c>
      <c r="AS26" s="857"/>
      <c r="AT26" s="856">
        <f t="shared" si="118"/>
        <v>0</v>
      </c>
      <c r="AU26" s="857"/>
      <c r="AV26" s="856">
        <f t="shared" si="119"/>
        <v>0</v>
      </c>
      <c r="AW26" s="857"/>
      <c r="AX26" s="856">
        <f t="shared" si="120"/>
        <v>0</v>
      </c>
      <c r="AY26" s="857"/>
      <c r="AZ26" s="856">
        <f t="shared" si="121"/>
        <v>0</v>
      </c>
      <c r="BA26" s="857"/>
      <c r="BB26" s="856">
        <f t="shared" si="122"/>
        <v>0</v>
      </c>
      <c r="BC26" s="857"/>
      <c r="BD26" s="856">
        <f t="shared" si="123"/>
        <v>0</v>
      </c>
      <c r="BE26" s="857"/>
      <c r="BF26" s="856">
        <f t="shared" si="124"/>
        <v>0</v>
      </c>
      <c r="BG26" s="857"/>
      <c r="BH26" s="856">
        <f t="shared" si="125"/>
        <v>0</v>
      </c>
      <c r="BI26" s="857"/>
      <c r="BJ26" s="856">
        <f t="shared" si="126"/>
        <v>0</v>
      </c>
      <c r="BK26" s="857"/>
      <c r="BL26" s="856">
        <f t="shared" si="127"/>
        <v>0</v>
      </c>
      <c r="BM26" s="857"/>
      <c r="BN26" s="856">
        <f t="shared" si="128"/>
        <v>0</v>
      </c>
      <c r="BO26" s="857"/>
      <c r="BP26" s="856">
        <f t="shared" si="129"/>
        <v>0</v>
      </c>
      <c r="BQ26" s="857"/>
      <c r="BR26" s="856">
        <f t="shared" si="130"/>
        <v>0</v>
      </c>
      <c r="BS26" s="857"/>
      <c r="BT26" s="856">
        <f t="shared" si="131"/>
        <v>0</v>
      </c>
      <c r="BU26" s="857"/>
      <c r="BV26" s="856"/>
      <c r="BW26" s="857"/>
      <c r="BX26" s="856">
        <f t="shared" si="132"/>
        <v>0</v>
      </c>
      <c r="BY26" s="857"/>
      <c r="BZ26" s="856">
        <f t="shared" si="133"/>
        <v>0</v>
      </c>
      <c r="CA26" s="857"/>
      <c r="CB26" s="856">
        <f t="shared" si="96"/>
        <v>0</v>
      </c>
      <c r="CC26" s="857"/>
      <c r="CD26" s="858">
        <f t="shared" si="16"/>
        <v>0</v>
      </c>
      <c r="CE26" s="861">
        <v>6240</v>
      </c>
      <c r="CF26" s="860">
        <f t="shared" ref="CF26:CF34" si="170">CD26*CE26</f>
        <v>0</v>
      </c>
    </row>
    <row r="27" spans="1:84" ht="15" customHeight="1" x14ac:dyDescent="0.25">
      <c r="A27" s="866" t="s">
        <v>7735</v>
      </c>
      <c r="B27" s="856"/>
      <c r="C27" s="857"/>
      <c r="D27" s="856">
        <f t="shared" si="169"/>
        <v>0</v>
      </c>
      <c r="E27" s="857"/>
      <c r="F27" s="856">
        <f t="shared" si="169"/>
        <v>0</v>
      </c>
      <c r="G27" s="857"/>
      <c r="H27" s="856">
        <f t="shared" si="169"/>
        <v>0</v>
      </c>
      <c r="I27" s="857"/>
      <c r="J27" s="856">
        <f t="shared" si="169"/>
        <v>0</v>
      </c>
      <c r="K27" s="857"/>
      <c r="L27" s="856">
        <f t="shared" si="169"/>
        <v>0</v>
      </c>
      <c r="M27" s="857"/>
      <c r="N27" s="856">
        <f t="shared" si="169"/>
        <v>0</v>
      </c>
      <c r="O27" s="857"/>
      <c r="P27" s="856">
        <f t="shared" si="169"/>
        <v>0</v>
      </c>
      <c r="Q27" s="857"/>
      <c r="R27" s="856">
        <f t="shared" si="169"/>
        <v>0</v>
      </c>
      <c r="S27" s="857"/>
      <c r="T27" s="856">
        <f t="shared" si="159"/>
        <v>0</v>
      </c>
      <c r="U27" s="857"/>
      <c r="V27" s="856">
        <f t="shared" si="159"/>
        <v>0</v>
      </c>
      <c r="W27" s="857"/>
      <c r="X27" s="856">
        <f t="shared" si="159"/>
        <v>0</v>
      </c>
      <c r="Y27" s="857"/>
      <c r="Z27" s="856">
        <f t="shared" si="159"/>
        <v>0</v>
      </c>
      <c r="AA27" s="857"/>
      <c r="AB27" s="856">
        <f t="shared" si="159"/>
        <v>0</v>
      </c>
      <c r="AC27" s="857"/>
      <c r="AD27" s="856">
        <f t="shared" si="159"/>
        <v>0</v>
      </c>
      <c r="AE27" s="857"/>
      <c r="AF27" s="856">
        <f t="shared" si="159"/>
        <v>0</v>
      </c>
      <c r="AG27" s="857"/>
      <c r="AH27" s="856">
        <f t="shared" si="112"/>
        <v>0</v>
      </c>
      <c r="AI27" s="857"/>
      <c r="AJ27" s="856">
        <f t="shared" si="113"/>
        <v>0</v>
      </c>
      <c r="AK27" s="857"/>
      <c r="AL27" s="856">
        <f t="shared" si="114"/>
        <v>0</v>
      </c>
      <c r="AM27" s="857"/>
      <c r="AN27" s="856">
        <f t="shared" si="115"/>
        <v>0</v>
      </c>
      <c r="AO27" s="857"/>
      <c r="AP27" s="856">
        <f t="shared" si="116"/>
        <v>0</v>
      </c>
      <c r="AQ27" s="857"/>
      <c r="AR27" s="856">
        <f t="shared" si="117"/>
        <v>0</v>
      </c>
      <c r="AS27" s="857"/>
      <c r="AT27" s="856">
        <f t="shared" si="118"/>
        <v>0</v>
      </c>
      <c r="AU27" s="857"/>
      <c r="AV27" s="856">
        <f t="shared" si="119"/>
        <v>0</v>
      </c>
      <c r="AW27" s="857"/>
      <c r="AX27" s="856">
        <f t="shared" si="120"/>
        <v>0</v>
      </c>
      <c r="AY27" s="857"/>
      <c r="AZ27" s="856">
        <f t="shared" si="121"/>
        <v>0</v>
      </c>
      <c r="BA27" s="857"/>
      <c r="BB27" s="856">
        <f t="shared" si="122"/>
        <v>0</v>
      </c>
      <c r="BC27" s="857"/>
      <c r="BD27" s="856">
        <f t="shared" si="123"/>
        <v>0</v>
      </c>
      <c r="BE27" s="857"/>
      <c r="BF27" s="856">
        <f t="shared" si="124"/>
        <v>0</v>
      </c>
      <c r="BG27" s="857"/>
      <c r="BH27" s="856">
        <f t="shared" si="125"/>
        <v>0</v>
      </c>
      <c r="BI27" s="857"/>
      <c r="BJ27" s="856">
        <f t="shared" si="126"/>
        <v>0</v>
      </c>
      <c r="BK27" s="857"/>
      <c r="BL27" s="856">
        <f t="shared" si="127"/>
        <v>0</v>
      </c>
      <c r="BM27" s="857"/>
      <c r="BN27" s="856">
        <f t="shared" si="128"/>
        <v>0</v>
      </c>
      <c r="BO27" s="857"/>
      <c r="BP27" s="856">
        <f t="shared" si="129"/>
        <v>0</v>
      </c>
      <c r="BQ27" s="857"/>
      <c r="BR27" s="856">
        <f t="shared" si="130"/>
        <v>0</v>
      </c>
      <c r="BS27" s="857"/>
      <c r="BT27" s="856">
        <f t="shared" si="131"/>
        <v>0</v>
      </c>
      <c r="BU27" s="857"/>
      <c r="BV27" s="856"/>
      <c r="BW27" s="857"/>
      <c r="BX27" s="856">
        <f t="shared" si="132"/>
        <v>0</v>
      </c>
      <c r="BY27" s="857"/>
      <c r="BZ27" s="856">
        <f t="shared" si="133"/>
        <v>0</v>
      </c>
      <c r="CA27" s="857"/>
      <c r="CB27" s="856">
        <f t="shared" si="96"/>
        <v>0</v>
      </c>
      <c r="CC27" s="857"/>
      <c r="CD27" s="858">
        <f t="shared" si="16"/>
        <v>0</v>
      </c>
      <c r="CE27" s="861">
        <v>2892.0320000000002</v>
      </c>
      <c r="CF27" s="867">
        <f t="shared" si="170"/>
        <v>0</v>
      </c>
    </row>
    <row r="28" spans="1:84" ht="15" customHeight="1" x14ac:dyDescent="0.25">
      <c r="A28" s="864" t="s">
        <v>7736</v>
      </c>
      <c r="B28" s="856"/>
      <c r="C28" s="857"/>
      <c r="D28" s="856">
        <f t="shared" si="169"/>
        <v>0</v>
      </c>
      <c r="E28" s="857"/>
      <c r="F28" s="856">
        <f t="shared" si="169"/>
        <v>0</v>
      </c>
      <c r="G28" s="857"/>
      <c r="H28" s="856">
        <f t="shared" si="169"/>
        <v>0</v>
      </c>
      <c r="I28" s="857"/>
      <c r="J28" s="856">
        <f t="shared" si="169"/>
        <v>0</v>
      </c>
      <c r="K28" s="857"/>
      <c r="L28" s="856">
        <f t="shared" si="169"/>
        <v>0</v>
      </c>
      <c r="M28" s="857"/>
      <c r="N28" s="856">
        <f t="shared" si="169"/>
        <v>0</v>
      </c>
      <c r="O28" s="857"/>
      <c r="P28" s="856">
        <f t="shared" si="169"/>
        <v>0</v>
      </c>
      <c r="Q28" s="857"/>
      <c r="R28" s="856">
        <f t="shared" si="169"/>
        <v>0</v>
      </c>
      <c r="S28" s="857"/>
      <c r="T28" s="856">
        <f t="shared" si="159"/>
        <v>0</v>
      </c>
      <c r="U28" s="857"/>
      <c r="V28" s="856">
        <f t="shared" si="159"/>
        <v>0</v>
      </c>
      <c r="W28" s="857"/>
      <c r="X28" s="856">
        <f t="shared" si="159"/>
        <v>0</v>
      </c>
      <c r="Y28" s="857"/>
      <c r="Z28" s="856">
        <f t="shared" si="159"/>
        <v>0</v>
      </c>
      <c r="AA28" s="857"/>
      <c r="AB28" s="856">
        <f t="shared" si="159"/>
        <v>0</v>
      </c>
      <c r="AC28" s="857"/>
      <c r="AD28" s="856">
        <f t="shared" si="159"/>
        <v>0</v>
      </c>
      <c r="AE28" s="857"/>
      <c r="AF28" s="856">
        <f t="shared" si="159"/>
        <v>0</v>
      </c>
      <c r="AG28" s="857"/>
      <c r="AH28" s="856">
        <f t="shared" si="112"/>
        <v>0</v>
      </c>
      <c r="AI28" s="857"/>
      <c r="AJ28" s="856">
        <f t="shared" si="113"/>
        <v>0</v>
      </c>
      <c r="AK28" s="857"/>
      <c r="AL28" s="856">
        <f t="shared" si="114"/>
        <v>0</v>
      </c>
      <c r="AM28" s="857"/>
      <c r="AN28" s="856">
        <f t="shared" si="115"/>
        <v>0</v>
      </c>
      <c r="AO28" s="857"/>
      <c r="AP28" s="856">
        <f t="shared" si="116"/>
        <v>0</v>
      </c>
      <c r="AQ28" s="857"/>
      <c r="AR28" s="856">
        <f t="shared" si="117"/>
        <v>0</v>
      </c>
      <c r="AS28" s="857"/>
      <c r="AT28" s="856">
        <f t="shared" si="118"/>
        <v>0</v>
      </c>
      <c r="AU28" s="857"/>
      <c r="AV28" s="856">
        <f t="shared" si="119"/>
        <v>0</v>
      </c>
      <c r="AW28" s="857"/>
      <c r="AX28" s="856">
        <f t="shared" si="120"/>
        <v>0</v>
      </c>
      <c r="AY28" s="857"/>
      <c r="AZ28" s="856">
        <f t="shared" si="121"/>
        <v>0</v>
      </c>
      <c r="BA28" s="857"/>
      <c r="BB28" s="856">
        <f t="shared" si="122"/>
        <v>0</v>
      </c>
      <c r="BC28" s="857"/>
      <c r="BD28" s="856">
        <f t="shared" si="123"/>
        <v>0</v>
      </c>
      <c r="BE28" s="857"/>
      <c r="BF28" s="856">
        <f t="shared" si="124"/>
        <v>0</v>
      </c>
      <c r="BG28" s="857"/>
      <c r="BH28" s="856">
        <f t="shared" si="125"/>
        <v>0</v>
      </c>
      <c r="BI28" s="857"/>
      <c r="BJ28" s="856">
        <f t="shared" si="126"/>
        <v>0</v>
      </c>
      <c r="BK28" s="857"/>
      <c r="BL28" s="856">
        <f t="shared" si="127"/>
        <v>0</v>
      </c>
      <c r="BM28" s="857"/>
      <c r="BN28" s="856">
        <f t="shared" si="128"/>
        <v>0</v>
      </c>
      <c r="BO28" s="857"/>
      <c r="BP28" s="856">
        <f t="shared" si="129"/>
        <v>0</v>
      </c>
      <c r="BQ28" s="857"/>
      <c r="BR28" s="856">
        <f t="shared" si="130"/>
        <v>0</v>
      </c>
      <c r="BS28" s="857"/>
      <c r="BT28" s="856">
        <f t="shared" si="131"/>
        <v>0</v>
      </c>
      <c r="BU28" s="857"/>
      <c r="BV28" s="856"/>
      <c r="BW28" s="865"/>
      <c r="BX28" s="856">
        <f t="shared" si="132"/>
        <v>0</v>
      </c>
      <c r="BY28" s="865"/>
      <c r="BZ28" s="856">
        <f t="shared" si="133"/>
        <v>0</v>
      </c>
      <c r="CA28" s="865"/>
      <c r="CB28" s="856">
        <f t="shared" si="96"/>
        <v>0</v>
      </c>
      <c r="CC28" s="865"/>
      <c r="CD28" s="858">
        <f t="shared" si="16"/>
        <v>0</v>
      </c>
      <c r="CE28" s="861"/>
      <c r="CF28" s="867">
        <f t="shared" si="170"/>
        <v>0</v>
      </c>
    </row>
    <row r="29" spans="1:84" ht="15" customHeight="1" x14ac:dyDescent="0.25">
      <c r="A29" s="864" t="s">
        <v>1286</v>
      </c>
      <c r="B29" s="856"/>
      <c r="C29" s="857"/>
      <c r="D29" s="856">
        <f t="shared" si="169"/>
        <v>0</v>
      </c>
      <c r="E29" s="857"/>
      <c r="F29" s="856">
        <f t="shared" si="169"/>
        <v>0</v>
      </c>
      <c r="G29" s="857"/>
      <c r="H29" s="856">
        <f t="shared" si="169"/>
        <v>0</v>
      </c>
      <c r="I29" s="857"/>
      <c r="J29" s="856">
        <f t="shared" si="169"/>
        <v>0</v>
      </c>
      <c r="K29" s="857"/>
      <c r="L29" s="856">
        <f t="shared" si="169"/>
        <v>0</v>
      </c>
      <c r="M29" s="857"/>
      <c r="N29" s="856">
        <f t="shared" si="169"/>
        <v>0</v>
      </c>
      <c r="O29" s="857"/>
      <c r="P29" s="856">
        <f t="shared" si="169"/>
        <v>0</v>
      </c>
      <c r="Q29" s="857"/>
      <c r="R29" s="856">
        <f t="shared" si="169"/>
        <v>0</v>
      </c>
      <c r="S29" s="857"/>
      <c r="T29" s="856">
        <f t="shared" si="159"/>
        <v>0</v>
      </c>
      <c r="U29" s="857"/>
      <c r="V29" s="856">
        <f t="shared" si="159"/>
        <v>0</v>
      </c>
      <c r="W29" s="857"/>
      <c r="X29" s="856">
        <f t="shared" si="159"/>
        <v>0</v>
      </c>
      <c r="Y29" s="857"/>
      <c r="Z29" s="856">
        <v>2</v>
      </c>
      <c r="AA29" s="857"/>
      <c r="AB29" s="856">
        <f t="shared" si="159"/>
        <v>2</v>
      </c>
      <c r="AC29" s="857"/>
      <c r="AD29" s="856">
        <f t="shared" si="159"/>
        <v>2</v>
      </c>
      <c r="AE29" s="857"/>
      <c r="AF29" s="856">
        <f t="shared" si="159"/>
        <v>2</v>
      </c>
      <c r="AG29" s="857"/>
      <c r="AH29" s="856">
        <f t="shared" si="159"/>
        <v>2</v>
      </c>
      <c r="AI29" s="857"/>
      <c r="AJ29" s="856">
        <f t="shared" si="113"/>
        <v>2</v>
      </c>
      <c r="AK29" s="857"/>
      <c r="AL29" s="856">
        <f t="shared" si="114"/>
        <v>2</v>
      </c>
      <c r="AM29" s="857"/>
      <c r="AN29" s="856">
        <f t="shared" si="115"/>
        <v>2</v>
      </c>
      <c r="AO29" s="857"/>
      <c r="AP29" s="856">
        <f t="shared" si="116"/>
        <v>2</v>
      </c>
      <c r="AQ29" s="857"/>
      <c r="AR29" s="856">
        <f t="shared" si="117"/>
        <v>2</v>
      </c>
      <c r="AS29" s="857"/>
      <c r="AT29" s="856">
        <f t="shared" si="118"/>
        <v>2</v>
      </c>
      <c r="AU29" s="857"/>
      <c r="AV29" s="856">
        <f t="shared" si="119"/>
        <v>2</v>
      </c>
      <c r="AW29" s="857"/>
      <c r="AX29" s="856">
        <f t="shared" si="120"/>
        <v>2</v>
      </c>
      <c r="AY29" s="857"/>
      <c r="AZ29" s="856">
        <f t="shared" si="121"/>
        <v>2</v>
      </c>
      <c r="BA29" s="857"/>
      <c r="BB29" s="856">
        <f t="shared" si="122"/>
        <v>2</v>
      </c>
      <c r="BC29" s="857"/>
      <c r="BD29" s="856">
        <f t="shared" si="123"/>
        <v>2</v>
      </c>
      <c r="BE29" s="857"/>
      <c r="BF29" s="856">
        <f t="shared" si="124"/>
        <v>2</v>
      </c>
      <c r="BG29" s="857"/>
      <c r="BH29" s="856">
        <f t="shared" si="125"/>
        <v>2</v>
      </c>
      <c r="BI29" s="857">
        <v>0.2</v>
      </c>
      <c r="BJ29" s="856">
        <f t="shared" si="126"/>
        <v>2</v>
      </c>
      <c r="BK29" s="857">
        <v>0.2</v>
      </c>
      <c r="BL29" s="856">
        <f t="shared" si="127"/>
        <v>2</v>
      </c>
      <c r="BM29" s="857">
        <v>0.2</v>
      </c>
      <c r="BN29" s="856">
        <f t="shared" si="128"/>
        <v>2</v>
      </c>
      <c r="BO29" s="857">
        <v>0.2</v>
      </c>
      <c r="BP29" s="856">
        <f t="shared" si="129"/>
        <v>2</v>
      </c>
      <c r="BQ29" s="857">
        <v>0.2</v>
      </c>
      <c r="BR29" s="856">
        <f t="shared" si="130"/>
        <v>2</v>
      </c>
      <c r="BS29" s="857">
        <v>0.2</v>
      </c>
      <c r="BT29" s="856">
        <f t="shared" si="131"/>
        <v>2</v>
      </c>
      <c r="BU29" s="857">
        <v>0.2</v>
      </c>
      <c r="BV29" s="856"/>
      <c r="BW29" s="865"/>
      <c r="BX29" s="856">
        <f t="shared" si="132"/>
        <v>0</v>
      </c>
      <c r="BY29" s="865"/>
      <c r="BZ29" s="856">
        <f t="shared" si="133"/>
        <v>0</v>
      </c>
      <c r="CA29" s="865"/>
      <c r="CB29" s="856">
        <f t="shared" si="96"/>
        <v>0</v>
      </c>
      <c r="CC29" s="865"/>
      <c r="CD29" s="858">
        <f t="shared" si="16"/>
        <v>48</v>
      </c>
      <c r="CE29" s="861">
        <v>3113.9679999999998</v>
      </c>
      <c r="CF29" s="860">
        <f t="shared" si="170"/>
        <v>149470.46399999998</v>
      </c>
    </row>
    <row r="30" spans="1:84" ht="15" customHeight="1" x14ac:dyDescent="0.25">
      <c r="A30" s="868" t="s">
        <v>7737</v>
      </c>
      <c r="B30" s="869">
        <v>1</v>
      </c>
      <c r="C30" s="865"/>
      <c r="D30" s="856">
        <f t="shared" si="169"/>
        <v>1</v>
      </c>
      <c r="E30" s="865"/>
      <c r="F30" s="856">
        <f t="shared" si="169"/>
        <v>1</v>
      </c>
      <c r="G30" s="857">
        <v>0.2</v>
      </c>
      <c r="H30" s="856">
        <f t="shared" si="169"/>
        <v>1</v>
      </c>
      <c r="I30" s="857">
        <v>0.2</v>
      </c>
      <c r="J30" s="856">
        <f t="shared" si="169"/>
        <v>1</v>
      </c>
      <c r="K30" s="857">
        <v>0.2</v>
      </c>
      <c r="L30" s="856">
        <f t="shared" si="169"/>
        <v>1</v>
      </c>
      <c r="M30" s="857">
        <v>0.2</v>
      </c>
      <c r="N30" s="856">
        <f t="shared" si="169"/>
        <v>1</v>
      </c>
      <c r="O30" s="857">
        <v>0.2</v>
      </c>
      <c r="P30" s="856">
        <f t="shared" si="169"/>
        <v>1</v>
      </c>
      <c r="Q30" s="857">
        <v>0.2</v>
      </c>
      <c r="R30" s="856">
        <f t="shared" si="169"/>
        <v>1</v>
      </c>
      <c r="S30" s="857">
        <v>0.2</v>
      </c>
      <c r="T30" s="856">
        <f t="shared" si="159"/>
        <v>1</v>
      </c>
      <c r="U30" s="857">
        <v>0.2</v>
      </c>
      <c r="V30" s="856">
        <f t="shared" si="159"/>
        <v>1</v>
      </c>
      <c r="W30" s="857">
        <v>0.2</v>
      </c>
      <c r="X30" s="856">
        <f t="shared" si="159"/>
        <v>1</v>
      </c>
      <c r="Y30" s="857">
        <v>0.2</v>
      </c>
      <c r="Z30" s="856"/>
      <c r="AA30" s="857"/>
      <c r="AB30" s="856">
        <f t="shared" si="159"/>
        <v>0</v>
      </c>
      <c r="AC30" s="857"/>
      <c r="AD30" s="856">
        <f t="shared" si="159"/>
        <v>0</v>
      </c>
      <c r="AE30" s="857"/>
      <c r="AF30" s="856">
        <f t="shared" si="159"/>
        <v>0</v>
      </c>
      <c r="AG30" s="857"/>
      <c r="AH30" s="856">
        <f t="shared" si="159"/>
        <v>0</v>
      </c>
      <c r="AI30" s="857"/>
      <c r="AJ30" s="856">
        <f t="shared" si="113"/>
        <v>0</v>
      </c>
      <c r="AK30" s="857"/>
      <c r="AL30" s="856">
        <f t="shared" si="114"/>
        <v>0</v>
      </c>
      <c r="AM30" s="857"/>
      <c r="AN30" s="856">
        <f t="shared" si="115"/>
        <v>0</v>
      </c>
      <c r="AO30" s="857"/>
      <c r="AP30" s="856">
        <f t="shared" si="116"/>
        <v>0</v>
      </c>
      <c r="AQ30" s="857"/>
      <c r="AR30" s="856">
        <f t="shared" si="117"/>
        <v>0</v>
      </c>
      <c r="AS30" s="857"/>
      <c r="AT30" s="856">
        <f t="shared" si="118"/>
        <v>0</v>
      </c>
      <c r="AU30" s="857"/>
      <c r="AV30" s="856">
        <f t="shared" si="119"/>
        <v>0</v>
      </c>
      <c r="AW30" s="857"/>
      <c r="AX30" s="856">
        <f t="shared" si="120"/>
        <v>0</v>
      </c>
      <c r="AY30" s="857"/>
      <c r="AZ30" s="856">
        <f t="shared" si="121"/>
        <v>0</v>
      </c>
      <c r="BA30" s="857"/>
      <c r="BB30" s="856">
        <f t="shared" si="122"/>
        <v>0</v>
      </c>
      <c r="BC30" s="857"/>
      <c r="BD30" s="856">
        <f t="shared" si="123"/>
        <v>0</v>
      </c>
      <c r="BE30" s="857"/>
      <c r="BF30" s="856">
        <f t="shared" si="124"/>
        <v>0</v>
      </c>
      <c r="BG30" s="857"/>
      <c r="BH30" s="856">
        <f t="shared" si="125"/>
        <v>0</v>
      </c>
      <c r="BI30" s="857"/>
      <c r="BJ30" s="856">
        <f t="shared" si="126"/>
        <v>0</v>
      </c>
      <c r="BK30" s="857"/>
      <c r="BL30" s="856">
        <f t="shared" si="127"/>
        <v>0</v>
      </c>
      <c r="BM30" s="857"/>
      <c r="BN30" s="856">
        <f t="shared" si="128"/>
        <v>0</v>
      </c>
      <c r="BO30" s="857"/>
      <c r="BP30" s="856">
        <f t="shared" si="129"/>
        <v>0</v>
      </c>
      <c r="BQ30" s="857"/>
      <c r="BR30" s="856">
        <f t="shared" si="130"/>
        <v>0</v>
      </c>
      <c r="BS30" s="857"/>
      <c r="BT30" s="856">
        <f t="shared" si="131"/>
        <v>0</v>
      </c>
      <c r="BU30" s="857"/>
      <c r="BV30" s="856"/>
      <c r="BW30" s="865"/>
      <c r="BX30" s="856">
        <f t="shared" si="132"/>
        <v>0</v>
      </c>
      <c r="BY30" s="865"/>
      <c r="BZ30" s="856">
        <f t="shared" si="133"/>
        <v>0</v>
      </c>
      <c r="CA30" s="865"/>
      <c r="CB30" s="856">
        <f t="shared" si="96"/>
        <v>0</v>
      </c>
      <c r="CC30" s="865"/>
      <c r="CD30" s="858">
        <f t="shared" si="16"/>
        <v>12</v>
      </c>
      <c r="CE30" s="861">
        <v>3113.9679999999998</v>
      </c>
      <c r="CF30" s="860">
        <f t="shared" si="170"/>
        <v>37367.615999999995</v>
      </c>
    </row>
    <row r="31" spans="1:84" ht="15" customHeight="1" x14ac:dyDescent="0.25">
      <c r="A31" s="868" t="s">
        <v>7738</v>
      </c>
      <c r="B31" s="856">
        <v>1</v>
      </c>
      <c r="C31" s="857"/>
      <c r="D31" s="856">
        <f t="shared" si="169"/>
        <v>1</v>
      </c>
      <c r="E31" s="857"/>
      <c r="F31" s="856">
        <f t="shared" si="169"/>
        <v>1</v>
      </c>
      <c r="G31" s="857">
        <v>0.2</v>
      </c>
      <c r="H31" s="856">
        <f t="shared" si="169"/>
        <v>1</v>
      </c>
      <c r="I31" s="857">
        <v>0.2</v>
      </c>
      <c r="J31" s="856">
        <f t="shared" si="169"/>
        <v>1</v>
      </c>
      <c r="K31" s="857">
        <v>0.2</v>
      </c>
      <c r="L31" s="856">
        <f t="shared" si="169"/>
        <v>1</v>
      </c>
      <c r="M31" s="857">
        <v>0.2</v>
      </c>
      <c r="N31" s="856">
        <f t="shared" ref="N31" si="171">L31</f>
        <v>1</v>
      </c>
      <c r="O31" s="857">
        <v>0.2</v>
      </c>
      <c r="P31" s="856">
        <f t="shared" si="169"/>
        <v>1</v>
      </c>
      <c r="Q31" s="857">
        <v>0.2</v>
      </c>
      <c r="R31" s="856"/>
      <c r="S31" s="857"/>
      <c r="T31" s="856"/>
      <c r="U31" s="857"/>
      <c r="V31" s="856"/>
      <c r="W31" s="857"/>
      <c r="X31" s="856">
        <f t="shared" si="159"/>
        <v>0</v>
      </c>
      <c r="Y31" s="857"/>
      <c r="Z31" s="856">
        <f t="shared" si="159"/>
        <v>0</v>
      </c>
      <c r="AA31" s="857"/>
      <c r="AB31" s="856">
        <f t="shared" si="159"/>
        <v>0</v>
      </c>
      <c r="AC31" s="857"/>
      <c r="AD31" s="856">
        <f t="shared" si="159"/>
        <v>0</v>
      </c>
      <c r="AE31" s="857"/>
      <c r="AF31" s="856">
        <f t="shared" si="159"/>
        <v>0</v>
      </c>
      <c r="AG31" s="857"/>
      <c r="AH31" s="856">
        <f t="shared" si="159"/>
        <v>0</v>
      </c>
      <c r="AI31" s="857"/>
      <c r="AJ31" s="856">
        <f t="shared" si="113"/>
        <v>0</v>
      </c>
      <c r="AK31" s="857"/>
      <c r="AL31" s="856">
        <f t="shared" si="114"/>
        <v>0</v>
      </c>
      <c r="AM31" s="857"/>
      <c r="AN31" s="856">
        <f t="shared" si="115"/>
        <v>0</v>
      </c>
      <c r="AO31" s="857"/>
      <c r="AP31" s="856">
        <f t="shared" si="116"/>
        <v>0</v>
      </c>
      <c r="AQ31" s="857"/>
      <c r="AR31" s="856">
        <f t="shared" si="117"/>
        <v>0</v>
      </c>
      <c r="AS31" s="857"/>
      <c r="AT31" s="856">
        <f t="shared" si="118"/>
        <v>0</v>
      </c>
      <c r="AU31" s="857"/>
      <c r="AV31" s="856">
        <f t="shared" si="119"/>
        <v>0</v>
      </c>
      <c r="AW31" s="857"/>
      <c r="AX31" s="856">
        <f t="shared" si="120"/>
        <v>0</v>
      </c>
      <c r="AY31" s="857"/>
      <c r="AZ31" s="856">
        <f t="shared" si="121"/>
        <v>0</v>
      </c>
      <c r="BA31" s="857"/>
      <c r="BB31" s="856">
        <f t="shared" si="122"/>
        <v>0</v>
      </c>
      <c r="BC31" s="857"/>
      <c r="BD31" s="856">
        <f t="shared" si="123"/>
        <v>0</v>
      </c>
      <c r="BE31" s="857"/>
      <c r="BF31" s="856">
        <f t="shared" si="124"/>
        <v>0</v>
      </c>
      <c r="BG31" s="857"/>
      <c r="BH31" s="856">
        <f t="shared" si="125"/>
        <v>0</v>
      </c>
      <c r="BI31" s="857"/>
      <c r="BJ31" s="856">
        <f t="shared" si="126"/>
        <v>0</v>
      </c>
      <c r="BK31" s="857"/>
      <c r="BL31" s="856">
        <f t="shared" si="127"/>
        <v>0</v>
      </c>
      <c r="BM31" s="857"/>
      <c r="BN31" s="856">
        <f t="shared" si="128"/>
        <v>0</v>
      </c>
      <c r="BO31" s="857"/>
      <c r="BP31" s="856">
        <f t="shared" si="129"/>
        <v>0</v>
      </c>
      <c r="BQ31" s="857"/>
      <c r="BR31" s="856">
        <f t="shared" si="130"/>
        <v>0</v>
      </c>
      <c r="BS31" s="857"/>
      <c r="BT31" s="856">
        <f t="shared" si="131"/>
        <v>0</v>
      </c>
      <c r="BU31" s="857"/>
      <c r="BV31" s="856"/>
      <c r="BW31" s="857"/>
      <c r="BX31" s="856">
        <f t="shared" si="132"/>
        <v>0</v>
      </c>
      <c r="BY31" s="857"/>
      <c r="BZ31" s="856">
        <f t="shared" si="133"/>
        <v>0</v>
      </c>
      <c r="CA31" s="857"/>
      <c r="CB31" s="856">
        <f t="shared" si="96"/>
        <v>0</v>
      </c>
      <c r="CC31" s="857"/>
      <c r="CD31" s="858">
        <f t="shared" si="16"/>
        <v>8</v>
      </c>
      <c r="CE31" s="861">
        <v>2768.48</v>
      </c>
      <c r="CF31" s="860">
        <f t="shared" si="170"/>
        <v>22147.84</v>
      </c>
    </row>
    <row r="32" spans="1:84" ht="15" customHeight="1" x14ac:dyDescent="0.25">
      <c r="A32" s="868" t="s">
        <v>7739</v>
      </c>
      <c r="B32" s="856"/>
      <c r="C32" s="857"/>
      <c r="D32" s="856">
        <f t="shared" si="169"/>
        <v>0</v>
      </c>
      <c r="E32" s="857"/>
      <c r="F32" s="856">
        <f t="shared" si="169"/>
        <v>0</v>
      </c>
      <c r="G32" s="857"/>
      <c r="H32" s="856">
        <f t="shared" si="169"/>
        <v>0</v>
      </c>
      <c r="I32" s="857"/>
      <c r="J32" s="856">
        <f t="shared" si="169"/>
        <v>0</v>
      </c>
      <c r="K32" s="857"/>
      <c r="L32" s="856">
        <f t="shared" si="169"/>
        <v>0</v>
      </c>
      <c r="M32" s="857"/>
      <c r="N32" s="856">
        <f t="shared" si="169"/>
        <v>0</v>
      </c>
      <c r="O32" s="857"/>
      <c r="P32" s="856">
        <f t="shared" si="169"/>
        <v>0</v>
      </c>
      <c r="Q32" s="857"/>
      <c r="R32" s="856">
        <f t="shared" si="169"/>
        <v>0</v>
      </c>
      <c r="S32" s="857"/>
      <c r="T32" s="856">
        <f t="shared" si="159"/>
        <v>0</v>
      </c>
      <c r="U32" s="857"/>
      <c r="V32" s="856">
        <f t="shared" si="159"/>
        <v>0</v>
      </c>
      <c r="W32" s="857"/>
      <c r="X32" s="856">
        <f t="shared" si="159"/>
        <v>0</v>
      </c>
      <c r="Y32" s="857"/>
      <c r="Z32" s="856">
        <f t="shared" si="159"/>
        <v>0</v>
      </c>
      <c r="AA32" s="857"/>
      <c r="AB32" s="856">
        <f t="shared" si="159"/>
        <v>0</v>
      </c>
      <c r="AC32" s="857"/>
      <c r="AD32" s="856">
        <f t="shared" si="159"/>
        <v>0</v>
      </c>
      <c r="AE32" s="857"/>
      <c r="AF32" s="856">
        <f t="shared" si="159"/>
        <v>0</v>
      </c>
      <c r="AG32" s="857"/>
      <c r="AH32" s="856">
        <f t="shared" si="112"/>
        <v>0</v>
      </c>
      <c r="AI32" s="857"/>
      <c r="AJ32" s="856">
        <f t="shared" si="113"/>
        <v>0</v>
      </c>
      <c r="AK32" s="857"/>
      <c r="AL32" s="856">
        <f t="shared" si="114"/>
        <v>0</v>
      </c>
      <c r="AM32" s="857"/>
      <c r="AN32" s="856">
        <f t="shared" si="115"/>
        <v>0</v>
      </c>
      <c r="AO32" s="857"/>
      <c r="AP32" s="856">
        <f t="shared" si="116"/>
        <v>0</v>
      </c>
      <c r="AQ32" s="857"/>
      <c r="AR32" s="856">
        <f t="shared" si="117"/>
        <v>0</v>
      </c>
      <c r="AS32" s="857"/>
      <c r="AT32" s="856">
        <f t="shared" si="118"/>
        <v>0</v>
      </c>
      <c r="AU32" s="857"/>
      <c r="AV32" s="856">
        <f t="shared" si="119"/>
        <v>0</v>
      </c>
      <c r="AW32" s="857"/>
      <c r="AX32" s="856">
        <f t="shared" si="120"/>
        <v>0</v>
      </c>
      <c r="AY32" s="857"/>
      <c r="AZ32" s="856">
        <f t="shared" si="121"/>
        <v>0</v>
      </c>
      <c r="BA32" s="857"/>
      <c r="BB32" s="856">
        <f t="shared" si="122"/>
        <v>0</v>
      </c>
      <c r="BC32" s="857"/>
      <c r="BD32" s="856">
        <f t="shared" si="123"/>
        <v>0</v>
      </c>
      <c r="BE32" s="857"/>
      <c r="BF32" s="856">
        <f t="shared" si="124"/>
        <v>0</v>
      </c>
      <c r="BG32" s="857"/>
      <c r="BH32" s="856">
        <f t="shared" si="125"/>
        <v>0</v>
      </c>
      <c r="BI32" s="857"/>
      <c r="BJ32" s="856">
        <f t="shared" si="126"/>
        <v>0</v>
      </c>
      <c r="BK32" s="857"/>
      <c r="BL32" s="856">
        <f t="shared" si="127"/>
        <v>0</v>
      </c>
      <c r="BM32" s="857"/>
      <c r="BN32" s="856">
        <f t="shared" si="128"/>
        <v>0</v>
      </c>
      <c r="BO32" s="857"/>
      <c r="BP32" s="856">
        <f t="shared" si="129"/>
        <v>0</v>
      </c>
      <c r="BQ32" s="857"/>
      <c r="BR32" s="856">
        <f t="shared" si="130"/>
        <v>0</v>
      </c>
      <c r="BS32" s="857"/>
      <c r="BT32" s="856">
        <f t="shared" si="131"/>
        <v>0</v>
      </c>
      <c r="BU32" s="857"/>
      <c r="BV32" s="856"/>
      <c r="BW32" s="857"/>
      <c r="BX32" s="856">
        <f t="shared" si="132"/>
        <v>0</v>
      </c>
      <c r="BY32" s="857"/>
      <c r="BZ32" s="856">
        <f t="shared" si="133"/>
        <v>0</v>
      </c>
      <c r="CA32" s="857"/>
      <c r="CB32" s="856">
        <f t="shared" si="96"/>
        <v>0</v>
      </c>
      <c r="CC32" s="857"/>
      <c r="CD32" s="858">
        <f t="shared" si="16"/>
        <v>0</v>
      </c>
      <c r="CE32" s="861">
        <v>2768.48</v>
      </c>
      <c r="CF32" s="860">
        <f t="shared" si="170"/>
        <v>0</v>
      </c>
    </row>
    <row r="33" spans="1:86" ht="15" customHeight="1" x14ac:dyDescent="0.25">
      <c r="A33" s="868" t="s">
        <v>1288</v>
      </c>
      <c r="B33" s="856">
        <v>3</v>
      </c>
      <c r="C33" s="865"/>
      <c r="D33" s="856">
        <v>3</v>
      </c>
      <c r="E33" s="865"/>
      <c r="F33" s="856">
        <v>3</v>
      </c>
      <c r="G33" s="857">
        <v>0.2</v>
      </c>
      <c r="H33" s="856">
        <v>3</v>
      </c>
      <c r="I33" s="857">
        <v>0.2</v>
      </c>
      <c r="J33" s="856">
        <v>3</v>
      </c>
      <c r="K33" s="857">
        <v>0.2</v>
      </c>
      <c r="L33" s="856">
        <v>3</v>
      </c>
      <c r="M33" s="857">
        <v>0.2</v>
      </c>
      <c r="N33" s="856">
        <v>3</v>
      </c>
      <c r="O33" s="857">
        <v>0.2</v>
      </c>
      <c r="P33" s="856">
        <v>3</v>
      </c>
      <c r="Q33" s="857">
        <v>0.2</v>
      </c>
      <c r="R33" s="856">
        <v>3</v>
      </c>
      <c r="S33" s="857">
        <v>0.2</v>
      </c>
      <c r="T33" s="856">
        <v>3</v>
      </c>
      <c r="U33" s="857">
        <v>0.2</v>
      </c>
      <c r="V33" s="856">
        <v>3</v>
      </c>
      <c r="W33" s="857">
        <v>0.2</v>
      </c>
      <c r="X33" s="856">
        <v>3</v>
      </c>
      <c r="Y33" s="857">
        <v>0.2</v>
      </c>
      <c r="Z33" s="856">
        <f>SUM(Z29:Z31)+1</f>
        <v>3</v>
      </c>
      <c r="AA33" s="857">
        <v>0.1</v>
      </c>
      <c r="AB33" s="856">
        <f>SUM(AB29:AB31)+1</f>
        <v>3</v>
      </c>
      <c r="AC33" s="857">
        <v>0.1</v>
      </c>
      <c r="AD33" s="856">
        <f>SUM(AD29:AD31)+1</f>
        <v>3</v>
      </c>
      <c r="AE33" s="857">
        <v>0.1</v>
      </c>
      <c r="AF33" s="856">
        <f>SUM(AF29:AF31)+1</f>
        <v>3</v>
      </c>
      <c r="AG33" s="857">
        <v>0.1</v>
      </c>
      <c r="AH33" s="856">
        <f>SUM(AH29:AH31)+1</f>
        <v>3</v>
      </c>
      <c r="AI33" s="857">
        <v>0.1</v>
      </c>
      <c r="AJ33" s="856">
        <f>SUM(AJ29:AJ31)+1</f>
        <v>3</v>
      </c>
      <c r="AK33" s="857">
        <v>0.1</v>
      </c>
      <c r="AL33" s="856">
        <f>SUM(AL29:AL31)+1</f>
        <v>3</v>
      </c>
      <c r="AM33" s="857">
        <v>0.1</v>
      </c>
      <c r="AN33" s="856">
        <f>SUM(AN29:AN31)+1</f>
        <v>3</v>
      </c>
      <c r="AO33" s="857">
        <v>0.1</v>
      </c>
      <c r="AP33" s="856">
        <f>SUM(AP29:AP31)+1</f>
        <v>3</v>
      </c>
      <c r="AQ33" s="857">
        <v>0.1</v>
      </c>
      <c r="AR33" s="856">
        <f>SUM(AR29:AR31)+1</f>
        <v>3</v>
      </c>
      <c r="AS33" s="857">
        <v>0.1</v>
      </c>
      <c r="AT33" s="856">
        <f>SUM(AT29:AT31)+1</f>
        <v>3</v>
      </c>
      <c r="AU33" s="857">
        <v>0.1</v>
      </c>
      <c r="AV33" s="856">
        <f>SUM(AV29:AV31)+1</f>
        <v>3</v>
      </c>
      <c r="AW33" s="857">
        <v>0.1</v>
      </c>
      <c r="AX33" s="856">
        <f>SUM(AX29:AX31)+1</f>
        <v>3</v>
      </c>
      <c r="AY33" s="857">
        <v>0.1</v>
      </c>
      <c r="AZ33" s="856">
        <f>SUM(AZ29:AZ31)+1</f>
        <v>3</v>
      </c>
      <c r="BA33" s="857">
        <v>0.1</v>
      </c>
      <c r="BB33" s="856">
        <f>SUM(BB29:BB31)+1</f>
        <v>3</v>
      </c>
      <c r="BC33" s="857">
        <v>0.1</v>
      </c>
      <c r="BD33" s="856">
        <f>SUM(BD29:BD31)+1</f>
        <v>3</v>
      </c>
      <c r="BE33" s="857">
        <v>0.1</v>
      </c>
      <c r="BF33" s="856">
        <f>SUM(BF29:BF31)+1</f>
        <v>3</v>
      </c>
      <c r="BG33" s="857">
        <v>0.1</v>
      </c>
      <c r="BH33" s="856">
        <f>SUM(BH29:BH31)+1</f>
        <v>3</v>
      </c>
      <c r="BI33" s="857">
        <v>0.2</v>
      </c>
      <c r="BJ33" s="856">
        <f>SUM(BJ29:BJ31)+1</f>
        <v>3</v>
      </c>
      <c r="BK33" s="857">
        <v>0.2</v>
      </c>
      <c r="BL33" s="856">
        <f>SUM(BL29:BL31)+1</f>
        <v>3</v>
      </c>
      <c r="BM33" s="857">
        <v>0.2</v>
      </c>
      <c r="BN33" s="856">
        <f>SUM(BN29:BN31)+1</f>
        <v>3</v>
      </c>
      <c r="BO33" s="857">
        <v>0.2</v>
      </c>
      <c r="BP33" s="856">
        <f>SUM(BP29:BP31)+1</f>
        <v>3</v>
      </c>
      <c r="BQ33" s="857">
        <v>0.2</v>
      </c>
      <c r="BR33" s="856">
        <f>SUM(BR29:BR31)+1</f>
        <v>3</v>
      </c>
      <c r="BS33" s="857">
        <v>0.2</v>
      </c>
      <c r="BT33" s="856">
        <f>SUM(BT29:BT31)+1</f>
        <v>3</v>
      </c>
      <c r="BU33" s="857">
        <v>0.2</v>
      </c>
      <c r="BV33" s="856"/>
      <c r="BW33" s="865"/>
      <c r="BX33" s="856"/>
      <c r="BY33" s="865"/>
      <c r="BZ33" s="856"/>
      <c r="CA33" s="865"/>
      <c r="CB33" s="856"/>
      <c r="CC33" s="865"/>
      <c r="CD33" s="858">
        <f t="shared" si="16"/>
        <v>108</v>
      </c>
      <c r="CE33" s="861">
        <v>2091.232</v>
      </c>
      <c r="CF33" s="860">
        <f t="shared" si="170"/>
        <v>225853.05599999998</v>
      </c>
    </row>
    <row r="34" spans="1:86" ht="12.6" thickBot="1" x14ac:dyDescent="0.3">
      <c r="A34" s="871"/>
      <c r="B34" s="872"/>
      <c r="C34" s="873"/>
      <c r="D34" s="872"/>
      <c r="E34" s="873"/>
      <c r="F34" s="872"/>
      <c r="G34" s="873"/>
      <c r="H34" s="872"/>
      <c r="I34" s="873"/>
      <c r="J34" s="872"/>
      <c r="K34" s="873"/>
      <c r="L34" s="872"/>
      <c r="M34" s="873"/>
      <c r="N34" s="872"/>
      <c r="O34" s="873"/>
      <c r="P34" s="872"/>
      <c r="Q34" s="873"/>
      <c r="R34" s="872"/>
      <c r="S34" s="873"/>
      <c r="T34" s="872"/>
      <c r="U34" s="873"/>
      <c r="V34" s="872"/>
      <c r="W34" s="873"/>
      <c r="X34" s="872"/>
      <c r="Y34" s="873"/>
      <c r="Z34" s="872"/>
      <c r="AA34" s="873"/>
      <c r="AB34" s="872"/>
      <c r="AC34" s="873"/>
      <c r="AD34" s="872"/>
      <c r="AE34" s="873"/>
      <c r="AF34" s="872"/>
      <c r="AG34" s="873"/>
      <c r="AH34" s="872"/>
      <c r="AI34" s="873"/>
      <c r="AJ34" s="872"/>
      <c r="AK34" s="873"/>
      <c r="AL34" s="872"/>
      <c r="AM34" s="873"/>
      <c r="AN34" s="872"/>
      <c r="AO34" s="873"/>
      <c r="AP34" s="872"/>
      <c r="AQ34" s="873"/>
      <c r="AR34" s="872"/>
      <c r="AS34" s="873"/>
      <c r="AT34" s="872"/>
      <c r="AU34" s="873"/>
      <c r="AV34" s="872"/>
      <c r="AW34" s="873"/>
      <c r="AX34" s="872"/>
      <c r="AY34" s="873"/>
      <c r="AZ34" s="872"/>
      <c r="BA34" s="873"/>
      <c r="BB34" s="872"/>
      <c r="BC34" s="873"/>
      <c r="BD34" s="872"/>
      <c r="BE34" s="873"/>
      <c r="BF34" s="872"/>
      <c r="BG34" s="873"/>
      <c r="BH34" s="872"/>
      <c r="BI34" s="873"/>
      <c r="BJ34" s="872"/>
      <c r="BK34" s="873"/>
      <c r="BL34" s="872"/>
      <c r="BM34" s="873"/>
      <c r="BN34" s="872"/>
      <c r="BO34" s="873"/>
      <c r="BP34" s="872"/>
      <c r="BQ34" s="873"/>
      <c r="BR34" s="872"/>
      <c r="BS34" s="873"/>
      <c r="BT34" s="872"/>
      <c r="BU34" s="873"/>
      <c r="BV34" s="872"/>
      <c r="BW34" s="873"/>
      <c r="BX34" s="872"/>
      <c r="BY34" s="873"/>
      <c r="BZ34" s="872"/>
      <c r="CA34" s="873"/>
      <c r="CB34" s="872"/>
      <c r="CC34" s="873"/>
      <c r="CD34" s="874">
        <f t="shared" si="16"/>
        <v>0</v>
      </c>
      <c r="CE34" s="875"/>
      <c r="CF34" s="876">
        <f t="shared" si="170"/>
        <v>0</v>
      </c>
    </row>
    <row r="35" spans="1:86" ht="12" x14ac:dyDescent="0.25">
      <c r="A35" s="877" t="s">
        <v>7740</v>
      </c>
      <c r="B35" s="1155">
        <f>SUM(B$10:B$34)</f>
        <v>8.5</v>
      </c>
      <c r="C35" s="1156"/>
      <c r="D35" s="1155">
        <f>SUM(D$10:D$34)</f>
        <v>8.5</v>
      </c>
      <c r="E35" s="1156"/>
      <c r="F35" s="1155">
        <f>SUM(F$10:F$34)</f>
        <v>8.5</v>
      </c>
      <c r="G35" s="1156"/>
      <c r="H35" s="1155">
        <f>SUM(H$10:H$34)</f>
        <v>8.5</v>
      </c>
      <c r="I35" s="1156"/>
      <c r="J35" s="1155">
        <f>SUM(J$10:J$34)</f>
        <v>8.5</v>
      </c>
      <c r="K35" s="1156"/>
      <c r="L35" s="1155">
        <f>SUM(L$10:L$34)</f>
        <v>8.5</v>
      </c>
      <c r="M35" s="1156"/>
      <c r="N35" s="1155">
        <f>SUM(N$10:N$34)</f>
        <v>8.5</v>
      </c>
      <c r="O35" s="1156"/>
      <c r="P35" s="1155">
        <f>SUM(P$10:P$34)</f>
        <v>8.5</v>
      </c>
      <c r="Q35" s="1156"/>
      <c r="R35" s="1155">
        <f>SUM(R$10:R$34)</f>
        <v>7.5</v>
      </c>
      <c r="S35" s="1156"/>
      <c r="T35" s="1155">
        <f>SUM(T$10:T$34)</f>
        <v>7.5</v>
      </c>
      <c r="U35" s="1156"/>
      <c r="V35" s="1155">
        <f>SUM(V$10:V$34)</f>
        <v>7.5</v>
      </c>
      <c r="W35" s="1156"/>
      <c r="X35" s="1155">
        <f>SUM(X$10:X$34)</f>
        <v>7.5</v>
      </c>
      <c r="Y35" s="1156"/>
      <c r="Z35" s="1155">
        <f>SUM(Z$10:Z$34)</f>
        <v>9.5</v>
      </c>
      <c r="AA35" s="1156"/>
      <c r="AB35" s="1155">
        <f>SUM(AB$10:AB$34)</f>
        <v>9.5</v>
      </c>
      <c r="AC35" s="1156"/>
      <c r="AD35" s="1155">
        <f>SUM(AD$10:AD$34)</f>
        <v>9.5</v>
      </c>
      <c r="AE35" s="1156"/>
      <c r="AF35" s="1155">
        <f>SUM(AF$10:AF$34)</f>
        <v>9.5</v>
      </c>
      <c r="AG35" s="1156"/>
      <c r="AH35" s="1155">
        <f>SUM(AH$10:AH$34)</f>
        <v>9.5</v>
      </c>
      <c r="AI35" s="1156"/>
      <c r="AJ35" s="1155">
        <f>SUM(AJ$10:AJ$34)</f>
        <v>9.5</v>
      </c>
      <c r="AK35" s="1156"/>
      <c r="AL35" s="1155">
        <f>SUM(AL$10:AL$34)</f>
        <v>9.5</v>
      </c>
      <c r="AM35" s="1156"/>
      <c r="AN35" s="1155">
        <f>SUM(AN$10:AN$34)</f>
        <v>9.5</v>
      </c>
      <c r="AO35" s="1156"/>
      <c r="AP35" s="1155">
        <f>SUM(AP$10:AP$34)</f>
        <v>9.5</v>
      </c>
      <c r="AQ35" s="1156"/>
      <c r="AR35" s="1155">
        <f>SUM(AR$10:AR$34)</f>
        <v>9.5</v>
      </c>
      <c r="AS35" s="1156"/>
      <c r="AT35" s="1155">
        <f>SUM(AT$10:AT$34)</f>
        <v>9.5</v>
      </c>
      <c r="AU35" s="1156"/>
      <c r="AV35" s="1155">
        <f>SUM(AV$10:AV$34)</f>
        <v>9.5</v>
      </c>
      <c r="AW35" s="1156"/>
      <c r="AX35" s="1155">
        <f>SUM(AX$10:AX$34)</f>
        <v>9.5</v>
      </c>
      <c r="AY35" s="1156"/>
      <c r="AZ35" s="1155">
        <f>SUM(AZ$10:AZ$34)</f>
        <v>9.5</v>
      </c>
      <c r="BA35" s="1156"/>
      <c r="BB35" s="1155">
        <f>SUM(BB$10:BB$34)</f>
        <v>9.5</v>
      </c>
      <c r="BC35" s="1156"/>
      <c r="BD35" s="1155">
        <f>SUM(BD$10:BD$34)</f>
        <v>9.5</v>
      </c>
      <c r="BE35" s="1156"/>
      <c r="BF35" s="1155">
        <f>SUM(BF$10:BF$34)</f>
        <v>9.5</v>
      </c>
      <c r="BG35" s="1156"/>
      <c r="BH35" s="1155">
        <f>SUM(BH$10:BH$34)</f>
        <v>9.5</v>
      </c>
      <c r="BI35" s="1156"/>
      <c r="BJ35" s="1155">
        <f>SUM(BJ$10:BJ$34)</f>
        <v>9.5</v>
      </c>
      <c r="BK35" s="1156"/>
      <c r="BL35" s="1155">
        <f>SUM(BL$10:BL$34)</f>
        <v>9.5</v>
      </c>
      <c r="BM35" s="1156"/>
      <c r="BN35" s="1155">
        <f>SUM(BN$10:BN$34)</f>
        <v>9.5</v>
      </c>
      <c r="BO35" s="1156"/>
      <c r="BP35" s="1155">
        <f>SUM(BP$10:BP$34)</f>
        <v>9.5</v>
      </c>
      <c r="BQ35" s="1156"/>
      <c r="BR35" s="1155">
        <f>SUM(BR$10:BR$34)</f>
        <v>9.5</v>
      </c>
      <c r="BS35" s="1156"/>
      <c r="BT35" s="1155">
        <f>SUM(BT$10:BT$34)</f>
        <v>9.5</v>
      </c>
      <c r="BU35" s="1156"/>
      <c r="BV35" s="1155">
        <f>SUM(BV$10:BV$34)</f>
        <v>0</v>
      </c>
      <c r="BW35" s="1156"/>
      <c r="BX35" s="1155">
        <f>SUM(BX$10:BX$34)</f>
        <v>0</v>
      </c>
      <c r="BY35" s="1156"/>
      <c r="BZ35" s="1155">
        <f>SUM(BZ$10:BZ$34)</f>
        <v>0</v>
      </c>
      <c r="CA35" s="1156"/>
      <c r="CB35" s="1155">
        <f>SUM(CB$10:CB$34)</f>
        <v>0</v>
      </c>
      <c r="CC35" s="1156"/>
      <c r="CD35" s="878"/>
      <c r="CE35" s="879"/>
      <c r="CF35" s="880"/>
      <c r="CG35" s="881"/>
    </row>
    <row r="36" spans="1:86" ht="12" x14ac:dyDescent="0.25">
      <c r="A36" s="864" t="s">
        <v>7756</v>
      </c>
      <c r="B36" s="1148">
        <f>SUMPRODUCT(B10:B16,$CE$10:$CE$16)</f>
        <v>8900</v>
      </c>
      <c r="C36" s="1149"/>
      <c r="D36" s="1148">
        <f>SUMPRODUCT(D10:D16,$CE$10:$CE$16)</f>
        <v>8900</v>
      </c>
      <c r="E36" s="1149"/>
      <c r="F36" s="1148">
        <f>SUMPRODUCT(F10:F16,$CE$10:$CE$16)</f>
        <v>8900</v>
      </c>
      <c r="G36" s="1149"/>
      <c r="H36" s="1148">
        <f>SUMPRODUCT(H10:H16,$CE$10:$CE$16)</f>
        <v>8900</v>
      </c>
      <c r="I36" s="1149"/>
      <c r="J36" s="1148">
        <f>SUMPRODUCT(J10:J16,$CE$10:$CE$16)</f>
        <v>8900</v>
      </c>
      <c r="K36" s="1149"/>
      <c r="L36" s="1148">
        <f>SUMPRODUCT(L10:L16,$CE$10:$CE$16)</f>
        <v>8900</v>
      </c>
      <c r="M36" s="1149"/>
      <c r="N36" s="1148">
        <f>SUMPRODUCT(N10:N16,$CE$10:$CE$16)</f>
        <v>8900</v>
      </c>
      <c r="O36" s="1149"/>
      <c r="P36" s="1148">
        <f>SUMPRODUCT(P10:P16,$CE$10:$CE$16)</f>
        <v>8900</v>
      </c>
      <c r="Q36" s="1149"/>
      <c r="R36" s="1148">
        <f>SUMPRODUCT(R10:R16,$CE$10:$CE$16)</f>
        <v>8900</v>
      </c>
      <c r="S36" s="1149"/>
      <c r="T36" s="1148">
        <f>SUMPRODUCT(T10:T16,$CE$10:$CE$16)</f>
        <v>8900</v>
      </c>
      <c r="U36" s="1149"/>
      <c r="V36" s="1148">
        <f>SUMPRODUCT(V10:V16,$CE$10:$CE$16)</f>
        <v>8900</v>
      </c>
      <c r="W36" s="1149"/>
      <c r="X36" s="1148">
        <f>SUMPRODUCT(X10:X16,$CE$10:$CE$16)</f>
        <v>8900</v>
      </c>
      <c r="Y36" s="1149"/>
      <c r="Z36" s="1148">
        <f>SUMPRODUCT(Z10:Z16,$CE$10:$CE$16)</f>
        <v>8900</v>
      </c>
      <c r="AA36" s="1149"/>
      <c r="AB36" s="1148">
        <f>SUMPRODUCT(AB10:AB16,$CE$10:$CE$16)</f>
        <v>8900</v>
      </c>
      <c r="AC36" s="1149"/>
      <c r="AD36" s="1148">
        <f>SUMPRODUCT(AD10:AD16,$CE$10:$CE$16)</f>
        <v>8900</v>
      </c>
      <c r="AE36" s="1149"/>
      <c r="AF36" s="1148">
        <f>SUMPRODUCT(AF10:AF16,$CE$10:$CE$16)</f>
        <v>8900</v>
      </c>
      <c r="AG36" s="1149"/>
      <c r="AH36" s="1148">
        <f>SUMPRODUCT(AH10:AH16,$CE$10:$CE$16)</f>
        <v>8900</v>
      </c>
      <c r="AI36" s="1149"/>
      <c r="AJ36" s="1148">
        <f>SUMPRODUCT(AJ10:AJ16,$CE$10:$CE$16)</f>
        <v>8900</v>
      </c>
      <c r="AK36" s="1149"/>
      <c r="AL36" s="1148">
        <f>SUMPRODUCT(AL10:AL16,$CE$10:$CE$16)</f>
        <v>8900</v>
      </c>
      <c r="AM36" s="1149"/>
      <c r="AN36" s="1148">
        <f>SUMPRODUCT(AN10:AN16,$CE$10:$CE$16)</f>
        <v>8900</v>
      </c>
      <c r="AO36" s="1149"/>
      <c r="AP36" s="1148">
        <f>SUMPRODUCT(AP10:AP16,$CE$10:$CE$16)</f>
        <v>8900</v>
      </c>
      <c r="AQ36" s="1149"/>
      <c r="AR36" s="1148">
        <f>SUMPRODUCT(AR10:AR16,$CE$10:$CE$16)</f>
        <v>8900</v>
      </c>
      <c r="AS36" s="1149"/>
      <c r="AT36" s="1148">
        <f>SUMPRODUCT(AT10:AT16,$CE$10:$CE$16)</f>
        <v>8900</v>
      </c>
      <c r="AU36" s="1149"/>
      <c r="AV36" s="1148">
        <f>SUMPRODUCT(AV10:AV16,$CE$10:$CE$16)</f>
        <v>8900</v>
      </c>
      <c r="AW36" s="1149"/>
      <c r="AX36" s="1148">
        <f>SUMPRODUCT(AX10:AX16,$CE$10:$CE$16)</f>
        <v>8900</v>
      </c>
      <c r="AY36" s="1149"/>
      <c r="AZ36" s="1148">
        <f>SUMPRODUCT(AZ10:AZ16,$CE$10:$CE$16)</f>
        <v>8900</v>
      </c>
      <c r="BA36" s="1149"/>
      <c r="BB36" s="1148">
        <f>SUMPRODUCT(BB10:BB16,$CE$10:$CE$16)</f>
        <v>8900</v>
      </c>
      <c r="BC36" s="1149"/>
      <c r="BD36" s="1148">
        <f>SUMPRODUCT(BD10:BD16,$CE$10:$CE$16)</f>
        <v>8900</v>
      </c>
      <c r="BE36" s="1149"/>
      <c r="BF36" s="1148">
        <f>SUMPRODUCT(BF10:BF16,$CE$10:$CE$16)</f>
        <v>8900</v>
      </c>
      <c r="BG36" s="1149"/>
      <c r="BH36" s="1148">
        <f>SUMPRODUCT(BH10:BH16,$CE$10:$CE$16)</f>
        <v>8900</v>
      </c>
      <c r="BI36" s="1149"/>
      <c r="BJ36" s="1148">
        <f>SUMPRODUCT(BJ10:BJ16,$CE$10:$CE$16)</f>
        <v>8900</v>
      </c>
      <c r="BK36" s="1149"/>
      <c r="BL36" s="1148">
        <f>SUMPRODUCT(BL10:BL16,$CE$10:$CE$16)</f>
        <v>8900</v>
      </c>
      <c r="BM36" s="1149"/>
      <c r="BN36" s="1148">
        <f>SUMPRODUCT(BN10:BN16,$CE$10:$CE$16)</f>
        <v>8900</v>
      </c>
      <c r="BO36" s="1149"/>
      <c r="BP36" s="1148">
        <f>SUMPRODUCT(BP10:BP16,$CE$10:$CE$16)</f>
        <v>8900</v>
      </c>
      <c r="BQ36" s="1149"/>
      <c r="BR36" s="1148">
        <f>SUMPRODUCT(BR10:BR16,$CE$10:$CE$16)</f>
        <v>8900</v>
      </c>
      <c r="BS36" s="1149"/>
      <c r="BT36" s="1148">
        <f>SUMPRODUCT(BT10:BT16,$CE$10:$CE$16)</f>
        <v>8900</v>
      </c>
      <c r="BU36" s="1149"/>
      <c r="BV36" s="1148">
        <f>SUMPRODUCT(BV10:BV16,$CE$10:$CE$16)</f>
        <v>0</v>
      </c>
      <c r="BW36" s="1149"/>
      <c r="BX36" s="1148">
        <f>SUMPRODUCT(BX10:BX16,$CE$10:$CE$16)</f>
        <v>0</v>
      </c>
      <c r="BY36" s="1149"/>
      <c r="BZ36" s="1148">
        <f>SUMPRODUCT(BZ10:BZ16,$CE$10:$CE$16)</f>
        <v>0</v>
      </c>
      <c r="CA36" s="1149"/>
      <c r="CB36" s="1148">
        <f>SUMPRODUCT(CB10:CB16,$CE$10:$CE$16)</f>
        <v>0</v>
      </c>
      <c r="CC36" s="1149"/>
      <c r="CD36" s="882"/>
      <c r="CE36" s="861"/>
      <c r="CF36" s="883">
        <f t="shared" ref="CF36:CF45" si="172">SUM(B36:CC36)</f>
        <v>320400</v>
      </c>
      <c r="CG36" s="881"/>
      <c r="CH36" s="881"/>
    </row>
    <row r="37" spans="1:86" ht="12" x14ac:dyDescent="0.25">
      <c r="A37" s="864" t="s">
        <v>7741</v>
      </c>
      <c r="B37" s="1148">
        <f>SUMPRODUCT(B18:B34,$CE$18:$CE$34)</f>
        <v>26970.096000000001</v>
      </c>
      <c r="C37" s="1149"/>
      <c r="D37" s="1148">
        <f t="shared" ref="D37" si="173">SUMPRODUCT(D18:D34,$CE$18:$CE$34)</f>
        <v>26970.096000000001</v>
      </c>
      <c r="E37" s="1149"/>
      <c r="F37" s="1148">
        <f t="shared" ref="F37" si="174">SUMPRODUCT(F18:F34,$CE$18:$CE$34)</f>
        <v>26970.096000000001</v>
      </c>
      <c r="G37" s="1149"/>
      <c r="H37" s="1148">
        <f t="shared" ref="H37" si="175">SUMPRODUCT(H18:H34,$CE$18:$CE$34)</f>
        <v>26970.096000000001</v>
      </c>
      <c r="I37" s="1149"/>
      <c r="J37" s="1148">
        <f t="shared" ref="J37" si="176">SUMPRODUCT(J18:J34,$CE$18:$CE$34)</f>
        <v>26970.096000000001</v>
      </c>
      <c r="K37" s="1149"/>
      <c r="L37" s="1148">
        <f t="shared" ref="L37" si="177">SUMPRODUCT(L18:L34,$CE$18:$CE$34)</f>
        <v>26970.096000000001</v>
      </c>
      <c r="M37" s="1149"/>
      <c r="N37" s="1148">
        <f t="shared" ref="N37" si="178">SUMPRODUCT(N18:N34,$CE$18:$CE$34)</f>
        <v>26970.096000000001</v>
      </c>
      <c r="O37" s="1149"/>
      <c r="P37" s="1148">
        <f t="shared" ref="P37" si="179">SUMPRODUCT(P18:P34,$CE$18:$CE$34)</f>
        <v>26970.096000000001</v>
      </c>
      <c r="Q37" s="1149"/>
      <c r="R37" s="1148">
        <f t="shared" ref="R37" si="180">SUMPRODUCT(R18:R34,$CE$18:$CE$34)</f>
        <v>24201.616000000002</v>
      </c>
      <c r="S37" s="1149"/>
      <c r="T37" s="1148">
        <f t="shared" ref="T37" si="181">SUMPRODUCT(T18:T34,$CE$18:$CE$34)</f>
        <v>24201.616000000002</v>
      </c>
      <c r="U37" s="1149"/>
      <c r="V37" s="1148">
        <f t="shared" ref="V37" si="182">SUMPRODUCT(V18:V34,$CE$18:$CE$34)</f>
        <v>24201.616000000002</v>
      </c>
      <c r="W37" s="1149"/>
      <c r="X37" s="1148">
        <f t="shared" ref="X37" si="183">SUMPRODUCT(X18:X34,$CE$18:$CE$34)</f>
        <v>24201.616000000002</v>
      </c>
      <c r="Y37" s="1149"/>
      <c r="Z37" s="1148">
        <f t="shared" ref="Z37" si="184">SUMPRODUCT(Z18:Z34,$CE$18:$CE$34)</f>
        <v>29518.928000000004</v>
      </c>
      <c r="AA37" s="1149"/>
      <c r="AB37" s="1148">
        <f t="shared" ref="AB37" si="185">SUMPRODUCT(AB18:AB34,$CE$18:$CE$34)</f>
        <v>29518.928000000004</v>
      </c>
      <c r="AC37" s="1149"/>
      <c r="AD37" s="1148">
        <f t="shared" ref="AD37" si="186">SUMPRODUCT(AD18:AD34,$CE$18:$CE$34)</f>
        <v>29518.928000000004</v>
      </c>
      <c r="AE37" s="1149"/>
      <c r="AF37" s="1148">
        <f t="shared" ref="AF37" si="187">SUMPRODUCT(AF18:AF34,$CE$18:$CE$34)</f>
        <v>29518.928000000004</v>
      </c>
      <c r="AG37" s="1149"/>
      <c r="AH37" s="1148">
        <f t="shared" ref="AH37" si="188">SUMPRODUCT(AH18:AH34,$CE$18:$CE$34)</f>
        <v>29518.928000000004</v>
      </c>
      <c r="AI37" s="1149"/>
      <c r="AJ37" s="1148">
        <f t="shared" ref="AJ37" si="189">SUMPRODUCT(AJ18:AJ34,$CE$18:$CE$34)</f>
        <v>29518.928000000004</v>
      </c>
      <c r="AK37" s="1149"/>
      <c r="AL37" s="1148">
        <f t="shared" ref="AL37" si="190">SUMPRODUCT(AL18:AL34,$CE$18:$CE$34)</f>
        <v>29518.928000000004</v>
      </c>
      <c r="AM37" s="1149"/>
      <c r="AN37" s="1148">
        <f t="shared" ref="AN37" si="191">SUMPRODUCT(AN18:AN34,$CE$18:$CE$34)</f>
        <v>29518.928000000004</v>
      </c>
      <c r="AO37" s="1149"/>
      <c r="AP37" s="1148">
        <f t="shared" ref="AP37" si="192">SUMPRODUCT(AP18:AP34,$CE$18:$CE$34)</f>
        <v>29518.928000000004</v>
      </c>
      <c r="AQ37" s="1149"/>
      <c r="AR37" s="1148">
        <f t="shared" ref="AR37" si="193">SUMPRODUCT(AR18:AR34,$CE$18:$CE$34)</f>
        <v>29518.928000000004</v>
      </c>
      <c r="AS37" s="1149"/>
      <c r="AT37" s="1148">
        <f t="shared" ref="AT37" si="194">SUMPRODUCT(AT18:AT34,$CE$18:$CE$34)</f>
        <v>29518.928000000004</v>
      </c>
      <c r="AU37" s="1149"/>
      <c r="AV37" s="1148">
        <f t="shared" ref="AV37" si="195">SUMPRODUCT(AV18:AV34,$CE$18:$CE$34)</f>
        <v>29518.928000000004</v>
      </c>
      <c r="AW37" s="1149"/>
      <c r="AX37" s="1148">
        <f t="shared" ref="AX37" si="196">SUMPRODUCT(AX18:AX34,$CE$18:$CE$34)</f>
        <v>29518.928000000004</v>
      </c>
      <c r="AY37" s="1149"/>
      <c r="AZ37" s="1148">
        <f t="shared" ref="AZ37" si="197">SUMPRODUCT(AZ18:AZ34,$CE$18:$CE$34)</f>
        <v>29518.928000000004</v>
      </c>
      <c r="BA37" s="1149"/>
      <c r="BB37" s="1148">
        <f t="shared" ref="BB37" si="198">SUMPRODUCT(BB18:BB34,$CE$18:$CE$34)</f>
        <v>29518.928000000004</v>
      </c>
      <c r="BC37" s="1149"/>
      <c r="BD37" s="1148">
        <f t="shared" ref="BD37" si="199">SUMPRODUCT(BD18:BD34,$CE$18:$CE$34)</f>
        <v>29518.928000000004</v>
      </c>
      <c r="BE37" s="1149"/>
      <c r="BF37" s="1148">
        <f t="shared" ref="BF37" si="200">SUMPRODUCT(BF18:BF34,$CE$18:$CE$34)</f>
        <v>29518.928000000004</v>
      </c>
      <c r="BG37" s="1149"/>
      <c r="BH37" s="1148">
        <f t="shared" ref="BH37" si="201">SUMPRODUCT(BH18:BH34,$CE$18:$CE$34)</f>
        <v>29518.928000000004</v>
      </c>
      <c r="BI37" s="1149"/>
      <c r="BJ37" s="1148">
        <f t="shared" ref="BJ37" si="202">SUMPRODUCT(BJ18:BJ34,$CE$18:$CE$34)</f>
        <v>29518.928000000004</v>
      </c>
      <c r="BK37" s="1149"/>
      <c r="BL37" s="1148">
        <f t="shared" ref="BL37" si="203">SUMPRODUCT(BL18:BL34,$CE$18:$CE$34)</f>
        <v>29518.928000000004</v>
      </c>
      <c r="BM37" s="1149"/>
      <c r="BN37" s="1148">
        <f t="shared" ref="BN37" si="204">SUMPRODUCT(BN18:BN34,$CE$18:$CE$34)</f>
        <v>29518.928000000004</v>
      </c>
      <c r="BO37" s="1149"/>
      <c r="BP37" s="1148">
        <f t="shared" ref="BP37" si="205">SUMPRODUCT(BP18:BP34,$CE$18:$CE$34)</f>
        <v>29518.928000000004</v>
      </c>
      <c r="BQ37" s="1149"/>
      <c r="BR37" s="1148">
        <f t="shared" ref="BR37" si="206">SUMPRODUCT(BR18:BR34,$CE$18:$CE$34)</f>
        <v>29518.928000000004</v>
      </c>
      <c r="BS37" s="1149"/>
      <c r="BT37" s="1148">
        <f t="shared" ref="BT37" si="207">SUMPRODUCT(BT18:BT34,$CE$18:$CE$34)</f>
        <v>29518.928000000004</v>
      </c>
      <c r="BU37" s="1149"/>
      <c r="BV37" s="1148">
        <f t="shared" ref="BV37" si="208">SUMPRODUCT(BV18:BV34,$CE$18:$CE$34)</f>
        <v>0</v>
      </c>
      <c r="BW37" s="1149"/>
      <c r="BX37" s="1148">
        <f t="shared" ref="BX37" si="209">SUMPRODUCT(BX18:BX34,$CE$18:$CE$34)</f>
        <v>0</v>
      </c>
      <c r="BY37" s="1149"/>
      <c r="BZ37" s="1148">
        <f t="shared" ref="BZ37" si="210">SUMPRODUCT(BZ18:BZ34,$CE$18:$CE$34)</f>
        <v>0</v>
      </c>
      <c r="CA37" s="1149"/>
      <c r="CB37" s="1148">
        <f t="shared" ref="CB37" si="211">SUMPRODUCT(CB18:CB34,$CE$18:$CE$34)</f>
        <v>0</v>
      </c>
      <c r="CC37" s="1149"/>
      <c r="CD37" s="882"/>
      <c r="CE37" s="861"/>
      <c r="CF37" s="883">
        <f>SUM(B37:CC37)</f>
        <v>1021021.5039999994</v>
      </c>
      <c r="CG37" s="881"/>
      <c r="CH37" s="881"/>
    </row>
    <row r="38" spans="1:86" ht="12" x14ac:dyDescent="0.25">
      <c r="A38" s="864" t="s">
        <v>7755</v>
      </c>
      <c r="B38" s="1152">
        <f>(SUMPRODUCT(B18:B34,$CE$18:$CE$34)+B39)*$CE$38</f>
        <v>23188.888540800002</v>
      </c>
      <c r="C38" s="1149"/>
      <c r="D38" s="1152">
        <f t="shared" ref="D38" si="212">(SUMPRODUCT(D18:D34,$CE$18:$CE$34)+D39)*$CE$38</f>
        <v>23188.888540800002</v>
      </c>
      <c r="E38" s="1149"/>
      <c r="F38" s="1152">
        <f t="shared" ref="F38" si="213">(SUMPRODUCT(F18:F34,$CE$18:$CE$34)+F39)*$CE$38</f>
        <v>26107.06624896</v>
      </c>
      <c r="G38" s="1149"/>
      <c r="H38" s="1152">
        <f t="shared" ref="H38" si="214">(SUMPRODUCT(H18:H34,$CE$18:$CE$34)+H39)*$CE$38</f>
        <v>26107.06624896</v>
      </c>
      <c r="I38" s="1149"/>
      <c r="J38" s="1152">
        <f t="shared" ref="J38" si="215">(SUMPRODUCT(J18:J34,$CE$18:$CE$34)+J39)*$CE$38</f>
        <v>26107.06624896</v>
      </c>
      <c r="K38" s="1149"/>
      <c r="L38" s="1152">
        <f t="shared" ref="L38" si="216">(SUMPRODUCT(L18:L34,$CE$18:$CE$34)+L39)*$CE$38</f>
        <v>26107.06624896</v>
      </c>
      <c r="M38" s="1149"/>
      <c r="N38" s="1152">
        <f t="shared" ref="N38" si="217">(SUMPRODUCT(N18:N34,$CE$18:$CE$34)+N39)*$CE$38</f>
        <v>26107.06624896</v>
      </c>
      <c r="O38" s="1149"/>
      <c r="P38" s="1152">
        <f t="shared" ref="P38" si="218">(SUMPRODUCT(P18:P34,$CE$18:$CE$34)+P39)*$CE$38</f>
        <v>26107.06624896</v>
      </c>
      <c r="Q38" s="1149"/>
      <c r="R38" s="1152">
        <f t="shared" ref="R38" si="219">(SUMPRODUCT(R18:R34,$CE$18:$CE$34)+R39)*$CE$38</f>
        <v>23250.659324160002</v>
      </c>
      <c r="S38" s="1149"/>
      <c r="T38" s="1152">
        <f t="shared" ref="T38" si="220">(SUMPRODUCT(T18:T34,$CE$18:$CE$34)+T39)*$CE$38</f>
        <v>23250.659324160002</v>
      </c>
      <c r="U38" s="1149"/>
      <c r="V38" s="1152">
        <f t="shared" ref="V38" si="221">(SUMPRODUCT(V18:V34,$CE$18:$CE$34)+V39)*$CE$38</f>
        <v>23250.659324160002</v>
      </c>
      <c r="W38" s="1149"/>
      <c r="X38" s="1152">
        <f t="shared" ref="X38" si="222">(SUMPRODUCT(X18:X34,$CE$18:$CE$34)+X39)*$CE$38</f>
        <v>23250.659324160002</v>
      </c>
      <c r="Y38" s="1149"/>
      <c r="Z38" s="1152">
        <f t="shared" ref="Z38" si="223">(SUMPRODUCT(Z18:Z34,$CE$18:$CE$34)+Z39)*$CE$38</f>
        <v>25919.786676480006</v>
      </c>
      <c r="AA38" s="1149"/>
      <c r="AB38" s="1152">
        <f t="shared" ref="AB38" si="224">(SUMPRODUCT(AB18:AB34,$CE$18:$CE$34)+AB39)*$CE$38</f>
        <v>25919.786676480006</v>
      </c>
      <c r="AC38" s="1149"/>
      <c r="AD38" s="1152">
        <f t="shared" ref="AD38" si="225">(SUMPRODUCT(AD18:AD34,$CE$18:$CE$34)+AD39)*$CE$38</f>
        <v>25919.786676480006</v>
      </c>
      <c r="AE38" s="1149"/>
      <c r="AF38" s="1152">
        <f t="shared" ref="AF38" si="226">(SUMPRODUCT(AF18:AF34,$CE$18:$CE$34)+AF39)*$CE$38</f>
        <v>25919.786676480006</v>
      </c>
      <c r="AG38" s="1149"/>
      <c r="AH38" s="1152">
        <f t="shared" ref="AH38" si="227">(SUMPRODUCT(AH18:AH34,$CE$18:$CE$34)+AH39)*$CE$38</f>
        <v>25919.786676480006</v>
      </c>
      <c r="AI38" s="1149"/>
      <c r="AJ38" s="1152">
        <f t="shared" ref="AJ38" si="228">(SUMPRODUCT(AJ18:AJ34,$CE$18:$CE$34)+AJ39)*$CE$38</f>
        <v>25919.786676480006</v>
      </c>
      <c r="AK38" s="1149"/>
      <c r="AL38" s="1152">
        <f t="shared" ref="AL38" si="229">(SUMPRODUCT(AL18:AL34,$CE$18:$CE$34)+AL39)*$CE$38</f>
        <v>25919.786676480006</v>
      </c>
      <c r="AM38" s="1149"/>
      <c r="AN38" s="1152">
        <f t="shared" ref="AN38" si="230">(SUMPRODUCT(AN18:AN34,$CE$18:$CE$34)+AN39)*$CE$38</f>
        <v>25919.786676480006</v>
      </c>
      <c r="AO38" s="1149"/>
      <c r="AP38" s="1152">
        <f t="shared" ref="AP38" si="231">(SUMPRODUCT(AP18:AP34,$CE$18:$CE$34)+AP39)*$CE$38</f>
        <v>25919.786676480006</v>
      </c>
      <c r="AQ38" s="1149"/>
      <c r="AR38" s="1152">
        <f t="shared" ref="AR38" si="232">(SUMPRODUCT(AR18:AR34,$CE$18:$CE$34)+AR39)*$CE$38</f>
        <v>25919.786676480006</v>
      </c>
      <c r="AS38" s="1149"/>
      <c r="AT38" s="1152">
        <f t="shared" ref="AT38" si="233">(SUMPRODUCT(AT18:AT34,$CE$18:$CE$34)+AT39)*$CE$38</f>
        <v>25919.786676480006</v>
      </c>
      <c r="AU38" s="1149"/>
      <c r="AV38" s="1152">
        <f t="shared" ref="AV38" si="234">(SUMPRODUCT(AV18:AV34,$CE$18:$CE$34)+AV39)*$CE$38</f>
        <v>25919.786676480006</v>
      </c>
      <c r="AW38" s="1149"/>
      <c r="AX38" s="1152">
        <f t="shared" ref="AX38" si="235">(SUMPRODUCT(AX18:AX34,$CE$18:$CE$34)+AX39)*$CE$38</f>
        <v>25919.786676480006</v>
      </c>
      <c r="AY38" s="1149"/>
      <c r="AZ38" s="1152">
        <f t="shared" ref="AZ38" si="236">(SUMPRODUCT(AZ18:AZ34,$CE$18:$CE$34)+AZ39)*$CE$38</f>
        <v>25919.786676480006</v>
      </c>
      <c r="BA38" s="1149"/>
      <c r="BB38" s="1152">
        <f t="shared" ref="BB38" si="237">(SUMPRODUCT(BB18:BB34,$CE$18:$CE$34)+BB39)*$CE$38</f>
        <v>25919.786676480006</v>
      </c>
      <c r="BC38" s="1149"/>
      <c r="BD38" s="1152">
        <f t="shared" ref="BD38" si="238">(SUMPRODUCT(BD18:BD34,$CE$18:$CE$34)+BD39)*$CE$38</f>
        <v>25919.786676480006</v>
      </c>
      <c r="BE38" s="1149"/>
      <c r="BF38" s="1152">
        <f t="shared" ref="BF38" si="239">(SUMPRODUCT(BF18:BF34,$CE$18:$CE$34)+BF39)*$CE$38</f>
        <v>26747.593862400005</v>
      </c>
      <c r="BG38" s="1149"/>
      <c r="BH38" s="1152">
        <f t="shared" ref="BH38" si="240">(SUMPRODUCT(BH18:BH34,$CE$18:$CE$34)+BH39)*$CE$38</f>
        <v>28357.962119040003</v>
      </c>
      <c r="BI38" s="1149"/>
      <c r="BJ38" s="1152">
        <f t="shared" ref="BJ38" si="241">(SUMPRODUCT(BJ18:BJ34,$CE$18:$CE$34)+BJ39)*$CE$38</f>
        <v>28357.962119040003</v>
      </c>
      <c r="BK38" s="1149"/>
      <c r="BL38" s="1152">
        <f t="shared" ref="BL38" si="242">(SUMPRODUCT(BL18:BL34,$CE$18:$CE$34)+BL39)*$CE$38</f>
        <v>28357.962119040003</v>
      </c>
      <c r="BM38" s="1149"/>
      <c r="BN38" s="1152">
        <f t="shared" ref="BN38" si="243">(SUMPRODUCT(BN18:BN34,$CE$18:$CE$34)+BN39)*$CE$38</f>
        <v>28357.962119040003</v>
      </c>
      <c r="BO38" s="1149"/>
      <c r="BP38" s="1152">
        <f t="shared" ref="BP38" si="244">(SUMPRODUCT(BP18:BP34,$CE$18:$CE$34)+BP39)*$CE$38</f>
        <v>28357.962119040003</v>
      </c>
      <c r="BQ38" s="1149"/>
      <c r="BR38" s="1152">
        <f t="shared" ref="BR38" si="245">(SUMPRODUCT(BR18:BR34,$CE$18:$CE$34)+BR39)*$CE$38</f>
        <v>28357.962119040003</v>
      </c>
      <c r="BS38" s="1149"/>
      <c r="BT38" s="1152">
        <f t="shared" ref="BT38" si="246">(SUMPRODUCT(BT18:BT34,$CE$18:$CE$34)+BT39)*$CE$38</f>
        <v>28357.962119040003</v>
      </c>
      <c r="BU38" s="1149"/>
      <c r="BV38" s="1152">
        <f t="shared" ref="BV38" si="247">(SUMPRODUCT(BV18:BV34,$CE$18:$CE$34)+BV39)*$CE$38</f>
        <v>0</v>
      </c>
      <c r="BW38" s="1149"/>
      <c r="BX38" s="1152">
        <f t="shared" ref="BX38" si="248">(SUMPRODUCT(BX18:BX34,$CE$18:$CE$34)+BX39)*$CE$38</f>
        <v>0</v>
      </c>
      <c r="BY38" s="1149"/>
      <c r="BZ38" s="1152">
        <f t="shared" ref="BZ38" si="249">(SUMPRODUCT(BZ18:BZ34,$CE$18:$CE$34)+BZ39)*$CE$38</f>
        <v>0</v>
      </c>
      <c r="CA38" s="1149"/>
      <c r="CB38" s="1152">
        <f t="shared" ref="CB38" si="250">(SUMPRODUCT(CB18:CB34,$CE$18:$CE$34)+CB39)*$CE$38</f>
        <v>0</v>
      </c>
      <c r="CC38" s="1149"/>
      <c r="CD38" s="882"/>
      <c r="CE38" s="884">
        <v>0.85980000000000001</v>
      </c>
      <c r="CF38" s="883">
        <f t="shared" si="172"/>
        <v>935992.72739135986</v>
      </c>
      <c r="CG38" s="881"/>
      <c r="CH38" s="881"/>
    </row>
    <row r="39" spans="1:86" ht="12" x14ac:dyDescent="0.25">
      <c r="A39" s="864" t="s">
        <v>7742</v>
      </c>
      <c r="B39" s="1148">
        <f>SUMPRODUCT(B18:B34,C18:C34,$CE$18:$CE$34)</f>
        <v>0</v>
      </c>
      <c r="C39" s="1149"/>
      <c r="D39" s="1148">
        <f t="shared" ref="D39" si="251">SUMPRODUCT(D18:D34,E18:E34,$CE$18:$CE$34)</f>
        <v>0</v>
      </c>
      <c r="E39" s="1149"/>
      <c r="F39" s="1148">
        <f t="shared" ref="F39" si="252">SUMPRODUCT(F18:F34,G18:G34,$CE$18:$CE$34)</f>
        <v>3394.0192000000006</v>
      </c>
      <c r="G39" s="1149"/>
      <c r="H39" s="1148">
        <f t="shared" ref="H39" si="253">SUMPRODUCT(H18:H34,I18:I34,$CE$18:$CE$34)</f>
        <v>3394.0192000000006</v>
      </c>
      <c r="I39" s="1149"/>
      <c r="J39" s="1148">
        <f t="shared" ref="J39" si="254">SUMPRODUCT(J18:J34,K18:K34,$CE$18:$CE$34)</f>
        <v>3394.0192000000006</v>
      </c>
      <c r="K39" s="1149"/>
      <c r="L39" s="1148">
        <f t="shared" ref="L39" si="255">SUMPRODUCT(L18:L34,M18:M34,$CE$18:$CE$34)</f>
        <v>3394.0192000000006</v>
      </c>
      <c r="M39" s="1149"/>
      <c r="N39" s="1148">
        <f t="shared" ref="N39" si="256">SUMPRODUCT(N18:N34,O18:O34,$CE$18:$CE$34)</f>
        <v>3394.0192000000006</v>
      </c>
      <c r="O39" s="1149"/>
      <c r="P39" s="1148">
        <f t="shared" ref="P39" si="257">SUMPRODUCT(P18:P34,Q18:Q34,$CE$18:$CE$34)</f>
        <v>3394.0192000000006</v>
      </c>
      <c r="Q39" s="1149"/>
      <c r="R39" s="1148">
        <f t="shared" ref="R39" si="258">SUMPRODUCT(R18:R34,S18:S34,$CE$18:$CE$34)</f>
        <v>2840.3232000000003</v>
      </c>
      <c r="S39" s="1149"/>
      <c r="T39" s="1148">
        <f t="shared" ref="T39" si="259">SUMPRODUCT(T18:T34,U18:U34,$CE$18:$CE$34)</f>
        <v>2840.3232000000003</v>
      </c>
      <c r="U39" s="1149"/>
      <c r="V39" s="1148">
        <f t="shared" ref="V39" si="260">SUMPRODUCT(V18:V34,W18:W34,$CE$18:$CE$34)</f>
        <v>2840.3232000000003</v>
      </c>
      <c r="W39" s="1149"/>
      <c r="X39" s="1148">
        <f t="shared" ref="X39" si="261">SUMPRODUCT(X18:X34,Y18:Y34,$CE$18:$CE$34)</f>
        <v>2840.3232000000003</v>
      </c>
      <c r="Y39" s="1149"/>
      <c r="Z39" s="1148">
        <f t="shared" ref="Z39" si="262">SUMPRODUCT(Z18:Z34,AA18:AA34,$CE$18:$CE$34)</f>
        <v>627.3696000000001</v>
      </c>
      <c r="AA39" s="1149"/>
      <c r="AB39" s="1148">
        <f t="shared" ref="AB39" si="263">SUMPRODUCT(AB18:AB34,AC18:AC34,$CE$18:$CE$34)</f>
        <v>627.3696000000001</v>
      </c>
      <c r="AC39" s="1149"/>
      <c r="AD39" s="1148">
        <f t="shared" ref="AD39" si="264">SUMPRODUCT(AD18:AD34,AE18:AE34,$CE$18:$CE$34)</f>
        <v>627.3696000000001</v>
      </c>
      <c r="AE39" s="1149"/>
      <c r="AF39" s="1148">
        <f t="shared" ref="AF39" si="265">SUMPRODUCT(AF18:AF34,AG18:AG34,$CE$18:$CE$34)</f>
        <v>627.3696000000001</v>
      </c>
      <c r="AG39" s="1149"/>
      <c r="AH39" s="1148">
        <f t="shared" ref="AH39" si="266">SUMPRODUCT(AH18:AH34,AI18:AI34,$CE$18:$CE$34)</f>
        <v>627.3696000000001</v>
      </c>
      <c r="AI39" s="1149"/>
      <c r="AJ39" s="1148">
        <f t="shared" ref="AJ39" si="267">SUMPRODUCT(AJ18:AJ34,AK18:AK34,$CE$18:$CE$34)</f>
        <v>627.3696000000001</v>
      </c>
      <c r="AK39" s="1149"/>
      <c r="AL39" s="1148">
        <f t="shared" ref="AL39" si="268">SUMPRODUCT(AL18:AL34,AM18:AM34,$CE$18:$CE$34)</f>
        <v>627.3696000000001</v>
      </c>
      <c r="AM39" s="1149"/>
      <c r="AN39" s="1148">
        <f t="shared" ref="AN39" si="269">SUMPRODUCT(AN18:AN34,AO18:AO34,$CE$18:$CE$34)</f>
        <v>627.3696000000001</v>
      </c>
      <c r="AO39" s="1149"/>
      <c r="AP39" s="1148">
        <f t="shared" ref="AP39" si="270">SUMPRODUCT(AP18:AP34,AQ18:AQ34,$CE$18:$CE$34)</f>
        <v>627.3696000000001</v>
      </c>
      <c r="AQ39" s="1149"/>
      <c r="AR39" s="1148">
        <f t="shared" ref="AR39" si="271">SUMPRODUCT(AR18:AR34,AS18:AS34,$CE$18:$CE$34)</f>
        <v>627.3696000000001</v>
      </c>
      <c r="AS39" s="1149"/>
      <c r="AT39" s="1148">
        <f t="shared" ref="AT39" si="272">SUMPRODUCT(AT18:AT34,AU18:AU34,$CE$18:$CE$34)</f>
        <v>627.3696000000001</v>
      </c>
      <c r="AU39" s="1149"/>
      <c r="AV39" s="1148">
        <f t="shared" ref="AV39" si="273">SUMPRODUCT(AV18:AV34,AW18:AW34,$CE$18:$CE$34)</f>
        <v>627.3696000000001</v>
      </c>
      <c r="AW39" s="1149"/>
      <c r="AX39" s="1148">
        <f t="shared" ref="AX39" si="274">SUMPRODUCT(AX18:AX34,AY18:AY34,$CE$18:$CE$34)</f>
        <v>627.3696000000001</v>
      </c>
      <c r="AY39" s="1149"/>
      <c r="AZ39" s="1148">
        <f t="shared" ref="AZ39" si="275">SUMPRODUCT(AZ18:AZ34,BA18:BA34,$CE$18:$CE$34)</f>
        <v>627.3696000000001</v>
      </c>
      <c r="BA39" s="1149"/>
      <c r="BB39" s="1148">
        <f t="shared" ref="BB39" si="276">SUMPRODUCT(BB18:BB34,BC18:BC34,$CE$18:$CE$34)</f>
        <v>627.3696000000001</v>
      </c>
      <c r="BC39" s="1149"/>
      <c r="BD39" s="1148">
        <f t="shared" ref="BD39" si="277">SUMPRODUCT(BD18:BD34,BE18:BE34,$CE$18:$CE$34)</f>
        <v>627.3696000000001</v>
      </c>
      <c r="BE39" s="1149"/>
      <c r="BF39" s="1148">
        <f t="shared" ref="BF39" si="278">SUMPRODUCT(BF18:BF34,BG18:BG34,$CE$18:$CE$34)</f>
        <v>1590.1600000000003</v>
      </c>
      <c r="BG39" s="1149"/>
      <c r="BH39" s="1148">
        <f t="shared" ref="BH39" si="279">SUMPRODUCT(BH18:BH34,BI18:BI34,$CE$18:$CE$34)</f>
        <v>3463.1167999999998</v>
      </c>
      <c r="BI39" s="1149"/>
      <c r="BJ39" s="1148">
        <f t="shared" ref="BJ39" si="280">SUMPRODUCT(BJ18:BJ34,BK18:BK34,$CE$18:$CE$34)</f>
        <v>3463.1167999999998</v>
      </c>
      <c r="BK39" s="1149"/>
      <c r="BL39" s="1148">
        <f t="shared" ref="BL39" si="281">SUMPRODUCT(BL18:BL34,BM18:BM34,$CE$18:$CE$34)</f>
        <v>3463.1167999999998</v>
      </c>
      <c r="BM39" s="1149"/>
      <c r="BN39" s="1148">
        <f t="shared" ref="BN39" si="282">SUMPRODUCT(BN18:BN34,BO18:BO34,$CE$18:$CE$34)</f>
        <v>3463.1167999999998</v>
      </c>
      <c r="BO39" s="1149"/>
      <c r="BP39" s="1148">
        <f t="shared" ref="BP39" si="283">SUMPRODUCT(BP18:BP34,BQ18:BQ34,$CE$18:$CE$34)</f>
        <v>3463.1167999999998</v>
      </c>
      <c r="BQ39" s="1149"/>
      <c r="BR39" s="1148">
        <f t="shared" ref="BR39" si="284">SUMPRODUCT(BR18:BR34,BS18:BS34,$CE$18:$CE$34)</f>
        <v>3463.1167999999998</v>
      </c>
      <c r="BS39" s="1149"/>
      <c r="BT39" s="1148">
        <f t="shared" ref="BT39" si="285">SUMPRODUCT(BT18:BT34,BU18:BU34,$CE$18:$CE$34)</f>
        <v>3463.1167999999998</v>
      </c>
      <c r="BU39" s="1149"/>
      <c r="BV39" s="1148">
        <f t="shared" ref="BV39" si="286">SUMPRODUCT(BV18:BV34,BW18:BW34,$CE$18:$CE$34)</f>
        <v>0</v>
      </c>
      <c r="BW39" s="1149"/>
      <c r="BX39" s="1148">
        <f t="shared" ref="BX39" si="287">SUMPRODUCT(BX18:BX34,BY18:BY34,$CE$18:$CE$34)</f>
        <v>0</v>
      </c>
      <c r="BY39" s="1149"/>
      <c r="BZ39" s="1148">
        <f t="shared" ref="BZ39" si="288">SUMPRODUCT(BZ18:BZ34,CA18:CA34,$CE$18:$CE$34)</f>
        <v>0</v>
      </c>
      <c r="CA39" s="1149"/>
      <c r="CB39" s="1148">
        <f t="shared" ref="CB39" si="289">SUMPRODUCT(CB18:CB34,CC18:CC34,$CE$18:$CE$34)</f>
        <v>0</v>
      </c>
      <c r="CC39" s="1149"/>
      <c r="CD39" s="882"/>
      <c r="CE39" s="861"/>
      <c r="CF39" s="883">
        <f t="shared" si="172"/>
        <v>67595.299200000009</v>
      </c>
      <c r="CG39" s="881"/>
      <c r="CH39" s="881"/>
    </row>
    <row r="40" spans="1:86" ht="12" x14ac:dyDescent="0.25">
      <c r="A40" s="864" t="s">
        <v>7743</v>
      </c>
      <c r="B40" s="1148">
        <f>SUM(B$10:B$34)*$CE$40</f>
        <v>4675</v>
      </c>
      <c r="C40" s="1149"/>
      <c r="D40" s="1148">
        <f>SUM(D$10:D$34)*$CE$40</f>
        <v>4675</v>
      </c>
      <c r="E40" s="1149"/>
      <c r="F40" s="1148">
        <f>SUM(F$10:F$34)*$CE$40</f>
        <v>4675</v>
      </c>
      <c r="G40" s="1149"/>
      <c r="H40" s="1148">
        <f>SUM(H$10:H$34)*$CE$40</f>
        <v>4675</v>
      </c>
      <c r="I40" s="1149"/>
      <c r="J40" s="1148">
        <f>SUM(J$10:J$34)*$CE$40</f>
        <v>4675</v>
      </c>
      <c r="K40" s="1149"/>
      <c r="L40" s="1148">
        <f>SUM(L$10:L$34)*$CE$40</f>
        <v>4675</v>
      </c>
      <c r="M40" s="1149"/>
      <c r="N40" s="1148">
        <f>SUM(N$10:N$34)*$CE$40</f>
        <v>4675</v>
      </c>
      <c r="O40" s="1149"/>
      <c r="P40" s="1148">
        <f>SUM(P$10:P$34)*$CE$40</f>
        <v>4675</v>
      </c>
      <c r="Q40" s="1149"/>
      <c r="R40" s="1148">
        <f>SUM(R$10:R$34)*$CE$40</f>
        <v>4125</v>
      </c>
      <c r="S40" s="1149"/>
      <c r="T40" s="1148">
        <f>SUM(T$10:T$34)*$CE$40</f>
        <v>4125</v>
      </c>
      <c r="U40" s="1149"/>
      <c r="V40" s="1148">
        <f>SUM(V$10:V$34)*$CE$40</f>
        <v>4125</v>
      </c>
      <c r="W40" s="1149"/>
      <c r="X40" s="1148">
        <f>SUM(X$10:X$34)*$CE$40</f>
        <v>4125</v>
      </c>
      <c r="Y40" s="1149"/>
      <c r="Z40" s="1148">
        <f>SUM(Z$10:Z$34)*$CE$40</f>
        <v>5225</v>
      </c>
      <c r="AA40" s="1149"/>
      <c r="AB40" s="1148">
        <f>SUM(AB$10:AB$34)*$CE$40</f>
        <v>5225</v>
      </c>
      <c r="AC40" s="1149"/>
      <c r="AD40" s="1148">
        <f>SUM(AD$10:AD$34)*$CE$40</f>
        <v>5225</v>
      </c>
      <c r="AE40" s="1149"/>
      <c r="AF40" s="1148">
        <f>SUM(AF$10:AF$34)*$CE$40</f>
        <v>5225</v>
      </c>
      <c r="AG40" s="1149"/>
      <c r="AH40" s="1148">
        <f>SUM(AH$10:AH$34)*$CE$40</f>
        <v>5225</v>
      </c>
      <c r="AI40" s="1149"/>
      <c r="AJ40" s="1148">
        <f>SUM(AJ$10:AJ$34)*$CE$40</f>
        <v>5225</v>
      </c>
      <c r="AK40" s="1149"/>
      <c r="AL40" s="1148">
        <f>SUM(AL$10:AL$34)*$CE$40</f>
        <v>5225</v>
      </c>
      <c r="AM40" s="1149"/>
      <c r="AN40" s="1148">
        <f>SUM(AN$10:AN$34)*$CE$40</f>
        <v>5225</v>
      </c>
      <c r="AO40" s="1149"/>
      <c r="AP40" s="1148">
        <f>SUM(AP$10:AP$34)*$CE$40</f>
        <v>5225</v>
      </c>
      <c r="AQ40" s="1149"/>
      <c r="AR40" s="1148">
        <f>SUM(AR$10:AR$34)*$CE$40</f>
        <v>5225</v>
      </c>
      <c r="AS40" s="1149"/>
      <c r="AT40" s="1148">
        <f>SUM(AT$10:AT$34)*$CE$40</f>
        <v>5225</v>
      </c>
      <c r="AU40" s="1149"/>
      <c r="AV40" s="1148">
        <f>SUM(AV$10:AV$34)*$CE$40</f>
        <v>5225</v>
      </c>
      <c r="AW40" s="1149"/>
      <c r="AX40" s="1148">
        <f>SUM(AX$10:AX$34)*$CE$40</f>
        <v>5225</v>
      </c>
      <c r="AY40" s="1149"/>
      <c r="AZ40" s="1148">
        <f>SUM(AZ$10:AZ$34)*$CE$40</f>
        <v>5225</v>
      </c>
      <c r="BA40" s="1149"/>
      <c r="BB40" s="1148">
        <f>SUM(BB$10:BB$34)*$CE$40</f>
        <v>5225</v>
      </c>
      <c r="BC40" s="1149"/>
      <c r="BD40" s="1148">
        <f>SUM(BD$10:BD$34)*$CE$40</f>
        <v>5225</v>
      </c>
      <c r="BE40" s="1149"/>
      <c r="BF40" s="1148">
        <f>SUM(BF$10:BF$34)*$CE$40</f>
        <v>5225</v>
      </c>
      <c r="BG40" s="1149"/>
      <c r="BH40" s="1148">
        <f>SUM(BH$10:BH$34)*$CE$40</f>
        <v>5225</v>
      </c>
      <c r="BI40" s="1149"/>
      <c r="BJ40" s="1148">
        <f>SUM(BJ$10:BJ$34)*$CE$40</f>
        <v>5225</v>
      </c>
      <c r="BK40" s="1149"/>
      <c r="BL40" s="1148">
        <f>SUM(BL$10:BL$34)*$CE$40</f>
        <v>5225</v>
      </c>
      <c r="BM40" s="1149"/>
      <c r="BN40" s="1148">
        <f>SUM(BN$10:BN$34)*$CE$40</f>
        <v>5225</v>
      </c>
      <c r="BO40" s="1149"/>
      <c r="BP40" s="1148">
        <f>SUM(BP$10:BP$34)*$CE$40</f>
        <v>5225</v>
      </c>
      <c r="BQ40" s="1149"/>
      <c r="BR40" s="1148">
        <f>SUM(BR$10:BR$34)*$CE$40</f>
        <v>5225</v>
      </c>
      <c r="BS40" s="1149"/>
      <c r="BT40" s="1148">
        <f>SUM(BT$10:BT$34)*$CE$40</f>
        <v>5225</v>
      </c>
      <c r="BU40" s="1149"/>
      <c r="BV40" s="1148">
        <f>SUM(BV$10:BV$34)*$CE$40</f>
        <v>0</v>
      </c>
      <c r="BW40" s="1149"/>
      <c r="BX40" s="1148">
        <f>SUM(BX$10:BX$34)*$CE$40</f>
        <v>0</v>
      </c>
      <c r="BY40" s="1149"/>
      <c r="BZ40" s="1148">
        <f>SUM(BZ$10:BZ$34)*$CE$40</f>
        <v>0</v>
      </c>
      <c r="CA40" s="1149"/>
      <c r="CB40" s="1148">
        <f>SUM(CB$10:CB$34)*$CE$40</f>
        <v>0</v>
      </c>
      <c r="CC40" s="1149"/>
      <c r="CD40" s="882"/>
      <c r="CE40" s="861">
        <f>(6.25+18.75)*22</f>
        <v>550</v>
      </c>
      <c r="CF40" s="883">
        <f t="shared" si="172"/>
        <v>179300</v>
      </c>
      <c r="CG40" s="881"/>
      <c r="CH40" s="881"/>
    </row>
    <row r="41" spans="1:86" ht="12" x14ac:dyDescent="0.25">
      <c r="A41" s="864" t="s">
        <v>7744</v>
      </c>
      <c r="B41" s="1148">
        <f>SUM(B$18:B$33)*$CE$41</f>
        <v>4589.2</v>
      </c>
      <c r="C41" s="1149"/>
      <c r="D41" s="1148">
        <f t="shared" ref="D41" si="290">SUM(D$18:D$33)*$CE$41</f>
        <v>4589.2</v>
      </c>
      <c r="E41" s="1149"/>
      <c r="F41" s="1148">
        <f t="shared" ref="F41" si="291">SUM(F$18:F$33)*$CE$41</f>
        <v>4589.2</v>
      </c>
      <c r="G41" s="1149"/>
      <c r="H41" s="1148">
        <f t="shared" ref="H41" si="292">SUM(H$18:H$33)*$CE$41</f>
        <v>4589.2</v>
      </c>
      <c r="I41" s="1149"/>
      <c r="J41" s="1148">
        <f t="shared" ref="J41" si="293">SUM(J$18:J$33)*$CE$41</f>
        <v>4589.2</v>
      </c>
      <c r="K41" s="1149"/>
      <c r="L41" s="1148">
        <f t="shared" ref="L41" si="294">SUM(L$18:L$33)*$CE$41</f>
        <v>4589.2</v>
      </c>
      <c r="M41" s="1149"/>
      <c r="N41" s="1148">
        <f t="shared" ref="N41" si="295">SUM(N$18:N$33)*$CE$41</f>
        <v>4589.2</v>
      </c>
      <c r="O41" s="1149"/>
      <c r="P41" s="1148">
        <f t="shared" ref="P41" si="296">SUM(P$18:P$33)*$CE$41</f>
        <v>4589.2</v>
      </c>
      <c r="Q41" s="1149"/>
      <c r="R41" s="1148">
        <f t="shared" ref="R41" si="297">SUM(R$18:R$33)*$CE$41</f>
        <v>3933.6000000000004</v>
      </c>
      <c r="S41" s="1149"/>
      <c r="T41" s="1148">
        <f t="shared" ref="T41" si="298">SUM(T$18:T$33)*$CE$41</f>
        <v>3933.6000000000004</v>
      </c>
      <c r="U41" s="1149"/>
      <c r="V41" s="1148">
        <f t="shared" ref="V41" si="299">SUM(V$18:V$33)*$CE$41</f>
        <v>3933.6000000000004</v>
      </c>
      <c r="W41" s="1149"/>
      <c r="X41" s="1148">
        <f t="shared" ref="X41" si="300">SUM(X$18:X$33)*$CE$41</f>
        <v>3933.6000000000004</v>
      </c>
      <c r="Y41" s="1149"/>
      <c r="Z41" s="1148">
        <f t="shared" ref="Z41" si="301">SUM(Z$18:Z$33)*$CE$41</f>
        <v>5244.8</v>
      </c>
      <c r="AA41" s="1149"/>
      <c r="AB41" s="1148">
        <f t="shared" ref="AB41" si="302">SUM(AB$18:AB$33)*$CE$41</f>
        <v>5244.8</v>
      </c>
      <c r="AC41" s="1149"/>
      <c r="AD41" s="1148">
        <f t="shared" ref="AD41" si="303">SUM(AD$18:AD$33)*$CE$41</f>
        <v>5244.8</v>
      </c>
      <c r="AE41" s="1149"/>
      <c r="AF41" s="1148">
        <f t="shared" ref="AF41" si="304">SUM(AF$18:AF$33)*$CE$41</f>
        <v>5244.8</v>
      </c>
      <c r="AG41" s="1149"/>
      <c r="AH41" s="1148">
        <f t="shared" ref="AH41" si="305">SUM(AH$18:AH$33)*$CE$41</f>
        <v>5244.8</v>
      </c>
      <c r="AI41" s="1149"/>
      <c r="AJ41" s="1148">
        <f t="shared" ref="AJ41" si="306">SUM(AJ$18:AJ$33)*$CE$41</f>
        <v>5244.8</v>
      </c>
      <c r="AK41" s="1149"/>
      <c r="AL41" s="1148">
        <f t="shared" ref="AL41" si="307">SUM(AL$18:AL$33)*$CE$41</f>
        <v>5244.8</v>
      </c>
      <c r="AM41" s="1149"/>
      <c r="AN41" s="1148">
        <f t="shared" ref="AN41" si="308">SUM(AN$18:AN$33)*$CE$41</f>
        <v>5244.8</v>
      </c>
      <c r="AO41" s="1149"/>
      <c r="AP41" s="1148">
        <f t="shared" ref="AP41" si="309">SUM(AP$18:AP$33)*$CE$41</f>
        <v>5244.8</v>
      </c>
      <c r="AQ41" s="1149"/>
      <c r="AR41" s="1148">
        <f t="shared" ref="AR41" si="310">SUM(AR$18:AR$33)*$CE$41</f>
        <v>5244.8</v>
      </c>
      <c r="AS41" s="1149"/>
      <c r="AT41" s="1148">
        <f t="shared" ref="AT41" si="311">SUM(AT$18:AT$33)*$CE$41</f>
        <v>5244.8</v>
      </c>
      <c r="AU41" s="1149"/>
      <c r="AV41" s="1148">
        <f t="shared" ref="AV41" si="312">SUM(AV$18:AV$33)*$CE$41</f>
        <v>5244.8</v>
      </c>
      <c r="AW41" s="1149"/>
      <c r="AX41" s="1148">
        <f t="shared" ref="AX41" si="313">SUM(AX$18:AX$33)*$CE$41</f>
        <v>5244.8</v>
      </c>
      <c r="AY41" s="1149"/>
      <c r="AZ41" s="1148">
        <f t="shared" ref="AZ41" si="314">SUM(AZ$18:AZ$33)*$CE$41</f>
        <v>5244.8</v>
      </c>
      <c r="BA41" s="1149"/>
      <c r="BB41" s="1148">
        <f t="shared" ref="BB41" si="315">SUM(BB$18:BB$33)*$CE$41</f>
        <v>5244.8</v>
      </c>
      <c r="BC41" s="1149"/>
      <c r="BD41" s="1148">
        <f t="shared" ref="BD41" si="316">SUM(BD$18:BD$33)*$CE$41</f>
        <v>5244.8</v>
      </c>
      <c r="BE41" s="1149"/>
      <c r="BF41" s="1148">
        <f t="shared" ref="BF41" si="317">SUM(BF$18:BF$33)*$CE$41</f>
        <v>5244.8</v>
      </c>
      <c r="BG41" s="1149"/>
      <c r="BH41" s="1148">
        <f t="shared" ref="BH41" si="318">SUM(BH$18:BH$33)*$CE$41</f>
        <v>5244.8</v>
      </c>
      <c r="BI41" s="1149"/>
      <c r="BJ41" s="1148">
        <f t="shared" ref="BJ41" si="319">SUM(BJ$18:BJ$33)*$CE$41</f>
        <v>5244.8</v>
      </c>
      <c r="BK41" s="1149"/>
      <c r="BL41" s="1148">
        <f t="shared" ref="BL41" si="320">SUM(BL$18:BL$33)*$CE$41</f>
        <v>5244.8</v>
      </c>
      <c r="BM41" s="1149"/>
      <c r="BN41" s="1148">
        <f t="shared" ref="BN41" si="321">SUM(BN$18:BN$33)*$CE$41</f>
        <v>5244.8</v>
      </c>
      <c r="BO41" s="1149"/>
      <c r="BP41" s="1148">
        <f t="shared" ref="BP41" si="322">SUM(BP$18:BP$33)*$CE$41</f>
        <v>5244.8</v>
      </c>
      <c r="BQ41" s="1149"/>
      <c r="BR41" s="1148">
        <f t="shared" ref="BR41" si="323">SUM(BR$18:BR$33)*$CE$41</f>
        <v>5244.8</v>
      </c>
      <c r="BS41" s="1149"/>
      <c r="BT41" s="1148">
        <f t="shared" ref="BT41" si="324">SUM(BT$18:BT$33)*$CE$41</f>
        <v>5244.8</v>
      </c>
      <c r="BU41" s="1149"/>
      <c r="BV41" s="1148">
        <f t="shared" ref="BV41" si="325">SUM(BV$18:BV$33)*$CE$41</f>
        <v>0</v>
      </c>
      <c r="BW41" s="1149"/>
      <c r="BX41" s="1148">
        <f t="shared" ref="BX41" si="326">SUM(BX$18:BX$33)*$CE$41</f>
        <v>0</v>
      </c>
      <c r="BY41" s="1149"/>
      <c r="BZ41" s="1148">
        <f t="shared" ref="BZ41" si="327">SUM(BZ$18:BZ$33)*$CE$41</f>
        <v>0</v>
      </c>
      <c r="CA41" s="1149"/>
      <c r="CB41" s="1148">
        <f t="shared" ref="CB41" si="328">SUM(CB$18:CB$33)*$CE$41</f>
        <v>0</v>
      </c>
      <c r="CC41" s="1149"/>
      <c r="CD41" s="882"/>
      <c r="CE41" s="861">
        <f>(7.4+7.5)*2*22</f>
        <v>655.6</v>
      </c>
      <c r="CF41" s="883">
        <f t="shared" si="172"/>
        <v>178323.19999999992</v>
      </c>
      <c r="CH41" s="881"/>
    </row>
    <row r="42" spans="1:86" ht="12" x14ac:dyDescent="0.25">
      <c r="A42" s="866" t="s">
        <v>7745</v>
      </c>
      <c r="B42" s="1148">
        <f>ROUNDUP(SUM(B$9:B$34),0)*$CE$42</f>
        <v>720</v>
      </c>
      <c r="C42" s="1149"/>
      <c r="D42" s="1148">
        <f>ROUNDUP(SUM(D$9:D$34),0)*$CE$42</f>
        <v>720</v>
      </c>
      <c r="E42" s="1149"/>
      <c r="F42" s="1148">
        <f>ROUNDUP(SUM(F$9:F$34),0)*$CE$42</f>
        <v>720</v>
      </c>
      <c r="G42" s="1149"/>
      <c r="H42" s="1148">
        <f>ROUNDUP(SUM(H$9:H$34),0)*$CE$42</f>
        <v>720</v>
      </c>
      <c r="I42" s="1149"/>
      <c r="J42" s="1148">
        <f>ROUNDUP(SUM(J$9:J$34),0)*$CE$42</f>
        <v>720</v>
      </c>
      <c r="K42" s="1149"/>
      <c r="L42" s="1148">
        <f>ROUNDUP(SUM(L$9:L$34),0)*$CE$42</f>
        <v>720</v>
      </c>
      <c r="M42" s="1149"/>
      <c r="N42" s="1148">
        <f>ROUNDUP(SUM(N$9:N$34),0)*$CE$42</f>
        <v>720</v>
      </c>
      <c r="O42" s="1149"/>
      <c r="P42" s="1148">
        <f>ROUNDUP(SUM(P$9:P$34),0)*$CE$42</f>
        <v>720</v>
      </c>
      <c r="Q42" s="1149"/>
      <c r="R42" s="1148">
        <f>ROUNDUP(SUM(R$9:R$34),0)*$CE$42</f>
        <v>640</v>
      </c>
      <c r="S42" s="1149"/>
      <c r="T42" s="1148">
        <f>ROUNDUP(SUM(T$9:T$34),0)*$CE$42</f>
        <v>640</v>
      </c>
      <c r="U42" s="1149"/>
      <c r="V42" s="1148">
        <f>ROUNDUP(SUM(V$9:V$34),0)*$CE$42</f>
        <v>640</v>
      </c>
      <c r="W42" s="1149"/>
      <c r="X42" s="1148">
        <f>ROUNDUP(SUM(X$9:X$34),0)*$CE$42</f>
        <v>640</v>
      </c>
      <c r="Y42" s="1149"/>
      <c r="Z42" s="1148">
        <f>ROUNDUP(SUM(Z$9:Z$34),0)*$CE$42</f>
        <v>800</v>
      </c>
      <c r="AA42" s="1149"/>
      <c r="AB42" s="1148">
        <f>ROUNDUP(SUM(AB$9:AB$34),0)*$CE$42</f>
        <v>800</v>
      </c>
      <c r="AC42" s="1149"/>
      <c r="AD42" s="1148">
        <f>ROUNDUP(SUM(AD$9:AD$34),0)*$CE$42</f>
        <v>800</v>
      </c>
      <c r="AE42" s="1149"/>
      <c r="AF42" s="1148">
        <f>ROUNDUP(SUM(AF$9:AF$34),0)*$CE$42</f>
        <v>800</v>
      </c>
      <c r="AG42" s="1149"/>
      <c r="AH42" s="1148">
        <f>ROUNDUP(SUM(AH$9:AH$34),0)*$CE$42</f>
        <v>800</v>
      </c>
      <c r="AI42" s="1149"/>
      <c r="AJ42" s="1148">
        <f>ROUNDUP(SUM(AJ$9:AJ$34),0)*$CE$42</f>
        <v>800</v>
      </c>
      <c r="AK42" s="1149"/>
      <c r="AL42" s="1148">
        <f>ROUNDUP(SUM(AL$9:AL$34),0)*$CE$42</f>
        <v>800</v>
      </c>
      <c r="AM42" s="1149"/>
      <c r="AN42" s="1148">
        <f>ROUNDUP(SUM(AN$9:AN$34),0)*$CE$42</f>
        <v>800</v>
      </c>
      <c r="AO42" s="1149"/>
      <c r="AP42" s="1148">
        <f>ROUNDUP(SUM(AP$9:AP$34),0)*$CE$42</f>
        <v>800</v>
      </c>
      <c r="AQ42" s="1149"/>
      <c r="AR42" s="1148">
        <f>ROUNDUP(SUM(AR$9:AR$34),0)*$CE$42</f>
        <v>800</v>
      </c>
      <c r="AS42" s="1149"/>
      <c r="AT42" s="1148">
        <f>ROUNDUP(SUM(AT$9:AT$34),0)*$CE$42</f>
        <v>800</v>
      </c>
      <c r="AU42" s="1149"/>
      <c r="AV42" s="1148">
        <f>ROUNDUP(SUM(AV$9:AV$34),0)*$CE$42</f>
        <v>800</v>
      </c>
      <c r="AW42" s="1149"/>
      <c r="AX42" s="1148">
        <f>ROUNDUP(SUM(AX$9:AX$34),0)*$CE$42</f>
        <v>800</v>
      </c>
      <c r="AY42" s="1149"/>
      <c r="AZ42" s="1148">
        <f>ROUNDUP(SUM(AZ$9:AZ$34),0)*$CE$42</f>
        <v>800</v>
      </c>
      <c r="BA42" s="1149"/>
      <c r="BB42" s="1148">
        <f>ROUNDUP(SUM(BB$9:BB$34),0)*$CE$42</f>
        <v>800</v>
      </c>
      <c r="BC42" s="1149"/>
      <c r="BD42" s="1148">
        <f>ROUNDUP(SUM(BD$9:BD$34),0)*$CE$42</f>
        <v>800</v>
      </c>
      <c r="BE42" s="1149"/>
      <c r="BF42" s="1148">
        <f>ROUNDUP(SUM(BF$9:BF$34),0)*$CE$42</f>
        <v>800</v>
      </c>
      <c r="BG42" s="1149"/>
      <c r="BH42" s="1148">
        <f>ROUNDUP(SUM(BH$9:BH$34),0)*$CE$42</f>
        <v>800</v>
      </c>
      <c r="BI42" s="1149"/>
      <c r="BJ42" s="1148">
        <f>ROUNDUP(SUM(BJ$9:BJ$34),0)*$CE$42</f>
        <v>800</v>
      </c>
      <c r="BK42" s="1149"/>
      <c r="BL42" s="1148">
        <f>ROUNDUP(SUM(BL$9:BL$34),0)*$CE$42</f>
        <v>800</v>
      </c>
      <c r="BM42" s="1149"/>
      <c r="BN42" s="1148">
        <f>ROUNDUP(SUM(BN$9:BN$34),0)*$CE$42</f>
        <v>800</v>
      </c>
      <c r="BO42" s="1149"/>
      <c r="BP42" s="1148">
        <f>ROUNDUP(SUM(BP$9:BP$34),0)*$CE$42</f>
        <v>800</v>
      </c>
      <c r="BQ42" s="1149"/>
      <c r="BR42" s="1148">
        <f>ROUNDUP(SUM(BR$9:BR$34),0)*$CE$42</f>
        <v>800</v>
      </c>
      <c r="BS42" s="1149"/>
      <c r="BT42" s="1148">
        <f>ROUNDUP(SUM(BT$9:BT$34),0)*$CE$42</f>
        <v>800</v>
      </c>
      <c r="BU42" s="1149"/>
      <c r="BV42" s="1148">
        <f>ROUNDUP(SUM(BV$9:BV$34),0)*$CE$42</f>
        <v>0</v>
      </c>
      <c r="BW42" s="1149"/>
      <c r="BX42" s="1148">
        <f>ROUNDUP(SUM(BX$9:BX$34),0)*$CE$42</f>
        <v>0</v>
      </c>
      <c r="BY42" s="1149"/>
      <c r="BZ42" s="1148">
        <f>ROUNDUP(SUM(BZ$9:BZ$34),0)*$CE$42</f>
        <v>0</v>
      </c>
      <c r="CA42" s="1149"/>
      <c r="CB42" s="1148">
        <f>ROUNDUP(SUM(CB$9:CB$34),0)*$CE$42</f>
        <v>0</v>
      </c>
      <c r="CC42" s="1149"/>
      <c r="CD42" s="882"/>
      <c r="CE42" s="861">
        <v>80</v>
      </c>
      <c r="CF42" s="883">
        <f t="shared" si="172"/>
        <v>27520</v>
      </c>
      <c r="CH42" s="881"/>
    </row>
    <row r="43" spans="1:86" ht="12" x14ac:dyDescent="0.25">
      <c r="A43" s="864" t="s">
        <v>7746</v>
      </c>
      <c r="B43" s="1148">
        <f>SUM(B$18:B$34)*$CE$43</f>
        <v>1750</v>
      </c>
      <c r="C43" s="1149"/>
      <c r="D43" s="1148">
        <f t="shared" ref="D43" si="329">SUM(D$18:D$34)*$CE$43</f>
        <v>1750</v>
      </c>
      <c r="E43" s="1149"/>
      <c r="F43" s="1148">
        <f t="shared" ref="F43" si="330">SUM(F$18:F$34)*$CE$43</f>
        <v>1750</v>
      </c>
      <c r="G43" s="1149"/>
      <c r="H43" s="1148">
        <f t="shared" ref="H43" si="331">SUM(H$18:H$34)*$CE$43</f>
        <v>1750</v>
      </c>
      <c r="I43" s="1149"/>
      <c r="J43" s="1148">
        <f t="shared" ref="J43" si="332">SUM(J$18:J$34)*$CE$43</f>
        <v>1750</v>
      </c>
      <c r="K43" s="1149"/>
      <c r="L43" s="1148">
        <f t="shared" ref="L43" si="333">SUM(L$18:L$34)*$CE$43</f>
        <v>1750</v>
      </c>
      <c r="M43" s="1149"/>
      <c r="N43" s="1148">
        <f t="shared" ref="N43" si="334">SUM(N$18:N$34)*$CE$43</f>
        <v>1750</v>
      </c>
      <c r="O43" s="1149"/>
      <c r="P43" s="1148">
        <f t="shared" ref="P43" si="335">SUM(P$18:P$34)*$CE$43</f>
        <v>1750</v>
      </c>
      <c r="Q43" s="1149"/>
      <c r="R43" s="1148">
        <f t="shared" ref="R43" si="336">SUM(R$18:R$34)*$CE$43</f>
        <v>1500</v>
      </c>
      <c r="S43" s="1149"/>
      <c r="T43" s="1148">
        <f t="shared" ref="T43" si="337">SUM(T$18:T$34)*$CE$43</f>
        <v>1500</v>
      </c>
      <c r="U43" s="1149"/>
      <c r="V43" s="1148">
        <f t="shared" ref="V43" si="338">SUM(V$18:V$34)*$CE$43</f>
        <v>1500</v>
      </c>
      <c r="W43" s="1149"/>
      <c r="X43" s="1148">
        <f t="shared" ref="X43" si="339">SUM(X$18:X$34)*$CE$43</f>
        <v>1500</v>
      </c>
      <c r="Y43" s="1149"/>
      <c r="Z43" s="1148">
        <f t="shared" ref="Z43" si="340">SUM(Z$18:Z$34)*$CE$43</f>
        <v>2000</v>
      </c>
      <c r="AA43" s="1149"/>
      <c r="AB43" s="1148">
        <f t="shared" ref="AB43" si="341">SUM(AB$18:AB$34)*$CE$43</f>
        <v>2000</v>
      </c>
      <c r="AC43" s="1149"/>
      <c r="AD43" s="1148">
        <f t="shared" ref="AD43" si="342">SUM(AD$18:AD$34)*$CE$43</f>
        <v>2000</v>
      </c>
      <c r="AE43" s="1149"/>
      <c r="AF43" s="1148">
        <f t="shared" ref="AF43" si="343">SUM(AF$18:AF$34)*$CE$43</f>
        <v>2000</v>
      </c>
      <c r="AG43" s="1149"/>
      <c r="AH43" s="1148">
        <f t="shared" ref="AH43" si="344">SUM(AH$18:AH$34)*$CE$43</f>
        <v>2000</v>
      </c>
      <c r="AI43" s="1149"/>
      <c r="AJ43" s="1148">
        <f t="shared" ref="AJ43" si="345">SUM(AJ$18:AJ$34)*$CE$43</f>
        <v>2000</v>
      </c>
      <c r="AK43" s="1149"/>
      <c r="AL43" s="1148">
        <f t="shared" ref="AL43" si="346">SUM(AL$18:AL$34)*$CE$43</f>
        <v>2000</v>
      </c>
      <c r="AM43" s="1149"/>
      <c r="AN43" s="1148">
        <f t="shared" ref="AN43" si="347">SUM(AN$18:AN$34)*$CE$43</f>
        <v>2000</v>
      </c>
      <c r="AO43" s="1149"/>
      <c r="AP43" s="1148">
        <f t="shared" ref="AP43" si="348">SUM(AP$18:AP$34)*$CE$43</f>
        <v>2000</v>
      </c>
      <c r="AQ43" s="1149"/>
      <c r="AR43" s="1148">
        <f t="shared" ref="AR43" si="349">SUM(AR$18:AR$34)*$CE$43</f>
        <v>2000</v>
      </c>
      <c r="AS43" s="1149"/>
      <c r="AT43" s="1148">
        <f t="shared" ref="AT43" si="350">SUM(AT$18:AT$34)*$CE$43</f>
        <v>2000</v>
      </c>
      <c r="AU43" s="1149"/>
      <c r="AV43" s="1148">
        <f t="shared" ref="AV43" si="351">SUM(AV$18:AV$34)*$CE$43</f>
        <v>2000</v>
      </c>
      <c r="AW43" s="1149"/>
      <c r="AX43" s="1148">
        <f t="shared" ref="AX43" si="352">SUM(AX$18:AX$34)*$CE$43</f>
        <v>2000</v>
      </c>
      <c r="AY43" s="1149"/>
      <c r="AZ43" s="1148">
        <f t="shared" ref="AZ43" si="353">SUM(AZ$18:AZ$34)*$CE$43</f>
        <v>2000</v>
      </c>
      <c r="BA43" s="1149"/>
      <c r="BB43" s="1148">
        <f t="shared" ref="BB43" si="354">SUM(BB$18:BB$34)*$CE$43</f>
        <v>2000</v>
      </c>
      <c r="BC43" s="1149"/>
      <c r="BD43" s="1148">
        <f t="shared" ref="BD43" si="355">SUM(BD$18:BD$34)*$CE$43</f>
        <v>2000</v>
      </c>
      <c r="BE43" s="1149"/>
      <c r="BF43" s="1148">
        <f t="shared" ref="BF43" si="356">SUM(BF$18:BF$34)*$CE$43</f>
        <v>2000</v>
      </c>
      <c r="BG43" s="1149"/>
      <c r="BH43" s="1148">
        <f t="shared" ref="BH43" si="357">SUM(BH$18:BH$34)*$CE$43</f>
        <v>2000</v>
      </c>
      <c r="BI43" s="1149"/>
      <c r="BJ43" s="1148">
        <f t="shared" ref="BJ43" si="358">SUM(BJ$18:BJ$34)*$CE$43</f>
        <v>2000</v>
      </c>
      <c r="BK43" s="1149"/>
      <c r="BL43" s="1148">
        <f t="shared" ref="BL43" si="359">SUM(BL$18:BL$34)*$CE$43</f>
        <v>2000</v>
      </c>
      <c r="BM43" s="1149"/>
      <c r="BN43" s="1148">
        <f t="shared" ref="BN43" si="360">SUM(BN$18:BN$34)*$CE$43</f>
        <v>2000</v>
      </c>
      <c r="BO43" s="1149"/>
      <c r="BP43" s="1148">
        <f t="shared" ref="BP43" si="361">SUM(BP$18:BP$34)*$CE$43</f>
        <v>2000</v>
      </c>
      <c r="BQ43" s="1149"/>
      <c r="BR43" s="1148">
        <f t="shared" ref="BR43" si="362">SUM(BR$18:BR$34)*$CE$43</f>
        <v>2000</v>
      </c>
      <c r="BS43" s="1149"/>
      <c r="BT43" s="1148">
        <f t="shared" ref="BT43" si="363">SUM(BT$18:BT$34)*$CE$43</f>
        <v>2000</v>
      </c>
      <c r="BU43" s="1149"/>
      <c r="BV43" s="1148">
        <f t="shared" ref="BV43" si="364">SUM(BV$18:BV$34)*$CE$43</f>
        <v>0</v>
      </c>
      <c r="BW43" s="1149"/>
      <c r="BX43" s="1148">
        <f t="shared" ref="BX43" si="365">SUM(BX$18:BX$34)*$CE$43</f>
        <v>0</v>
      </c>
      <c r="BY43" s="1149"/>
      <c r="BZ43" s="1148">
        <f t="shared" ref="BZ43" si="366">SUM(BZ$18:BZ$34)*$CE$43</f>
        <v>0</v>
      </c>
      <c r="CA43" s="1149"/>
      <c r="CB43" s="1148">
        <f t="shared" ref="CB43" si="367">SUM(CB$18:CB$34)*$CE$43</f>
        <v>0</v>
      </c>
      <c r="CC43" s="1149"/>
      <c r="CD43" s="882"/>
      <c r="CE43" s="861">
        <v>250</v>
      </c>
      <c r="CF43" s="883">
        <f t="shared" si="172"/>
        <v>68000</v>
      </c>
      <c r="CH43" s="881"/>
    </row>
    <row r="44" spans="1:86" ht="12" x14ac:dyDescent="0.25">
      <c r="A44" s="864" t="s">
        <v>7747</v>
      </c>
      <c r="B44" s="1148">
        <f>ROUNDUP(SUM(B$9:B$34),0)*$CE$44</f>
        <v>630</v>
      </c>
      <c r="C44" s="1149"/>
      <c r="D44" s="1148">
        <f>ROUNDUP(SUM(D$9:D$34),0)*$CE$44</f>
        <v>630</v>
      </c>
      <c r="E44" s="1149"/>
      <c r="F44" s="1148">
        <f>ROUNDUP(SUM(F$9:F$34),0)*$CE$44</f>
        <v>630</v>
      </c>
      <c r="G44" s="1149"/>
      <c r="H44" s="1148">
        <f>ROUNDUP(SUM(H$9:H$34),0)*$CE$44</f>
        <v>630</v>
      </c>
      <c r="I44" s="1149"/>
      <c r="J44" s="1148">
        <f>ROUNDUP(SUM(J$9:J$34),0)*$CE$44</f>
        <v>630</v>
      </c>
      <c r="K44" s="1149"/>
      <c r="L44" s="1148">
        <f>ROUNDUP(SUM(L$9:L$34),0)*$CE$44</f>
        <v>630</v>
      </c>
      <c r="M44" s="1149"/>
      <c r="N44" s="1148">
        <f>ROUNDUP(SUM(N$9:N$34),0)*$CE$44</f>
        <v>630</v>
      </c>
      <c r="O44" s="1149"/>
      <c r="P44" s="1148">
        <f>ROUNDUP(SUM(P$9:P$34),0)*$CE$44</f>
        <v>630</v>
      </c>
      <c r="Q44" s="1149"/>
      <c r="R44" s="1148">
        <f>ROUNDUP(SUM(R$9:R$34),0)*$CE$44</f>
        <v>560</v>
      </c>
      <c r="S44" s="1149"/>
      <c r="T44" s="1148">
        <f>ROUNDUP(SUM(T$9:T$34),0)*$CE$44</f>
        <v>560</v>
      </c>
      <c r="U44" s="1149"/>
      <c r="V44" s="1148">
        <f>ROUNDUP(SUM(V$9:V$34),0)*$CE$44</f>
        <v>560</v>
      </c>
      <c r="W44" s="1149"/>
      <c r="X44" s="1148">
        <f>ROUNDUP(SUM(X$9:X$34),0)*$CE$44</f>
        <v>560</v>
      </c>
      <c r="Y44" s="1149"/>
      <c r="Z44" s="1148">
        <f>ROUNDUP(SUM(Z$9:Z$34),0)*$CE$44</f>
        <v>700</v>
      </c>
      <c r="AA44" s="1149"/>
      <c r="AB44" s="1148">
        <f>ROUNDUP(SUM(AB$9:AB$34),0)*$CE$44</f>
        <v>700</v>
      </c>
      <c r="AC44" s="1149"/>
      <c r="AD44" s="1148">
        <f>ROUNDUP(SUM(AD$9:AD$34),0)*$CE$44</f>
        <v>700</v>
      </c>
      <c r="AE44" s="1149"/>
      <c r="AF44" s="1148">
        <f>ROUNDUP(SUM(AF$9:AF$34),0)*$CE$44</f>
        <v>700</v>
      </c>
      <c r="AG44" s="1149"/>
      <c r="AH44" s="1148">
        <f>ROUNDUP(SUM(AH$9:AH$34),0)*$CE$44</f>
        <v>700</v>
      </c>
      <c r="AI44" s="1149"/>
      <c r="AJ44" s="1148">
        <f>ROUNDUP(SUM(AJ$9:AJ$34),0)*$CE$44</f>
        <v>700</v>
      </c>
      <c r="AK44" s="1149"/>
      <c r="AL44" s="1148">
        <f>ROUNDUP(SUM(AL$9:AL$34),0)*$CE$44</f>
        <v>700</v>
      </c>
      <c r="AM44" s="1149"/>
      <c r="AN44" s="1148">
        <f>ROUNDUP(SUM(AN$9:AN$34),0)*$CE$44</f>
        <v>700</v>
      </c>
      <c r="AO44" s="1149"/>
      <c r="AP44" s="1148">
        <f>ROUNDUP(SUM(AP$9:AP$34),0)*$CE$44</f>
        <v>700</v>
      </c>
      <c r="AQ44" s="1149"/>
      <c r="AR44" s="1148">
        <f>ROUNDUP(SUM(AR$9:AR$34),0)*$CE$44</f>
        <v>700</v>
      </c>
      <c r="AS44" s="1149"/>
      <c r="AT44" s="1148">
        <f>ROUNDUP(SUM(AT$9:AT$34),0)*$CE$44</f>
        <v>700</v>
      </c>
      <c r="AU44" s="1149"/>
      <c r="AV44" s="1148">
        <f>ROUNDUP(SUM(AV$9:AV$34),0)*$CE$44</f>
        <v>700</v>
      </c>
      <c r="AW44" s="1149"/>
      <c r="AX44" s="1148">
        <f>ROUNDUP(SUM(AX$9:AX$34),0)*$CE$44</f>
        <v>700</v>
      </c>
      <c r="AY44" s="1149"/>
      <c r="AZ44" s="1148">
        <f>ROUNDUP(SUM(AZ$9:AZ$34),0)*$CE$44</f>
        <v>700</v>
      </c>
      <c r="BA44" s="1149"/>
      <c r="BB44" s="1148">
        <f>ROUNDUP(SUM(BB$9:BB$34),0)*$CE$44</f>
        <v>700</v>
      </c>
      <c r="BC44" s="1149"/>
      <c r="BD44" s="1148">
        <f>ROUNDUP(SUM(BD$9:BD$34),0)*$CE$44</f>
        <v>700</v>
      </c>
      <c r="BE44" s="1149"/>
      <c r="BF44" s="1148">
        <f>ROUNDUP(SUM(BF$9:BF$34),0)*$CE$44</f>
        <v>700</v>
      </c>
      <c r="BG44" s="1149"/>
      <c r="BH44" s="1148">
        <f>ROUNDUP(SUM(BH$9:BH$34),0)*$CE$44</f>
        <v>700</v>
      </c>
      <c r="BI44" s="1149"/>
      <c r="BJ44" s="1148">
        <f>ROUNDUP(SUM(BJ$9:BJ$34),0)*$CE$44</f>
        <v>700</v>
      </c>
      <c r="BK44" s="1149"/>
      <c r="BL44" s="1148">
        <f>ROUNDUP(SUM(BL$9:BL$34),0)*$CE$44</f>
        <v>700</v>
      </c>
      <c r="BM44" s="1149"/>
      <c r="BN44" s="1148">
        <f>ROUNDUP(SUM(BN$9:BN$34),0)*$CE$44</f>
        <v>700</v>
      </c>
      <c r="BO44" s="1149"/>
      <c r="BP44" s="1148">
        <f>ROUNDUP(SUM(BP$9:BP$34),0)*$CE$44</f>
        <v>700</v>
      </c>
      <c r="BQ44" s="1149"/>
      <c r="BR44" s="1148">
        <f>ROUNDUP(SUM(BR$9:BR$34),0)*$CE$44</f>
        <v>700</v>
      </c>
      <c r="BS44" s="1149"/>
      <c r="BT44" s="1148">
        <f>ROUNDUP(SUM(BT$9:BT$34),0)*$CE$44</f>
        <v>700</v>
      </c>
      <c r="BU44" s="1149"/>
      <c r="BV44" s="1148">
        <f>ROUNDUP(SUM(BV$9:BV$34),0)*$CE$44</f>
        <v>0</v>
      </c>
      <c r="BW44" s="1149"/>
      <c r="BX44" s="1148">
        <f>ROUNDUP(SUM(BX$9:BX$34),0)*$CE$44</f>
        <v>0</v>
      </c>
      <c r="BY44" s="1149"/>
      <c r="BZ44" s="1148">
        <f>ROUNDUP(SUM(BZ$9:BZ$34),0)*$CE$44</f>
        <v>0</v>
      </c>
      <c r="CA44" s="1149"/>
      <c r="CB44" s="1148">
        <f>ROUNDUP(SUM(CB$9:CB$34),0)*$CE$44</f>
        <v>0</v>
      </c>
      <c r="CC44" s="1149"/>
      <c r="CD44" s="882"/>
      <c r="CE44" s="861">
        <v>70</v>
      </c>
      <c r="CF44" s="883">
        <f t="shared" si="172"/>
        <v>24080</v>
      </c>
      <c r="CH44" s="881"/>
    </row>
    <row r="45" spans="1:86" ht="12" x14ac:dyDescent="0.25">
      <c r="A45" s="864" t="s">
        <v>7748</v>
      </c>
      <c r="B45" s="1148">
        <f>IF($CE$45=0,0,(SUM(B37,B38,B39)/(1-$CE$45))-SUM(B37,B38,B39))</f>
        <v>0</v>
      </c>
      <c r="C45" s="1149"/>
      <c r="D45" s="1148">
        <f t="shared" ref="D45" si="368">IF($CE$45=0,0,(SUM(D37,D38,D39)/(1-$CE$45))-SUM(D37,D38,D39))</f>
        <v>0</v>
      </c>
      <c r="E45" s="1149"/>
      <c r="F45" s="1148">
        <f t="shared" ref="F45" si="369">IF($CE$45=0,0,(SUM(F37,F38,F39)/(1-$CE$45))-SUM(F37,F38,F39))</f>
        <v>0</v>
      </c>
      <c r="G45" s="1149"/>
      <c r="H45" s="1148">
        <f t="shared" ref="H45" si="370">IF($CE$45=0,0,(SUM(H37,H38,H39)/(1-$CE$45))-SUM(H37,H38,H39))</f>
        <v>0</v>
      </c>
      <c r="I45" s="1149"/>
      <c r="J45" s="1148">
        <f t="shared" ref="J45" si="371">IF($CE$45=0,0,(SUM(J37,J38,J39)/(1-$CE$45))-SUM(J37,J38,J39))</f>
        <v>0</v>
      </c>
      <c r="K45" s="1149"/>
      <c r="L45" s="1148">
        <f t="shared" ref="L45" si="372">IF($CE$45=0,0,(SUM(L37,L38,L39)/(1-$CE$45))-SUM(L37,L38,L39))</f>
        <v>0</v>
      </c>
      <c r="M45" s="1149"/>
      <c r="N45" s="1148">
        <f t="shared" ref="N45" si="373">IF($CE$45=0,0,(SUM(N37,N38,N39)/(1-$CE$45))-SUM(N37,N38,N39))</f>
        <v>0</v>
      </c>
      <c r="O45" s="1149"/>
      <c r="P45" s="1148">
        <f t="shared" ref="P45" si="374">IF($CE$45=0,0,(SUM(P37,P38,P39)/(1-$CE$45))-SUM(P37,P38,P39))</f>
        <v>0</v>
      </c>
      <c r="Q45" s="1149"/>
      <c r="R45" s="1148">
        <f t="shared" ref="R45" si="375">IF($CE$45=0,0,(SUM(R37,R38,R39)/(1-$CE$45))-SUM(R37,R38,R39))</f>
        <v>0</v>
      </c>
      <c r="S45" s="1149"/>
      <c r="T45" s="1148">
        <f t="shared" ref="T45" si="376">IF($CE$45=0,0,(SUM(T37,T38,T39)/(1-$CE$45))-SUM(T37,T38,T39))</f>
        <v>0</v>
      </c>
      <c r="U45" s="1149"/>
      <c r="V45" s="1148">
        <f t="shared" ref="V45" si="377">IF($CE$45=0,0,(SUM(V37,V38,V39)/(1-$CE$45))-SUM(V37,V38,V39))</f>
        <v>0</v>
      </c>
      <c r="W45" s="1149"/>
      <c r="X45" s="1148">
        <f t="shared" ref="X45" si="378">IF($CE$45=0,0,(SUM(X37,X38,X39)/(1-$CE$45))-SUM(X37,X38,X39))</f>
        <v>0</v>
      </c>
      <c r="Y45" s="1149"/>
      <c r="Z45" s="1148">
        <f t="shared" ref="Z45" si="379">IF($CE$45=0,0,(SUM(Z37,Z38,Z39)/(1-$CE$45))-SUM(Z37,Z38,Z39))</f>
        <v>0</v>
      </c>
      <c r="AA45" s="1149"/>
      <c r="AB45" s="1148">
        <f t="shared" ref="AB45" si="380">IF($CE$45=0,0,(SUM(AB37,AB38,AB39)/(1-$CE$45))-SUM(AB37,AB38,AB39))</f>
        <v>0</v>
      </c>
      <c r="AC45" s="1149"/>
      <c r="AD45" s="1148">
        <f t="shared" ref="AD45" si="381">IF($CE$45=0,0,(SUM(AD37,AD38,AD39)/(1-$CE$45))-SUM(AD37,AD38,AD39))</f>
        <v>0</v>
      </c>
      <c r="AE45" s="1149"/>
      <c r="AF45" s="1148">
        <f t="shared" ref="AF45" si="382">IF($CE$45=0,0,(SUM(AF37,AF38,AF39)/(1-$CE$45))-SUM(AF37,AF38,AF39))</f>
        <v>0</v>
      </c>
      <c r="AG45" s="1149"/>
      <c r="AH45" s="1148">
        <f t="shared" ref="AH45" si="383">IF($CE$45=0,0,(SUM(AH37,AH38,AH39)/(1-$CE$45))-SUM(AH37,AH38,AH39))</f>
        <v>0</v>
      </c>
      <c r="AI45" s="1149"/>
      <c r="AJ45" s="1148">
        <f t="shared" ref="AJ45" si="384">IF($CE$45=0,0,(SUM(AJ37,AJ38,AJ39)/(1-$CE$45))-SUM(AJ37,AJ38,AJ39))</f>
        <v>0</v>
      </c>
      <c r="AK45" s="1149"/>
      <c r="AL45" s="1148">
        <f t="shared" ref="AL45" si="385">IF($CE$45=0,0,(SUM(AL37,AL38,AL39)/(1-$CE$45))-SUM(AL37,AL38,AL39))</f>
        <v>0</v>
      </c>
      <c r="AM45" s="1149"/>
      <c r="AN45" s="1148">
        <f t="shared" ref="AN45" si="386">IF($CE$45=0,0,(SUM(AN37,AN38,AN39)/(1-$CE$45))-SUM(AN37,AN38,AN39))</f>
        <v>0</v>
      </c>
      <c r="AO45" s="1149"/>
      <c r="AP45" s="1148">
        <f t="shared" ref="AP45" si="387">IF($CE$45=0,0,(SUM(AP37,AP38,AP39)/(1-$CE$45))-SUM(AP37,AP38,AP39))</f>
        <v>0</v>
      </c>
      <c r="AQ45" s="1149"/>
      <c r="AR45" s="1148">
        <f t="shared" ref="AR45" si="388">IF($CE$45=0,0,(SUM(AR37,AR38,AR39)/(1-$CE$45))-SUM(AR37,AR38,AR39))</f>
        <v>0</v>
      </c>
      <c r="AS45" s="1149"/>
      <c r="AT45" s="1148">
        <f t="shared" ref="AT45" si="389">IF($CE$45=0,0,(SUM(AT37,AT38,AT39)/(1-$CE$45))-SUM(AT37,AT38,AT39))</f>
        <v>0</v>
      </c>
      <c r="AU45" s="1149"/>
      <c r="AV45" s="1148">
        <f t="shared" ref="AV45" si="390">IF($CE$45=0,0,(SUM(AV37,AV38,AV39)/(1-$CE$45))-SUM(AV37,AV38,AV39))</f>
        <v>0</v>
      </c>
      <c r="AW45" s="1149"/>
      <c r="AX45" s="1148">
        <f t="shared" ref="AX45" si="391">IF($CE$45=0,0,(SUM(AX37,AX38,AX39)/(1-$CE$45))-SUM(AX37,AX38,AX39))</f>
        <v>0</v>
      </c>
      <c r="AY45" s="1149"/>
      <c r="AZ45" s="1148">
        <f t="shared" ref="AZ45" si="392">IF($CE$45=0,0,(SUM(AZ37,AZ38,AZ39)/(1-$CE$45))-SUM(AZ37,AZ38,AZ39))</f>
        <v>0</v>
      </c>
      <c r="BA45" s="1149"/>
      <c r="BB45" s="1148">
        <f t="shared" ref="BB45" si="393">IF($CE$45=0,0,(SUM(BB37,BB38,BB39)/(1-$CE$45))-SUM(BB37,BB38,BB39))</f>
        <v>0</v>
      </c>
      <c r="BC45" s="1149"/>
      <c r="BD45" s="1148">
        <f t="shared" ref="BD45" si="394">IF($CE$45=0,0,(SUM(BD37,BD38,BD39)/(1-$CE$45))-SUM(BD37,BD38,BD39))</f>
        <v>0</v>
      </c>
      <c r="BE45" s="1149"/>
      <c r="BF45" s="1148">
        <f t="shared" ref="BF45" si="395">IF($CE$45=0,0,(SUM(BF37,BF38,BF39)/(1-$CE$45))-SUM(BF37,BF38,BF39))</f>
        <v>0</v>
      </c>
      <c r="BG45" s="1149"/>
      <c r="BH45" s="1148">
        <f t="shared" ref="BH45" si="396">IF($CE$45=0,0,(SUM(BH37,BH38,BH39)/(1-$CE$45))-SUM(BH37,BH38,BH39))</f>
        <v>0</v>
      </c>
      <c r="BI45" s="1149"/>
      <c r="BJ45" s="1148">
        <f t="shared" ref="BJ45" si="397">IF($CE$45=0,0,(SUM(BJ37,BJ38,BJ39)/(1-$CE$45))-SUM(BJ37,BJ38,BJ39))</f>
        <v>0</v>
      </c>
      <c r="BK45" s="1149"/>
      <c r="BL45" s="1148">
        <f t="shared" ref="BL45" si="398">IF($CE$45=0,0,(SUM(BL37,BL38,BL39)/(1-$CE$45))-SUM(BL37,BL38,BL39))</f>
        <v>0</v>
      </c>
      <c r="BM45" s="1149"/>
      <c r="BN45" s="1148">
        <f t="shared" ref="BN45" si="399">IF($CE$45=0,0,(SUM(BN37,BN38,BN39)/(1-$CE$45))-SUM(BN37,BN38,BN39))</f>
        <v>0</v>
      </c>
      <c r="BO45" s="1149"/>
      <c r="BP45" s="1148">
        <f t="shared" ref="BP45" si="400">IF($CE$45=0,0,(SUM(BP37,BP38,BP39)/(1-$CE$45))-SUM(BP37,BP38,BP39))</f>
        <v>0</v>
      </c>
      <c r="BQ45" s="1149"/>
      <c r="BR45" s="1148">
        <f t="shared" ref="BR45" si="401">IF($CE$45=0,0,(SUM(BR37,BR38,BR39)/(1-$CE$45))-SUM(BR37,BR38,BR39))</f>
        <v>0</v>
      </c>
      <c r="BS45" s="1149"/>
      <c r="BT45" s="1148">
        <f t="shared" ref="BT45" si="402">IF($CE$45=0,0,(SUM(BT37,BT38,BT39)/(1-$CE$45))-SUM(BT37,BT38,BT39))</f>
        <v>0</v>
      </c>
      <c r="BU45" s="1149"/>
      <c r="BV45" s="1148">
        <f t="shared" ref="BV45" si="403">IF($CE$45=0,0,(SUM(BV37,BV38,BV39)/(1-$CE$45))-SUM(BV37,BV38,BV39))</f>
        <v>0</v>
      </c>
      <c r="BW45" s="1149"/>
      <c r="BX45" s="1148">
        <f t="shared" ref="BX45" si="404">IF($CE$45=0,0,(SUM(BX37,BX38,BX39)/(1-$CE$45))-SUM(BX37,BX38,BX39))</f>
        <v>0</v>
      </c>
      <c r="BY45" s="1149"/>
      <c r="BZ45" s="1148">
        <f t="shared" ref="BZ45" si="405">IF($CE$45=0,0,(SUM(BZ37,BZ38,BZ39)/(1-$CE$45))-SUM(BZ37,BZ38,BZ39))</f>
        <v>0</v>
      </c>
      <c r="CA45" s="1149"/>
      <c r="CB45" s="1148">
        <f t="shared" ref="CB45" si="406">IF($CE$45=0,0,(SUM(CB37,CB38,CB39)/(1-$CE$45))-SUM(CB37,CB38,CB39))</f>
        <v>0</v>
      </c>
      <c r="CC45" s="1149"/>
      <c r="CD45" s="882"/>
      <c r="CE45" s="884"/>
      <c r="CF45" s="883">
        <f t="shared" si="172"/>
        <v>0</v>
      </c>
      <c r="CG45" s="914"/>
      <c r="CH45" s="881"/>
    </row>
    <row r="46" spans="1:86" ht="12" thickBot="1" x14ac:dyDescent="0.25">
      <c r="A46" s="885"/>
      <c r="B46" s="886"/>
      <c r="C46" s="886"/>
      <c r="D46" s="886"/>
      <c r="E46" s="886"/>
      <c r="F46" s="886"/>
      <c r="G46" s="886"/>
      <c r="H46" s="886"/>
      <c r="I46" s="886"/>
      <c r="J46" s="886"/>
      <c r="K46" s="886"/>
      <c r="L46" s="886"/>
      <c r="M46" s="886"/>
      <c r="N46" s="886"/>
      <c r="O46" s="886"/>
      <c r="P46" s="886"/>
      <c r="Q46" s="886"/>
      <c r="R46" s="886"/>
      <c r="S46" s="886"/>
      <c r="T46" s="886"/>
      <c r="U46" s="886"/>
      <c r="V46" s="886"/>
      <c r="W46" s="886"/>
      <c r="X46" s="886"/>
      <c r="Y46" s="886"/>
      <c r="Z46" s="886"/>
      <c r="AA46" s="886"/>
      <c r="AB46" s="886"/>
      <c r="AC46" s="886"/>
      <c r="AD46" s="886"/>
      <c r="AE46" s="886"/>
      <c r="AF46" s="886"/>
      <c r="AG46" s="886"/>
      <c r="AH46" s="886"/>
      <c r="AI46" s="886"/>
      <c r="AJ46" s="886"/>
      <c r="AK46" s="886"/>
      <c r="AL46" s="886"/>
      <c r="AM46" s="886"/>
      <c r="AN46" s="886"/>
      <c r="AO46" s="886"/>
      <c r="AP46" s="886"/>
      <c r="AQ46" s="886"/>
      <c r="AR46" s="886"/>
      <c r="AS46" s="886"/>
      <c r="AT46" s="886"/>
      <c r="AU46" s="886"/>
      <c r="AV46" s="886"/>
      <c r="AW46" s="886"/>
      <c r="AX46" s="886"/>
      <c r="AY46" s="886"/>
      <c r="AZ46" s="886"/>
      <c r="BA46" s="886"/>
      <c r="BB46" s="886"/>
      <c r="BC46" s="886"/>
      <c r="BD46" s="886"/>
      <c r="BE46" s="886"/>
      <c r="BF46" s="886"/>
      <c r="BG46" s="886"/>
      <c r="BH46" s="886"/>
      <c r="BI46" s="886"/>
      <c r="BJ46" s="886"/>
      <c r="BK46" s="886"/>
      <c r="BL46" s="886"/>
      <c r="BM46" s="886"/>
      <c r="BN46" s="886"/>
      <c r="BO46" s="886"/>
      <c r="BP46" s="886"/>
      <c r="BQ46" s="886"/>
      <c r="BR46" s="886"/>
      <c r="BS46" s="886"/>
      <c r="BT46" s="886"/>
      <c r="BU46" s="886"/>
      <c r="BV46" s="886"/>
      <c r="BW46" s="886"/>
      <c r="BX46" s="886"/>
      <c r="BY46" s="886"/>
      <c r="BZ46" s="886"/>
      <c r="CA46" s="886"/>
      <c r="CB46" s="886"/>
      <c r="CC46" s="887"/>
      <c r="CD46" s="888"/>
      <c r="CE46" s="875"/>
      <c r="CF46" s="889"/>
    </row>
    <row r="47" spans="1:86" s="906" customFormat="1" ht="17.399999999999999" customHeight="1" thickBot="1" x14ac:dyDescent="0.35">
      <c r="A47" s="1052" t="s">
        <v>27</v>
      </c>
      <c r="B47" s="1150">
        <f>SUM(B36:C45)</f>
        <v>71423.184540800008</v>
      </c>
      <c r="C47" s="1151"/>
      <c r="D47" s="1150">
        <f t="shared" ref="D47" si="407">SUM(D36:E45)</f>
        <v>71423.184540800008</v>
      </c>
      <c r="E47" s="1151"/>
      <c r="F47" s="1150">
        <f t="shared" ref="F47" si="408">SUM(F36:G45)</f>
        <v>77735.381448960004</v>
      </c>
      <c r="G47" s="1151"/>
      <c r="H47" s="1150">
        <f t="shared" ref="H47" si="409">SUM(H36:I45)</f>
        <v>77735.381448960004</v>
      </c>
      <c r="I47" s="1151"/>
      <c r="J47" s="1150">
        <f t="shared" ref="J47" si="410">SUM(J36:K45)</f>
        <v>77735.381448960004</v>
      </c>
      <c r="K47" s="1151"/>
      <c r="L47" s="1150">
        <f t="shared" ref="L47" si="411">SUM(L36:M45)</f>
        <v>77735.381448960004</v>
      </c>
      <c r="M47" s="1151"/>
      <c r="N47" s="1150">
        <f t="shared" ref="N47" si="412">SUM(N36:O45)</f>
        <v>77735.381448960004</v>
      </c>
      <c r="O47" s="1151"/>
      <c r="P47" s="1150">
        <f t="shared" ref="P47" si="413">SUM(P36:Q45)</f>
        <v>77735.381448960004</v>
      </c>
      <c r="Q47" s="1151"/>
      <c r="R47" s="1150">
        <f t="shared" ref="R47" si="414">SUM(R36:S45)</f>
        <v>69951.198524160005</v>
      </c>
      <c r="S47" s="1151"/>
      <c r="T47" s="1150">
        <f t="shared" ref="T47" si="415">SUM(T36:U45)</f>
        <v>69951.198524160005</v>
      </c>
      <c r="U47" s="1151"/>
      <c r="V47" s="1150">
        <f t="shared" ref="V47" si="416">SUM(V36:W45)</f>
        <v>69951.198524160005</v>
      </c>
      <c r="W47" s="1151"/>
      <c r="X47" s="1150">
        <f t="shared" ref="X47" si="417">SUM(X36:Y45)</f>
        <v>69951.198524160005</v>
      </c>
      <c r="Y47" s="1151"/>
      <c r="Z47" s="1150">
        <f t="shared" ref="Z47" si="418">SUM(Z36:AA45)</f>
        <v>78935.884276480007</v>
      </c>
      <c r="AA47" s="1151"/>
      <c r="AB47" s="1150">
        <f t="shared" ref="AB47" si="419">SUM(AB36:AC45)</f>
        <v>78935.884276480007</v>
      </c>
      <c r="AC47" s="1151"/>
      <c r="AD47" s="1150">
        <f t="shared" ref="AD47" si="420">SUM(AD36:AE45)</f>
        <v>78935.884276480007</v>
      </c>
      <c r="AE47" s="1151"/>
      <c r="AF47" s="1150">
        <f t="shared" ref="AF47:CB47" si="421">SUM(AF36:AG45)</f>
        <v>78935.884276480007</v>
      </c>
      <c r="AG47" s="1151"/>
      <c r="AH47" s="1150">
        <f t="shared" si="421"/>
        <v>78935.884276480007</v>
      </c>
      <c r="AI47" s="1151"/>
      <c r="AJ47" s="1150">
        <f t="shared" si="421"/>
        <v>78935.884276480007</v>
      </c>
      <c r="AK47" s="1151"/>
      <c r="AL47" s="1150">
        <f t="shared" si="421"/>
        <v>78935.884276480007</v>
      </c>
      <c r="AM47" s="1151"/>
      <c r="AN47" s="1150">
        <f t="shared" si="421"/>
        <v>78935.884276480007</v>
      </c>
      <c r="AO47" s="1151"/>
      <c r="AP47" s="1150">
        <f t="shared" si="421"/>
        <v>78935.884276480007</v>
      </c>
      <c r="AQ47" s="1151"/>
      <c r="AR47" s="1150">
        <f t="shared" si="421"/>
        <v>78935.884276480007</v>
      </c>
      <c r="AS47" s="1151"/>
      <c r="AT47" s="1150">
        <f t="shared" si="421"/>
        <v>78935.884276480007</v>
      </c>
      <c r="AU47" s="1151"/>
      <c r="AV47" s="1150">
        <f t="shared" si="421"/>
        <v>78935.884276480007</v>
      </c>
      <c r="AW47" s="1151"/>
      <c r="AX47" s="1150">
        <f t="shared" si="421"/>
        <v>78935.884276480007</v>
      </c>
      <c r="AY47" s="1151"/>
      <c r="AZ47" s="1150">
        <f t="shared" si="421"/>
        <v>78935.884276480007</v>
      </c>
      <c r="BA47" s="1151"/>
      <c r="BB47" s="1150">
        <f t="shared" si="421"/>
        <v>78935.884276480007</v>
      </c>
      <c r="BC47" s="1151"/>
      <c r="BD47" s="1150">
        <f t="shared" si="421"/>
        <v>78935.884276480007</v>
      </c>
      <c r="BE47" s="1151"/>
      <c r="BF47" s="1150">
        <f t="shared" si="421"/>
        <v>80726.481862400004</v>
      </c>
      <c r="BG47" s="1151"/>
      <c r="BH47" s="1150">
        <f t="shared" si="421"/>
        <v>84209.806919040013</v>
      </c>
      <c r="BI47" s="1151"/>
      <c r="BJ47" s="1150">
        <f t="shared" si="421"/>
        <v>84209.806919040013</v>
      </c>
      <c r="BK47" s="1151"/>
      <c r="BL47" s="1150">
        <f t="shared" si="421"/>
        <v>84209.806919040013</v>
      </c>
      <c r="BM47" s="1151"/>
      <c r="BN47" s="1150">
        <f t="shared" si="421"/>
        <v>84209.806919040013</v>
      </c>
      <c r="BO47" s="1151"/>
      <c r="BP47" s="1150">
        <f t="shared" si="421"/>
        <v>84209.806919040013</v>
      </c>
      <c r="BQ47" s="1151"/>
      <c r="BR47" s="1150">
        <f t="shared" si="421"/>
        <v>84209.806919040013</v>
      </c>
      <c r="BS47" s="1151"/>
      <c r="BT47" s="1150">
        <f t="shared" si="421"/>
        <v>84209.806919040013</v>
      </c>
      <c r="BU47" s="1151"/>
      <c r="BV47" s="1150">
        <f t="shared" si="421"/>
        <v>0</v>
      </c>
      <c r="BW47" s="1151"/>
      <c r="BX47" s="1150">
        <f t="shared" si="421"/>
        <v>0</v>
      </c>
      <c r="BY47" s="1151"/>
      <c r="BZ47" s="1150">
        <f t="shared" si="421"/>
        <v>0</v>
      </c>
      <c r="CA47" s="1151"/>
      <c r="CB47" s="1150">
        <f t="shared" si="421"/>
        <v>0</v>
      </c>
      <c r="CC47" s="1151"/>
      <c r="CD47" s="905"/>
      <c r="CF47" s="1052">
        <f>SUM(CF36:CF45)</f>
        <v>2822232.7305913591</v>
      </c>
    </row>
    <row r="49" spans="84:84" x14ac:dyDescent="0.2">
      <c r="CF49" s="881"/>
    </row>
  </sheetData>
  <mergeCells count="526">
    <mergeCell ref="L47:M47"/>
    <mergeCell ref="L36:M36"/>
    <mergeCell ref="N36:O36"/>
    <mergeCell ref="P36:Q36"/>
    <mergeCell ref="B45:C45"/>
    <mergeCell ref="D45:E45"/>
    <mergeCell ref="F45:G45"/>
    <mergeCell ref="H45:I45"/>
    <mergeCell ref="J45:K45"/>
    <mergeCell ref="L45:M45"/>
    <mergeCell ref="B36:C36"/>
    <mergeCell ref="D36:E36"/>
    <mergeCell ref="F36:G36"/>
    <mergeCell ref="H36:I36"/>
    <mergeCell ref="J36:K36"/>
    <mergeCell ref="B47:C47"/>
    <mergeCell ref="D47:E47"/>
    <mergeCell ref="F47:G47"/>
    <mergeCell ref="H47:I47"/>
    <mergeCell ref="J47:K47"/>
    <mergeCell ref="B44:C44"/>
    <mergeCell ref="D44:E44"/>
    <mergeCell ref="F44:G44"/>
    <mergeCell ref="H44:I44"/>
    <mergeCell ref="N45:O45"/>
    <mergeCell ref="P45:Q45"/>
    <mergeCell ref="R45:S45"/>
    <mergeCell ref="T45:U45"/>
    <mergeCell ref="V45:W45"/>
    <mergeCell ref="X45:Y45"/>
    <mergeCell ref="R36:S36"/>
    <mergeCell ref="T36:U36"/>
    <mergeCell ref="V36:W36"/>
    <mergeCell ref="T44:U44"/>
    <mergeCell ref="V44:W44"/>
    <mergeCell ref="X44:Y44"/>
    <mergeCell ref="N42:O42"/>
    <mergeCell ref="P42:Q42"/>
    <mergeCell ref="R42:S42"/>
    <mergeCell ref="T42:U42"/>
    <mergeCell ref="V42:W42"/>
    <mergeCell ref="X42:Y42"/>
    <mergeCell ref="N40:O40"/>
    <mergeCell ref="P40:Q40"/>
    <mergeCell ref="R40:S40"/>
    <mergeCell ref="T40:U40"/>
    <mergeCell ref="T43:U43"/>
    <mergeCell ref="V43:W43"/>
    <mergeCell ref="N47:O47"/>
    <mergeCell ref="P47:Q47"/>
    <mergeCell ref="R47:S47"/>
    <mergeCell ref="T47:U47"/>
    <mergeCell ref="V47:W47"/>
    <mergeCell ref="X47:Y47"/>
    <mergeCell ref="BR47:BS47"/>
    <mergeCell ref="BT47:BU47"/>
    <mergeCell ref="BV47:BW47"/>
    <mergeCell ref="AF45:AG45"/>
    <mergeCell ref="BZ47:CA47"/>
    <mergeCell ref="CB47:CC47"/>
    <mergeCell ref="Z47:AA47"/>
    <mergeCell ref="AB47:AC47"/>
    <mergeCell ref="AD47:AE47"/>
    <mergeCell ref="AF47:AG47"/>
    <mergeCell ref="AV47:AW47"/>
    <mergeCell ref="BP47:BQ47"/>
    <mergeCell ref="BX47:BY47"/>
    <mergeCell ref="AV45:AW45"/>
    <mergeCell ref="BP45:BQ45"/>
    <mergeCell ref="AH47:AI47"/>
    <mergeCell ref="AJ47:AK47"/>
    <mergeCell ref="AL47:AM47"/>
    <mergeCell ref="AN47:AO47"/>
    <mergeCell ref="AP47:AQ47"/>
    <mergeCell ref="AR47:AS47"/>
    <mergeCell ref="AT47:AU47"/>
    <mergeCell ref="AX45:AY45"/>
    <mergeCell ref="AZ45:BA45"/>
    <mergeCell ref="BB45:BC45"/>
    <mergeCell ref="BD45:BE45"/>
    <mergeCell ref="BF45:BG45"/>
    <mergeCell ref="X43:Y43"/>
    <mergeCell ref="BZ45:CA45"/>
    <mergeCell ref="CB45:CC45"/>
    <mergeCell ref="Z45:AA45"/>
    <mergeCell ref="AB45:AC45"/>
    <mergeCell ref="AD45:AE45"/>
    <mergeCell ref="BR44:BS44"/>
    <mergeCell ref="BT44:BU44"/>
    <mergeCell ref="BV44:BW44"/>
    <mergeCell ref="BX44:BY44"/>
    <mergeCell ref="BZ44:CA44"/>
    <mergeCell ref="CB44:CC44"/>
    <mergeCell ref="Z44:AA44"/>
    <mergeCell ref="AB44:AC44"/>
    <mergeCell ref="AD44:AE44"/>
    <mergeCell ref="AF44:AG44"/>
    <mergeCell ref="AV44:AW44"/>
    <mergeCell ref="BP44:BQ44"/>
    <mergeCell ref="BR45:BS45"/>
    <mergeCell ref="BT45:BU45"/>
    <mergeCell ref="BV45:BW45"/>
    <mergeCell ref="BX45:BY45"/>
    <mergeCell ref="BX43:BY43"/>
    <mergeCell ref="BZ43:CA43"/>
    <mergeCell ref="B43:C43"/>
    <mergeCell ref="D43:E43"/>
    <mergeCell ref="F43:G43"/>
    <mergeCell ref="H43:I43"/>
    <mergeCell ref="J43:K43"/>
    <mergeCell ref="L43:M43"/>
    <mergeCell ref="N44:O44"/>
    <mergeCell ref="P44:Q44"/>
    <mergeCell ref="R44:S44"/>
    <mergeCell ref="J44:K44"/>
    <mergeCell ref="L44:M44"/>
    <mergeCell ref="N43:O43"/>
    <mergeCell ref="P43:Q43"/>
    <mergeCell ref="R43:S43"/>
    <mergeCell ref="CB43:CC43"/>
    <mergeCell ref="Z43:AA43"/>
    <mergeCell ref="AB43:AC43"/>
    <mergeCell ref="AD43:AE43"/>
    <mergeCell ref="AF43:AG43"/>
    <mergeCell ref="AV43:AW43"/>
    <mergeCell ref="BP43:BQ43"/>
    <mergeCell ref="BR43:BS43"/>
    <mergeCell ref="BT43:BU43"/>
    <mergeCell ref="BV43:BW43"/>
    <mergeCell ref="AH43:AI43"/>
    <mergeCell ref="AJ43:AK43"/>
    <mergeCell ref="AL43:AM43"/>
    <mergeCell ref="AN43:AO43"/>
    <mergeCell ref="AP43:AQ43"/>
    <mergeCell ref="AR43:AS43"/>
    <mergeCell ref="AT43:AU43"/>
    <mergeCell ref="BX42:BY42"/>
    <mergeCell ref="BZ42:CA42"/>
    <mergeCell ref="CB42:CC42"/>
    <mergeCell ref="Z42:AA42"/>
    <mergeCell ref="AB42:AC42"/>
    <mergeCell ref="AD42:AE42"/>
    <mergeCell ref="AF42:AG42"/>
    <mergeCell ref="AV42:AW42"/>
    <mergeCell ref="BP42:BQ42"/>
    <mergeCell ref="AH42:AI42"/>
    <mergeCell ref="AJ42:AK42"/>
    <mergeCell ref="AL42:AM42"/>
    <mergeCell ref="AN42:AO42"/>
    <mergeCell ref="AP42:AQ42"/>
    <mergeCell ref="AR42:AS42"/>
    <mergeCell ref="AT42:AU42"/>
    <mergeCell ref="AX42:AY42"/>
    <mergeCell ref="AZ42:BA42"/>
    <mergeCell ref="BB42:BC42"/>
    <mergeCell ref="BD42:BE42"/>
    <mergeCell ref="BF42:BG42"/>
    <mergeCell ref="BH42:BI42"/>
    <mergeCell ref="BJ42:BK42"/>
    <mergeCell ref="BL42:BM42"/>
    <mergeCell ref="B42:C42"/>
    <mergeCell ref="D42:E42"/>
    <mergeCell ref="F42:G42"/>
    <mergeCell ref="H42:I42"/>
    <mergeCell ref="J42:K42"/>
    <mergeCell ref="L42:M42"/>
    <mergeCell ref="BR41:BS41"/>
    <mergeCell ref="BT41:BU41"/>
    <mergeCell ref="BV41:BW41"/>
    <mergeCell ref="N41:O41"/>
    <mergeCell ref="P41:Q41"/>
    <mergeCell ref="R41:S41"/>
    <mergeCell ref="T41:U41"/>
    <mergeCell ref="V41:W41"/>
    <mergeCell ref="X41:Y41"/>
    <mergeCell ref="B41:C41"/>
    <mergeCell ref="D41:E41"/>
    <mergeCell ref="F41:G41"/>
    <mergeCell ref="H41:I41"/>
    <mergeCell ref="J41:K41"/>
    <mergeCell ref="L41:M41"/>
    <mergeCell ref="BR42:BS42"/>
    <mergeCell ref="BT42:BU42"/>
    <mergeCell ref="BV42:BW42"/>
    <mergeCell ref="BX41:BY41"/>
    <mergeCell ref="BZ41:CA41"/>
    <mergeCell ref="CB41:CC41"/>
    <mergeCell ref="Z41:AA41"/>
    <mergeCell ref="AB41:AC41"/>
    <mergeCell ref="AD41:AE41"/>
    <mergeCell ref="AF41:AG41"/>
    <mergeCell ref="AV41:AW41"/>
    <mergeCell ref="BP41:BQ41"/>
    <mergeCell ref="AH41:AI41"/>
    <mergeCell ref="AJ41:AK41"/>
    <mergeCell ref="AL41:AM41"/>
    <mergeCell ref="AN41:AO41"/>
    <mergeCell ref="AP41:AQ41"/>
    <mergeCell ref="AR41:AS41"/>
    <mergeCell ref="AT41:AU41"/>
    <mergeCell ref="BT40:BU40"/>
    <mergeCell ref="BV40:BW40"/>
    <mergeCell ref="BX40:BY40"/>
    <mergeCell ref="BZ40:CA40"/>
    <mergeCell ref="CB40:CC40"/>
    <mergeCell ref="Z40:AA40"/>
    <mergeCell ref="AB40:AC40"/>
    <mergeCell ref="AD40:AE40"/>
    <mergeCell ref="AF40:AG40"/>
    <mergeCell ref="AV40:AW40"/>
    <mergeCell ref="BP40:BQ40"/>
    <mergeCell ref="AL40:AM40"/>
    <mergeCell ref="AN40:AO40"/>
    <mergeCell ref="AP40:AQ40"/>
    <mergeCell ref="AR40:AS40"/>
    <mergeCell ref="AT40:AU40"/>
    <mergeCell ref="AX40:AY40"/>
    <mergeCell ref="AZ40:BA40"/>
    <mergeCell ref="BB40:BC40"/>
    <mergeCell ref="BD40:BE40"/>
    <mergeCell ref="BF40:BG40"/>
    <mergeCell ref="BH40:BI40"/>
    <mergeCell ref="BJ40:BK40"/>
    <mergeCell ref="BL40:BM40"/>
    <mergeCell ref="V40:W40"/>
    <mergeCell ref="X40:Y40"/>
    <mergeCell ref="B40:C40"/>
    <mergeCell ref="D40:E40"/>
    <mergeCell ref="F40:G40"/>
    <mergeCell ref="H40:I40"/>
    <mergeCell ref="J40:K40"/>
    <mergeCell ref="L40:M40"/>
    <mergeCell ref="BR39:BS39"/>
    <mergeCell ref="N39:O39"/>
    <mergeCell ref="P39:Q39"/>
    <mergeCell ref="R39:S39"/>
    <mergeCell ref="T39:U39"/>
    <mergeCell ref="V39:W39"/>
    <mergeCell ref="X39:Y39"/>
    <mergeCell ref="B39:C39"/>
    <mergeCell ref="D39:E39"/>
    <mergeCell ref="F39:G39"/>
    <mergeCell ref="H39:I39"/>
    <mergeCell ref="J39:K39"/>
    <mergeCell ref="L39:M39"/>
    <mergeCell ref="BR40:BS40"/>
    <mergeCell ref="AH40:AI40"/>
    <mergeCell ref="AJ40:AK40"/>
    <mergeCell ref="BT39:BU39"/>
    <mergeCell ref="BV39:BW39"/>
    <mergeCell ref="BX39:BY39"/>
    <mergeCell ref="BZ39:CA39"/>
    <mergeCell ref="CB39:CC39"/>
    <mergeCell ref="Z39:AA39"/>
    <mergeCell ref="AB39:AC39"/>
    <mergeCell ref="AD39:AE39"/>
    <mergeCell ref="AF39:AG39"/>
    <mergeCell ref="AV39:AW39"/>
    <mergeCell ref="BP39:BQ39"/>
    <mergeCell ref="AX39:AY39"/>
    <mergeCell ref="AZ39:BA39"/>
    <mergeCell ref="BB39:BC39"/>
    <mergeCell ref="BD39:BE39"/>
    <mergeCell ref="BF39:BG39"/>
    <mergeCell ref="BH39:BI39"/>
    <mergeCell ref="BJ39:BK39"/>
    <mergeCell ref="BL39:BM39"/>
    <mergeCell ref="BN39:BO39"/>
    <mergeCell ref="CB38:CC38"/>
    <mergeCell ref="X37:Y37"/>
    <mergeCell ref="B38:C38"/>
    <mergeCell ref="D38:E38"/>
    <mergeCell ref="F38:G38"/>
    <mergeCell ref="H38:I38"/>
    <mergeCell ref="J38:K38"/>
    <mergeCell ref="L38:M38"/>
    <mergeCell ref="BR38:BS38"/>
    <mergeCell ref="BT38:BU38"/>
    <mergeCell ref="BV38:BW38"/>
    <mergeCell ref="Z38:AA38"/>
    <mergeCell ref="AB38:AC38"/>
    <mergeCell ref="AD38:AE38"/>
    <mergeCell ref="AF38:AG38"/>
    <mergeCell ref="AV38:AW38"/>
    <mergeCell ref="BP38:BQ38"/>
    <mergeCell ref="AD37:AE37"/>
    <mergeCell ref="AF37:AG37"/>
    <mergeCell ref="AV37:AW37"/>
    <mergeCell ref="BP37:BQ37"/>
    <mergeCell ref="N38:O38"/>
    <mergeCell ref="P38:Q38"/>
    <mergeCell ref="R38:S38"/>
    <mergeCell ref="T38:U38"/>
    <mergeCell ref="V38:W38"/>
    <mergeCell ref="X38:Y38"/>
    <mergeCell ref="BV35:BW35"/>
    <mergeCell ref="BX35:BY35"/>
    <mergeCell ref="BZ35:CA35"/>
    <mergeCell ref="BR37:BS37"/>
    <mergeCell ref="BT37:BU37"/>
    <mergeCell ref="BV37:BW37"/>
    <mergeCell ref="BX37:BY37"/>
    <mergeCell ref="BZ37:CA37"/>
    <mergeCell ref="X36:Y36"/>
    <mergeCell ref="Z36:AA36"/>
    <mergeCell ref="AB36:AC36"/>
    <mergeCell ref="AD36:AE36"/>
    <mergeCell ref="AF36:AG36"/>
    <mergeCell ref="AV36:AW36"/>
    <mergeCell ref="Z37:AA37"/>
    <mergeCell ref="AB37:AC37"/>
    <mergeCell ref="BX38:BY38"/>
    <mergeCell ref="BZ38:CA38"/>
    <mergeCell ref="BP36:BQ36"/>
    <mergeCell ref="BR36:BS36"/>
    <mergeCell ref="BT36:BU36"/>
    <mergeCell ref="BV36:BW36"/>
    <mergeCell ref="BX36:BY36"/>
    <mergeCell ref="BZ36:CA36"/>
    <mergeCell ref="CB35:CC35"/>
    <mergeCell ref="CB37:CC37"/>
    <mergeCell ref="CB36:CC36"/>
    <mergeCell ref="B37:C37"/>
    <mergeCell ref="D37:E37"/>
    <mergeCell ref="F37:G37"/>
    <mergeCell ref="H37:I37"/>
    <mergeCell ref="J37:K37"/>
    <mergeCell ref="L37:M37"/>
    <mergeCell ref="AD35:AE35"/>
    <mergeCell ref="AF35:AG35"/>
    <mergeCell ref="AV35:AW35"/>
    <mergeCell ref="N37:O37"/>
    <mergeCell ref="P37:Q37"/>
    <mergeCell ref="R37:S37"/>
    <mergeCell ref="T37:U37"/>
    <mergeCell ref="V37:W37"/>
    <mergeCell ref="B35:C35"/>
    <mergeCell ref="D35:E35"/>
    <mergeCell ref="F35:G35"/>
    <mergeCell ref="H35:I35"/>
    <mergeCell ref="J35:K35"/>
    <mergeCell ref="L35:M35"/>
    <mergeCell ref="N35:O35"/>
    <mergeCell ref="P7:Q7"/>
    <mergeCell ref="R7:S7"/>
    <mergeCell ref="T7:U7"/>
    <mergeCell ref="V7:W7"/>
    <mergeCell ref="X7:Y7"/>
    <mergeCell ref="Z7:AA7"/>
    <mergeCell ref="P35:Q35"/>
    <mergeCell ref="BP35:BQ35"/>
    <mergeCell ref="BR35:BS35"/>
    <mergeCell ref="BT35:BU35"/>
    <mergeCell ref="R35:S35"/>
    <mergeCell ref="T35:U35"/>
    <mergeCell ref="V35:W35"/>
    <mergeCell ref="X35:Y35"/>
    <mergeCell ref="Z35:AA35"/>
    <mergeCell ref="AB35:AC35"/>
    <mergeCell ref="AX35:AY35"/>
    <mergeCell ref="AZ35:BA35"/>
    <mergeCell ref="BB35:BC35"/>
    <mergeCell ref="BD35:BE35"/>
    <mergeCell ref="BF35:BG35"/>
    <mergeCell ref="BH35:BI35"/>
    <mergeCell ref="BJ35:BK35"/>
    <mergeCell ref="BL35:BM35"/>
    <mergeCell ref="BN35:BO35"/>
    <mergeCell ref="B2:CE4"/>
    <mergeCell ref="A6:CF6"/>
    <mergeCell ref="A7:A8"/>
    <mergeCell ref="B7:C7"/>
    <mergeCell ref="D7:E7"/>
    <mergeCell ref="F7:G7"/>
    <mergeCell ref="H7:I7"/>
    <mergeCell ref="J7:K7"/>
    <mergeCell ref="L7:M7"/>
    <mergeCell ref="N7:O7"/>
    <mergeCell ref="CE7:CE8"/>
    <mergeCell ref="CF7:CF8"/>
    <mergeCell ref="BV7:BW7"/>
    <mergeCell ref="BX7:BY7"/>
    <mergeCell ref="BZ7:CA7"/>
    <mergeCell ref="CB7:CC7"/>
    <mergeCell ref="CD7:CD8"/>
    <mergeCell ref="BT7:BU7"/>
    <mergeCell ref="AB7:AC7"/>
    <mergeCell ref="AD7:AE7"/>
    <mergeCell ref="AF7:AG7"/>
    <mergeCell ref="AV7:AW7"/>
    <mergeCell ref="BP7:BQ7"/>
    <mergeCell ref="BR7:BS7"/>
    <mergeCell ref="AH7:AI7"/>
    <mergeCell ref="AJ7:AK7"/>
    <mergeCell ref="AL7:AM7"/>
    <mergeCell ref="AN7:AO7"/>
    <mergeCell ref="AP7:AQ7"/>
    <mergeCell ref="AR7:AS7"/>
    <mergeCell ref="AT7:AU7"/>
    <mergeCell ref="AH35:AI35"/>
    <mergeCell ref="AJ35:AK35"/>
    <mergeCell ref="AL35:AM35"/>
    <mergeCell ref="AN35:AO35"/>
    <mergeCell ref="AP35:AQ35"/>
    <mergeCell ref="AR35:AS35"/>
    <mergeCell ref="AT35:AU35"/>
    <mergeCell ref="AH36:AI36"/>
    <mergeCell ref="AJ36:AK36"/>
    <mergeCell ref="AL36:AM36"/>
    <mergeCell ref="AN36:AO36"/>
    <mergeCell ref="AP36:AQ36"/>
    <mergeCell ref="AR36:AS36"/>
    <mergeCell ref="AT36:AU36"/>
    <mergeCell ref="AH37:AI37"/>
    <mergeCell ref="AJ37:AK37"/>
    <mergeCell ref="AL37:AM37"/>
    <mergeCell ref="AN37:AO37"/>
    <mergeCell ref="AP37:AQ37"/>
    <mergeCell ref="AR37:AS37"/>
    <mergeCell ref="AT37:AU37"/>
    <mergeCell ref="AH38:AI38"/>
    <mergeCell ref="AJ38:AK38"/>
    <mergeCell ref="AL38:AM38"/>
    <mergeCell ref="AN38:AO38"/>
    <mergeCell ref="AP38:AQ38"/>
    <mergeCell ref="AR38:AS38"/>
    <mergeCell ref="AT38:AU38"/>
    <mergeCell ref="AH39:AI39"/>
    <mergeCell ref="AJ39:AK39"/>
    <mergeCell ref="AL39:AM39"/>
    <mergeCell ref="AN39:AO39"/>
    <mergeCell ref="AP39:AQ39"/>
    <mergeCell ref="AR39:AS39"/>
    <mergeCell ref="AT39:AU39"/>
    <mergeCell ref="AH44:AI44"/>
    <mergeCell ref="AJ44:AK44"/>
    <mergeCell ref="AL44:AM44"/>
    <mergeCell ref="AN44:AO44"/>
    <mergeCell ref="AP44:AQ44"/>
    <mergeCell ref="AR44:AS44"/>
    <mergeCell ref="AT44:AU44"/>
    <mergeCell ref="AH45:AI45"/>
    <mergeCell ref="AJ45:AK45"/>
    <mergeCell ref="AL45:AM45"/>
    <mergeCell ref="AN45:AO45"/>
    <mergeCell ref="AP45:AQ45"/>
    <mergeCell ref="AR45:AS45"/>
    <mergeCell ref="AT45:AU45"/>
    <mergeCell ref="AX7:AY7"/>
    <mergeCell ref="AZ7:BA7"/>
    <mergeCell ref="BB7:BC7"/>
    <mergeCell ref="BD7:BE7"/>
    <mergeCell ref="BF7:BG7"/>
    <mergeCell ref="BH7:BI7"/>
    <mergeCell ref="BJ7:BK7"/>
    <mergeCell ref="BL7:BM7"/>
    <mergeCell ref="BN7:BO7"/>
    <mergeCell ref="AX36:AY36"/>
    <mergeCell ref="AZ36:BA36"/>
    <mergeCell ref="BB36:BC36"/>
    <mergeCell ref="BD36:BE36"/>
    <mergeCell ref="BF36:BG36"/>
    <mergeCell ref="BH36:BI36"/>
    <mergeCell ref="BJ36:BK36"/>
    <mergeCell ref="BL36:BM36"/>
    <mergeCell ref="BN36:BO36"/>
    <mergeCell ref="AX37:AY37"/>
    <mergeCell ref="AZ37:BA37"/>
    <mergeCell ref="BB37:BC37"/>
    <mergeCell ref="BD37:BE37"/>
    <mergeCell ref="BF37:BG37"/>
    <mergeCell ref="BH37:BI37"/>
    <mergeCell ref="BJ37:BK37"/>
    <mergeCell ref="BL37:BM37"/>
    <mergeCell ref="BN37:BO37"/>
    <mergeCell ref="AX38:AY38"/>
    <mergeCell ref="AZ38:BA38"/>
    <mergeCell ref="BB38:BC38"/>
    <mergeCell ref="BD38:BE38"/>
    <mergeCell ref="BF38:BG38"/>
    <mergeCell ref="BH38:BI38"/>
    <mergeCell ref="BJ38:BK38"/>
    <mergeCell ref="BL38:BM38"/>
    <mergeCell ref="BN38:BO38"/>
    <mergeCell ref="BN40:BO40"/>
    <mergeCell ref="AX41:AY41"/>
    <mergeCell ref="AZ41:BA41"/>
    <mergeCell ref="BB41:BC41"/>
    <mergeCell ref="BD41:BE41"/>
    <mergeCell ref="BF41:BG41"/>
    <mergeCell ref="BH41:BI41"/>
    <mergeCell ref="BJ41:BK41"/>
    <mergeCell ref="BL41:BM41"/>
    <mergeCell ref="BN41:BO41"/>
    <mergeCell ref="BN42:BO42"/>
    <mergeCell ref="AX43:AY43"/>
    <mergeCell ref="AZ43:BA43"/>
    <mergeCell ref="BB43:BC43"/>
    <mergeCell ref="BD43:BE43"/>
    <mergeCell ref="BF43:BG43"/>
    <mergeCell ref="BH43:BI43"/>
    <mergeCell ref="BJ43:BK43"/>
    <mergeCell ref="BL43:BM43"/>
    <mergeCell ref="BN43:BO43"/>
    <mergeCell ref="AX44:AY44"/>
    <mergeCell ref="AZ44:BA44"/>
    <mergeCell ref="BB44:BC44"/>
    <mergeCell ref="BD44:BE44"/>
    <mergeCell ref="BF44:BG44"/>
    <mergeCell ref="BH44:BI44"/>
    <mergeCell ref="BJ44:BK44"/>
    <mergeCell ref="BL44:BM44"/>
    <mergeCell ref="BN44:BO44"/>
    <mergeCell ref="BH45:BI45"/>
    <mergeCell ref="BJ45:BK45"/>
    <mergeCell ref="BL45:BM45"/>
    <mergeCell ref="BN45:BO45"/>
    <mergeCell ref="AX47:AY47"/>
    <mergeCell ref="AZ47:BA47"/>
    <mergeCell ref="BB47:BC47"/>
    <mergeCell ref="BD47:BE47"/>
    <mergeCell ref="BF47:BG47"/>
    <mergeCell ref="BH47:BI47"/>
    <mergeCell ref="BJ47:BK47"/>
    <mergeCell ref="BL47:BM47"/>
    <mergeCell ref="BN47:BO47"/>
  </mergeCells>
  <phoneticPr fontId="96" type="noConversion"/>
  <conditionalFormatting sqref="A2:A3">
    <cfRule type="cellIs" dxfId="6" priority="1" operator="equal">
      <formula>2</formula>
    </cfRule>
  </conditionalFormatting>
  <pageMargins left="0.23622047244094491" right="0.15748031496062992" top="0.47244094488188981" bottom="0.15748031496062992" header="0.23622047244094491" footer="0.15748031496062992"/>
  <pageSetup paperSize="8" scale="88"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993EF-7080-48DC-BD0C-EA5569F12D12}">
  <dimension ref="C3:L24"/>
  <sheetViews>
    <sheetView tabSelected="1" workbookViewId="0">
      <selection activeCell="Q13" sqref="Q13"/>
    </sheetView>
  </sheetViews>
  <sheetFormatPr defaultRowHeight="14.4" x14ac:dyDescent="0.3"/>
  <cols>
    <col min="8" max="8" width="11.33203125" bestFit="1" customWidth="1"/>
  </cols>
  <sheetData>
    <row r="3" spans="3:12" x14ac:dyDescent="0.3">
      <c r="C3" s="390" t="s">
        <v>354</v>
      </c>
      <c r="D3" s="390" t="s">
        <v>76</v>
      </c>
      <c r="E3" s="390"/>
      <c r="F3" s="323"/>
      <c r="G3" s="323"/>
      <c r="H3" s="324"/>
      <c r="I3" s="324"/>
      <c r="J3" s="333"/>
    </row>
    <row r="5" spans="3:12" x14ac:dyDescent="0.3">
      <c r="C5" s="511" t="s">
        <v>8829</v>
      </c>
      <c r="D5" s="511"/>
      <c r="E5" s="511"/>
      <c r="F5" s="511"/>
      <c r="G5" s="511"/>
      <c r="H5" s="1254">
        <v>168500</v>
      </c>
    </row>
    <row r="6" spans="3:12" x14ac:dyDescent="0.3">
      <c r="C6" t="s">
        <v>8830</v>
      </c>
    </row>
    <row r="7" spans="3:12" x14ac:dyDescent="0.3">
      <c r="C7" s="511" t="s">
        <v>8831</v>
      </c>
      <c r="D7" s="511"/>
      <c r="E7" s="511"/>
      <c r="F7" s="511"/>
      <c r="G7" s="511"/>
      <c r="H7" s="511"/>
      <c r="I7" s="511"/>
    </row>
    <row r="9" spans="3:12" x14ac:dyDescent="0.3">
      <c r="C9" s="390" t="s">
        <v>356</v>
      </c>
      <c r="D9" s="390" t="s">
        <v>78</v>
      </c>
      <c r="E9" s="390"/>
      <c r="F9" s="323"/>
      <c r="G9" s="323"/>
      <c r="H9" s="324"/>
      <c r="I9" s="324"/>
      <c r="J9" s="333"/>
    </row>
    <row r="12" spans="3:12" x14ac:dyDescent="0.3">
      <c r="C12" s="390" t="s">
        <v>7405</v>
      </c>
      <c r="D12" s="390" t="s">
        <v>1363</v>
      </c>
      <c r="E12" s="390"/>
      <c r="F12" s="323"/>
      <c r="G12" s="323"/>
      <c r="H12" s="324"/>
      <c r="I12" s="324"/>
      <c r="J12" s="333"/>
      <c r="K12" s="607"/>
      <c r="L12" s="334"/>
    </row>
    <row r="13" spans="3:12" x14ac:dyDescent="0.3">
      <c r="C13" s="1080" t="s">
        <v>6421</v>
      </c>
      <c r="D13" s="1081"/>
      <c r="E13" s="1080" t="s">
        <v>8833</v>
      </c>
      <c r="F13" s="1082"/>
      <c r="G13" s="68"/>
      <c r="H13" s="69"/>
      <c r="I13" s="483"/>
      <c r="J13" s="70"/>
      <c r="K13" s="54"/>
      <c r="L13" s="485"/>
    </row>
    <row r="14" spans="3:12" x14ac:dyDescent="0.3">
      <c r="C14" s="1080" t="s">
        <v>6422</v>
      </c>
      <c r="D14" s="1081"/>
      <c r="E14" s="1080" t="s">
        <v>8833</v>
      </c>
      <c r="F14" s="1082"/>
      <c r="G14" s="68"/>
      <c r="H14" s="69"/>
      <c r="I14" s="483"/>
      <c r="J14" s="70"/>
      <c r="K14" s="54"/>
      <c r="L14" s="485"/>
    </row>
    <row r="17" spans="3:10" x14ac:dyDescent="0.3">
      <c r="C17" s="390" t="s">
        <v>3467</v>
      </c>
      <c r="D17" s="390" t="s">
        <v>107</v>
      </c>
      <c r="E17" s="390"/>
      <c r="F17" s="323"/>
      <c r="G17" s="323"/>
      <c r="H17" s="324"/>
      <c r="I17" s="324"/>
      <c r="J17" s="333"/>
    </row>
    <row r="18" spans="3:10" x14ac:dyDescent="0.3">
      <c r="C18" s="511" t="s">
        <v>8832</v>
      </c>
      <c r="D18" s="511"/>
      <c r="E18" s="511"/>
      <c r="F18" s="511"/>
      <c r="G18" s="511"/>
      <c r="H18" s="511"/>
    </row>
    <row r="21" spans="3:10" x14ac:dyDescent="0.3">
      <c r="C21" s="390" t="s">
        <v>8834</v>
      </c>
      <c r="D21" s="390"/>
      <c r="E21" s="390"/>
      <c r="F21" s="323"/>
      <c r="G21" s="323"/>
      <c r="H21" s="324"/>
      <c r="I21" s="324"/>
      <c r="J21" s="333"/>
    </row>
    <row r="23" spans="3:10" x14ac:dyDescent="0.3">
      <c r="C23" t="s">
        <v>8835</v>
      </c>
    </row>
    <row r="24" spans="3:10" x14ac:dyDescent="0.3">
      <c r="C24" s="511" t="s">
        <v>8836</v>
      </c>
      <c r="D24" s="511"/>
      <c r="E24" s="511"/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A6D9A-D3F8-49C1-A9FA-24099C9E224C}">
  <sheetPr>
    <pageSetUpPr fitToPage="1"/>
  </sheetPr>
  <dimension ref="A2:AC32"/>
  <sheetViews>
    <sheetView showGridLines="0" zoomScale="115" zoomScaleNormal="115" zoomScaleSheetLayoutView="80" workbookViewId="0">
      <pane xSplit="1" ySplit="7" topLeftCell="B19" activePane="bottomRight" state="frozen"/>
      <selection pane="topRight" activeCell="B1" sqref="B1"/>
      <selection pane="bottomLeft" activeCell="A9" sqref="A9"/>
      <selection pane="bottomRight" activeCell="A8" sqref="A8"/>
    </sheetView>
  </sheetViews>
  <sheetFormatPr defaultRowHeight="11.4" x14ac:dyDescent="0.2"/>
  <cols>
    <col min="1" max="1" width="32.109375" style="849" bestFit="1" customWidth="1"/>
    <col min="2" max="2" width="8.33203125" style="849" bestFit="1" customWidth="1"/>
    <col min="3" max="26" width="7.44140625" style="849" customWidth="1"/>
    <col min="27" max="27" width="8.33203125" style="850" bestFit="1" customWidth="1"/>
    <col min="28" max="28" width="16.33203125" style="849" bestFit="1" customWidth="1"/>
    <col min="29" max="29" width="20" style="849" bestFit="1" customWidth="1"/>
    <col min="30" max="30" width="7.6640625" style="849" customWidth="1"/>
    <col min="31" max="31" width="15.33203125" style="849" bestFit="1" customWidth="1"/>
    <col min="32" max="262" width="8.88671875" style="849"/>
    <col min="263" max="263" width="31.33203125" style="849" customWidth="1"/>
    <col min="264" max="281" width="4.44140625" style="849" customWidth="1"/>
    <col min="282" max="282" width="4" style="849" customWidth="1"/>
    <col min="283" max="283" width="8.33203125" style="849" bestFit="1" customWidth="1"/>
    <col min="284" max="284" width="16.33203125" style="849" bestFit="1" customWidth="1"/>
    <col min="285" max="285" width="20" style="849" bestFit="1" customWidth="1"/>
    <col min="286" max="286" width="7.6640625" style="849" customWidth="1"/>
    <col min="287" max="287" width="14.6640625" style="849" customWidth="1"/>
    <col min="288" max="518" width="8.88671875" style="849"/>
    <col min="519" max="519" width="31.33203125" style="849" customWidth="1"/>
    <col min="520" max="537" width="4.44140625" style="849" customWidth="1"/>
    <col min="538" max="538" width="4" style="849" customWidth="1"/>
    <col min="539" max="539" width="8.33203125" style="849" bestFit="1" customWidth="1"/>
    <col min="540" max="540" width="16.33203125" style="849" bestFit="1" customWidth="1"/>
    <col min="541" max="541" width="20" style="849" bestFit="1" customWidth="1"/>
    <col min="542" max="542" width="7.6640625" style="849" customWidth="1"/>
    <col min="543" max="543" width="14.6640625" style="849" customWidth="1"/>
    <col min="544" max="774" width="8.88671875" style="849"/>
    <col min="775" max="775" width="31.33203125" style="849" customWidth="1"/>
    <col min="776" max="793" width="4.44140625" style="849" customWidth="1"/>
    <col min="794" max="794" width="4" style="849" customWidth="1"/>
    <col min="795" max="795" width="8.33203125" style="849" bestFit="1" customWidth="1"/>
    <col min="796" max="796" width="16.33203125" style="849" bestFit="1" customWidth="1"/>
    <col min="797" max="797" width="20" style="849" bestFit="1" customWidth="1"/>
    <col min="798" max="798" width="7.6640625" style="849" customWidth="1"/>
    <col min="799" max="799" width="14.6640625" style="849" customWidth="1"/>
    <col min="800" max="1030" width="8.88671875" style="849"/>
    <col min="1031" max="1031" width="31.33203125" style="849" customWidth="1"/>
    <col min="1032" max="1049" width="4.44140625" style="849" customWidth="1"/>
    <col min="1050" max="1050" width="4" style="849" customWidth="1"/>
    <col min="1051" max="1051" width="8.33203125" style="849" bestFit="1" customWidth="1"/>
    <col min="1052" max="1052" width="16.33203125" style="849" bestFit="1" customWidth="1"/>
    <col min="1053" max="1053" width="20" style="849" bestFit="1" customWidth="1"/>
    <col min="1054" max="1054" width="7.6640625" style="849" customWidth="1"/>
    <col min="1055" max="1055" width="14.6640625" style="849" customWidth="1"/>
    <col min="1056" max="1286" width="8.88671875" style="849"/>
    <col min="1287" max="1287" width="31.33203125" style="849" customWidth="1"/>
    <col min="1288" max="1305" width="4.44140625" style="849" customWidth="1"/>
    <col min="1306" max="1306" width="4" style="849" customWidth="1"/>
    <col min="1307" max="1307" width="8.33203125" style="849" bestFit="1" customWidth="1"/>
    <col min="1308" max="1308" width="16.33203125" style="849" bestFit="1" customWidth="1"/>
    <col min="1309" max="1309" width="20" style="849" bestFit="1" customWidth="1"/>
    <col min="1310" max="1310" width="7.6640625" style="849" customWidth="1"/>
    <col min="1311" max="1311" width="14.6640625" style="849" customWidth="1"/>
    <col min="1312" max="1542" width="8.88671875" style="849"/>
    <col min="1543" max="1543" width="31.33203125" style="849" customWidth="1"/>
    <col min="1544" max="1561" width="4.44140625" style="849" customWidth="1"/>
    <col min="1562" max="1562" width="4" style="849" customWidth="1"/>
    <col min="1563" max="1563" width="8.33203125" style="849" bestFit="1" customWidth="1"/>
    <col min="1564" max="1564" width="16.33203125" style="849" bestFit="1" customWidth="1"/>
    <col min="1565" max="1565" width="20" style="849" bestFit="1" customWidth="1"/>
    <col min="1566" max="1566" width="7.6640625" style="849" customWidth="1"/>
    <col min="1567" max="1567" width="14.6640625" style="849" customWidth="1"/>
    <col min="1568" max="1798" width="8.88671875" style="849"/>
    <col min="1799" max="1799" width="31.33203125" style="849" customWidth="1"/>
    <col min="1800" max="1817" width="4.44140625" style="849" customWidth="1"/>
    <col min="1818" max="1818" width="4" style="849" customWidth="1"/>
    <col min="1819" max="1819" width="8.33203125" style="849" bestFit="1" customWidth="1"/>
    <col min="1820" max="1820" width="16.33203125" style="849" bestFit="1" customWidth="1"/>
    <col min="1821" max="1821" width="20" style="849" bestFit="1" customWidth="1"/>
    <col min="1822" max="1822" width="7.6640625" style="849" customWidth="1"/>
    <col min="1823" max="1823" width="14.6640625" style="849" customWidth="1"/>
    <col min="1824" max="2054" width="8.88671875" style="849"/>
    <col min="2055" max="2055" width="31.33203125" style="849" customWidth="1"/>
    <col min="2056" max="2073" width="4.44140625" style="849" customWidth="1"/>
    <col min="2074" max="2074" width="4" style="849" customWidth="1"/>
    <col min="2075" max="2075" width="8.33203125" style="849" bestFit="1" customWidth="1"/>
    <col min="2076" max="2076" width="16.33203125" style="849" bestFit="1" customWidth="1"/>
    <col min="2077" max="2077" width="20" style="849" bestFit="1" customWidth="1"/>
    <col min="2078" max="2078" width="7.6640625" style="849" customWidth="1"/>
    <col min="2079" max="2079" width="14.6640625" style="849" customWidth="1"/>
    <col min="2080" max="2310" width="8.88671875" style="849"/>
    <col min="2311" max="2311" width="31.33203125" style="849" customWidth="1"/>
    <col min="2312" max="2329" width="4.44140625" style="849" customWidth="1"/>
    <col min="2330" max="2330" width="4" style="849" customWidth="1"/>
    <col min="2331" max="2331" width="8.33203125" style="849" bestFit="1" customWidth="1"/>
    <col min="2332" max="2332" width="16.33203125" style="849" bestFit="1" customWidth="1"/>
    <col min="2333" max="2333" width="20" style="849" bestFit="1" customWidth="1"/>
    <col min="2334" max="2334" width="7.6640625" style="849" customWidth="1"/>
    <col min="2335" max="2335" width="14.6640625" style="849" customWidth="1"/>
    <col min="2336" max="2566" width="8.88671875" style="849"/>
    <col min="2567" max="2567" width="31.33203125" style="849" customWidth="1"/>
    <col min="2568" max="2585" width="4.44140625" style="849" customWidth="1"/>
    <col min="2586" max="2586" width="4" style="849" customWidth="1"/>
    <col min="2587" max="2587" width="8.33203125" style="849" bestFit="1" customWidth="1"/>
    <col min="2588" max="2588" width="16.33203125" style="849" bestFit="1" customWidth="1"/>
    <col min="2589" max="2589" width="20" style="849" bestFit="1" customWidth="1"/>
    <col min="2590" max="2590" width="7.6640625" style="849" customWidth="1"/>
    <col min="2591" max="2591" width="14.6640625" style="849" customWidth="1"/>
    <col min="2592" max="2822" width="8.88671875" style="849"/>
    <col min="2823" max="2823" width="31.33203125" style="849" customWidth="1"/>
    <col min="2824" max="2841" width="4.44140625" style="849" customWidth="1"/>
    <col min="2842" max="2842" width="4" style="849" customWidth="1"/>
    <col min="2843" max="2843" width="8.33203125" style="849" bestFit="1" customWidth="1"/>
    <col min="2844" max="2844" width="16.33203125" style="849" bestFit="1" customWidth="1"/>
    <col min="2845" max="2845" width="20" style="849" bestFit="1" customWidth="1"/>
    <col min="2846" max="2846" width="7.6640625" style="849" customWidth="1"/>
    <col min="2847" max="2847" width="14.6640625" style="849" customWidth="1"/>
    <col min="2848" max="3078" width="8.88671875" style="849"/>
    <col min="3079" max="3079" width="31.33203125" style="849" customWidth="1"/>
    <col min="3080" max="3097" width="4.44140625" style="849" customWidth="1"/>
    <col min="3098" max="3098" width="4" style="849" customWidth="1"/>
    <col min="3099" max="3099" width="8.33203125" style="849" bestFit="1" customWidth="1"/>
    <col min="3100" max="3100" width="16.33203125" style="849" bestFit="1" customWidth="1"/>
    <col min="3101" max="3101" width="20" style="849" bestFit="1" customWidth="1"/>
    <col min="3102" max="3102" width="7.6640625" style="849" customWidth="1"/>
    <col min="3103" max="3103" width="14.6640625" style="849" customWidth="1"/>
    <col min="3104" max="3334" width="8.88671875" style="849"/>
    <col min="3335" max="3335" width="31.33203125" style="849" customWidth="1"/>
    <col min="3336" max="3353" width="4.44140625" style="849" customWidth="1"/>
    <col min="3354" max="3354" width="4" style="849" customWidth="1"/>
    <col min="3355" max="3355" width="8.33203125" style="849" bestFit="1" customWidth="1"/>
    <col min="3356" max="3356" width="16.33203125" style="849" bestFit="1" customWidth="1"/>
    <col min="3357" max="3357" width="20" style="849" bestFit="1" customWidth="1"/>
    <col min="3358" max="3358" width="7.6640625" style="849" customWidth="1"/>
    <col min="3359" max="3359" width="14.6640625" style="849" customWidth="1"/>
    <col min="3360" max="3590" width="8.88671875" style="849"/>
    <col min="3591" max="3591" width="31.33203125" style="849" customWidth="1"/>
    <col min="3592" max="3609" width="4.44140625" style="849" customWidth="1"/>
    <col min="3610" max="3610" width="4" style="849" customWidth="1"/>
    <col min="3611" max="3611" width="8.33203125" style="849" bestFit="1" customWidth="1"/>
    <col min="3612" max="3612" width="16.33203125" style="849" bestFit="1" customWidth="1"/>
    <col min="3613" max="3613" width="20" style="849" bestFit="1" customWidth="1"/>
    <col min="3614" max="3614" width="7.6640625" style="849" customWidth="1"/>
    <col min="3615" max="3615" width="14.6640625" style="849" customWidth="1"/>
    <col min="3616" max="3846" width="8.88671875" style="849"/>
    <col min="3847" max="3847" width="31.33203125" style="849" customWidth="1"/>
    <col min="3848" max="3865" width="4.44140625" style="849" customWidth="1"/>
    <col min="3866" max="3866" width="4" style="849" customWidth="1"/>
    <col min="3867" max="3867" width="8.33203125" style="849" bestFit="1" customWidth="1"/>
    <col min="3868" max="3868" width="16.33203125" style="849" bestFit="1" customWidth="1"/>
    <col min="3869" max="3869" width="20" style="849" bestFit="1" customWidth="1"/>
    <col min="3870" max="3870" width="7.6640625" style="849" customWidth="1"/>
    <col min="3871" max="3871" width="14.6640625" style="849" customWidth="1"/>
    <col min="3872" max="4102" width="8.88671875" style="849"/>
    <col min="4103" max="4103" width="31.33203125" style="849" customWidth="1"/>
    <col min="4104" max="4121" width="4.44140625" style="849" customWidth="1"/>
    <col min="4122" max="4122" width="4" style="849" customWidth="1"/>
    <col min="4123" max="4123" width="8.33203125" style="849" bestFit="1" customWidth="1"/>
    <col min="4124" max="4124" width="16.33203125" style="849" bestFit="1" customWidth="1"/>
    <col min="4125" max="4125" width="20" style="849" bestFit="1" customWidth="1"/>
    <col min="4126" max="4126" width="7.6640625" style="849" customWidth="1"/>
    <col min="4127" max="4127" width="14.6640625" style="849" customWidth="1"/>
    <col min="4128" max="4358" width="8.88671875" style="849"/>
    <col min="4359" max="4359" width="31.33203125" style="849" customWidth="1"/>
    <col min="4360" max="4377" width="4.44140625" style="849" customWidth="1"/>
    <col min="4378" max="4378" width="4" style="849" customWidth="1"/>
    <col min="4379" max="4379" width="8.33203125" style="849" bestFit="1" customWidth="1"/>
    <col min="4380" max="4380" width="16.33203125" style="849" bestFit="1" customWidth="1"/>
    <col min="4381" max="4381" width="20" style="849" bestFit="1" customWidth="1"/>
    <col min="4382" max="4382" width="7.6640625" style="849" customWidth="1"/>
    <col min="4383" max="4383" width="14.6640625" style="849" customWidth="1"/>
    <col min="4384" max="4614" width="8.88671875" style="849"/>
    <col min="4615" max="4615" width="31.33203125" style="849" customWidth="1"/>
    <col min="4616" max="4633" width="4.44140625" style="849" customWidth="1"/>
    <col min="4634" max="4634" width="4" style="849" customWidth="1"/>
    <col min="4635" max="4635" width="8.33203125" style="849" bestFit="1" customWidth="1"/>
    <col min="4636" max="4636" width="16.33203125" style="849" bestFit="1" customWidth="1"/>
    <col min="4637" max="4637" width="20" style="849" bestFit="1" customWidth="1"/>
    <col min="4638" max="4638" width="7.6640625" style="849" customWidth="1"/>
    <col min="4639" max="4639" width="14.6640625" style="849" customWidth="1"/>
    <col min="4640" max="4870" width="8.88671875" style="849"/>
    <col min="4871" max="4871" width="31.33203125" style="849" customWidth="1"/>
    <col min="4872" max="4889" width="4.44140625" style="849" customWidth="1"/>
    <col min="4890" max="4890" width="4" style="849" customWidth="1"/>
    <col min="4891" max="4891" width="8.33203125" style="849" bestFit="1" customWidth="1"/>
    <col min="4892" max="4892" width="16.33203125" style="849" bestFit="1" customWidth="1"/>
    <col min="4893" max="4893" width="20" style="849" bestFit="1" customWidth="1"/>
    <col min="4894" max="4894" width="7.6640625" style="849" customWidth="1"/>
    <col min="4895" max="4895" width="14.6640625" style="849" customWidth="1"/>
    <col min="4896" max="5126" width="8.88671875" style="849"/>
    <col min="5127" max="5127" width="31.33203125" style="849" customWidth="1"/>
    <col min="5128" max="5145" width="4.44140625" style="849" customWidth="1"/>
    <col min="5146" max="5146" width="4" style="849" customWidth="1"/>
    <col min="5147" max="5147" width="8.33203125" style="849" bestFit="1" customWidth="1"/>
    <col min="5148" max="5148" width="16.33203125" style="849" bestFit="1" customWidth="1"/>
    <col min="5149" max="5149" width="20" style="849" bestFit="1" customWidth="1"/>
    <col min="5150" max="5150" width="7.6640625" style="849" customWidth="1"/>
    <col min="5151" max="5151" width="14.6640625" style="849" customWidth="1"/>
    <col min="5152" max="5382" width="8.88671875" style="849"/>
    <col min="5383" max="5383" width="31.33203125" style="849" customWidth="1"/>
    <col min="5384" max="5401" width="4.44140625" style="849" customWidth="1"/>
    <col min="5402" max="5402" width="4" style="849" customWidth="1"/>
    <col min="5403" max="5403" width="8.33203125" style="849" bestFit="1" customWidth="1"/>
    <col min="5404" max="5404" width="16.33203125" style="849" bestFit="1" customWidth="1"/>
    <col min="5405" max="5405" width="20" style="849" bestFit="1" customWidth="1"/>
    <col min="5406" max="5406" width="7.6640625" style="849" customWidth="1"/>
    <col min="5407" max="5407" width="14.6640625" style="849" customWidth="1"/>
    <col min="5408" max="5638" width="8.88671875" style="849"/>
    <col min="5639" max="5639" width="31.33203125" style="849" customWidth="1"/>
    <col min="5640" max="5657" width="4.44140625" style="849" customWidth="1"/>
    <col min="5658" max="5658" width="4" style="849" customWidth="1"/>
    <col min="5659" max="5659" width="8.33203125" style="849" bestFit="1" customWidth="1"/>
    <col min="5660" max="5660" width="16.33203125" style="849" bestFit="1" customWidth="1"/>
    <col min="5661" max="5661" width="20" style="849" bestFit="1" customWidth="1"/>
    <col min="5662" max="5662" width="7.6640625" style="849" customWidth="1"/>
    <col min="5663" max="5663" width="14.6640625" style="849" customWidth="1"/>
    <col min="5664" max="5894" width="8.88671875" style="849"/>
    <col min="5895" max="5895" width="31.33203125" style="849" customWidth="1"/>
    <col min="5896" max="5913" width="4.44140625" style="849" customWidth="1"/>
    <col min="5914" max="5914" width="4" style="849" customWidth="1"/>
    <col min="5915" max="5915" width="8.33203125" style="849" bestFit="1" customWidth="1"/>
    <col min="5916" max="5916" width="16.33203125" style="849" bestFit="1" customWidth="1"/>
    <col min="5917" max="5917" width="20" style="849" bestFit="1" customWidth="1"/>
    <col min="5918" max="5918" width="7.6640625" style="849" customWidth="1"/>
    <col min="5919" max="5919" width="14.6640625" style="849" customWidth="1"/>
    <col min="5920" max="6150" width="8.88671875" style="849"/>
    <col min="6151" max="6151" width="31.33203125" style="849" customWidth="1"/>
    <col min="6152" max="6169" width="4.44140625" style="849" customWidth="1"/>
    <col min="6170" max="6170" width="4" style="849" customWidth="1"/>
    <col min="6171" max="6171" width="8.33203125" style="849" bestFit="1" customWidth="1"/>
    <col min="6172" max="6172" width="16.33203125" style="849" bestFit="1" customWidth="1"/>
    <col min="6173" max="6173" width="20" style="849" bestFit="1" customWidth="1"/>
    <col min="6174" max="6174" width="7.6640625" style="849" customWidth="1"/>
    <col min="6175" max="6175" width="14.6640625" style="849" customWidth="1"/>
    <col min="6176" max="6406" width="8.88671875" style="849"/>
    <col min="6407" max="6407" width="31.33203125" style="849" customWidth="1"/>
    <col min="6408" max="6425" width="4.44140625" style="849" customWidth="1"/>
    <col min="6426" max="6426" width="4" style="849" customWidth="1"/>
    <col min="6427" max="6427" width="8.33203125" style="849" bestFit="1" customWidth="1"/>
    <col min="6428" max="6428" width="16.33203125" style="849" bestFit="1" customWidth="1"/>
    <col min="6429" max="6429" width="20" style="849" bestFit="1" customWidth="1"/>
    <col min="6430" max="6430" width="7.6640625" style="849" customWidth="1"/>
    <col min="6431" max="6431" width="14.6640625" style="849" customWidth="1"/>
    <col min="6432" max="6662" width="8.88671875" style="849"/>
    <col min="6663" max="6663" width="31.33203125" style="849" customWidth="1"/>
    <col min="6664" max="6681" width="4.44140625" style="849" customWidth="1"/>
    <col min="6682" max="6682" width="4" style="849" customWidth="1"/>
    <col min="6683" max="6683" width="8.33203125" style="849" bestFit="1" customWidth="1"/>
    <col min="6684" max="6684" width="16.33203125" style="849" bestFit="1" customWidth="1"/>
    <col min="6685" max="6685" width="20" style="849" bestFit="1" customWidth="1"/>
    <col min="6686" max="6686" width="7.6640625" style="849" customWidth="1"/>
    <col min="6687" max="6687" width="14.6640625" style="849" customWidth="1"/>
    <col min="6688" max="6918" width="8.88671875" style="849"/>
    <col min="6919" max="6919" width="31.33203125" style="849" customWidth="1"/>
    <col min="6920" max="6937" width="4.44140625" style="849" customWidth="1"/>
    <col min="6938" max="6938" width="4" style="849" customWidth="1"/>
    <col min="6939" max="6939" width="8.33203125" style="849" bestFit="1" customWidth="1"/>
    <col min="6940" max="6940" width="16.33203125" style="849" bestFit="1" customWidth="1"/>
    <col min="6941" max="6941" width="20" style="849" bestFit="1" customWidth="1"/>
    <col min="6942" max="6942" width="7.6640625" style="849" customWidth="1"/>
    <col min="6943" max="6943" width="14.6640625" style="849" customWidth="1"/>
    <col min="6944" max="7174" width="8.88671875" style="849"/>
    <col min="7175" max="7175" width="31.33203125" style="849" customWidth="1"/>
    <col min="7176" max="7193" width="4.44140625" style="849" customWidth="1"/>
    <col min="7194" max="7194" width="4" style="849" customWidth="1"/>
    <col min="7195" max="7195" width="8.33203125" style="849" bestFit="1" customWidth="1"/>
    <col min="7196" max="7196" width="16.33203125" style="849" bestFit="1" customWidth="1"/>
    <col min="7197" max="7197" width="20" style="849" bestFit="1" customWidth="1"/>
    <col min="7198" max="7198" width="7.6640625" style="849" customWidth="1"/>
    <col min="7199" max="7199" width="14.6640625" style="849" customWidth="1"/>
    <col min="7200" max="7430" width="8.88671875" style="849"/>
    <col min="7431" max="7431" width="31.33203125" style="849" customWidth="1"/>
    <col min="7432" max="7449" width="4.44140625" style="849" customWidth="1"/>
    <col min="7450" max="7450" width="4" style="849" customWidth="1"/>
    <col min="7451" max="7451" width="8.33203125" style="849" bestFit="1" customWidth="1"/>
    <col min="7452" max="7452" width="16.33203125" style="849" bestFit="1" customWidth="1"/>
    <col min="7453" max="7453" width="20" style="849" bestFit="1" customWidth="1"/>
    <col min="7454" max="7454" width="7.6640625" style="849" customWidth="1"/>
    <col min="7455" max="7455" width="14.6640625" style="849" customWidth="1"/>
    <col min="7456" max="7686" width="8.88671875" style="849"/>
    <col min="7687" max="7687" width="31.33203125" style="849" customWidth="1"/>
    <col min="7688" max="7705" width="4.44140625" style="849" customWidth="1"/>
    <col min="7706" max="7706" width="4" style="849" customWidth="1"/>
    <col min="7707" max="7707" width="8.33203125" style="849" bestFit="1" customWidth="1"/>
    <col min="7708" max="7708" width="16.33203125" style="849" bestFit="1" customWidth="1"/>
    <col min="7709" max="7709" width="20" style="849" bestFit="1" customWidth="1"/>
    <col min="7710" max="7710" width="7.6640625" style="849" customWidth="1"/>
    <col min="7711" max="7711" width="14.6640625" style="849" customWidth="1"/>
    <col min="7712" max="7942" width="8.88671875" style="849"/>
    <col min="7943" max="7943" width="31.33203125" style="849" customWidth="1"/>
    <col min="7944" max="7961" width="4.44140625" style="849" customWidth="1"/>
    <col min="7962" max="7962" width="4" style="849" customWidth="1"/>
    <col min="7963" max="7963" width="8.33203125" style="849" bestFit="1" customWidth="1"/>
    <col min="7964" max="7964" width="16.33203125" style="849" bestFit="1" customWidth="1"/>
    <col min="7965" max="7965" width="20" style="849" bestFit="1" customWidth="1"/>
    <col min="7966" max="7966" width="7.6640625" style="849" customWidth="1"/>
    <col min="7967" max="7967" width="14.6640625" style="849" customWidth="1"/>
    <col min="7968" max="8198" width="8.88671875" style="849"/>
    <col min="8199" max="8199" width="31.33203125" style="849" customWidth="1"/>
    <col min="8200" max="8217" width="4.44140625" style="849" customWidth="1"/>
    <col min="8218" max="8218" width="4" style="849" customWidth="1"/>
    <col min="8219" max="8219" width="8.33203125" style="849" bestFit="1" customWidth="1"/>
    <col min="8220" max="8220" width="16.33203125" style="849" bestFit="1" customWidth="1"/>
    <col min="8221" max="8221" width="20" style="849" bestFit="1" customWidth="1"/>
    <col min="8222" max="8222" width="7.6640625" style="849" customWidth="1"/>
    <col min="8223" max="8223" width="14.6640625" style="849" customWidth="1"/>
    <col min="8224" max="8454" width="8.88671875" style="849"/>
    <col min="8455" max="8455" width="31.33203125" style="849" customWidth="1"/>
    <col min="8456" max="8473" width="4.44140625" style="849" customWidth="1"/>
    <col min="8474" max="8474" width="4" style="849" customWidth="1"/>
    <col min="8475" max="8475" width="8.33203125" style="849" bestFit="1" customWidth="1"/>
    <col min="8476" max="8476" width="16.33203125" style="849" bestFit="1" customWidth="1"/>
    <col min="8477" max="8477" width="20" style="849" bestFit="1" customWidth="1"/>
    <col min="8478" max="8478" width="7.6640625" style="849" customWidth="1"/>
    <col min="8479" max="8479" width="14.6640625" style="849" customWidth="1"/>
    <col min="8480" max="8710" width="8.88671875" style="849"/>
    <col min="8711" max="8711" width="31.33203125" style="849" customWidth="1"/>
    <col min="8712" max="8729" width="4.44140625" style="849" customWidth="1"/>
    <col min="8730" max="8730" width="4" style="849" customWidth="1"/>
    <col min="8731" max="8731" width="8.33203125" style="849" bestFit="1" customWidth="1"/>
    <col min="8732" max="8732" width="16.33203125" style="849" bestFit="1" customWidth="1"/>
    <col min="8733" max="8733" width="20" style="849" bestFit="1" customWidth="1"/>
    <col min="8734" max="8734" width="7.6640625" style="849" customWidth="1"/>
    <col min="8735" max="8735" width="14.6640625" style="849" customWidth="1"/>
    <col min="8736" max="8966" width="8.88671875" style="849"/>
    <col min="8967" max="8967" width="31.33203125" style="849" customWidth="1"/>
    <col min="8968" max="8985" width="4.44140625" style="849" customWidth="1"/>
    <col min="8986" max="8986" width="4" style="849" customWidth="1"/>
    <col min="8987" max="8987" width="8.33203125" style="849" bestFit="1" customWidth="1"/>
    <col min="8988" max="8988" width="16.33203125" style="849" bestFit="1" customWidth="1"/>
    <col min="8989" max="8989" width="20" style="849" bestFit="1" customWidth="1"/>
    <col min="8990" max="8990" width="7.6640625" style="849" customWidth="1"/>
    <col min="8991" max="8991" width="14.6640625" style="849" customWidth="1"/>
    <col min="8992" max="9222" width="8.88671875" style="849"/>
    <col min="9223" max="9223" width="31.33203125" style="849" customWidth="1"/>
    <col min="9224" max="9241" width="4.44140625" style="849" customWidth="1"/>
    <col min="9242" max="9242" width="4" style="849" customWidth="1"/>
    <col min="9243" max="9243" width="8.33203125" style="849" bestFit="1" customWidth="1"/>
    <col min="9244" max="9244" width="16.33203125" style="849" bestFit="1" customWidth="1"/>
    <col min="9245" max="9245" width="20" style="849" bestFit="1" customWidth="1"/>
    <col min="9246" max="9246" width="7.6640625" style="849" customWidth="1"/>
    <col min="9247" max="9247" width="14.6640625" style="849" customWidth="1"/>
    <col min="9248" max="9478" width="8.88671875" style="849"/>
    <col min="9479" max="9479" width="31.33203125" style="849" customWidth="1"/>
    <col min="9480" max="9497" width="4.44140625" style="849" customWidth="1"/>
    <col min="9498" max="9498" width="4" style="849" customWidth="1"/>
    <col min="9499" max="9499" width="8.33203125" style="849" bestFit="1" customWidth="1"/>
    <col min="9500" max="9500" width="16.33203125" style="849" bestFit="1" customWidth="1"/>
    <col min="9501" max="9501" width="20" style="849" bestFit="1" customWidth="1"/>
    <col min="9502" max="9502" width="7.6640625" style="849" customWidth="1"/>
    <col min="9503" max="9503" width="14.6640625" style="849" customWidth="1"/>
    <col min="9504" max="9734" width="8.88671875" style="849"/>
    <col min="9735" max="9735" width="31.33203125" style="849" customWidth="1"/>
    <col min="9736" max="9753" width="4.44140625" style="849" customWidth="1"/>
    <col min="9754" max="9754" width="4" style="849" customWidth="1"/>
    <col min="9755" max="9755" width="8.33203125" style="849" bestFit="1" customWidth="1"/>
    <col min="9756" max="9756" width="16.33203125" style="849" bestFit="1" customWidth="1"/>
    <col min="9757" max="9757" width="20" style="849" bestFit="1" customWidth="1"/>
    <col min="9758" max="9758" width="7.6640625" style="849" customWidth="1"/>
    <col min="9759" max="9759" width="14.6640625" style="849" customWidth="1"/>
    <col min="9760" max="9990" width="8.88671875" style="849"/>
    <col min="9991" max="9991" width="31.33203125" style="849" customWidth="1"/>
    <col min="9992" max="10009" width="4.44140625" style="849" customWidth="1"/>
    <col min="10010" max="10010" width="4" style="849" customWidth="1"/>
    <col min="10011" max="10011" width="8.33203125" style="849" bestFit="1" customWidth="1"/>
    <col min="10012" max="10012" width="16.33203125" style="849" bestFit="1" customWidth="1"/>
    <col min="10013" max="10013" width="20" style="849" bestFit="1" customWidth="1"/>
    <col min="10014" max="10014" width="7.6640625" style="849" customWidth="1"/>
    <col min="10015" max="10015" width="14.6640625" style="849" customWidth="1"/>
    <col min="10016" max="10246" width="8.88671875" style="849"/>
    <col min="10247" max="10247" width="31.33203125" style="849" customWidth="1"/>
    <col min="10248" max="10265" width="4.44140625" style="849" customWidth="1"/>
    <col min="10266" max="10266" width="4" style="849" customWidth="1"/>
    <col min="10267" max="10267" width="8.33203125" style="849" bestFit="1" customWidth="1"/>
    <col min="10268" max="10268" width="16.33203125" style="849" bestFit="1" customWidth="1"/>
    <col min="10269" max="10269" width="20" style="849" bestFit="1" customWidth="1"/>
    <col min="10270" max="10270" width="7.6640625" style="849" customWidth="1"/>
    <col min="10271" max="10271" width="14.6640625" style="849" customWidth="1"/>
    <col min="10272" max="10502" width="8.88671875" style="849"/>
    <col min="10503" max="10503" width="31.33203125" style="849" customWidth="1"/>
    <col min="10504" max="10521" width="4.44140625" style="849" customWidth="1"/>
    <col min="10522" max="10522" width="4" style="849" customWidth="1"/>
    <col min="10523" max="10523" width="8.33203125" style="849" bestFit="1" customWidth="1"/>
    <col min="10524" max="10524" width="16.33203125" style="849" bestFit="1" customWidth="1"/>
    <col min="10525" max="10525" width="20" style="849" bestFit="1" customWidth="1"/>
    <col min="10526" max="10526" width="7.6640625" style="849" customWidth="1"/>
    <col min="10527" max="10527" width="14.6640625" style="849" customWidth="1"/>
    <col min="10528" max="10758" width="8.88671875" style="849"/>
    <col min="10759" max="10759" width="31.33203125" style="849" customWidth="1"/>
    <col min="10760" max="10777" width="4.44140625" style="849" customWidth="1"/>
    <col min="10778" max="10778" width="4" style="849" customWidth="1"/>
    <col min="10779" max="10779" width="8.33203125" style="849" bestFit="1" customWidth="1"/>
    <col min="10780" max="10780" width="16.33203125" style="849" bestFit="1" customWidth="1"/>
    <col min="10781" max="10781" width="20" style="849" bestFit="1" customWidth="1"/>
    <col min="10782" max="10782" width="7.6640625" style="849" customWidth="1"/>
    <col min="10783" max="10783" width="14.6640625" style="849" customWidth="1"/>
    <col min="10784" max="11014" width="8.88671875" style="849"/>
    <col min="11015" max="11015" width="31.33203125" style="849" customWidth="1"/>
    <col min="11016" max="11033" width="4.44140625" style="849" customWidth="1"/>
    <col min="11034" max="11034" width="4" style="849" customWidth="1"/>
    <col min="11035" max="11035" width="8.33203125" style="849" bestFit="1" customWidth="1"/>
    <col min="11036" max="11036" width="16.33203125" style="849" bestFit="1" customWidth="1"/>
    <col min="11037" max="11037" width="20" style="849" bestFit="1" customWidth="1"/>
    <col min="11038" max="11038" width="7.6640625" style="849" customWidth="1"/>
    <col min="11039" max="11039" width="14.6640625" style="849" customWidth="1"/>
    <col min="11040" max="11270" width="8.88671875" style="849"/>
    <col min="11271" max="11271" width="31.33203125" style="849" customWidth="1"/>
    <col min="11272" max="11289" width="4.44140625" style="849" customWidth="1"/>
    <col min="11290" max="11290" width="4" style="849" customWidth="1"/>
    <col min="11291" max="11291" width="8.33203125" style="849" bestFit="1" customWidth="1"/>
    <col min="11292" max="11292" width="16.33203125" style="849" bestFit="1" customWidth="1"/>
    <col min="11293" max="11293" width="20" style="849" bestFit="1" customWidth="1"/>
    <col min="11294" max="11294" width="7.6640625" style="849" customWidth="1"/>
    <col min="11295" max="11295" width="14.6640625" style="849" customWidth="1"/>
    <col min="11296" max="11526" width="8.88671875" style="849"/>
    <col min="11527" max="11527" width="31.33203125" style="849" customWidth="1"/>
    <col min="11528" max="11545" width="4.44140625" style="849" customWidth="1"/>
    <col min="11546" max="11546" width="4" style="849" customWidth="1"/>
    <col min="11547" max="11547" width="8.33203125" style="849" bestFit="1" customWidth="1"/>
    <col min="11548" max="11548" width="16.33203125" style="849" bestFit="1" customWidth="1"/>
    <col min="11549" max="11549" width="20" style="849" bestFit="1" customWidth="1"/>
    <col min="11550" max="11550" width="7.6640625" style="849" customWidth="1"/>
    <col min="11551" max="11551" width="14.6640625" style="849" customWidth="1"/>
    <col min="11552" max="11782" width="8.88671875" style="849"/>
    <col min="11783" max="11783" width="31.33203125" style="849" customWidth="1"/>
    <col min="11784" max="11801" width="4.44140625" style="849" customWidth="1"/>
    <col min="11802" max="11802" width="4" style="849" customWidth="1"/>
    <col min="11803" max="11803" width="8.33203125" style="849" bestFit="1" customWidth="1"/>
    <col min="11804" max="11804" width="16.33203125" style="849" bestFit="1" customWidth="1"/>
    <col min="11805" max="11805" width="20" style="849" bestFit="1" customWidth="1"/>
    <col min="11806" max="11806" width="7.6640625" style="849" customWidth="1"/>
    <col min="11807" max="11807" width="14.6640625" style="849" customWidth="1"/>
    <col min="11808" max="12038" width="8.88671875" style="849"/>
    <col min="12039" max="12039" width="31.33203125" style="849" customWidth="1"/>
    <col min="12040" max="12057" width="4.44140625" style="849" customWidth="1"/>
    <col min="12058" max="12058" width="4" style="849" customWidth="1"/>
    <col min="12059" max="12059" width="8.33203125" style="849" bestFit="1" customWidth="1"/>
    <col min="12060" max="12060" width="16.33203125" style="849" bestFit="1" customWidth="1"/>
    <col min="12061" max="12061" width="20" style="849" bestFit="1" customWidth="1"/>
    <col min="12062" max="12062" width="7.6640625" style="849" customWidth="1"/>
    <col min="12063" max="12063" width="14.6640625" style="849" customWidth="1"/>
    <col min="12064" max="12294" width="8.88671875" style="849"/>
    <col min="12295" max="12295" width="31.33203125" style="849" customWidth="1"/>
    <col min="12296" max="12313" width="4.44140625" style="849" customWidth="1"/>
    <col min="12314" max="12314" width="4" style="849" customWidth="1"/>
    <col min="12315" max="12315" width="8.33203125" style="849" bestFit="1" customWidth="1"/>
    <col min="12316" max="12316" width="16.33203125" style="849" bestFit="1" customWidth="1"/>
    <col min="12317" max="12317" width="20" style="849" bestFit="1" customWidth="1"/>
    <col min="12318" max="12318" width="7.6640625" style="849" customWidth="1"/>
    <col min="12319" max="12319" width="14.6640625" style="849" customWidth="1"/>
    <col min="12320" max="12550" width="8.88671875" style="849"/>
    <col min="12551" max="12551" width="31.33203125" style="849" customWidth="1"/>
    <col min="12552" max="12569" width="4.44140625" style="849" customWidth="1"/>
    <col min="12570" max="12570" width="4" style="849" customWidth="1"/>
    <col min="12571" max="12571" width="8.33203125" style="849" bestFit="1" customWidth="1"/>
    <col min="12572" max="12572" width="16.33203125" style="849" bestFit="1" customWidth="1"/>
    <col min="12573" max="12573" width="20" style="849" bestFit="1" customWidth="1"/>
    <col min="12574" max="12574" width="7.6640625" style="849" customWidth="1"/>
    <col min="12575" max="12575" width="14.6640625" style="849" customWidth="1"/>
    <col min="12576" max="12806" width="8.88671875" style="849"/>
    <col min="12807" max="12807" width="31.33203125" style="849" customWidth="1"/>
    <col min="12808" max="12825" width="4.44140625" style="849" customWidth="1"/>
    <col min="12826" max="12826" width="4" style="849" customWidth="1"/>
    <col min="12827" max="12827" width="8.33203125" style="849" bestFit="1" customWidth="1"/>
    <col min="12828" max="12828" width="16.33203125" style="849" bestFit="1" customWidth="1"/>
    <col min="12829" max="12829" width="20" style="849" bestFit="1" customWidth="1"/>
    <col min="12830" max="12830" width="7.6640625" style="849" customWidth="1"/>
    <col min="12831" max="12831" width="14.6640625" style="849" customWidth="1"/>
    <col min="12832" max="13062" width="8.88671875" style="849"/>
    <col min="13063" max="13063" width="31.33203125" style="849" customWidth="1"/>
    <col min="13064" max="13081" width="4.44140625" style="849" customWidth="1"/>
    <col min="13082" max="13082" width="4" style="849" customWidth="1"/>
    <col min="13083" max="13083" width="8.33203125" style="849" bestFit="1" customWidth="1"/>
    <col min="13084" max="13084" width="16.33203125" style="849" bestFit="1" customWidth="1"/>
    <col min="13085" max="13085" width="20" style="849" bestFit="1" customWidth="1"/>
    <col min="13086" max="13086" width="7.6640625" style="849" customWidth="1"/>
    <col min="13087" max="13087" width="14.6640625" style="849" customWidth="1"/>
    <col min="13088" max="13318" width="8.88671875" style="849"/>
    <col min="13319" max="13319" width="31.33203125" style="849" customWidth="1"/>
    <col min="13320" max="13337" width="4.44140625" style="849" customWidth="1"/>
    <col min="13338" max="13338" width="4" style="849" customWidth="1"/>
    <col min="13339" max="13339" width="8.33203125" style="849" bestFit="1" customWidth="1"/>
    <col min="13340" max="13340" width="16.33203125" style="849" bestFit="1" customWidth="1"/>
    <col min="13341" max="13341" width="20" style="849" bestFit="1" customWidth="1"/>
    <col min="13342" max="13342" width="7.6640625" style="849" customWidth="1"/>
    <col min="13343" max="13343" width="14.6640625" style="849" customWidth="1"/>
    <col min="13344" max="13574" width="8.88671875" style="849"/>
    <col min="13575" max="13575" width="31.33203125" style="849" customWidth="1"/>
    <col min="13576" max="13593" width="4.44140625" style="849" customWidth="1"/>
    <col min="13594" max="13594" width="4" style="849" customWidth="1"/>
    <col min="13595" max="13595" width="8.33203125" style="849" bestFit="1" customWidth="1"/>
    <col min="13596" max="13596" width="16.33203125" style="849" bestFit="1" customWidth="1"/>
    <col min="13597" max="13597" width="20" style="849" bestFit="1" customWidth="1"/>
    <col min="13598" max="13598" width="7.6640625" style="849" customWidth="1"/>
    <col min="13599" max="13599" width="14.6640625" style="849" customWidth="1"/>
    <col min="13600" max="13830" width="8.88671875" style="849"/>
    <col min="13831" max="13831" width="31.33203125" style="849" customWidth="1"/>
    <col min="13832" max="13849" width="4.44140625" style="849" customWidth="1"/>
    <col min="13850" max="13850" width="4" style="849" customWidth="1"/>
    <col min="13851" max="13851" width="8.33203125" style="849" bestFit="1" customWidth="1"/>
    <col min="13852" max="13852" width="16.33203125" style="849" bestFit="1" customWidth="1"/>
    <col min="13853" max="13853" width="20" style="849" bestFit="1" customWidth="1"/>
    <col min="13854" max="13854" width="7.6640625" style="849" customWidth="1"/>
    <col min="13855" max="13855" width="14.6640625" style="849" customWidth="1"/>
    <col min="13856" max="14086" width="8.88671875" style="849"/>
    <col min="14087" max="14087" width="31.33203125" style="849" customWidth="1"/>
    <col min="14088" max="14105" width="4.44140625" style="849" customWidth="1"/>
    <col min="14106" max="14106" width="4" style="849" customWidth="1"/>
    <col min="14107" max="14107" width="8.33203125" style="849" bestFit="1" customWidth="1"/>
    <col min="14108" max="14108" width="16.33203125" style="849" bestFit="1" customWidth="1"/>
    <col min="14109" max="14109" width="20" style="849" bestFit="1" customWidth="1"/>
    <col min="14110" max="14110" width="7.6640625" style="849" customWidth="1"/>
    <col min="14111" max="14111" width="14.6640625" style="849" customWidth="1"/>
    <col min="14112" max="14342" width="8.88671875" style="849"/>
    <col min="14343" max="14343" width="31.33203125" style="849" customWidth="1"/>
    <col min="14344" max="14361" width="4.44140625" style="849" customWidth="1"/>
    <col min="14362" max="14362" width="4" style="849" customWidth="1"/>
    <col min="14363" max="14363" width="8.33203125" style="849" bestFit="1" customWidth="1"/>
    <col min="14364" max="14364" width="16.33203125" style="849" bestFit="1" customWidth="1"/>
    <col min="14365" max="14365" width="20" style="849" bestFit="1" customWidth="1"/>
    <col min="14366" max="14366" width="7.6640625" style="849" customWidth="1"/>
    <col min="14367" max="14367" width="14.6640625" style="849" customWidth="1"/>
    <col min="14368" max="14598" width="8.88671875" style="849"/>
    <col min="14599" max="14599" width="31.33203125" style="849" customWidth="1"/>
    <col min="14600" max="14617" width="4.44140625" style="849" customWidth="1"/>
    <col min="14618" max="14618" width="4" style="849" customWidth="1"/>
    <col min="14619" max="14619" width="8.33203125" style="849" bestFit="1" customWidth="1"/>
    <col min="14620" max="14620" width="16.33203125" style="849" bestFit="1" customWidth="1"/>
    <col min="14621" max="14621" width="20" style="849" bestFit="1" customWidth="1"/>
    <col min="14622" max="14622" width="7.6640625" style="849" customWidth="1"/>
    <col min="14623" max="14623" width="14.6640625" style="849" customWidth="1"/>
    <col min="14624" max="14854" width="8.88671875" style="849"/>
    <col min="14855" max="14855" width="31.33203125" style="849" customWidth="1"/>
    <col min="14856" max="14873" width="4.44140625" style="849" customWidth="1"/>
    <col min="14874" max="14874" width="4" style="849" customWidth="1"/>
    <col min="14875" max="14875" width="8.33203125" style="849" bestFit="1" customWidth="1"/>
    <col min="14876" max="14876" width="16.33203125" style="849" bestFit="1" customWidth="1"/>
    <col min="14877" max="14877" width="20" style="849" bestFit="1" customWidth="1"/>
    <col min="14878" max="14878" width="7.6640625" style="849" customWidth="1"/>
    <col min="14879" max="14879" width="14.6640625" style="849" customWidth="1"/>
    <col min="14880" max="15110" width="8.88671875" style="849"/>
    <col min="15111" max="15111" width="31.33203125" style="849" customWidth="1"/>
    <col min="15112" max="15129" width="4.44140625" style="849" customWidth="1"/>
    <col min="15130" max="15130" width="4" style="849" customWidth="1"/>
    <col min="15131" max="15131" width="8.33203125" style="849" bestFit="1" customWidth="1"/>
    <col min="15132" max="15132" width="16.33203125" style="849" bestFit="1" customWidth="1"/>
    <col min="15133" max="15133" width="20" style="849" bestFit="1" customWidth="1"/>
    <col min="15134" max="15134" width="7.6640625" style="849" customWidth="1"/>
    <col min="15135" max="15135" width="14.6640625" style="849" customWidth="1"/>
    <col min="15136" max="15366" width="8.88671875" style="849"/>
    <col min="15367" max="15367" width="31.33203125" style="849" customWidth="1"/>
    <col min="15368" max="15385" width="4.44140625" style="849" customWidth="1"/>
    <col min="15386" max="15386" width="4" style="849" customWidth="1"/>
    <col min="15387" max="15387" width="8.33203125" style="849" bestFit="1" customWidth="1"/>
    <col min="15388" max="15388" width="16.33203125" style="849" bestFit="1" customWidth="1"/>
    <col min="15389" max="15389" width="20" style="849" bestFit="1" customWidth="1"/>
    <col min="15390" max="15390" width="7.6640625" style="849" customWidth="1"/>
    <col min="15391" max="15391" width="14.6640625" style="849" customWidth="1"/>
    <col min="15392" max="15622" width="8.88671875" style="849"/>
    <col min="15623" max="15623" width="31.33203125" style="849" customWidth="1"/>
    <col min="15624" max="15641" width="4.44140625" style="849" customWidth="1"/>
    <col min="15642" max="15642" width="4" style="849" customWidth="1"/>
    <col min="15643" max="15643" width="8.33203125" style="849" bestFit="1" customWidth="1"/>
    <col min="15644" max="15644" width="16.33203125" style="849" bestFit="1" customWidth="1"/>
    <col min="15645" max="15645" width="20" style="849" bestFit="1" customWidth="1"/>
    <col min="15646" max="15646" width="7.6640625" style="849" customWidth="1"/>
    <col min="15647" max="15647" width="14.6640625" style="849" customWidth="1"/>
    <col min="15648" max="15878" width="8.88671875" style="849"/>
    <col min="15879" max="15879" width="31.33203125" style="849" customWidth="1"/>
    <col min="15880" max="15897" width="4.44140625" style="849" customWidth="1"/>
    <col min="15898" max="15898" width="4" style="849" customWidth="1"/>
    <col min="15899" max="15899" width="8.33203125" style="849" bestFit="1" customWidth="1"/>
    <col min="15900" max="15900" width="16.33203125" style="849" bestFit="1" customWidth="1"/>
    <col min="15901" max="15901" width="20" style="849" bestFit="1" customWidth="1"/>
    <col min="15902" max="15902" width="7.6640625" style="849" customWidth="1"/>
    <col min="15903" max="15903" width="14.6640625" style="849" customWidth="1"/>
    <col min="15904" max="16134" width="8.88671875" style="849"/>
    <col min="16135" max="16135" width="31.33203125" style="849" customWidth="1"/>
    <col min="16136" max="16153" width="4.44140625" style="849" customWidth="1"/>
    <col min="16154" max="16154" width="4" style="849" customWidth="1"/>
    <col min="16155" max="16155" width="8.33203125" style="849" bestFit="1" customWidth="1"/>
    <col min="16156" max="16156" width="16.33203125" style="849" bestFit="1" customWidth="1"/>
    <col min="16157" max="16157" width="20" style="849" bestFit="1" customWidth="1"/>
    <col min="16158" max="16158" width="7.6640625" style="849" customWidth="1"/>
    <col min="16159" max="16159" width="14.6640625" style="849" customWidth="1"/>
    <col min="16160" max="16384" width="8.88671875" style="849"/>
  </cols>
  <sheetData>
    <row r="2" spans="1:29" s="845" customFormat="1" ht="15" customHeight="1" x14ac:dyDescent="0.3">
      <c r="A2" s="843"/>
      <c r="B2" s="843"/>
      <c r="C2" s="1157" t="s">
        <v>7751</v>
      </c>
      <c r="D2" s="1157"/>
      <c r="E2" s="1157"/>
      <c r="F2" s="1157"/>
      <c r="G2" s="1157"/>
      <c r="H2" s="1157"/>
      <c r="I2" s="1157"/>
      <c r="J2" s="1157"/>
      <c r="K2" s="1157"/>
      <c r="L2" s="1157"/>
      <c r="M2" s="1157"/>
      <c r="N2" s="1157"/>
      <c r="O2" s="1157"/>
      <c r="P2" s="1157"/>
      <c r="Q2" s="1157"/>
      <c r="R2" s="1157"/>
      <c r="S2" s="1157"/>
      <c r="T2" s="1157"/>
      <c r="U2" s="1157"/>
      <c r="V2" s="1157"/>
      <c r="W2" s="1157"/>
      <c r="X2" s="1157"/>
      <c r="Y2" s="1157"/>
      <c r="Z2" s="1157"/>
      <c r="AA2" s="1157"/>
      <c r="AB2" s="1157"/>
      <c r="AC2" s="844" t="s">
        <v>1000</v>
      </c>
    </row>
    <row r="3" spans="1:29" s="845" customFormat="1" ht="17.25" customHeight="1" x14ac:dyDescent="0.3">
      <c r="A3" s="843"/>
      <c r="B3" s="843"/>
      <c r="C3" s="1157"/>
      <c r="D3" s="1157"/>
      <c r="E3" s="1157"/>
      <c r="F3" s="1157"/>
      <c r="G3" s="1157"/>
      <c r="H3" s="1157"/>
      <c r="I3" s="1157"/>
      <c r="J3" s="1157"/>
      <c r="K3" s="1157"/>
      <c r="L3" s="1157"/>
      <c r="M3" s="1157"/>
      <c r="N3" s="1157"/>
      <c r="O3" s="1157"/>
      <c r="P3" s="1157"/>
      <c r="Q3" s="1157"/>
      <c r="R3" s="1157"/>
      <c r="S3" s="1157"/>
      <c r="T3" s="1157"/>
      <c r="U3" s="1157"/>
      <c r="V3" s="1157"/>
      <c r="W3" s="1157"/>
      <c r="X3" s="1157"/>
      <c r="Y3" s="1157"/>
      <c r="Z3" s="1157"/>
      <c r="AA3" s="1157"/>
      <c r="AB3" s="1157"/>
      <c r="AC3" s="846">
        <f>'02. Orçamento'!L2</f>
        <v>36</v>
      </c>
    </row>
    <row r="4" spans="1:29" s="845" customFormat="1" ht="14.4" thickBot="1" x14ac:dyDescent="0.35">
      <c r="A4" s="847"/>
      <c r="B4" s="847"/>
      <c r="C4" s="1158"/>
      <c r="D4" s="1158"/>
      <c r="E4" s="1158"/>
      <c r="F4" s="1158"/>
      <c r="G4" s="1158"/>
      <c r="H4" s="1158"/>
      <c r="I4" s="1158"/>
      <c r="J4" s="1158"/>
      <c r="K4" s="1158"/>
      <c r="L4" s="1158"/>
      <c r="M4" s="1158"/>
      <c r="N4" s="1158"/>
      <c r="O4" s="1158"/>
      <c r="P4" s="1158"/>
      <c r="Q4" s="1158"/>
      <c r="R4" s="1158"/>
      <c r="S4" s="1158"/>
      <c r="T4" s="1158"/>
      <c r="U4" s="1158"/>
      <c r="V4" s="1158"/>
      <c r="W4" s="1158"/>
      <c r="X4" s="1158"/>
      <c r="Y4" s="1158"/>
      <c r="Z4" s="1158"/>
      <c r="AA4" s="1158"/>
      <c r="AB4" s="1158"/>
      <c r="AC4" s="848"/>
    </row>
    <row r="5" spans="1:29" ht="12.6" thickTop="1" thickBot="1" x14ac:dyDescent="0.25"/>
    <row r="6" spans="1:29" ht="25.5" customHeight="1" thickBot="1" x14ac:dyDescent="0.25">
      <c r="A6" s="1170" t="s">
        <v>7717</v>
      </c>
      <c r="B6" s="1171"/>
      <c r="C6" s="1171"/>
      <c r="D6" s="1171"/>
      <c r="E6" s="1171"/>
      <c r="F6" s="1171"/>
      <c r="G6" s="1171"/>
      <c r="H6" s="1171"/>
      <c r="I6" s="1171"/>
      <c r="J6" s="1171"/>
      <c r="K6" s="1171"/>
      <c r="L6" s="1171"/>
      <c r="M6" s="1171"/>
      <c r="N6" s="1171"/>
      <c r="O6" s="1171"/>
      <c r="P6" s="1171"/>
      <c r="Q6" s="1171"/>
      <c r="R6" s="1171"/>
      <c r="S6" s="1171"/>
      <c r="T6" s="1171"/>
      <c r="U6" s="1171"/>
      <c r="V6" s="1171"/>
      <c r="W6" s="1171"/>
      <c r="X6" s="1171"/>
      <c r="Y6" s="1171"/>
      <c r="Z6" s="1171"/>
      <c r="AA6" s="1171"/>
      <c r="AB6" s="1171"/>
      <c r="AC6" s="1172"/>
    </row>
    <row r="7" spans="1:29" s="895" customFormat="1" ht="25.2" customHeight="1" thickBot="1" x14ac:dyDescent="0.35">
      <c r="A7" s="899" t="s">
        <v>101</v>
      </c>
      <c r="B7" s="900" t="s">
        <v>28</v>
      </c>
      <c r="C7" s="893" t="s">
        <v>2</v>
      </c>
      <c r="D7" s="894" t="s">
        <v>3</v>
      </c>
      <c r="E7" s="894" t="s">
        <v>4</v>
      </c>
      <c r="F7" s="894" t="s">
        <v>5</v>
      </c>
      <c r="G7" s="894" t="s">
        <v>6</v>
      </c>
      <c r="H7" s="894" t="s">
        <v>7</v>
      </c>
      <c r="I7" s="894" t="s">
        <v>8</v>
      </c>
      <c r="J7" s="894" t="s">
        <v>9</v>
      </c>
      <c r="K7" s="894" t="s">
        <v>10</v>
      </c>
      <c r="L7" s="894" t="s">
        <v>11</v>
      </c>
      <c r="M7" s="894" t="s">
        <v>12</v>
      </c>
      <c r="N7" s="894" t="s">
        <v>13</v>
      </c>
      <c r="O7" s="894" t="s">
        <v>14</v>
      </c>
      <c r="P7" s="894" t="s">
        <v>15</v>
      </c>
      <c r="Q7" s="894" t="s">
        <v>16</v>
      </c>
      <c r="R7" s="894" t="s">
        <v>17</v>
      </c>
      <c r="S7" s="894" t="s">
        <v>18</v>
      </c>
      <c r="T7" s="894" t="s">
        <v>19</v>
      </c>
      <c r="U7" s="894" t="s">
        <v>20</v>
      </c>
      <c r="V7" s="894" t="s">
        <v>21</v>
      </c>
      <c r="W7" s="894" t="s">
        <v>7718</v>
      </c>
      <c r="X7" s="894" t="s">
        <v>7719</v>
      </c>
      <c r="Y7" s="894" t="s">
        <v>7720</v>
      </c>
      <c r="Z7" s="894" t="s">
        <v>7721</v>
      </c>
      <c r="AA7" s="853" t="s">
        <v>27</v>
      </c>
      <c r="AB7" s="854" t="s">
        <v>3531</v>
      </c>
      <c r="AC7" s="854"/>
    </row>
    <row r="8" spans="1:29" ht="15" customHeight="1" x14ac:dyDescent="0.25">
      <c r="A8" s="855" t="s">
        <v>7725</v>
      </c>
      <c r="B8" s="901">
        <v>1</v>
      </c>
      <c r="C8" s="896">
        <v>1</v>
      </c>
      <c r="D8" s="856">
        <v>1</v>
      </c>
      <c r="E8" s="856">
        <v>1</v>
      </c>
      <c r="F8" s="856">
        <v>1</v>
      </c>
      <c r="G8" s="856">
        <v>1</v>
      </c>
      <c r="H8" s="856">
        <v>1</v>
      </c>
      <c r="I8" s="856">
        <v>1</v>
      </c>
      <c r="J8" s="856">
        <v>1</v>
      </c>
      <c r="K8" s="856">
        <v>1</v>
      </c>
      <c r="L8" s="856">
        <v>1</v>
      </c>
      <c r="M8" s="856">
        <v>1</v>
      </c>
      <c r="N8" s="856">
        <v>1</v>
      </c>
      <c r="O8" s="856">
        <v>1</v>
      </c>
      <c r="P8" s="856">
        <v>1</v>
      </c>
      <c r="Q8" s="856">
        <v>1</v>
      </c>
      <c r="R8" s="856">
        <v>1</v>
      </c>
      <c r="S8" s="856">
        <v>1</v>
      </c>
      <c r="T8" s="856">
        <v>1</v>
      </c>
      <c r="U8" s="856">
        <v>1</v>
      </c>
      <c r="V8" s="856">
        <v>1</v>
      </c>
      <c r="W8" s="856">
        <v>1</v>
      </c>
      <c r="X8" s="856">
        <v>1</v>
      </c>
      <c r="Y8" s="856">
        <v>1</v>
      </c>
      <c r="Z8" s="856">
        <v>1</v>
      </c>
      <c r="AA8" s="858">
        <f t="shared" ref="AA8:AA31" si="0">SUMIF($C$7:$Z$7,"QTD",C8:Z8)</f>
        <v>0</v>
      </c>
      <c r="AB8" s="859">
        <v>14000</v>
      </c>
      <c r="AC8" s="860">
        <f>AA8*AB8</f>
        <v>0</v>
      </c>
    </row>
    <row r="9" spans="1:29" ht="15" customHeight="1" x14ac:dyDescent="0.25">
      <c r="A9" s="855" t="s">
        <v>7726</v>
      </c>
      <c r="B9" s="901">
        <v>1</v>
      </c>
      <c r="C9" s="896">
        <v>1</v>
      </c>
      <c r="D9" s="856">
        <v>1</v>
      </c>
      <c r="E9" s="856">
        <v>1</v>
      </c>
      <c r="F9" s="856">
        <v>1</v>
      </c>
      <c r="G9" s="856">
        <v>1</v>
      </c>
      <c r="H9" s="856">
        <v>1</v>
      </c>
      <c r="I9" s="856">
        <v>1</v>
      </c>
      <c r="J9" s="856">
        <v>1</v>
      </c>
      <c r="K9" s="856">
        <v>1</v>
      </c>
      <c r="L9" s="856">
        <v>1</v>
      </c>
      <c r="M9" s="856">
        <v>1</v>
      </c>
      <c r="N9" s="856">
        <v>1</v>
      </c>
      <c r="O9" s="856">
        <v>1</v>
      </c>
      <c r="P9" s="856">
        <v>1</v>
      </c>
      <c r="Q9" s="856">
        <v>1</v>
      </c>
      <c r="R9" s="856">
        <v>1</v>
      </c>
      <c r="S9" s="856">
        <v>1</v>
      </c>
      <c r="T9" s="856">
        <v>1</v>
      </c>
      <c r="U9" s="856">
        <v>1</v>
      </c>
      <c r="V9" s="856">
        <v>1</v>
      </c>
      <c r="W9" s="856">
        <v>1</v>
      </c>
      <c r="X9" s="856">
        <v>1</v>
      </c>
      <c r="Y9" s="856"/>
      <c r="Z9" s="856"/>
      <c r="AA9" s="858">
        <f t="shared" si="0"/>
        <v>0</v>
      </c>
      <c r="AB9" s="861">
        <v>4000</v>
      </c>
      <c r="AC9" s="860">
        <f t="shared" ref="AC9" si="1">AA9*AB9</f>
        <v>0</v>
      </c>
    </row>
    <row r="10" spans="1:29" ht="15" customHeight="1" x14ac:dyDescent="0.25">
      <c r="A10" s="855" t="s">
        <v>7727</v>
      </c>
      <c r="B10" s="901">
        <v>1</v>
      </c>
      <c r="C10" s="896">
        <v>1</v>
      </c>
      <c r="D10" s="856">
        <f>C10</f>
        <v>1</v>
      </c>
      <c r="E10" s="856">
        <f>D10</f>
        <v>1</v>
      </c>
      <c r="F10" s="856">
        <f>E10</f>
        <v>1</v>
      </c>
      <c r="G10" s="856">
        <f>F10</f>
        <v>1</v>
      </c>
      <c r="H10" s="862">
        <v>1</v>
      </c>
      <c r="I10" s="856">
        <v>2</v>
      </c>
      <c r="J10" s="856">
        <f t="shared" ref="J10:V10" si="2">I10</f>
        <v>2</v>
      </c>
      <c r="K10" s="856">
        <f t="shared" si="2"/>
        <v>2</v>
      </c>
      <c r="L10" s="856">
        <f t="shared" si="2"/>
        <v>2</v>
      </c>
      <c r="M10" s="856">
        <f t="shared" si="2"/>
        <v>2</v>
      </c>
      <c r="N10" s="856">
        <f t="shared" si="2"/>
        <v>2</v>
      </c>
      <c r="O10" s="856">
        <f t="shared" si="2"/>
        <v>2</v>
      </c>
      <c r="P10" s="856">
        <f t="shared" si="2"/>
        <v>2</v>
      </c>
      <c r="Q10" s="856">
        <f t="shared" si="2"/>
        <v>2</v>
      </c>
      <c r="R10" s="856">
        <f t="shared" si="2"/>
        <v>2</v>
      </c>
      <c r="S10" s="856">
        <f t="shared" si="2"/>
        <v>2</v>
      </c>
      <c r="T10" s="856">
        <f t="shared" si="2"/>
        <v>2</v>
      </c>
      <c r="U10" s="856">
        <f t="shared" si="2"/>
        <v>2</v>
      </c>
      <c r="V10" s="856">
        <f t="shared" si="2"/>
        <v>2</v>
      </c>
      <c r="W10" s="856">
        <f>T10</f>
        <v>2</v>
      </c>
      <c r="X10" s="856">
        <f>W10</f>
        <v>2</v>
      </c>
      <c r="Y10" s="856">
        <v>1</v>
      </c>
      <c r="Z10" s="856">
        <f>Y10</f>
        <v>1</v>
      </c>
      <c r="AA10" s="858">
        <f t="shared" si="0"/>
        <v>0</v>
      </c>
      <c r="AB10" s="861">
        <v>1700</v>
      </c>
      <c r="AC10" s="860">
        <f>AA10*AB10</f>
        <v>0</v>
      </c>
    </row>
    <row r="11" spans="1:29" ht="15" customHeight="1" x14ac:dyDescent="0.25">
      <c r="A11" s="863" t="s">
        <v>7728</v>
      </c>
      <c r="B11" s="901"/>
      <c r="C11" s="896"/>
      <c r="D11" s="856"/>
      <c r="E11" s="856"/>
      <c r="F11" s="856"/>
      <c r="G11" s="856"/>
      <c r="H11" s="856"/>
      <c r="I11" s="856"/>
      <c r="J11" s="856"/>
      <c r="K11" s="856"/>
      <c r="L11" s="856"/>
      <c r="M11" s="856"/>
      <c r="N11" s="856"/>
      <c r="O11" s="856"/>
      <c r="P11" s="856"/>
      <c r="Q11" s="856"/>
      <c r="R11" s="856"/>
      <c r="S11" s="856"/>
      <c r="T11" s="856"/>
      <c r="U11" s="856"/>
      <c r="V11" s="856"/>
      <c r="W11" s="856"/>
      <c r="X11" s="856"/>
      <c r="Y11" s="856"/>
      <c r="Z11" s="856"/>
      <c r="AA11" s="858">
        <f t="shared" si="0"/>
        <v>0</v>
      </c>
      <c r="AB11" s="861">
        <v>3650</v>
      </c>
      <c r="AC11" s="860">
        <f>AA11*AB11</f>
        <v>0</v>
      </c>
    </row>
    <row r="12" spans="1:29" ht="15" customHeight="1" x14ac:dyDescent="0.25">
      <c r="A12" s="855" t="s">
        <v>7729</v>
      </c>
      <c r="B12" s="901">
        <v>1</v>
      </c>
      <c r="C12" s="896">
        <v>1</v>
      </c>
      <c r="D12" s="856">
        <v>1</v>
      </c>
      <c r="E12" s="856">
        <v>1</v>
      </c>
      <c r="F12" s="856">
        <v>1</v>
      </c>
      <c r="G12" s="856">
        <v>1</v>
      </c>
      <c r="H12" s="856">
        <v>1</v>
      </c>
      <c r="I12" s="856">
        <v>1</v>
      </c>
      <c r="J12" s="856">
        <v>1</v>
      </c>
      <c r="K12" s="856">
        <v>1</v>
      </c>
      <c r="L12" s="856">
        <v>1</v>
      </c>
      <c r="M12" s="856">
        <v>1</v>
      </c>
      <c r="N12" s="856">
        <v>1</v>
      </c>
      <c r="O12" s="856">
        <v>1</v>
      </c>
      <c r="P12" s="856">
        <v>1</v>
      </c>
      <c r="Q12" s="856">
        <v>1</v>
      </c>
      <c r="R12" s="856">
        <v>1</v>
      </c>
      <c r="S12" s="856">
        <v>1</v>
      </c>
      <c r="T12" s="856">
        <v>1</v>
      </c>
      <c r="U12" s="856">
        <v>1</v>
      </c>
      <c r="V12" s="856">
        <v>1</v>
      </c>
      <c r="W12" s="856">
        <v>1</v>
      </c>
      <c r="X12" s="856">
        <v>1</v>
      </c>
      <c r="Y12" s="856"/>
      <c r="Z12" s="856"/>
      <c r="AA12" s="858">
        <f t="shared" si="0"/>
        <v>0</v>
      </c>
      <c r="AB12" s="859">
        <v>10000</v>
      </c>
      <c r="AC12" s="860">
        <f>AA12*AB12</f>
        <v>0</v>
      </c>
    </row>
    <row r="13" spans="1:29" ht="15" customHeight="1" x14ac:dyDescent="0.25">
      <c r="A13" s="855" t="s">
        <v>1289</v>
      </c>
      <c r="B13" s="901">
        <v>1</v>
      </c>
      <c r="C13" s="896">
        <v>1</v>
      </c>
      <c r="D13" s="856">
        <f t="shared" ref="D13:V13" si="3">C13</f>
        <v>1</v>
      </c>
      <c r="E13" s="856">
        <f t="shared" si="3"/>
        <v>1</v>
      </c>
      <c r="F13" s="856">
        <f t="shared" si="3"/>
        <v>1</v>
      </c>
      <c r="G13" s="856">
        <f t="shared" si="3"/>
        <v>1</v>
      </c>
      <c r="H13" s="856">
        <f t="shared" si="3"/>
        <v>1</v>
      </c>
      <c r="I13" s="856">
        <f t="shared" si="3"/>
        <v>1</v>
      </c>
      <c r="J13" s="856">
        <f t="shared" si="3"/>
        <v>1</v>
      </c>
      <c r="K13" s="856">
        <f t="shared" si="3"/>
        <v>1</v>
      </c>
      <c r="L13" s="856">
        <f t="shared" si="3"/>
        <v>1</v>
      </c>
      <c r="M13" s="856">
        <f t="shared" si="3"/>
        <v>1</v>
      </c>
      <c r="N13" s="856">
        <f t="shared" si="3"/>
        <v>1</v>
      </c>
      <c r="O13" s="856">
        <f t="shared" si="3"/>
        <v>1</v>
      </c>
      <c r="P13" s="856">
        <f t="shared" si="3"/>
        <v>1</v>
      </c>
      <c r="Q13" s="856">
        <f t="shared" si="3"/>
        <v>1</v>
      </c>
      <c r="R13" s="856">
        <f t="shared" si="3"/>
        <v>1</v>
      </c>
      <c r="S13" s="856">
        <f t="shared" si="3"/>
        <v>1</v>
      </c>
      <c r="T13" s="856">
        <f t="shared" si="3"/>
        <v>1</v>
      </c>
      <c r="U13" s="856">
        <f t="shared" si="3"/>
        <v>1</v>
      </c>
      <c r="V13" s="856">
        <f t="shared" si="3"/>
        <v>1</v>
      </c>
      <c r="W13" s="856">
        <f t="shared" ref="W13:W18" si="4">T13</f>
        <v>1</v>
      </c>
      <c r="X13" s="856">
        <f t="shared" ref="X13:X27" si="5">W13</f>
        <v>1</v>
      </c>
      <c r="Y13" s="856">
        <f>V13</f>
        <v>1</v>
      </c>
      <c r="Z13" s="856">
        <f>Y13</f>
        <v>1</v>
      </c>
      <c r="AA13" s="858">
        <f t="shared" si="0"/>
        <v>0</v>
      </c>
      <c r="AB13" s="861">
        <v>4428.6000000000004</v>
      </c>
      <c r="AC13" s="860">
        <f>AA13*AB13</f>
        <v>0</v>
      </c>
    </row>
    <row r="14" spans="1:29" ht="15" customHeight="1" x14ac:dyDescent="0.25">
      <c r="A14" s="864" t="s">
        <v>7730</v>
      </c>
      <c r="B14" s="901">
        <v>0.5</v>
      </c>
      <c r="C14" s="896">
        <v>0.5</v>
      </c>
      <c r="D14" s="856">
        <f t="shared" ref="D14:V14" si="6">C14</f>
        <v>0.5</v>
      </c>
      <c r="E14" s="856">
        <f t="shared" si="6"/>
        <v>0.5</v>
      </c>
      <c r="F14" s="856">
        <f t="shared" si="6"/>
        <v>0.5</v>
      </c>
      <c r="G14" s="856">
        <f t="shared" si="6"/>
        <v>0.5</v>
      </c>
      <c r="H14" s="856">
        <f t="shared" si="6"/>
        <v>0.5</v>
      </c>
      <c r="I14" s="856">
        <f t="shared" si="6"/>
        <v>0.5</v>
      </c>
      <c r="J14" s="856">
        <f t="shared" si="6"/>
        <v>0.5</v>
      </c>
      <c r="K14" s="856">
        <f t="shared" si="6"/>
        <v>0.5</v>
      </c>
      <c r="L14" s="856">
        <f t="shared" si="6"/>
        <v>0.5</v>
      </c>
      <c r="M14" s="856">
        <f t="shared" si="6"/>
        <v>0.5</v>
      </c>
      <c r="N14" s="856">
        <f t="shared" si="6"/>
        <v>0.5</v>
      </c>
      <c r="O14" s="856">
        <f t="shared" si="6"/>
        <v>0.5</v>
      </c>
      <c r="P14" s="856">
        <f t="shared" si="6"/>
        <v>0.5</v>
      </c>
      <c r="Q14" s="856">
        <f t="shared" si="6"/>
        <v>0.5</v>
      </c>
      <c r="R14" s="856">
        <f t="shared" si="6"/>
        <v>0.5</v>
      </c>
      <c r="S14" s="856">
        <f t="shared" si="6"/>
        <v>0.5</v>
      </c>
      <c r="T14" s="856">
        <f t="shared" si="6"/>
        <v>0.5</v>
      </c>
      <c r="U14" s="856">
        <f t="shared" si="6"/>
        <v>0.5</v>
      </c>
      <c r="V14" s="856">
        <f t="shared" si="6"/>
        <v>0.5</v>
      </c>
      <c r="W14" s="856">
        <f t="shared" si="4"/>
        <v>0.5</v>
      </c>
      <c r="X14" s="856">
        <f t="shared" si="5"/>
        <v>0.5</v>
      </c>
      <c r="Y14" s="856"/>
      <c r="Z14" s="856"/>
      <c r="AA14" s="858">
        <f t="shared" si="0"/>
        <v>0</v>
      </c>
      <c r="AB14" s="861">
        <v>3295.6</v>
      </c>
      <c r="AC14" s="860">
        <f t="shared" ref="AC14" si="7">AA14*AB14</f>
        <v>0</v>
      </c>
    </row>
    <row r="15" spans="1:29" ht="15" customHeight="1" x14ac:dyDescent="0.25">
      <c r="A15" s="864" t="s">
        <v>7731</v>
      </c>
      <c r="B15" s="901">
        <v>1</v>
      </c>
      <c r="C15" s="896">
        <v>1</v>
      </c>
      <c r="D15" s="856">
        <v>1</v>
      </c>
      <c r="E15" s="856">
        <v>1</v>
      </c>
      <c r="F15" s="856">
        <v>1</v>
      </c>
      <c r="G15" s="856">
        <v>1</v>
      </c>
      <c r="H15" s="856">
        <f t="shared" ref="H15:V15" si="8">G15</f>
        <v>1</v>
      </c>
      <c r="I15" s="856">
        <f t="shared" si="8"/>
        <v>1</v>
      </c>
      <c r="J15" s="856">
        <f t="shared" si="8"/>
        <v>1</v>
      </c>
      <c r="K15" s="856">
        <f t="shared" si="8"/>
        <v>1</v>
      </c>
      <c r="L15" s="856">
        <f t="shared" si="8"/>
        <v>1</v>
      </c>
      <c r="M15" s="856">
        <f t="shared" si="8"/>
        <v>1</v>
      </c>
      <c r="N15" s="856">
        <f t="shared" si="8"/>
        <v>1</v>
      </c>
      <c r="O15" s="856">
        <f t="shared" si="8"/>
        <v>1</v>
      </c>
      <c r="P15" s="856">
        <f t="shared" si="8"/>
        <v>1</v>
      </c>
      <c r="Q15" s="856">
        <f t="shared" si="8"/>
        <v>1</v>
      </c>
      <c r="R15" s="856">
        <f t="shared" si="8"/>
        <v>1</v>
      </c>
      <c r="S15" s="856">
        <f t="shared" si="8"/>
        <v>1</v>
      </c>
      <c r="T15" s="856">
        <f t="shared" si="8"/>
        <v>1</v>
      </c>
      <c r="U15" s="856">
        <f t="shared" si="8"/>
        <v>1</v>
      </c>
      <c r="V15" s="856">
        <f t="shared" si="8"/>
        <v>1</v>
      </c>
      <c r="W15" s="856">
        <f t="shared" si="4"/>
        <v>1</v>
      </c>
      <c r="X15" s="856">
        <f t="shared" si="5"/>
        <v>1</v>
      </c>
      <c r="Y15" s="856"/>
      <c r="Z15" s="856"/>
      <c r="AA15" s="858">
        <f t="shared" si="0"/>
        <v>0</v>
      </c>
      <c r="AB15" s="861">
        <v>3150.4</v>
      </c>
      <c r="AC15" s="860">
        <f>AA15*AB15</f>
        <v>0</v>
      </c>
    </row>
    <row r="16" spans="1:29" ht="15" customHeight="1" x14ac:dyDescent="0.25">
      <c r="A16" s="864" t="s">
        <v>7732</v>
      </c>
      <c r="B16" s="901">
        <v>0</v>
      </c>
      <c r="C16" s="896">
        <v>0</v>
      </c>
      <c r="D16" s="856">
        <f t="shared" ref="D16:G20" si="9">C16</f>
        <v>0</v>
      </c>
      <c r="E16" s="856">
        <f t="shared" si="9"/>
        <v>0</v>
      </c>
      <c r="F16" s="856">
        <f t="shared" si="9"/>
        <v>0</v>
      </c>
      <c r="G16" s="856">
        <f t="shared" si="9"/>
        <v>0</v>
      </c>
      <c r="H16" s="856">
        <f t="shared" ref="H16:V16" si="10">G16</f>
        <v>0</v>
      </c>
      <c r="I16" s="856">
        <f t="shared" si="10"/>
        <v>0</v>
      </c>
      <c r="J16" s="856">
        <f t="shared" si="10"/>
        <v>0</v>
      </c>
      <c r="K16" s="856">
        <f t="shared" si="10"/>
        <v>0</v>
      </c>
      <c r="L16" s="856">
        <f t="shared" si="10"/>
        <v>0</v>
      </c>
      <c r="M16" s="856">
        <f t="shared" si="10"/>
        <v>0</v>
      </c>
      <c r="N16" s="856">
        <f t="shared" si="10"/>
        <v>0</v>
      </c>
      <c r="O16" s="856">
        <f t="shared" si="10"/>
        <v>0</v>
      </c>
      <c r="P16" s="856">
        <f t="shared" si="10"/>
        <v>0</v>
      </c>
      <c r="Q16" s="856">
        <f t="shared" si="10"/>
        <v>0</v>
      </c>
      <c r="R16" s="856">
        <f t="shared" si="10"/>
        <v>0</v>
      </c>
      <c r="S16" s="856">
        <f t="shared" si="10"/>
        <v>0</v>
      </c>
      <c r="T16" s="856">
        <f t="shared" si="10"/>
        <v>0</v>
      </c>
      <c r="U16" s="856">
        <f t="shared" si="10"/>
        <v>0</v>
      </c>
      <c r="V16" s="856">
        <f t="shared" si="10"/>
        <v>0</v>
      </c>
      <c r="W16" s="856">
        <f t="shared" si="4"/>
        <v>0</v>
      </c>
      <c r="X16" s="856">
        <f t="shared" si="5"/>
        <v>0</v>
      </c>
      <c r="Y16" s="856">
        <f>V16</f>
        <v>0</v>
      </c>
      <c r="Z16" s="856">
        <f t="shared" ref="Z16:Z27" si="11">Y16</f>
        <v>0</v>
      </c>
      <c r="AA16" s="858">
        <f t="shared" si="0"/>
        <v>0</v>
      </c>
      <c r="AB16" s="861">
        <v>2028.4</v>
      </c>
      <c r="AC16" s="860">
        <f>AA16*AB16</f>
        <v>0</v>
      </c>
    </row>
    <row r="17" spans="1:29" ht="15" customHeight="1" x14ac:dyDescent="0.25">
      <c r="A17" s="864" t="s">
        <v>7733</v>
      </c>
      <c r="B17" s="901"/>
      <c r="C17" s="896"/>
      <c r="D17" s="856">
        <f t="shared" si="9"/>
        <v>0</v>
      </c>
      <c r="E17" s="856">
        <f t="shared" si="9"/>
        <v>0</v>
      </c>
      <c r="F17" s="856">
        <f t="shared" si="9"/>
        <v>0</v>
      </c>
      <c r="G17" s="856">
        <f t="shared" si="9"/>
        <v>0</v>
      </c>
      <c r="H17" s="856">
        <f t="shared" ref="H17:V17" si="12">G17</f>
        <v>0</v>
      </c>
      <c r="I17" s="856">
        <f t="shared" si="12"/>
        <v>0</v>
      </c>
      <c r="J17" s="856">
        <f t="shared" si="12"/>
        <v>0</v>
      </c>
      <c r="K17" s="856">
        <f t="shared" si="12"/>
        <v>0</v>
      </c>
      <c r="L17" s="856">
        <f t="shared" si="12"/>
        <v>0</v>
      </c>
      <c r="M17" s="856">
        <f t="shared" si="12"/>
        <v>0</v>
      </c>
      <c r="N17" s="856">
        <f t="shared" si="12"/>
        <v>0</v>
      </c>
      <c r="O17" s="856">
        <f t="shared" si="12"/>
        <v>0</v>
      </c>
      <c r="P17" s="856">
        <f t="shared" si="12"/>
        <v>0</v>
      </c>
      <c r="Q17" s="856">
        <f t="shared" si="12"/>
        <v>0</v>
      </c>
      <c r="R17" s="856">
        <f t="shared" si="12"/>
        <v>0</v>
      </c>
      <c r="S17" s="856">
        <f t="shared" si="12"/>
        <v>0</v>
      </c>
      <c r="T17" s="856">
        <f t="shared" si="12"/>
        <v>0</v>
      </c>
      <c r="U17" s="856">
        <f t="shared" si="12"/>
        <v>0</v>
      </c>
      <c r="V17" s="856">
        <f t="shared" si="12"/>
        <v>0</v>
      </c>
      <c r="W17" s="856">
        <f t="shared" si="4"/>
        <v>0</v>
      </c>
      <c r="X17" s="856">
        <f t="shared" si="5"/>
        <v>0</v>
      </c>
      <c r="Y17" s="856">
        <f>V17</f>
        <v>0</v>
      </c>
      <c r="Z17" s="856">
        <f t="shared" si="11"/>
        <v>0</v>
      </c>
      <c r="AA17" s="858">
        <f t="shared" si="0"/>
        <v>0</v>
      </c>
      <c r="AB17" s="861">
        <v>6000</v>
      </c>
      <c r="AC17" s="860">
        <f t="shared" ref="AC17:AC31" si="13">AA17*AB17</f>
        <v>0</v>
      </c>
    </row>
    <row r="18" spans="1:29" ht="15" customHeight="1" x14ac:dyDescent="0.25">
      <c r="A18" s="864" t="s">
        <v>7734</v>
      </c>
      <c r="B18" s="901"/>
      <c r="C18" s="896"/>
      <c r="D18" s="856">
        <f t="shared" si="9"/>
        <v>0</v>
      </c>
      <c r="E18" s="856">
        <f t="shared" si="9"/>
        <v>0</v>
      </c>
      <c r="F18" s="856">
        <f t="shared" si="9"/>
        <v>0</v>
      </c>
      <c r="G18" s="856">
        <f t="shared" si="9"/>
        <v>0</v>
      </c>
      <c r="H18" s="856">
        <f t="shared" ref="H18:V18" si="14">G18</f>
        <v>0</v>
      </c>
      <c r="I18" s="856">
        <f t="shared" si="14"/>
        <v>0</v>
      </c>
      <c r="J18" s="856">
        <f t="shared" si="14"/>
        <v>0</v>
      </c>
      <c r="K18" s="856">
        <f t="shared" si="14"/>
        <v>0</v>
      </c>
      <c r="L18" s="856">
        <f t="shared" si="14"/>
        <v>0</v>
      </c>
      <c r="M18" s="856">
        <f t="shared" si="14"/>
        <v>0</v>
      </c>
      <c r="N18" s="856">
        <f t="shared" si="14"/>
        <v>0</v>
      </c>
      <c r="O18" s="856">
        <f t="shared" si="14"/>
        <v>0</v>
      </c>
      <c r="P18" s="856">
        <f t="shared" si="14"/>
        <v>0</v>
      </c>
      <c r="Q18" s="856">
        <f t="shared" si="14"/>
        <v>0</v>
      </c>
      <c r="R18" s="856">
        <f t="shared" si="14"/>
        <v>0</v>
      </c>
      <c r="S18" s="856">
        <f t="shared" si="14"/>
        <v>0</v>
      </c>
      <c r="T18" s="856">
        <f t="shared" si="14"/>
        <v>0</v>
      </c>
      <c r="U18" s="856">
        <f t="shared" si="14"/>
        <v>0</v>
      </c>
      <c r="V18" s="856">
        <f t="shared" si="14"/>
        <v>0</v>
      </c>
      <c r="W18" s="856">
        <f t="shared" si="4"/>
        <v>0</v>
      </c>
      <c r="X18" s="856">
        <f t="shared" si="5"/>
        <v>0</v>
      </c>
      <c r="Y18" s="856">
        <f>V18</f>
        <v>0</v>
      </c>
      <c r="Z18" s="856">
        <f t="shared" si="11"/>
        <v>0</v>
      </c>
      <c r="AA18" s="858">
        <f t="shared" si="0"/>
        <v>0</v>
      </c>
      <c r="AB18" s="861"/>
      <c r="AC18" s="860">
        <f t="shared" si="13"/>
        <v>0</v>
      </c>
    </row>
    <row r="19" spans="1:29" ht="15" customHeight="1" x14ac:dyDescent="0.25">
      <c r="A19" s="866" t="s">
        <v>7735</v>
      </c>
      <c r="B19" s="901"/>
      <c r="C19" s="896"/>
      <c r="D19" s="856">
        <f t="shared" si="9"/>
        <v>0</v>
      </c>
      <c r="E19" s="856">
        <f t="shared" si="9"/>
        <v>0</v>
      </c>
      <c r="F19" s="856">
        <f t="shared" si="9"/>
        <v>0</v>
      </c>
      <c r="G19" s="856">
        <f t="shared" si="9"/>
        <v>0</v>
      </c>
      <c r="H19" s="856">
        <f t="shared" ref="H19:J27" si="15">G19</f>
        <v>0</v>
      </c>
      <c r="I19" s="856">
        <f t="shared" si="15"/>
        <v>0</v>
      </c>
      <c r="J19" s="856">
        <f t="shared" si="15"/>
        <v>0</v>
      </c>
      <c r="K19" s="856">
        <v>1</v>
      </c>
      <c r="L19" s="856">
        <f t="shared" ref="L19:U19" si="16">K19</f>
        <v>1</v>
      </c>
      <c r="M19" s="856">
        <f t="shared" si="16"/>
        <v>1</v>
      </c>
      <c r="N19" s="856">
        <f t="shared" si="16"/>
        <v>1</v>
      </c>
      <c r="O19" s="856">
        <f t="shared" si="16"/>
        <v>1</v>
      </c>
      <c r="P19" s="856">
        <f t="shared" si="16"/>
        <v>1</v>
      </c>
      <c r="Q19" s="856">
        <f t="shared" si="16"/>
        <v>1</v>
      </c>
      <c r="R19" s="856">
        <f t="shared" si="16"/>
        <v>1</v>
      </c>
      <c r="S19" s="856">
        <f t="shared" si="16"/>
        <v>1</v>
      </c>
      <c r="T19" s="856">
        <f t="shared" si="16"/>
        <v>1</v>
      </c>
      <c r="U19" s="856">
        <f t="shared" si="16"/>
        <v>1</v>
      </c>
      <c r="V19" s="856">
        <v>0</v>
      </c>
      <c r="W19" s="856">
        <v>0</v>
      </c>
      <c r="X19" s="856">
        <f t="shared" si="5"/>
        <v>0</v>
      </c>
      <c r="Y19" s="856">
        <f>V19</f>
        <v>0</v>
      </c>
      <c r="Z19" s="856">
        <f t="shared" si="11"/>
        <v>0</v>
      </c>
      <c r="AA19" s="858">
        <f t="shared" si="0"/>
        <v>0</v>
      </c>
      <c r="AB19" s="861">
        <v>2662</v>
      </c>
      <c r="AC19" s="867">
        <f t="shared" si="13"/>
        <v>0</v>
      </c>
    </row>
    <row r="20" spans="1:29" ht="15" customHeight="1" x14ac:dyDescent="0.25">
      <c r="A20" s="864" t="s">
        <v>7736</v>
      </c>
      <c r="B20" s="901"/>
      <c r="C20" s="896"/>
      <c r="D20" s="856">
        <f t="shared" si="9"/>
        <v>0</v>
      </c>
      <c r="E20" s="856">
        <f t="shared" si="9"/>
        <v>0</v>
      </c>
      <c r="F20" s="856">
        <f t="shared" si="9"/>
        <v>0</v>
      </c>
      <c r="G20" s="856">
        <f t="shared" si="9"/>
        <v>0</v>
      </c>
      <c r="H20" s="856">
        <f t="shared" si="15"/>
        <v>0</v>
      </c>
      <c r="I20" s="856">
        <f t="shared" si="15"/>
        <v>0</v>
      </c>
      <c r="J20" s="856">
        <f t="shared" si="15"/>
        <v>0</v>
      </c>
      <c r="K20" s="856">
        <f t="shared" ref="K20:K27" si="17">J20</f>
        <v>0</v>
      </c>
      <c r="L20" s="856">
        <f t="shared" ref="L20:U20" si="18">K20</f>
        <v>0</v>
      </c>
      <c r="M20" s="856">
        <f t="shared" si="18"/>
        <v>0</v>
      </c>
      <c r="N20" s="856">
        <f t="shared" si="18"/>
        <v>0</v>
      </c>
      <c r="O20" s="856">
        <f t="shared" si="18"/>
        <v>0</v>
      </c>
      <c r="P20" s="856">
        <f t="shared" si="18"/>
        <v>0</v>
      </c>
      <c r="Q20" s="856">
        <f t="shared" si="18"/>
        <v>0</v>
      </c>
      <c r="R20" s="856">
        <f t="shared" si="18"/>
        <v>0</v>
      </c>
      <c r="S20" s="856">
        <f t="shared" si="18"/>
        <v>0</v>
      </c>
      <c r="T20" s="856">
        <f t="shared" si="18"/>
        <v>0</v>
      </c>
      <c r="U20" s="856">
        <f t="shared" si="18"/>
        <v>0</v>
      </c>
      <c r="V20" s="856">
        <f t="shared" ref="V20:V27" si="19">U20</f>
        <v>0</v>
      </c>
      <c r="W20" s="856">
        <f t="shared" ref="W20:W27" si="20">T20</f>
        <v>0</v>
      </c>
      <c r="X20" s="856">
        <f t="shared" si="5"/>
        <v>0</v>
      </c>
      <c r="Y20" s="856">
        <f>V20</f>
        <v>0</v>
      </c>
      <c r="Z20" s="856">
        <f t="shared" si="11"/>
        <v>0</v>
      </c>
      <c r="AA20" s="858">
        <f t="shared" si="0"/>
        <v>0</v>
      </c>
      <c r="AB20" s="861"/>
      <c r="AC20" s="867">
        <f t="shared" si="13"/>
        <v>0</v>
      </c>
    </row>
    <row r="21" spans="1:29" ht="15" customHeight="1" x14ac:dyDescent="0.25">
      <c r="A21" s="864" t="s">
        <v>1286</v>
      </c>
      <c r="B21" s="901">
        <v>0</v>
      </c>
      <c r="C21" s="896">
        <v>0</v>
      </c>
      <c r="D21" s="856">
        <f>C21</f>
        <v>0</v>
      </c>
      <c r="E21" s="856">
        <f>D21</f>
        <v>0</v>
      </c>
      <c r="F21" s="856">
        <f>E21</f>
        <v>0</v>
      </c>
      <c r="G21" s="856">
        <v>0</v>
      </c>
      <c r="H21" s="856">
        <f t="shared" si="15"/>
        <v>0</v>
      </c>
      <c r="I21" s="856">
        <f t="shared" si="15"/>
        <v>0</v>
      </c>
      <c r="J21" s="856">
        <f t="shared" si="15"/>
        <v>0</v>
      </c>
      <c r="K21" s="856">
        <f t="shared" si="17"/>
        <v>0</v>
      </c>
      <c r="L21" s="856">
        <v>1</v>
      </c>
      <c r="M21" s="856">
        <v>1</v>
      </c>
      <c r="N21" s="856">
        <v>2</v>
      </c>
      <c r="O21" s="856">
        <f t="shared" ref="O21:U27" si="21">N21</f>
        <v>2</v>
      </c>
      <c r="P21" s="856">
        <f t="shared" si="21"/>
        <v>2</v>
      </c>
      <c r="Q21" s="856">
        <f t="shared" si="21"/>
        <v>2</v>
      </c>
      <c r="R21" s="856">
        <f t="shared" si="21"/>
        <v>2</v>
      </c>
      <c r="S21" s="856">
        <f t="shared" si="21"/>
        <v>2</v>
      </c>
      <c r="T21" s="856">
        <f t="shared" si="21"/>
        <v>2</v>
      </c>
      <c r="U21" s="856">
        <f t="shared" si="21"/>
        <v>2</v>
      </c>
      <c r="V21" s="856">
        <f t="shared" si="19"/>
        <v>2</v>
      </c>
      <c r="W21" s="856">
        <f t="shared" si="20"/>
        <v>2</v>
      </c>
      <c r="X21" s="856">
        <f t="shared" si="5"/>
        <v>2</v>
      </c>
      <c r="Y21" s="856">
        <v>2</v>
      </c>
      <c r="Z21" s="856">
        <f t="shared" si="11"/>
        <v>2</v>
      </c>
      <c r="AA21" s="858">
        <f t="shared" si="0"/>
        <v>0</v>
      </c>
      <c r="AB21" s="861">
        <v>2864.4</v>
      </c>
      <c r="AC21" s="860">
        <f t="shared" si="13"/>
        <v>0</v>
      </c>
    </row>
    <row r="22" spans="1:29" ht="15" customHeight="1" x14ac:dyDescent="0.25">
      <c r="A22" s="868" t="s">
        <v>7737</v>
      </c>
      <c r="B22" s="902">
        <v>1</v>
      </c>
      <c r="C22" s="897">
        <v>1</v>
      </c>
      <c r="D22" s="856">
        <f t="shared" ref="D22:E27" si="22">C22</f>
        <v>1</v>
      </c>
      <c r="E22" s="856">
        <f t="shared" si="22"/>
        <v>1</v>
      </c>
      <c r="F22" s="856">
        <v>2</v>
      </c>
      <c r="G22" s="856">
        <f t="shared" ref="G22:G27" si="23">F22</f>
        <v>2</v>
      </c>
      <c r="H22" s="856">
        <f t="shared" si="15"/>
        <v>2</v>
      </c>
      <c r="I22" s="856">
        <f t="shared" si="15"/>
        <v>2</v>
      </c>
      <c r="J22" s="856">
        <f t="shared" si="15"/>
        <v>2</v>
      </c>
      <c r="K22" s="856">
        <f t="shared" si="17"/>
        <v>2</v>
      </c>
      <c r="L22" s="856">
        <v>1</v>
      </c>
      <c r="M22" s="856">
        <f t="shared" ref="M22:M27" si="24">L22</f>
        <v>1</v>
      </c>
      <c r="N22" s="856">
        <v>0</v>
      </c>
      <c r="O22" s="856">
        <f t="shared" si="21"/>
        <v>0</v>
      </c>
      <c r="P22" s="856">
        <f t="shared" si="21"/>
        <v>0</v>
      </c>
      <c r="Q22" s="856">
        <f t="shared" si="21"/>
        <v>0</v>
      </c>
      <c r="R22" s="856">
        <f t="shared" si="21"/>
        <v>0</v>
      </c>
      <c r="S22" s="856">
        <f t="shared" si="21"/>
        <v>0</v>
      </c>
      <c r="T22" s="856">
        <f t="shared" si="21"/>
        <v>0</v>
      </c>
      <c r="U22" s="856">
        <f t="shared" si="21"/>
        <v>0</v>
      </c>
      <c r="V22" s="856">
        <f t="shared" si="19"/>
        <v>0</v>
      </c>
      <c r="W22" s="856">
        <f t="shared" si="20"/>
        <v>0</v>
      </c>
      <c r="X22" s="856">
        <f t="shared" si="5"/>
        <v>0</v>
      </c>
      <c r="Y22" s="856">
        <f>V22</f>
        <v>0</v>
      </c>
      <c r="Z22" s="856">
        <f t="shared" si="11"/>
        <v>0</v>
      </c>
      <c r="AA22" s="858">
        <f t="shared" si="0"/>
        <v>0</v>
      </c>
      <c r="AB22" s="861">
        <v>2864.4</v>
      </c>
      <c r="AC22" s="860">
        <f t="shared" si="13"/>
        <v>0</v>
      </c>
    </row>
    <row r="23" spans="1:29" ht="15" customHeight="1" x14ac:dyDescent="0.25">
      <c r="A23" s="868" t="s">
        <v>7738</v>
      </c>
      <c r="B23" s="901"/>
      <c r="C23" s="896"/>
      <c r="D23" s="856">
        <f t="shared" si="22"/>
        <v>0</v>
      </c>
      <c r="E23" s="856">
        <f t="shared" si="22"/>
        <v>0</v>
      </c>
      <c r="F23" s="856">
        <f>E23</f>
        <v>0</v>
      </c>
      <c r="G23" s="856">
        <f t="shared" si="23"/>
        <v>0</v>
      </c>
      <c r="H23" s="856">
        <f t="shared" si="15"/>
        <v>0</v>
      </c>
      <c r="I23" s="856">
        <f t="shared" si="15"/>
        <v>0</v>
      </c>
      <c r="J23" s="856">
        <f t="shared" si="15"/>
        <v>0</v>
      </c>
      <c r="K23" s="856">
        <f t="shared" si="17"/>
        <v>0</v>
      </c>
      <c r="L23" s="856">
        <f>K23</f>
        <v>0</v>
      </c>
      <c r="M23" s="856">
        <f t="shared" si="24"/>
        <v>0</v>
      </c>
      <c r="N23" s="856">
        <f>M23</f>
        <v>0</v>
      </c>
      <c r="O23" s="856">
        <f t="shared" si="21"/>
        <v>0</v>
      </c>
      <c r="P23" s="856">
        <f t="shared" si="21"/>
        <v>0</v>
      </c>
      <c r="Q23" s="856">
        <f t="shared" si="21"/>
        <v>0</v>
      </c>
      <c r="R23" s="856">
        <f t="shared" si="21"/>
        <v>0</v>
      </c>
      <c r="S23" s="856">
        <f t="shared" si="21"/>
        <v>0</v>
      </c>
      <c r="T23" s="856">
        <f t="shared" si="21"/>
        <v>0</v>
      </c>
      <c r="U23" s="856">
        <f t="shared" si="21"/>
        <v>0</v>
      </c>
      <c r="V23" s="856">
        <f t="shared" si="19"/>
        <v>0</v>
      </c>
      <c r="W23" s="856">
        <f t="shared" si="20"/>
        <v>0</v>
      </c>
      <c r="X23" s="856">
        <f t="shared" si="5"/>
        <v>0</v>
      </c>
      <c r="Y23" s="856">
        <f>V23</f>
        <v>0</v>
      </c>
      <c r="Z23" s="856">
        <f t="shared" si="11"/>
        <v>0</v>
      </c>
      <c r="AA23" s="858">
        <f t="shared" si="0"/>
        <v>0</v>
      </c>
      <c r="AB23" s="861">
        <v>2662</v>
      </c>
      <c r="AC23" s="860">
        <f t="shared" si="13"/>
        <v>0</v>
      </c>
    </row>
    <row r="24" spans="1:29" ht="15" customHeight="1" x14ac:dyDescent="0.25">
      <c r="A24" s="868" t="s">
        <v>7739</v>
      </c>
      <c r="B24" s="901"/>
      <c r="C24" s="896"/>
      <c r="D24" s="856">
        <f t="shared" si="22"/>
        <v>0</v>
      </c>
      <c r="E24" s="856">
        <f t="shared" si="22"/>
        <v>0</v>
      </c>
      <c r="F24" s="856">
        <f>E24</f>
        <v>0</v>
      </c>
      <c r="G24" s="856">
        <f t="shared" si="23"/>
        <v>0</v>
      </c>
      <c r="H24" s="856">
        <f t="shared" si="15"/>
        <v>0</v>
      </c>
      <c r="I24" s="856">
        <f t="shared" si="15"/>
        <v>0</v>
      </c>
      <c r="J24" s="856">
        <f t="shared" si="15"/>
        <v>0</v>
      </c>
      <c r="K24" s="856">
        <f t="shared" si="17"/>
        <v>0</v>
      </c>
      <c r="L24" s="856">
        <f>K24</f>
        <v>0</v>
      </c>
      <c r="M24" s="856">
        <f t="shared" si="24"/>
        <v>0</v>
      </c>
      <c r="N24" s="856">
        <f>M24</f>
        <v>0</v>
      </c>
      <c r="O24" s="856">
        <f t="shared" si="21"/>
        <v>0</v>
      </c>
      <c r="P24" s="856">
        <f t="shared" si="21"/>
        <v>0</v>
      </c>
      <c r="Q24" s="856">
        <f t="shared" si="21"/>
        <v>0</v>
      </c>
      <c r="R24" s="856">
        <f t="shared" si="21"/>
        <v>0</v>
      </c>
      <c r="S24" s="856">
        <f t="shared" si="21"/>
        <v>0</v>
      </c>
      <c r="T24" s="856">
        <f t="shared" si="21"/>
        <v>0</v>
      </c>
      <c r="U24" s="856">
        <f t="shared" si="21"/>
        <v>0</v>
      </c>
      <c r="V24" s="856">
        <f t="shared" si="19"/>
        <v>0</v>
      </c>
      <c r="W24" s="856">
        <f t="shared" si="20"/>
        <v>0</v>
      </c>
      <c r="X24" s="856">
        <f t="shared" si="5"/>
        <v>0</v>
      </c>
      <c r="Y24" s="856">
        <f>V24</f>
        <v>0</v>
      </c>
      <c r="Z24" s="856">
        <f t="shared" si="11"/>
        <v>0</v>
      </c>
      <c r="AA24" s="858">
        <f t="shared" si="0"/>
        <v>0</v>
      </c>
      <c r="AB24" s="861">
        <v>2662</v>
      </c>
      <c r="AC24" s="860">
        <f t="shared" si="13"/>
        <v>0</v>
      </c>
    </row>
    <row r="25" spans="1:29" ht="15" customHeight="1" x14ac:dyDescent="0.25">
      <c r="A25" s="868" t="s">
        <v>1287</v>
      </c>
      <c r="B25" s="902"/>
      <c r="C25" s="897"/>
      <c r="D25" s="856">
        <f t="shared" si="22"/>
        <v>0</v>
      </c>
      <c r="E25" s="856">
        <f t="shared" si="22"/>
        <v>0</v>
      </c>
      <c r="F25" s="856">
        <f>E25</f>
        <v>0</v>
      </c>
      <c r="G25" s="856">
        <f t="shared" si="23"/>
        <v>0</v>
      </c>
      <c r="H25" s="856">
        <f t="shared" si="15"/>
        <v>0</v>
      </c>
      <c r="I25" s="856">
        <f t="shared" si="15"/>
        <v>0</v>
      </c>
      <c r="J25" s="856">
        <f t="shared" si="15"/>
        <v>0</v>
      </c>
      <c r="K25" s="856">
        <f t="shared" si="17"/>
        <v>0</v>
      </c>
      <c r="L25" s="856">
        <f>K25</f>
        <v>0</v>
      </c>
      <c r="M25" s="856">
        <f t="shared" si="24"/>
        <v>0</v>
      </c>
      <c r="N25" s="856">
        <f>M25</f>
        <v>0</v>
      </c>
      <c r="O25" s="856">
        <f t="shared" si="21"/>
        <v>0</v>
      </c>
      <c r="P25" s="856">
        <f t="shared" si="21"/>
        <v>0</v>
      </c>
      <c r="Q25" s="856">
        <f t="shared" si="21"/>
        <v>0</v>
      </c>
      <c r="R25" s="856">
        <f t="shared" si="21"/>
        <v>0</v>
      </c>
      <c r="S25" s="856">
        <f t="shared" si="21"/>
        <v>0</v>
      </c>
      <c r="T25" s="856">
        <f t="shared" si="21"/>
        <v>0</v>
      </c>
      <c r="U25" s="856">
        <f t="shared" si="21"/>
        <v>0</v>
      </c>
      <c r="V25" s="856">
        <f t="shared" si="19"/>
        <v>0</v>
      </c>
      <c r="W25" s="856">
        <f t="shared" si="20"/>
        <v>0</v>
      </c>
      <c r="X25" s="856">
        <f t="shared" si="5"/>
        <v>0</v>
      </c>
      <c r="Y25" s="856">
        <f>V25</f>
        <v>0</v>
      </c>
      <c r="Z25" s="856">
        <f t="shared" si="11"/>
        <v>0</v>
      </c>
      <c r="AA25" s="858">
        <f t="shared" si="0"/>
        <v>0</v>
      </c>
      <c r="AB25" s="861">
        <v>2028.4</v>
      </c>
      <c r="AC25" s="860">
        <f t="shared" si="13"/>
        <v>0</v>
      </c>
    </row>
    <row r="26" spans="1:29" ht="15" customHeight="1" x14ac:dyDescent="0.25">
      <c r="A26" s="868" t="s">
        <v>1288</v>
      </c>
      <c r="B26" s="902">
        <v>2</v>
      </c>
      <c r="C26" s="897">
        <v>2</v>
      </c>
      <c r="D26" s="856">
        <f t="shared" si="22"/>
        <v>2</v>
      </c>
      <c r="E26" s="856">
        <f t="shared" si="22"/>
        <v>2</v>
      </c>
      <c r="F26" s="856">
        <v>3</v>
      </c>
      <c r="G26" s="856">
        <f t="shared" si="23"/>
        <v>3</v>
      </c>
      <c r="H26" s="856">
        <f t="shared" si="15"/>
        <v>3</v>
      </c>
      <c r="I26" s="856">
        <f t="shared" si="15"/>
        <v>3</v>
      </c>
      <c r="J26" s="856">
        <f t="shared" si="15"/>
        <v>3</v>
      </c>
      <c r="K26" s="856">
        <f t="shared" si="17"/>
        <v>3</v>
      </c>
      <c r="L26" s="856">
        <f>K26</f>
        <v>3</v>
      </c>
      <c r="M26" s="856">
        <f t="shared" si="24"/>
        <v>3</v>
      </c>
      <c r="N26" s="856">
        <f>M26</f>
        <v>3</v>
      </c>
      <c r="O26" s="856">
        <f t="shared" si="21"/>
        <v>3</v>
      </c>
      <c r="P26" s="856">
        <f t="shared" si="21"/>
        <v>3</v>
      </c>
      <c r="Q26" s="856">
        <f t="shared" si="21"/>
        <v>3</v>
      </c>
      <c r="R26" s="856">
        <f t="shared" si="21"/>
        <v>3</v>
      </c>
      <c r="S26" s="856">
        <f t="shared" si="21"/>
        <v>3</v>
      </c>
      <c r="T26" s="856">
        <f t="shared" si="21"/>
        <v>3</v>
      </c>
      <c r="U26" s="856">
        <f t="shared" si="21"/>
        <v>3</v>
      </c>
      <c r="V26" s="856">
        <f t="shared" si="19"/>
        <v>3</v>
      </c>
      <c r="W26" s="856">
        <f t="shared" si="20"/>
        <v>3</v>
      </c>
      <c r="X26" s="856">
        <f t="shared" si="5"/>
        <v>3</v>
      </c>
      <c r="Y26" s="856">
        <v>2</v>
      </c>
      <c r="Z26" s="856">
        <f t="shared" si="11"/>
        <v>2</v>
      </c>
      <c r="AA26" s="858">
        <f t="shared" si="0"/>
        <v>0</v>
      </c>
      <c r="AB26" s="861">
        <v>1925</v>
      </c>
      <c r="AC26" s="860">
        <f t="shared" si="13"/>
        <v>0</v>
      </c>
    </row>
    <row r="27" spans="1:29" ht="15" customHeight="1" x14ac:dyDescent="0.25">
      <c r="A27" s="868"/>
      <c r="B27" s="902"/>
      <c r="C27" s="897"/>
      <c r="D27" s="856">
        <f t="shared" si="22"/>
        <v>0</v>
      </c>
      <c r="E27" s="856">
        <f t="shared" si="22"/>
        <v>0</v>
      </c>
      <c r="F27" s="856">
        <f>E27</f>
        <v>0</v>
      </c>
      <c r="G27" s="856">
        <f t="shared" si="23"/>
        <v>0</v>
      </c>
      <c r="H27" s="856">
        <f t="shared" si="15"/>
        <v>0</v>
      </c>
      <c r="I27" s="856">
        <f t="shared" si="15"/>
        <v>0</v>
      </c>
      <c r="J27" s="856">
        <f t="shared" si="15"/>
        <v>0</v>
      </c>
      <c r="K27" s="856">
        <f t="shared" si="17"/>
        <v>0</v>
      </c>
      <c r="L27" s="856">
        <f>K27</f>
        <v>0</v>
      </c>
      <c r="M27" s="856">
        <f t="shared" si="24"/>
        <v>0</v>
      </c>
      <c r="N27" s="856">
        <f>M27</f>
        <v>0</v>
      </c>
      <c r="O27" s="856">
        <f t="shared" si="21"/>
        <v>0</v>
      </c>
      <c r="P27" s="856">
        <f t="shared" si="21"/>
        <v>0</v>
      </c>
      <c r="Q27" s="856">
        <f t="shared" si="21"/>
        <v>0</v>
      </c>
      <c r="R27" s="856">
        <f t="shared" si="21"/>
        <v>0</v>
      </c>
      <c r="S27" s="856">
        <f t="shared" si="21"/>
        <v>0</v>
      </c>
      <c r="T27" s="856">
        <f t="shared" si="21"/>
        <v>0</v>
      </c>
      <c r="U27" s="856">
        <f t="shared" si="21"/>
        <v>0</v>
      </c>
      <c r="V27" s="856">
        <f t="shared" si="19"/>
        <v>0</v>
      </c>
      <c r="W27" s="856">
        <f t="shared" si="20"/>
        <v>0</v>
      </c>
      <c r="X27" s="856">
        <f t="shared" si="5"/>
        <v>0</v>
      </c>
      <c r="Y27" s="856">
        <f>V27</f>
        <v>0</v>
      </c>
      <c r="Z27" s="856">
        <f t="shared" si="11"/>
        <v>0</v>
      </c>
      <c r="AA27" s="858">
        <f t="shared" si="0"/>
        <v>0</v>
      </c>
      <c r="AB27" s="861"/>
      <c r="AC27" s="860">
        <f t="shared" si="13"/>
        <v>0</v>
      </c>
    </row>
    <row r="28" spans="1:29" ht="12" x14ac:dyDescent="0.25">
      <c r="A28" s="866"/>
      <c r="B28" s="901"/>
      <c r="C28" s="896"/>
      <c r="D28" s="856"/>
      <c r="E28" s="856"/>
      <c r="F28" s="856"/>
      <c r="G28" s="856"/>
      <c r="H28" s="856"/>
      <c r="I28" s="856"/>
      <c r="J28" s="856"/>
      <c r="K28" s="856"/>
      <c r="L28" s="856"/>
      <c r="M28" s="856"/>
      <c r="N28" s="856"/>
      <c r="O28" s="856"/>
      <c r="P28" s="856"/>
      <c r="Q28" s="856"/>
      <c r="R28" s="856"/>
      <c r="S28" s="856"/>
      <c r="T28" s="856"/>
      <c r="U28" s="856"/>
      <c r="V28" s="856"/>
      <c r="W28" s="856"/>
      <c r="X28" s="856"/>
      <c r="Y28" s="856"/>
      <c r="Z28" s="856"/>
      <c r="AA28" s="858">
        <f t="shared" si="0"/>
        <v>0</v>
      </c>
      <c r="AB28" s="861"/>
      <c r="AC28" s="870">
        <f t="shared" si="13"/>
        <v>0</v>
      </c>
    </row>
    <row r="29" spans="1:29" ht="12" x14ac:dyDescent="0.25">
      <c r="A29" s="863"/>
      <c r="B29" s="901"/>
      <c r="C29" s="896"/>
      <c r="D29" s="856"/>
      <c r="E29" s="856"/>
      <c r="F29" s="856"/>
      <c r="G29" s="856"/>
      <c r="H29" s="856"/>
      <c r="I29" s="856"/>
      <c r="J29" s="856"/>
      <c r="K29" s="856"/>
      <c r="L29" s="856"/>
      <c r="M29" s="856"/>
      <c r="N29" s="856"/>
      <c r="O29" s="856"/>
      <c r="P29" s="856"/>
      <c r="Q29" s="856"/>
      <c r="R29" s="856"/>
      <c r="S29" s="856"/>
      <c r="T29" s="856"/>
      <c r="U29" s="856"/>
      <c r="V29" s="856"/>
      <c r="W29" s="856"/>
      <c r="X29" s="856"/>
      <c r="Y29" s="856"/>
      <c r="Z29" s="856"/>
      <c r="AA29" s="858">
        <f t="shared" si="0"/>
        <v>0</v>
      </c>
      <c r="AB29" s="861"/>
      <c r="AC29" s="870">
        <f t="shared" si="13"/>
        <v>0</v>
      </c>
    </row>
    <row r="30" spans="1:29" ht="12" x14ac:dyDescent="0.25">
      <c r="A30" s="866"/>
      <c r="B30" s="901"/>
      <c r="C30" s="896"/>
      <c r="D30" s="856"/>
      <c r="E30" s="856"/>
      <c r="F30" s="856"/>
      <c r="G30" s="856"/>
      <c r="H30" s="856"/>
      <c r="I30" s="856"/>
      <c r="J30" s="856"/>
      <c r="K30" s="856"/>
      <c r="L30" s="856"/>
      <c r="M30" s="856"/>
      <c r="N30" s="856"/>
      <c r="O30" s="856"/>
      <c r="P30" s="856"/>
      <c r="Q30" s="856"/>
      <c r="R30" s="856"/>
      <c r="S30" s="856"/>
      <c r="T30" s="856"/>
      <c r="U30" s="856"/>
      <c r="V30" s="856"/>
      <c r="W30" s="856"/>
      <c r="X30" s="856"/>
      <c r="Y30" s="856"/>
      <c r="Z30" s="856"/>
      <c r="AA30" s="858">
        <f t="shared" si="0"/>
        <v>0</v>
      </c>
      <c r="AB30" s="861"/>
      <c r="AC30" s="870">
        <f t="shared" si="13"/>
        <v>0</v>
      </c>
    </row>
    <row r="31" spans="1:29" ht="12.6" thickBot="1" x14ac:dyDescent="0.3">
      <c r="A31" s="871"/>
      <c r="B31" s="903"/>
      <c r="C31" s="898"/>
      <c r="D31" s="872"/>
      <c r="E31" s="872"/>
      <c r="F31" s="872"/>
      <c r="G31" s="872"/>
      <c r="H31" s="872"/>
      <c r="I31" s="872"/>
      <c r="J31" s="872"/>
      <c r="K31" s="872"/>
      <c r="L31" s="872"/>
      <c r="M31" s="872"/>
      <c r="N31" s="872"/>
      <c r="O31" s="872"/>
      <c r="P31" s="872"/>
      <c r="Q31" s="872"/>
      <c r="R31" s="872"/>
      <c r="S31" s="872"/>
      <c r="T31" s="872"/>
      <c r="U31" s="872"/>
      <c r="V31" s="872"/>
      <c r="W31" s="872"/>
      <c r="X31" s="872"/>
      <c r="Y31" s="872"/>
      <c r="Z31" s="872"/>
      <c r="AA31" s="874">
        <f t="shared" si="0"/>
        <v>0</v>
      </c>
      <c r="AB31" s="875"/>
      <c r="AC31" s="876">
        <f t="shared" si="13"/>
        <v>0</v>
      </c>
    </row>
    <row r="32" spans="1:29" ht="16.95" customHeight="1" thickBot="1" x14ac:dyDescent="0.3">
      <c r="A32" s="892" t="s">
        <v>7750</v>
      </c>
      <c r="B32" s="904"/>
      <c r="C32" s="891" t="e">
        <f>SUM(#REF!)</f>
        <v>#REF!</v>
      </c>
      <c r="D32" s="891" t="e">
        <f>SUM(#REF!)</f>
        <v>#REF!</v>
      </c>
      <c r="E32" s="891" t="e">
        <f>SUM(#REF!)</f>
        <v>#REF!</v>
      </c>
      <c r="F32" s="891" t="e">
        <f>SUM(#REF!)</f>
        <v>#REF!</v>
      </c>
      <c r="G32" s="891" t="e">
        <f>SUM(#REF!)</f>
        <v>#REF!</v>
      </c>
      <c r="H32" s="891" t="e">
        <f>SUM(#REF!)</f>
        <v>#REF!</v>
      </c>
      <c r="I32" s="891" t="e">
        <f>SUM(#REF!)</f>
        <v>#REF!</v>
      </c>
      <c r="J32" s="891" t="e">
        <f>SUM(#REF!)</f>
        <v>#REF!</v>
      </c>
      <c r="K32" s="891" t="e">
        <f>SUM(#REF!)</f>
        <v>#REF!</v>
      </c>
      <c r="L32" s="891" t="e">
        <f>SUM(#REF!)</f>
        <v>#REF!</v>
      </c>
      <c r="M32" s="891" t="e">
        <f>SUM(#REF!)</f>
        <v>#REF!</v>
      </c>
      <c r="N32" s="891" t="e">
        <f>SUM(#REF!)</f>
        <v>#REF!</v>
      </c>
      <c r="O32" s="891" t="e">
        <f>SUM(#REF!)</f>
        <v>#REF!</v>
      </c>
      <c r="P32" s="891" t="e">
        <f>SUM(#REF!)</f>
        <v>#REF!</v>
      </c>
      <c r="Q32" s="891" t="e">
        <f>SUM(#REF!)</f>
        <v>#REF!</v>
      </c>
      <c r="R32" s="891" t="e">
        <f>SUM(#REF!)</f>
        <v>#REF!</v>
      </c>
      <c r="S32" s="891" t="e">
        <f>SUM(#REF!)</f>
        <v>#REF!</v>
      </c>
      <c r="T32" s="891" t="e">
        <f>SUM(#REF!)</f>
        <v>#REF!</v>
      </c>
      <c r="U32" s="891" t="e">
        <f>SUM(#REF!)</f>
        <v>#REF!</v>
      </c>
      <c r="V32" s="891" t="e">
        <f>SUM(#REF!)</f>
        <v>#REF!</v>
      </c>
      <c r="W32" s="891" t="e">
        <f>SUM(#REF!)</f>
        <v>#REF!</v>
      </c>
      <c r="X32" s="891" t="e">
        <f>SUM(#REF!)</f>
        <v>#REF!</v>
      </c>
      <c r="Y32" s="891" t="e">
        <f>SUM(#REF!)</f>
        <v>#REF!</v>
      </c>
      <c r="Z32" s="891" t="e">
        <f>SUM(#REF!)</f>
        <v>#REF!</v>
      </c>
      <c r="AC32" s="890" t="e">
        <f>SUM(#REF!)</f>
        <v>#REF!</v>
      </c>
    </row>
  </sheetData>
  <mergeCells count="2">
    <mergeCell ref="C2:AB4"/>
    <mergeCell ref="A6:AC6"/>
  </mergeCells>
  <conditionalFormatting sqref="A2:A3">
    <cfRule type="cellIs" dxfId="5" priority="1" operator="equal">
      <formula>2</formula>
    </cfRule>
  </conditionalFormatting>
  <pageMargins left="0.23622047244094491" right="0.15748031496062992" top="0.49" bottom="0.15748031496062992" header="0.23622047244094491" footer="0.15748031496062992"/>
  <pageSetup paperSize="9" scale="65" orientation="landscape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Plan4"/>
  <dimension ref="A1:D70"/>
  <sheetViews>
    <sheetView showGridLines="0" view="pageBreakPreview" zoomScale="60" zoomScaleNormal="100" workbookViewId="0">
      <selection activeCell="C7" sqref="C7:D7"/>
    </sheetView>
  </sheetViews>
  <sheetFormatPr defaultColWidth="9.109375" defaultRowHeight="14.4" x14ac:dyDescent="0.3"/>
  <cols>
    <col min="1" max="1" width="3.44140625" style="352" customWidth="1"/>
    <col min="2" max="2" width="27.6640625" style="353" customWidth="1"/>
    <col min="3" max="3" width="25.5546875" style="354" customWidth="1"/>
    <col min="4" max="4" width="87.88671875" style="352" customWidth="1"/>
    <col min="5" max="16384" width="9.109375" style="352"/>
  </cols>
  <sheetData>
    <row r="1" spans="1:4" s="13" customFormat="1" ht="13.8" x14ac:dyDescent="0.3">
      <c r="A1" s="290"/>
      <c r="B1" s="772"/>
      <c r="C1" s="1173" t="s">
        <v>7683</v>
      </c>
      <c r="D1" s="1173"/>
    </row>
    <row r="2" spans="1:4" s="13" customFormat="1" ht="17.25" customHeight="1" x14ac:dyDescent="0.3">
      <c r="A2" s="290"/>
      <c r="B2" s="772"/>
      <c r="C2" s="1173"/>
      <c r="D2" s="1173"/>
    </row>
    <row r="3" spans="1:4" s="13" customFormat="1" thickBot="1" x14ac:dyDescent="0.35">
      <c r="A3" s="290"/>
      <c r="B3" s="1044"/>
      <c r="C3" s="1174"/>
      <c r="D3" s="1174"/>
    </row>
    <row r="4" spans="1:4" s="13" customFormat="1" ht="15" customHeight="1" thickTop="1" x14ac:dyDescent="0.3">
      <c r="A4" s="290"/>
      <c r="B4" s="772"/>
      <c r="C4" s="840"/>
      <c r="D4" s="840"/>
    </row>
    <row r="5" spans="1:4" s="592" customFormat="1" ht="24.6" customHeight="1" x14ac:dyDescent="0.3">
      <c r="A5" s="478"/>
      <c r="B5" s="1045" t="s">
        <v>7684</v>
      </c>
      <c r="C5" s="1046"/>
      <c r="D5" s="1046"/>
    </row>
    <row r="6" spans="1:4" ht="79.2" customHeight="1" x14ac:dyDescent="0.3">
      <c r="B6" s="841" t="s">
        <v>7888</v>
      </c>
      <c r="C6" s="1175" t="s">
        <v>8390</v>
      </c>
      <c r="D6" s="1175"/>
    </row>
    <row r="7" spans="1:4" ht="33.6" customHeight="1" x14ac:dyDescent="0.3">
      <c r="B7" s="841" t="s">
        <v>7889</v>
      </c>
      <c r="C7" s="1175" t="s">
        <v>7685</v>
      </c>
      <c r="D7" s="1175"/>
    </row>
    <row r="8" spans="1:4" ht="33.6" customHeight="1" x14ac:dyDescent="0.3">
      <c r="B8" s="841" t="s">
        <v>7890</v>
      </c>
      <c r="C8" s="1175" t="s">
        <v>7686</v>
      </c>
      <c r="D8" s="1175"/>
    </row>
    <row r="9" spans="1:4" ht="33.6" customHeight="1" x14ac:dyDescent="0.3">
      <c r="B9" s="841" t="s">
        <v>7891</v>
      </c>
      <c r="C9" s="1175" t="s">
        <v>7687</v>
      </c>
      <c r="D9" s="1175"/>
    </row>
    <row r="10" spans="1:4" ht="33.6" customHeight="1" x14ac:dyDescent="0.3">
      <c r="B10" s="841" t="s">
        <v>7892</v>
      </c>
      <c r="C10" s="1175" t="s">
        <v>7688</v>
      </c>
      <c r="D10" s="1175"/>
    </row>
    <row r="11" spans="1:4" ht="33.6" customHeight="1" x14ac:dyDescent="0.3">
      <c r="B11" s="841" t="s">
        <v>7893</v>
      </c>
      <c r="C11" s="1175" t="s">
        <v>7689</v>
      </c>
      <c r="D11" s="1175"/>
    </row>
    <row r="12" spans="1:4" ht="33.6" customHeight="1" x14ac:dyDescent="0.3">
      <c r="B12" s="841" t="s">
        <v>7894</v>
      </c>
      <c r="C12" s="1175" t="s">
        <v>7690</v>
      </c>
      <c r="D12" s="1175"/>
    </row>
    <row r="13" spans="1:4" ht="46.2" customHeight="1" x14ac:dyDescent="0.3">
      <c r="B13" s="841" t="s">
        <v>7895</v>
      </c>
      <c r="C13" s="1175" t="s">
        <v>8455</v>
      </c>
      <c r="D13" s="1175"/>
    </row>
    <row r="14" spans="1:4" ht="57.6" customHeight="1" x14ac:dyDescent="0.3">
      <c r="B14" s="841" t="s">
        <v>7896</v>
      </c>
      <c r="C14" s="1175" t="s">
        <v>8456</v>
      </c>
      <c r="D14" s="1175"/>
    </row>
    <row r="15" spans="1:4" ht="33.6" customHeight="1" x14ac:dyDescent="0.3">
      <c r="B15" s="841" t="s">
        <v>7897</v>
      </c>
      <c r="C15" s="1175" t="s">
        <v>8457</v>
      </c>
      <c r="D15" s="1175"/>
    </row>
    <row r="16" spans="1:4" ht="88.2" customHeight="1" x14ac:dyDescent="0.3">
      <c r="B16" s="841" t="s">
        <v>7898</v>
      </c>
      <c r="C16" s="1175" t="s">
        <v>8458</v>
      </c>
      <c r="D16" s="1175"/>
    </row>
    <row r="17" spans="2:4" ht="33.6" customHeight="1" x14ac:dyDescent="0.3">
      <c r="B17" s="841" t="s">
        <v>7899</v>
      </c>
      <c r="C17" s="1175" t="s">
        <v>7691</v>
      </c>
      <c r="D17" s="1175"/>
    </row>
    <row r="18" spans="2:4" ht="35.4" customHeight="1" x14ac:dyDescent="0.3">
      <c r="B18" s="841" t="s">
        <v>7900</v>
      </c>
      <c r="C18" s="1175" t="s">
        <v>8344</v>
      </c>
      <c r="D18" s="1175"/>
    </row>
    <row r="19" spans="2:4" ht="33.6" customHeight="1" x14ac:dyDescent="0.3">
      <c r="B19" s="841" t="s">
        <v>7901</v>
      </c>
      <c r="C19" s="1175" t="s">
        <v>7692</v>
      </c>
      <c r="D19" s="1175"/>
    </row>
    <row r="20" spans="2:4" ht="33.6" customHeight="1" x14ac:dyDescent="0.3">
      <c r="B20" s="841" t="s">
        <v>7902</v>
      </c>
      <c r="C20" s="1175" t="s">
        <v>7693</v>
      </c>
      <c r="D20" s="1175"/>
    </row>
    <row r="21" spans="2:4" ht="33.6" customHeight="1" x14ac:dyDescent="0.3">
      <c r="B21" s="841" t="s">
        <v>7903</v>
      </c>
      <c r="C21" s="1175" t="s">
        <v>8345</v>
      </c>
      <c r="D21" s="1175"/>
    </row>
    <row r="22" spans="2:4" ht="46.2" customHeight="1" x14ac:dyDescent="0.3">
      <c r="B22" s="841" t="s">
        <v>7904</v>
      </c>
      <c r="C22" s="1175" t="s">
        <v>8346</v>
      </c>
      <c r="D22" s="1175"/>
    </row>
    <row r="23" spans="2:4" ht="33.6" customHeight="1" x14ac:dyDescent="0.3">
      <c r="B23" s="841" t="s">
        <v>7905</v>
      </c>
      <c r="C23" s="1175" t="s">
        <v>8391</v>
      </c>
      <c r="D23" s="1175"/>
    </row>
    <row r="24" spans="2:4" ht="33.6" customHeight="1" x14ac:dyDescent="0.3">
      <c r="B24" s="841" t="s">
        <v>7906</v>
      </c>
      <c r="C24" s="1175" t="s">
        <v>8459</v>
      </c>
      <c r="D24" s="1175"/>
    </row>
    <row r="25" spans="2:4" ht="33.6" customHeight="1" x14ac:dyDescent="0.3">
      <c r="B25" s="841" t="s">
        <v>7907</v>
      </c>
      <c r="C25" s="1175" t="s">
        <v>7694</v>
      </c>
      <c r="D25" s="1175"/>
    </row>
    <row r="26" spans="2:4" ht="33.6" customHeight="1" x14ac:dyDescent="0.3">
      <c r="B26" s="841" t="s">
        <v>7908</v>
      </c>
      <c r="C26" s="1175" t="s">
        <v>7695</v>
      </c>
      <c r="D26" s="1175"/>
    </row>
    <row r="27" spans="2:4" ht="33.6" customHeight="1" x14ac:dyDescent="0.3">
      <c r="B27" s="841" t="s">
        <v>7909</v>
      </c>
      <c r="C27" s="1175" t="s">
        <v>7696</v>
      </c>
      <c r="D27" s="1175"/>
    </row>
    <row r="28" spans="2:4" ht="33.6" customHeight="1" x14ac:dyDescent="0.3">
      <c r="B28" s="841" t="s">
        <v>7910</v>
      </c>
      <c r="C28" s="1175" t="s">
        <v>8460</v>
      </c>
      <c r="D28" s="1175"/>
    </row>
    <row r="29" spans="2:4" ht="33.6" customHeight="1" x14ac:dyDescent="0.3">
      <c r="B29" s="841" t="s">
        <v>7911</v>
      </c>
      <c r="C29" s="1175" t="s">
        <v>7697</v>
      </c>
      <c r="D29" s="1175"/>
    </row>
    <row r="30" spans="2:4" ht="33.6" customHeight="1" x14ac:dyDescent="0.3">
      <c r="B30" s="841" t="s">
        <v>7912</v>
      </c>
      <c r="C30" s="1175" t="s">
        <v>8461</v>
      </c>
      <c r="D30" s="1175"/>
    </row>
    <row r="34" spans="4:4" x14ac:dyDescent="0.3">
      <c r="D34" s="172"/>
    </row>
    <row r="35" spans="4:4" x14ac:dyDescent="0.3">
      <c r="D35" s="172"/>
    </row>
    <row r="36" spans="4:4" x14ac:dyDescent="0.3">
      <c r="D36" s="172"/>
    </row>
    <row r="37" spans="4:4" x14ac:dyDescent="0.3">
      <c r="D37" s="172"/>
    </row>
    <row r="38" spans="4:4" x14ac:dyDescent="0.3">
      <c r="D38" s="172"/>
    </row>
    <row r="39" spans="4:4" x14ac:dyDescent="0.3">
      <c r="D39" s="172"/>
    </row>
    <row r="40" spans="4:4" x14ac:dyDescent="0.3">
      <c r="D40" s="172"/>
    </row>
    <row r="41" spans="4:4" x14ac:dyDescent="0.3">
      <c r="D41" s="172"/>
    </row>
    <row r="42" spans="4:4" x14ac:dyDescent="0.3">
      <c r="D42" s="172"/>
    </row>
    <row r="43" spans="4:4" x14ac:dyDescent="0.3">
      <c r="D43" s="172"/>
    </row>
    <row r="44" spans="4:4" x14ac:dyDescent="0.3">
      <c r="D44" s="172"/>
    </row>
    <row r="45" spans="4:4" x14ac:dyDescent="0.3">
      <c r="D45" s="172"/>
    </row>
    <row r="46" spans="4:4" x14ac:dyDescent="0.3">
      <c r="D46" s="172"/>
    </row>
    <row r="47" spans="4:4" x14ac:dyDescent="0.3">
      <c r="D47" s="172"/>
    </row>
    <row r="48" spans="4:4" x14ac:dyDescent="0.3">
      <c r="D48" s="173"/>
    </row>
    <row r="49" spans="4:4" x14ac:dyDescent="0.3">
      <c r="D49" s="172"/>
    </row>
    <row r="50" spans="4:4" x14ac:dyDescent="0.3">
      <c r="D50" s="172"/>
    </row>
    <row r="51" spans="4:4" x14ac:dyDescent="0.3">
      <c r="D51" s="172"/>
    </row>
    <row r="52" spans="4:4" x14ac:dyDescent="0.3">
      <c r="D52" s="172"/>
    </row>
    <row r="53" spans="4:4" x14ac:dyDescent="0.3">
      <c r="D53" s="172"/>
    </row>
    <row r="54" spans="4:4" x14ac:dyDescent="0.3">
      <c r="D54" s="172"/>
    </row>
    <row r="55" spans="4:4" x14ac:dyDescent="0.3">
      <c r="D55" s="172"/>
    </row>
    <row r="56" spans="4:4" x14ac:dyDescent="0.3">
      <c r="D56" s="172"/>
    </row>
    <row r="57" spans="4:4" x14ac:dyDescent="0.3">
      <c r="D57" s="172"/>
    </row>
    <row r="58" spans="4:4" x14ac:dyDescent="0.3">
      <c r="D58" s="172"/>
    </row>
    <row r="59" spans="4:4" x14ac:dyDescent="0.3">
      <c r="D59" s="172"/>
    </row>
    <row r="60" spans="4:4" x14ac:dyDescent="0.3">
      <c r="D60" s="172"/>
    </row>
    <row r="61" spans="4:4" x14ac:dyDescent="0.3">
      <c r="D61" s="172"/>
    </row>
    <row r="62" spans="4:4" x14ac:dyDescent="0.3">
      <c r="D62" s="354"/>
    </row>
    <row r="63" spans="4:4" x14ac:dyDescent="0.3">
      <c r="D63" s="354"/>
    </row>
    <row r="64" spans="4:4" x14ac:dyDescent="0.3">
      <c r="D64" s="354"/>
    </row>
    <row r="65" spans="4:4" x14ac:dyDescent="0.3">
      <c r="D65" s="354"/>
    </row>
    <row r="66" spans="4:4" x14ac:dyDescent="0.3">
      <c r="D66" s="354"/>
    </row>
    <row r="67" spans="4:4" x14ac:dyDescent="0.3">
      <c r="D67" s="354"/>
    </row>
    <row r="68" spans="4:4" x14ac:dyDescent="0.3">
      <c r="D68" s="354"/>
    </row>
    <row r="69" spans="4:4" x14ac:dyDescent="0.3">
      <c r="D69" s="354"/>
    </row>
    <row r="70" spans="4:4" x14ac:dyDescent="0.3">
      <c r="D70" s="354"/>
    </row>
  </sheetData>
  <mergeCells count="26">
    <mergeCell ref="C30:D30"/>
    <mergeCell ref="C25:D25"/>
    <mergeCell ref="C26:D26"/>
    <mergeCell ref="C27:D27"/>
    <mergeCell ref="C28:D28"/>
    <mergeCell ref="C29:D29"/>
    <mergeCell ref="C20:D20"/>
    <mergeCell ref="C21:D21"/>
    <mergeCell ref="C22:D22"/>
    <mergeCell ref="C23:D23"/>
    <mergeCell ref="C24:D24"/>
    <mergeCell ref="C15:D15"/>
    <mergeCell ref="C16:D16"/>
    <mergeCell ref="C17:D17"/>
    <mergeCell ref="C18:D18"/>
    <mergeCell ref="C19:D19"/>
    <mergeCell ref="C10:D10"/>
    <mergeCell ref="C11:D11"/>
    <mergeCell ref="C12:D12"/>
    <mergeCell ref="C13:D13"/>
    <mergeCell ref="C14:D14"/>
    <mergeCell ref="C1:D3"/>
    <mergeCell ref="C6:D6"/>
    <mergeCell ref="C7:D7"/>
    <mergeCell ref="C8:D8"/>
    <mergeCell ref="C9:D9"/>
  </mergeCells>
  <conditionalFormatting sqref="A1:A5">
    <cfRule type="cellIs" dxfId="4" priority="1" operator="equal">
      <formula>2</formula>
    </cfRule>
  </conditionalFormatting>
  <printOptions horizontalCentered="1"/>
  <pageMargins left="0.51181102362204722" right="0.51181102362204722" top="0.39370078740157483" bottom="0.35433070866141736" header="0.31496062992125984" footer="0.31496062992125984"/>
  <pageSetup paperSize="9" scale="50" orientation="landscape" r:id="rId1"/>
  <colBreaks count="1" manualBreakCount="1">
    <brk id="4" max="1048575" man="1"/>
  </col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2C2CE-09CC-4145-9B27-05F655271B17}">
  <dimension ref="B2:R35"/>
  <sheetViews>
    <sheetView topLeftCell="B16" workbookViewId="0">
      <selection activeCell="G34" sqref="G34"/>
    </sheetView>
  </sheetViews>
  <sheetFormatPr defaultRowHeight="14.4" x14ac:dyDescent="0.3"/>
  <cols>
    <col min="2" max="2" width="11.5546875" bestFit="1" customWidth="1"/>
    <col min="7" max="8" width="15.88671875" bestFit="1" customWidth="1"/>
    <col min="9" max="9" width="14.33203125" bestFit="1" customWidth="1"/>
    <col min="10" max="10" width="15.88671875" bestFit="1" customWidth="1"/>
    <col min="16" max="16" width="9.5546875" bestFit="1" customWidth="1"/>
    <col min="17" max="17" width="12" bestFit="1" customWidth="1"/>
    <col min="18" max="18" width="10.109375" customWidth="1"/>
  </cols>
  <sheetData>
    <row r="2" spans="2:17" x14ac:dyDescent="0.3">
      <c r="B2">
        <v>4681.6000000000004</v>
      </c>
      <c r="C2">
        <v>80</v>
      </c>
      <c r="D2">
        <f>B2/C2</f>
        <v>58.52</v>
      </c>
      <c r="G2">
        <v>0.19</v>
      </c>
      <c r="H2">
        <f>G2*G3*G4</f>
        <v>0.99999999999999956</v>
      </c>
      <c r="I2">
        <f>0.8*G4</f>
        <v>10.796221322537107</v>
      </c>
      <c r="K2">
        <v>10.7962213225371</v>
      </c>
    </row>
    <row r="3" spans="2:17" x14ac:dyDescent="0.3">
      <c r="B3">
        <v>13585</v>
      </c>
      <c r="C3">
        <v>130</v>
      </c>
      <c r="D3">
        <f t="shared" ref="D3:D13" si="0">B3/C3</f>
        <v>104.5</v>
      </c>
      <c r="G3">
        <v>0.39</v>
      </c>
      <c r="I3">
        <f>0.2*G4*2</f>
        <v>5.3981106612685537</v>
      </c>
      <c r="K3">
        <v>5.3981106612685501</v>
      </c>
    </row>
    <row r="4" spans="2:17" x14ac:dyDescent="0.3">
      <c r="B4" s="814">
        <v>8208</v>
      </c>
      <c r="C4">
        <v>120</v>
      </c>
      <c r="D4">
        <f t="shared" si="0"/>
        <v>68.400000000000006</v>
      </c>
      <c r="G4">
        <v>13.495276653171384</v>
      </c>
    </row>
    <row r="5" spans="2:17" x14ac:dyDescent="0.3">
      <c r="B5" s="814">
        <v>10450</v>
      </c>
      <c r="C5">
        <v>125</v>
      </c>
      <c r="D5">
        <f t="shared" si="0"/>
        <v>83.6</v>
      </c>
    </row>
    <row r="6" spans="2:17" x14ac:dyDescent="0.3">
      <c r="B6" s="814">
        <v>10450</v>
      </c>
      <c r="C6">
        <v>125</v>
      </c>
      <c r="D6">
        <f t="shared" si="0"/>
        <v>83.6</v>
      </c>
    </row>
    <row r="7" spans="2:17" x14ac:dyDescent="0.3">
      <c r="B7" s="814">
        <v>12787.5</v>
      </c>
      <c r="C7">
        <v>125</v>
      </c>
      <c r="D7">
        <f t="shared" si="0"/>
        <v>102.3</v>
      </c>
      <c r="G7">
        <v>11.88</v>
      </c>
      <c r="H7">
        <f>0.19*0.39</f>
        <v>7.4099999999999999E-2</v>
      </c>
      <c r="I7">
        <f>G7*H7</f>
        <v>0.88030800000000009</v>
      </c>
      <c r="J7">
        <f>I7/I9</f>
        <v>0.80016579451841874</v>
      </c>
    </row>
    <row r="8" spans="2:17" x14ac:dyDescent="0.3">
      <c r="B8" s="814">
        <v>10107.5</v>
      </c>
      <c r="C8">
        <v>130</v>
      </c>
      <c r="D8">
        <f t="shared" si="0"/>
        <v>77.75</v>
      </c>
      <c r="G8">
        <v>6.09</v>
      </c>
      <c r="H8">
        <f>0.19*0.19</f>
        <v>3.61E-2</v>
      </c>
      <c r="I8">
        <f>G8*H8</f>
        <v>0.21984899999999999</v>
      </c>
      <c r="J8">
        <f>I8/I9</f>
        <v>0.19983420548158123</v>
      </c>
    </row>
    <row r="9" spans="2:17" x14ac:dyDescent="0.3">
      <c r="B9" s="814">
        <v>8299.2000000000007</v>
      </c>
      <c r="C9">
        <v>120</v>
      </c>
      <c r="D9">
        <f t="shared" si="0"/>
        <v>69.160000000000011</v>
      </c>
      <c r="I9">
        <f>SUM(I7:I8)</f>
        <v>1.1001570000000001</v>
      </c>
    </row>
    <row r="10" spans="2:17" x14ac:dyDescent="0.3">
      <c r="B10" s="814">
        <v>43068</v>
      </c>
      <c r="C10">
        <v>120</v>
      </c>
      <c r="D10">
        <f t="shared" si="0"/>
        <v>358.9</v>
      </c>
      <c r="Q10">
        <f>8500/15</f>
        <v>566.66666666666663</v>
      </c>
    </row>
    <row r="11" spans="2:17" x14ac:dyDescent="0.3">
      <c r="B11" s="814">
        <v>9097.2000000000007</v>
      </c>
      <c r="C11">
        <v>120</v>
      </c>
      <c r="D11">
        <f t="shared" si="0"/>
        <v>75.81</v>
      </c>
      <c r="Q11">
        <f>35560/111</f>
        <v>320.36036036036035</v>
      </c>
    </row>
    <row r="12" spans="2:17" x14ac:dyDescent="0.3">
      <c r="B12" s="814">
        <v>3312</v>
      </c>
      <c r="C12">
        <v>115</v>
      </c>
      <c r="D12">
        <f t="shared" si="0"/>
        <v>28.8</v>
      </c>
    </row>
    <row r="13" spans="2:17" x14ac:dyDescent="0.3">
      <c r="B13" s="814">
        <v>1242</v>
      </c>
      <c r="C13">
        <v>115</v>
      </c>
      <c r="D13">
        <f t="shared" si="0"/>
        <v>10.8</v>
      </c>
      <c r="Q13">
        <v>3750</v>
      </c>
    </row>
    <row r="14" spans="2:17" x14ac:dyDescent="0.3">
      <c r="B14" s="563">
        <f>SUM(B2:B13)</f>
        <v>135288</v>
      </c>
      <c r="C14" s="563">
        <f>B14/D14</f>
        <v>120.56249665817101</v>
      </c>
      <c r="D14">
        <f>SUM(D2:D13)</f>
        <v>1122.1399999999999</v>
      </c>
      <c r="Q14">
        <f>Q13/25</f>
        <v>150</v>
      </c>
    </row>
    <row r="15" spans="2:17" x14ac:dyDescent="0.3">
      <c r="B15" s="563"/>
      <c r="F15">
        <v>11.55</v>
      </c>
    </row>
    <row r="16" spans="2:17" x14ac:dyDescent="0.3">
      <c r="B16" s="563"/>
      <c r="F16">
        <v>6.7960000000000003</v>
      </c>
      <c r="J16">
        <f>100/4.5</f>
        <v>22.222222222222221</v>
      </c>
      <c r="K16">
        <f>(100*8)/20</f>
        <v>40</v>
      </c>
    </row>
    <row r="17" spans="2:18" x14ac:dyDescent="0.3">
      <c r="B17" s="563"/>
      <c r="F17">
        <v>2.056</v>
      </c>
    </row>
    <row r="18" spans="2:18" x14ac:dyDescent="0.3">
      <c r="F18">
        <f>4.65*2.2</f>
        <v>10.230000000000002</v>
      </c>
    </row>
    <row r="19" spans="2:18" x14ac:dyDescent="0.3">
      <c r="F19">
        <v>1.647</v>
      </c>
      <c r="I19" t="s">
        <v>7258</v>
      </c>
    </row>
    <row r="20" spans="2:18" x14ac:dyDescent="0.3">
      <c r="F20">
        <v>4.07</v>
      </c>
      <c r="I20">
        <f>(11.55+6.796+2.056+(4.65*2.2)+1.647+4.07+3.372)*13.31</f>
        <v>528.68651000000011</v>
      </c>
      <c r="P20" s="814">
        <v>418</v>
      </c>
      <c r="Q20">
        <v>206.29</v>
      </c>
      <c r="R20" s="563">
        <f>SUM(P20:Q20)</f>
        <v>624.29</v>
      </c>
    </row>
    <row r="21" spans="2:18" x14ac:dyDescent="0.3">
      <c r="F21">
        <v>3.3719999999999999</v>
      </c>
      <c r="P21" s="814">
        <v>0.14000000000000001</v>
      </c>
      <c r="Q21" s="814">
        <v>0.14000000000000001</v>
      </c>
      <c r="R21" s="563"/>
    </row>
    <row r="22" spans="2:18" x14ac:dyDescent="0.3">
      <c r="F22">
        <f>SUM(F15:F21)</f>
        <v>39.721000000000004</v>
      </c>
      <c r="G22">
        <f>F22*13.31</f>
        <v>528.68651000000011</v>
      </c>
      <c r="P22" s="814">
        <f>P20*P21</f>
        <v>58.52</v>
      </c>
      <c r="Q22" s="814">
        <f>Q20*Q21</f>
        <v>28.880600000000001</v>
      </c>
      <c r="R22" s="563">
        <f>SUM(P22:Q22)</f>
        <v>87.400599999999997</v>
      </c>
    </row>
    <row r="23" spans="2:18" x14ac:dyDescent="0.3">
      <c r="O23">
        <f>P23/P20</f>
        <v>0.28000000000000003</v>
      </c>
      <c r="P23" s="814">
        <v>117.04</v>
      </c>
      <c r="Q23">
        <f>Q20*O23</f>
        <v>57.761200000000002</v>
      </c>
      <c r="R23" s="563">
        <f>SUM(P23:Q23)</f>
        <v>174.80119999999999</v>
      </c>
    </row>
    <row r="24" spans="2:18" x14ac:dyDescent="0.3">
      <c r="P24" s="814">
        <v>80</v>
      </c>
      <c r="Q24" s="814">
        <v>80</v>
      </c>
      <c r="R24" s="563"/>
    </row>
    <row r="25" spans="2:18" x14ac:dyDescent="0.3">
      <c r="G25" s="174">
        <f>'02. Orçamento'!L335</f>
        <v>0</v>
      </c>
      <c r="H25" s="174">
        <f>G25*0.1</f>
        <v>0</v>
      </c>
      <c r="I25" s="174">
        <f>H27-H25</f>
        <v>0</v>
      </c>
      <c r="J25" s="174">
        <f>G25+H25+I25</f>
        <v>0</v>
      </c>
      <c r="P25" s="814">
        <f>P22*P24</f>
        <v>4681.6000000000004</v>
      </c>
      <c r="Q25" s="814">
        <f>Q22*Q24</f>
        <v>2310.4480000000003</v>
      </c>
      <c r="R25" s="563">
        <f>SUM(P25:Q25)</f>
        <v>6992.0480000000007</v>
      </c>
    </row>
    <row r="26" spans="2:18" x14ac:dyDescent="0.3">
      <c r="H26">
        <f>(1-0.1959)</f>
        <v>0.80410000000000004</v>
      </c>
    </row>
    <row r="27" spans="2:18" x14ac:dyDescent="0.3">
      <c r="H27" s="821">
        <f>H25/H26</f>
        <v>0</v>
      </c>
    </row>
    <row r="29" spans="2:18" x14ac:dyDescent="0.3">
      <c r="G29" s="174">
        <f>'02. Orçamento'!H709-'02. Orçamento'!H703</f>
        <v>-3884</v>
      </c>
      <c r="H29" s="174">
        <f>G29*0.1</f>
        <v>-388.40000000000003</v>
      </c>
      <c r="I29" s="174">
        <f>H31-H29</f>
        <v>-94.624499440368083</v>
      </c>
      <c r="J29" s="174">
        <f>G29+H29+I29</f>
        <v>-4367.0244994403674</v>
      </c>
    </row>
    <row r="30" spans="2:18" x14ac:dyDescent="0.3">
      <c r="H30">
        <f>(1-0.1959)</f>
        <v>0.80410000000000004</v>
      </c>
    </row>
    <row r="31" spans="2:18" x14ac:dyDescent="0.3">
      <c r="H31" s="821">
        <f>H29/H30</f>
        <v>-483.02449944036812</v>
      </c>
    </row>
    <row r="33" spans="7:10" x14ac:dyDescent="0.3">
      <c r="G33" s="174" t="e">
        <f>(('02. Orçamento'!#REF!))</f>
        <v>#REF!</v>
      </c>
      <c r="H33" s="174" t="e">
        <f>G33*0.1</f>
        <v>#REF!</v>
      </c>
      <c r="I33" s="174" t="e">
        <f>H35-H33</f>
        <v>#REF!</v>
      </c>
      <c r="J33" s="174" t="e">
        <f>G33+H33+I33</f>
        <v>#REF!</v>
      </c>
    </row>
    <row r="34" spans="7:10" x14ac:dyDescent="0.3">
      <c r="H34">
        <f>(1-0.1959)</f>
        <v>0.80410000000000004</v>
      </c>
    </row>
    <row r="35" spans="7:10" x14ac:dyDescent="0.3">
      <c r="H35" s="821" t="e">
        <f>H33/H34</f>
        <v>#REF!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ED714-9AE3-4A81-B1FE-8B8DAA967CEC}">
  <dimension ref="B1:C21"/>
  <sheetViews>
    <sheetView showGridLines="0" zoomScale="109" zoomScaleNormal="109" workbookViewId="0">
      <selection activeCell="B11" sqref="B11"/>
    </sheetView>
  </sheetViews>
  <sheetFormatPr defaultRowHeight="14.4" x14ac:dyDescent="0.3"/>
  <cols>
    <col min="2" max="2" width="35.33203125" bestFit="1" customWidth="1"/>
    <col min="3" max="3" width="17.6640625" bestFit="1" customWidth="1"/>
  </cols>
  <sheetData>
    <row r="1" spans="2:3" ht="15" thickBot="1" x14ac:dyDescent="0.35"/>
    <row r="2" spans="2:3" ht="16.2" thickBot="1" x14ac:dyDescent="0.35">
      <c r="B2" s="656" t="s">
        <v>4837</v>
      </c>
      <c r="C2" s="657">
        <v>5189933.1299282033</v>
      </c>
    </row>
    <row r="3" spans="2:3" ht="16.2" thickTop="1" x14ac:dyDescent="0.3">
      <c r="B3" s="652" t="s">
        <v>4833</v>
      </c>
      <c r="C3" s="649" t="e">
        <f>SUM(C4:C9)</f>
        <v>#REF!</v>
      </c>
    </row>
    <row r="4" spans="2:3" ht="15.6" x14ac:dyDescent="0.3">
      <c r="B4" s="658" t="s">
        <v>3489</v>
      </c>
      <c r="C4" s="650">
        <v>-1116538.0621898314</v>
      </c>
    </row>
    <row r="5" spans="2:3" ht="15.6" x14ac:dyDescent="0.3">
      <c r="B5" s="658" t="s">
        <v>4834</v>
      </c>
      <c r="C5" s="650">
        <v>-250718.60800000004</v>
      </c>
    </row>
    <row r="6" spans="2:3" ht="15.6" x14ac:dyDescent="0.3">
      <c r="B6" s="658" t="s">
        <v>1163</v>
      </c>
      <c r="C6" s="650">
        <v>-107200.759792</v>
      </c>
    </row>
    <row r="7" spans="2:3" ht="15.6" x14ac:dyDescent="0.3">
      <c r="B7" s="658" t="s">
        <v>4835</v>
      </c>
      <c r="C7" s="650">
        <v>-114978.28027840001</v>
      </c>
    </row>
    <row r="8" spans="2:3" ht="15.6" x14ac:dyDescent="0.3">
      <c r="B8" s="658" t="s">
        <v>4836</v>
      </c>
      <c r="C8" s="650" t="e">
        <v>#REF!</v>
      </c>
    </row>
    <row r="9" spans="2:3" ht="16.2" thickBot="1" x14ac:dyDescent="0.35">
      <c r="B9" s="659" t="s">
        <v>4844</v>
      </c>
      <c r="C9" s="655">
        <f>-8433.12114155519*1.12</f>
        <v>-9445.095678541813</v>
      </c>
    </row>
    <row r="10" spans="2:3" ht="16.8" thickTop="1" thickBot="1" x14ac:dyDescent="0.35">
      <c r="B10" s="660" t="s">
        <v>4838</v>
      </c>
      <c r="C10" s="661" t="e">
        <f>C2+C3</f>
        <v>#REF!</v>
      </c>
    </row>
    <row r="11" spans="2:3" ht="16.2" thickTop="1" x14ac:dyDescent="0.3">
      <c r="B11" s="653"/>
      <c r="C11" s="649"/>
    </row>
    <row r="12" spans="2:3" ht="15.6" x14ac:dyDescent="0.3">
      <c r="B12" s="653" t="s">
        <v>4839</v>
      </c>
      <c r="C12" s="649" t="e">
        <f>SUM(C13:C17)</f>
        <v>#REF!</v>
      </c>
    </row>
    <row r="13" spans="2:3" ht="15.6" x14ac:dyDescent="0.3">
      <c r="B13" s="658" t="s">
        <v>1135</v>
      </c>
      <c r="C13" s="650" t="e">
        <f>#REF!*1.12</f>
        <v>#REF!</v>
      </c>
    </row>
    <row r="14" spans="2:3" ht="15.6" x14ac:dyDescent="0.3">
      <c r="B14" s="658" t="s">
        <v>4840</v>
      </c>
      <c r="C14" s="650" t="e">
        <f>#REF!*1.12</f>
        <v>#REF!</v>
      </c>
    </row>
    <row r="15" spans="2:3" ht="15.6" x14ac:dyDescent="0.3">
      <c r="B15" s="658" t="s">
        <v>4841</v>
      </c>
      <c r="C15" s="650" t="e">
        <f>#REF!*1.12</f>
        <v>#REF!</v>
      </c>
    </row>
    <row r="16" spans="2:3" ht="15.6" x14ac:dyDescent="0.3">
      <c r="B16" s="658" t="s">
        <v>4842</v>
      </c>
      <c r="C16" s="650" t="e">
        <f>#REF!*1.12</f>
        <v>#REF!</v>
      </c>
    </row>
    <row r="17" spans="2:3" ht="16.2" thickBot="1" x14ac:dyDescent="0.35">
      <c r="B17" s="659" t="s">
        <v>4843</v>
      </c>
      <c r="C17" s="655">
        <v>-204637.18832918289</v>
      </c>
    </row>
    <row r="18" spans="2:3" ht="16.8" thickTop="1" thickBot="1" x14ac:dyDescent="0.35">
      <c r="B18" s="654" t="s">
        <v>4845</v>
      </c>
      <c r="C18" s="651" t="e">
        <f>#REF!</f>
        <v>#REF!</v>
      </c>
    </row>
    <row r="19" spans="2:3" x14ac:dyDescent="0.3">
      <c r="C19" s="174"/>
    </row>
    <row r="20" spans="2:3" x14ac:dyDescent="0.3">
      <c r="C20" s="174"/>
    </row>
    <row r="21" spans="2:3" x14ac:dyDescent="0.3">
      <c r="C21" s="174"/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FFB0B-46B9-44F1-8A8B-68F09A6196F2}">
  <sheetPr>
    <pageSetUpPr fitToPage="1"/>
  </sheetPr>
  <dimension ref="A1:E307"/>
  <sheetViews>
    <sheetView showGridLines="0" topLeftCell="A289" zoomScale="106" zoomScaleNormal="106" zoomScaleSheetLayoutView="85" workbookViewId="0">
      <selection activeCell="B305" sqref="B305"/>
    </sheetView>
  </sheetViews>
  <sheetFormatPr defaultColWidth="9.109375" defaultRowHeight="13.8" x14ac:dyDescent="0.3"/>
  <cols>
    <col min="1" max="1" width="3" style="290" customWidth="1"/>
    <col min="2" max="2" width="6.5546875" style="39" customWidth="1"/>
    <col min="3" max="3" width="50.88671875" style="39" bestFit="1" customWidth="1"/>
    <col min="4" max="4" width="13.33203125" style="640" customWidth="1"/>
    <col min="5" max="5" width="14.5546875" style="646" hidden="1" customWidth="1"/>
    <col min="6" max="16384" width="9.109375" style="13"/>
  </cols>
  <sheetData>
    <row r="1" spans="1:5" ht="15" customHeight="1" x14ac:dyDescent="0.3">
      <c r="B1" s="772"/>
      <c r="C1" s="1176" t="s">
        <v>7698</v>
      </c>
      <c r="D1" s="1176"/>
      <c r="E1" s="1176"/>
    </row>
    <row r="2" spans="1:5" ht="17.25" customHeight="1" x14ac:dyDescent="0.3">
      <c r="B2" s="772"/>
      <c r="C2" s="1176"/>
      <c r="D2" s="1176"/>
      <c r="E2" s="1176"/>
    </row>
    <row r="3" spans="1:5" ht="15" customHeight="1" thickBot="1" x14ac:dyDescent="0.35">
      <c r="B3" s="776"/>
      <c r="C3" s="1177"/>
      <c r="D3" s="1177"/>
      <c r="E3" s="1177"/>
    </row>
    <row r="4" spans="1:5" ht="14.4" thickTop="1" x14ac:dyDescent="0.3">
      <c r="E4" s="640"/>
    </row>
    <row r="5" spans="1:5" ht="13.5" customHeight="1" thickBot="1" x14ac:dyDescent="0.35">
      <c r="B5" s="24"/>
      <c r="C5" s="24" t="s">
        <v>7699</v>
      </c>
      <c r="D5" s="3" t="s">
        <v>7700</v>
      </c>
      <c r="E5" s="3" t="s">
        <v>7701</v>
      </c>
    </row>
    <row r="6" spans="1:5" ht="5.25" customHeight="1" x14ac:dyDescent="0.3">
      <c r="B6" s="88"/>
      <c r="C6" s="88"/>
      <c r="D6" s="641"/>
      <c r="E6" s="641"/>
    </row>
    <row r="7" spans="1:5" s="592" customFormat="1" ht="13.5" customHeight="1" x14ac:dyDescent="0.3">
      <c r="A7" s="478"/>
      <c r="B7" s="390" t="s">
        <v>354</v>
      </c>
      <c r="C7" s="390" t="s">
        <v>7702</v>
      </c>
      <c r="D7" s="323"/>
      <c r="E7" s="324"/>
    </row>
    <row r="8" spans="1:5" s="18" customFormat="1" ht="13.5" customHeight="1" x14ac:dyDescent="0.3">
      <c r="A8" s="290"/>
      <c r="B8" s="45" t="s">
        <v>388</v>
      </c>
      <c r="C8" s="45" t="s">
        <v>8078</v>
      </c>
      <c r="D8" s="327"/>
      <c r="E8" s="328"/>
    </row>
    <row r="9" spans="1:5" s="51" customFormat="1" ht="13.5" customHeight="1" x14ac:dyDescent="0.3">
      <c r="A9" s="13"/>
      <c r="B9" s="49"/>
      <c r="C9" s="370" t="s">
        <v>8080</v>
      </c>
      <c r="D9" s="930">
        <v>1</v>
      </c>
      <c r="E9" s="842">
        <v>44729</v>
      </c>
    </row>
    <row r="10" spans="1:5" s="51" customFormat="1" x14ac:dyDescent="0.3">
      <c r="A10" s="13"/>
      <c r="B10" s="49"/>
      <c r="C10" s="370" t="s">
        <v>8081</v>
      </c>
      <c r="D10" s="930">
        <v>1</v>
      </c>
      <c r="E10" s="842">
        <v>44729</v>
      </c>
    </row>
    <row r="11" spans="1:5" s="51" customFormat="1" ht="13.5" customHeight="1" x14ac:dyDescent="0.3">
      <c r="A11" s="13"/>
      <c r="B11" s="49"/>
      <c r="C11" s="370" t="s">
        <v>8082</v>
      </c>
      <c r="D11" s="930">
        <v>1</v>
      </c>
      <c r="E11" s="842">
        <v>44729</v>
      </c>
    </row>
    <row r="12" spans="1:5" s="51" customFormat="1" ht="13.5" customHeight="1" x14ac:dyDescent="0.3">
      <c r="A12" s="13"/>
      <c r="B12" s="49"/>
      <c r="C12" s="370" t="s">
        <v>8083</v>
      </c>
      <c r="D12" s="930">
        <v>1</v>
      </c>
      <c r="E12" s="842">
        <v>44729</v>
      </c>
    </row>
    <row r="13" spans="1:5" s="51" customFormat="1" ht="13.5" customHeight="1" x14ac:dyDescent="0.3">
      <c r="A13" s="13"/>
      <c r="B13" s="49"/>
      <c r="C13" s="370" t="s">
        <v>8084</v>
      </c>
      <c r="D13" s="930">
        <v>1</v>
      </c>
      <c r="E13" s="842">
        <v>44729</v>
      </c>
    </row>
    <row r="14" spans="1:5" s="51" customFormat="1" x14ac:dyDescent="0.3">
      <c r="A14" s="13"/>
      <c r="B14" s="49"/>
      <c r="C14" s="370" t="s">
        <v>8085</v>
      </c>
      <c r="D14" s="930">
        <v>1</v>
      </c>
      <c r="E14" s="842">
        <v>44729</v>
      </c>
    </row>
    <row r="15" spans="1:5" s="51" customFormat="1" x14ac:dyDescent="0.3">
      <c r="A15" s="13"/>
      <c r="B15" s="49"/>
      <c r="C15" s="370" t="s">
        <v>8086</v>
      </c>
      <c r="D15" s="930">
        <v>2</v>
      </c>
      <c r="E15" s="842">
        <v>44729</v>
      </c>
    </row>
    <row r="16" spans="1:5" s="51" customFormat="1" x14ac:dyDescent="0.3">
      <c r="A16" s="13"/>
      <c r="B16" s="49"/>
      <c r="C16" s="370" t="s">
        <v>8087</v>
      </c>
      <c r="D16" s="930">
        <v>1</v>
      </c>
      <c r="E16" s="842">
        <v>44729</v>
      </c>
    </row>
    <row r="17" spans="1:5" s="51" customFormat="1" x14ac:dyDescent="0.3">
      <c r="A17" s="13"/>
      <c r="B17" s="49"/>
      <c r="C17" s="370" t="s">
        <v>8088</v>
      </c>
      <c r="D17" s="930">
        <v>1</v>
      </c>
      <c r="E17" s="842"/>
    </row>
    <row r="18" spans="1:5" s="51" customFormat="1" x14ac:dyDescent="0.3">
      <c r="A18" s="13"/>
      <c r="B18" s="49"/>
      <c r="C18" s="370" t="s">
        <v>8089</v>
      </c>
      <c r="D18" s="930">
        <v>0</v>
      </c>
      <c r="E18" s="842"/>
    </row>
    <row r="19" spans="1:5" s="51" customFormat="1" x14ac:dyDescent="0.3">
      <c r="A19" s="13"/>
      <c r="B19" s="49"/>
      <c r="C19" s="370" t="s">
        <v>8090</v>
      </c>
      <c r="D19" s="930">
        <v>1</v>
      </c>
      <c r="E19" s="842"/>
    </row>
    <row r="20" spans="1:5" s="51" customFormat="1" x14ac:dyDescent="0.3">
      <c r="A20" s="13"/>
      <c r="B20" s="49"/>
      <c r="C20" s="370" t="s">
        <v>8091</v>
      </c>
      <c r="D20" s="930">
        <v>14</v>
      </c>
      <c r="E20" s="842"/>
    </row>
    <row r="21" spans="1:5" s="18" customFormat="1" ht="13.5" customHeight="1" x14ac:dyDescent="0.3">
      <c r="A21" s="290"/>
      <c r="B21" s="45" t="s">
        <v>389</v>
      </c>
      <c r="C21" s="45" t="s">
        <v>8079</v>
      </c>
      <c r="D21" s="327"/>
      <c r="E21" s="328"/>
    </row>
    <row r="22" spans="1:5" s="51" customFormat="1" x14ac:dyDescent="0.3">
      <c r="A22" s="13"/>
      <c r="B22" s="49"/>
      <c r="C22" s="370" t="s">
        <v>8094</v>
      </c>
      <c r="D22" s="930">
        <v>0</v>
      </c>
      <c r="E22" s="842">
        <v>44729</v>
      </c>
    </row>
    <row r="23" spans="1:5" s="51" customFormat="1" x14ac:dyDescent="0.3">
      <c r="A23" s="13"/>
      <c r="B23" s="49"/>
      <c r="C23" s="370" t="s">
        <v>8095</v>
      </c>
      <c r="D23" s="930">
        <v>0</v>
      </c>
      <c r="E23" s="842">
        <v>44729</v>
      </c>
    </row>
    <row r="24" spans="1:5" s="51" customFormat="1" x14ac:dyDescent="0.3">
      <c r="A24" s="13"/>
      <c r="B24" s="49"/>
      <c r="C24" s="370" t="s">
        <v>8096</v>
      </c>
      <c r="D24" s="930">
        <v>1</v>
      </c>
      <c r="E24" s="842"/>
    </row>
    <row r="25" spans="1:5" s="51" customFormat="1" x14ac:dyDescent="0.3">
      <c r="A25" s="13"/>
      <c r="B25" s="49"/>
      <c r="C25" s="370" t="s">
        <v>8097</v>
      </c>
      <c r="D25" s="930">
        <v>2</v>
      </c>
      <c r="E25" s="842"/>
    </row>
    <row r="26" spans="1:5" s="51" customFormat="1" x14ac:dyDescent="0.3">
      <c r="A26" s="13"/>
      <c r="B26" s="49"/>
      <c r="C26" s="370" t="s">
        <v>8098</v>
      </c>
      <c r="D26" s="930">
        <v>2</v>
      </c>
      <c r="E26" s="842"/>
    </row>
    <row r="27" spans="1:5" s="51" customFormat="1" x14ac:dyDescent="0.3">
      <c r="A27" s="13"/>
      <c r="B27" s="49"/>
      <c r="C27" s="370" t="s">
        <v>8099</v>
      </c>
      <c r="D27" s="930">
        <v>2</v>
      </c>
      <c r="E27" s="842"/>
    </row>
    <row r="28" spans="1:5" s="51" customFormat="1" x14ac:dyDescent="0.3">
      <c r="A28" s="13"/>
      <c r="B28" s="49"/>
      <c r="C28" s="370" t="s">
        <v>8100</v>
      </c>
      <c r="D28" s="930">
        <v>1</v>
      </c>
      <c r="E28" s="842">
        <v>44729</v>
      </c>
    </row>
    <row r="29" spans="1:5" s="51" customFormat="1" x14ac:dyDescent="0.3">
      <c r="A29" s="13"/>
      <c r="B29" s="49"/>
      <c r="C29" s="370" t="s">
        <v>8101</v>
      </c>
      <c r="D29" s="930">
        <v>0</v>
      </c>
      <c r="E29" s="842">
        <v>44729</v>
      </c>
    </row>
    <row r="30" spans="1:5" s="51" customFormat="1" x14ac:dyDescent="0.3">
      <c r="A30" s="13"/>
      <c r="B30" s="49"/>
      <c r="C30" s="370" t="s">
        <v>8102</v>
      </c>
      <c r="D30" s="930">
        <v>0</v>
      </c>
      <c r="E30" s="842"/>
    </row>
    <row r="31" spans="1:5" s="51" customFormat="1" x14ac:dyDescent="0.3">
      <c r="A31" s="13"/>
      <c r="B31" s="49"/>
      <c r="C31" s="370" t="s">
        <v>8103</v>
      </c>
      <c r="D31" s="930">
        <v>0</v>
      </c>
      <c r="E31" s="842"/>
    </row>
    <row r="32" spans="1:5" s="51" customFormat="1" x14ac:dyDescent="0.3">
      <c r="A32" s="13"/>
      <c r="B32" s="49"/>
      <c r="C32" s="370" t="s">
        <v>8104</v>
      </c>
      <c r="D32" s="930">
        <v>0</v>
      </c>
      <c r="E32" s="842"/>
    </row>
    <row r="33" spans="1:5" s="51" customFormat="1" x14ac:dyDescent="0.3">
      <c r="A33" s="13"/>
      <c r="B33" s="49"/>
      <c r="C33" s="370" t="s">
        <v>8105</v>
      </c>
      <c r="D33" s="930">
        <v>0</v>
      </c>
      <c r="E33" s="842"/>
    </row>
    <row r="34" spans="1:5" s="51" customFormat="1" x14ac:dyDescent="0.3">
      <c r="A34" s="13"/>
      <c r="B34" s="49"/>
      <c r="C34" s="370" t="s">
        <v>8106</v>
      </c>
      <c r="D34" s="930">
        <v>0</v>
      </c>
      <c r="E34" s="842">
        <v>44729</v>
      </c>
    </row>
    <row r="35" spans="1:5" s="51" customFormat="1" x14ac:dyDescent="0.3">
      <c r="A35" s="13"/>
      <c r="B35" s="49"/>
      <c r="C35" s="370" t="s">
        <v>8107</v>
      </c>
      <c r="D35" s="930">
        <v>0</v>
      </c>
      <c r="E35" s="842">
        <v>44729</v>
      </c>
    </row>
    <row r="36" spans="1:5" s="51" customFormat="1" x14ac:dyDescent="0.3">
      <c r="A36" s="13"/>
      <c r="B36" s="49"/>
      <c r="C36" s="370" t="s">
        <v>8108</v>
      </c>
      <c r="D36" s="930">
        <v>0</v>
      </c>
      <c r="E36" s="842"/>
    </row>
    <row r="37" spans="1:5" s="51" customFormat="1" x14ac:dyDescent="0.3">
      <c r="A37" s="13"/>
      <c r="B37" s="49"/>
      <c r="C37" s="370" t="s">
        <v>8109</v>
      </c>
      <c r="D37" s="930">
        <v>0</v>
      </c>
      <c r="E37" s="842"/>
    </row>
    <row r="38" spans="1:5" s="51" customFormat="1" x14ac:dyDescent="0.3">
      <c r="A38" s="13"/>
      <c r="B38" s="49"/>
      <c r="C38" s="370" t="s">
        <v>8110</v>
      </c>
      <c r="D38" s="930">
        <v>0</v>
      </c>
      <c r="E38" s="842"/>
    </row>
    <row r="39" spans="1:5" s="51" customFormat="1" x14ac:dyDescent="0.3">
      <c r="A39" s="13"/>
      <c r="B39" s="49"/>
      <c r="C39" s="370" t="s">
        <v>8111</v>
      </c>
      <c r="D39" s="930">
        <v>0</v>
      </c>
      <c r="E39" s="842"/>
    </row>
    <row r="40" spans="1:5" s="51" customFormat="1" x14ac:dyDescent="0.3">
      <c r="A40" s="13"/>
      <c r="B40" s="49"/>
      <c r="C40" s="370" t="s">
        <v>8112</v>
      </c>
      <c r="D40" s="930">
        <v>0</v>
      </c>
      <c r="E40" s="842">
        <v>44729</v>
      </c>
    </row>
    <row r="41" spans="1:5" s="51" customFormat="1" x14ac:dyDescent="0.3">
      <c r="A41" s="13"/>
      <c r="B41" s="49"/>
      <c r="C41" s="370" t="s">
        <v>8113</v>
      </c>
      <c r="D41" s="930">
        <v>0</v>
      </c>
      <c r="E41" s="842">
        <v>44729</v>
      </c>
    </row>
    <row r="42" spans="1:5" s="51" customFormat="1" x14ac:dyDescent="0.3">
      <c r="A42" s="13"/>
      <c r="B42" s="49"/>
      <c r="C42" s="370" t="s">
        <v>8114</v>
      </c>
      <c r="D42" s="930">
        <v>0</v>
      </c>
      <c r="E42" s="842"/>
    </row>
    <row r="43" spans="1:5" s="18" customFormat="1" ht="13.5" customHeight="1" x14ac:dyDescent="0.3">
      <c r="A43" s="290"/>
      <c r="B43" s="45" t="s">
        <v>8092</v>
      </c>
      <c r="C43" s="45" t="s">
        <v>8093</v>
      </c>
      <c r="D43" s="327"/>
      <c r="E43" s="328"/>
    </row>
    <row r="44" spans="1:5" s="51" customFormat="1" x14ac:dyDescent="0.3">
      <c r="A44" s="13"/>
      <c r="B44" s="49"/>
      <c r="C44" s="370" t="s">
        <v>8115</v>
      </c>
      <c r="D44" s="930">
        <v>1</v>
      </c>
      <c r="E44" s="842">
        <v>44729</v>
      </c>
    </row>
    <row r="45" spans="1:5" s="51" customFormat="1" x14ac:dyDescent="0.3">
      <c r="A45" s="13"/>
      <c r="B45" s="49"/>
      <c r="C45" s="370" t="s">
        <v>8116</v>
      </c>
      <c r="D45" s="930">
        <v>3</v>
      </c>
      <c r="E45" s="842">
        <v>44729</v>
      </c>
    </row>
    <row r="46" spans="1:5" s="51" customFormat="1" x14ac:dyDescent="0.3">
      <c r="A46" s="13"/>
      <c r="B46" s="49"/>
      <c r="C46" s="370" t="s">
        <v>8117</v>
      </c>
      <c r="D46" s="930">
        <v>3</v>
      </c>
      <c r="E46" s="842"/>
    </row>
    <row r="47" spans="1:5" s="51" customFormat="1" x14ac:dyDescent="0.3">
      <c r="A47" s="13"/>
      <c r="B47" s="49"/>
      <c r="C47" s="370" t="s">
        <v>8118</v>
      </c>
      <c r="D47" s="930">
        <v>3</v>
      </c>
      <c r="E47" s="842"/>
    </row>
    <row r="48" spans="1:5" s="51" customFormat="1" x14ac:dyDescent="0.3">
      <c r="A48" s="13"/>
      <c r="B48" s="49"/>
      <c r="C48" s="370" t="s">
        <v>8119</v>
      </c>
      <c r="D48" s="930">
        <v>4</v>
      </c>
      <c r="E48" s="842"/>
    </row>
    <row r="49" spans="1:5" s="51" customFormat="1" x14ac:dyDescent="0.3">
      <c r="A49" s="13"/>
      <c r="B49" s="49"/>
      <c r="C49" s="370" t="s">
        <v>8120</v>
      </c>
      <c r="D49" s="930">
        <v>2</v>
      </c>
      <c r="E49" s="842"/>
    </row>
    <row r="50" spans="1:5" s="51" customFormat="1" x14ac:dyDescent="0.3">
      <c r="A50" s="13"/>
      <c r="B50" s="49"/>
      <c r="C50" s="370" t="s">
        <v>8121</v>
      </c>
      <c r="D50" s="930">
        <v>2</v>
      </c>
      <c r="E50" s="842">
        <v>44729</v>
      </c>
    </row>
    <row r="51" spans="1:5" s="51" customFormat="1" x14ac:dyDescent="0.3">
      <c r="A51" s="13"/>
      <c r="B51" s="49"/>
      <c r="C51" s="370" t="s">
        <v>8122</v>
      </c>
      <c r="D51" s="930">
        <v>2</v>
      </c>
      <c r="E51" s="842">
        <v>44729</v>
      </c>
    </row>
    <row r="52" spans="1:5" s="51" customFormat="1" x14ac:dyDescent="0.3">
      <c r="A52" s="13"/>
      <c r="B52" s="49"/>
      <c r="C52" s="370" t="s">
        <v>8123</v>
      </c>
      <c r="D52" s="930">
        <v>2</v>
      </c>
      <c r="E52" s="842">
        <v>44729</v>
      </c>
    </row>
    <row r="53" spans="1:5" s="51" customFormat="1" x14ac:dyDescent="0.3">
      <c r="A53" s="13"/>
      <c r="B53" s="49"/>
      <c r="C53" s="370" t="s">
        <v>8124</v>
      </c>
      <c r="D53" s="930">
        <v>2</v>
      </c>
      <c r="E53" s="842">
        <v>44729</v>
      </c>
    </row>
    <row r="54" spans="1:5" s="51" customFormat="1" x14ac:dyDescent="0.3">
      <c r="A54" s="13"/>
      <c r="B54" s="49"/>
      <c r="C54" s="370" t="s">
        <v>8125</v>
      </c>
      <c r="D54" s="930">
        <v>3</v>
      </c>
      <c r="E54" s="842"/>
    </row>
    <row r="55" spans="1:5" s="51" customFormat="1" x14ac:dyDescent="0.3">
      <c r="A55" s="13"/>
      <c r="B55" s="49"/>
      <c r="C55" s="370" t="s">
        <v>8126</v>
      </c>
      <c r="D55" s="930">
        <v>2</v>
      </c>
      <c r="E55" s="842"/>
    </row>
    <row r="56" spans="1:5" s="51" customFormat="1" x14ac:dyDescent="0.3">
      <c r="A56" s="13"/>
      <c r="B56" s="49"/>
      <c r="C56" s="370" t="s">
        <v>8127</v>
      </c>
      <c r="D56" s="930">
        <v>2</v>
      </c>
      <c r="E56" s="842"/>
    </row>
    <row r="57" spans="1:5" s="51" customFormat="1" x14ac:dyDescent="0.3">
      <c r="A57" s="13"/>
      <c r="B57" s="49"/>
      <c r="C57" s="370" t="s">
        <v>8128</v>
      </c>
      <c r="D57" s="930">
        <v>2</v>
      </c>
      <c r="E57" s="842"/>
    </row>
    <row r="58" spans="1:5" s="592" customFormat="1" ht="13.5" customHeight="1" x14ac:dyDescent="0.3">
      <c r="A58" s="478"/>
      <c r="B58" s="390" t="s">
        <v>355</v>
      </c>
      <c r="C58" s="390" t="s">
        <v>7704</v>
      </c>
      <c r="D58" s="323"/>
      <c r="E58" s="324"/>
    </row>
    <row r="59" spans="1:5" s="51" customFormat="1" ht="13.5" customHeight="1" x14ac:dyDescent="0.3">
      <c r="A59" s="13"/>
      <c r="B59" s="49"/>
      <c r="C59" s="370" t="s">
        <v>8246</v>
      </c>
      <c r="D59" s="930">
        <v>1</v>
      </c>
      <c r="E59" s="842">
        <v>44729</v>
      </c>
    </row>
    <row r="60" spans="1:5" s="51" customFormat="1" ht="13.5" customHeight="1" x14ac:dyDescent="0.3">
      <c r="A60" s="13"/>
      <c r="B60" s="49"/>
      <c r="C60" s="370" t="s">
        <v>8247</v>
      </c>
      <c r="D60" s="930">
        <v>4</v>
      </c>
      <c r="E60" s="842">
        <v>44729</v>
      </c>
    </row>
    <row r="61" spans="1:5" s="51" customFormat="1" ht="13.5" customHeight="1" x14ac:dyDescent="0.3">
      <c r="A61" s="13"/>
      <c r="B61" s="49"/>
      <c r="C61" s="370" t="s">
        <v>8248</v>
      </c>
      <c r="D61" s="930">
        <v>0</v>
      </c>
      <c r="E61" s="842">
        <v>44729</v>
      </c>
    </row>
    <row r="62" spans="1:5" s="592" customFormat="1" ht="13.5" customHeight="1" x14ac:dyDescent="0.3">
      <c r="A62" s="18"/>
      <c r="B62" s="391"/>
      <c r="C62" s="370" t="s">
        <v>8249</v>
      </c>
      <c r="D62" s="930">
        <v>5</v>
      </c>
      <c r="E62" s="842">
        <v>44729</v>
      </c>
    </row>
    <row r="63" spans="1:5" s="51" customFormat="1" ht="13.5" customHeight="1" x14ac:dyDescent="0.3">
      <c r="A63" s="13"/>
      <c r="B63" s="49"/>
      <c r="C63" s="370" t="s">
        <v>8250</v>
      </c>
      <c r="D63" s="930">
        <v>3</v>
      </c>
      <c r="E63" s="842">
        <v>44729</v>
      </c>
    </row>
    <row r="64" spans="1:5" s="51" customFormat="1" ht="13.5" customHeight="1" x14ac:dyDescent="0.3">
      <c r="A64" s="13"/>
      <c r="B64" s="49"/>
      <c r="C64" s="370" t="s">
        <v>8251</v>
      </c>
      <c r="D64" s="930">
        <v>3</v>
      </c>
      <c r="E64" s="842">
        <v>44729</v>
      </c>
    </row>
    <row r="65" spans="1:5" s="51" customFormat="1" ht="13.5" customHeight="1" x14ac:dyDescent="0.3">
      <c r="A65" s="13"/>
      <c r="B65" s="49"/>
      <c r="C65" s="370" t="s">
        <v>8252</v>
      </c>
      <c r="D65" s="930">
        <v>3</v>
      </c>
      <c r="E65" s="842">
        <v>44729</v>
      </c>
    </row>
    <row r="66" spans="1:5" s="51" customFormat="1" ht="13.5" customHeight="1" x14ac:dyDescent="0.3">
      <c r="A66" s="13"/>
      <c r="B66" s="49"/>
      <c r="C66" s="370" t="s">
        <v>8253</v>
      </c>
      <c r="D66" s="930">
        <v>3</v>
      </c>
      <c r="E66" s="842">
        <v>44729</v>
      </c>
    </row>
    <row r="67" spans="1:5" s="592" customFormat="1" ht="13.5" customHeight="1" x14ac:dyDescent="0.3">
      <c r="A67" s="18"/>
      <c r="B67" s="391"/>
      <c r="C67" s="370" t="s">
        <v>8254</v>
      </c>
      <c r="D67" s="930">
        <v>3</v>
      </c>
      <c r="E67" s="842">
        <v>44729</v>
      </c>
    </row>
    <row r="68" spans="1:5" s="51" customFormat="1" ht="13.5" customHeight="1" x14ac:dyDescent="0.3">
      <c r="A68" s="13"/>
      <c r="B68" s="49"/>
      <c r="C68" s="370" t="s">
        <v>8255</v>
      </c>
      <c r="D68" s="930">
        <v>3</v>
      </c>
      <c r="E68" s="842">
        <v>44729</v>
      </c>
    </row>
    <row r="69" spans="1:5" s="51" customFormat="1" ht="13.5" customHeight="1" x14ac:dyDescent="0.3">
      <c r="A69" s="13"/>
      <c r="B69" s="49"/>
      <c r="C69" s="370" t="s">
        <v>8256</v>
      </c>
      <c r="D69" s="930">
        <v>3</v>
      </c>
      <c r="E69" s="842">
        <v>44729</v>
      </c>
    </row>
    <row r="70" spans="1:5" s="51" customFormat="1" ht="13.5" customHeight="1" x14ac:dyDescent="0.3">
      <c r="A70" s="13"/>
      <c r="B70" s="49"/>
      <c r="C70" s="370" t="s">
        <v>8257</v>
      </c>
      <c r="D70" s="930">
        <v>3</v>
      </c>
      <c r="E70" s="842">
        <v>44729</v>
      </c>
    </row>
    <row r="71" spans="1:5" s="51" customFormat="1" ht="13.5" customHeight="1" x14ac:dyDescent="0.3">
      <c r="A71" s="13"/>
      <c r="B71" s="49"/>
      <c r="C71" s="370" t="s">
        <v>8258</v>
      </c>
      <c r="D71" s="930">
        <v>3</v>
      </c>
      <c r="E71" s="842">
        <v>44729</v>
      </c>
    </row>
    <row r="72" spans="1:5" s="51" customFormat="1" ht="13.5" customHeight="1" x14ac:dyDescent="0.3">
      <c r="A72" s="13"/>
      <c r="B72" s="49"/>
      <c r="C72" s="370" t="s">
        <v>8259</v>
      </c>
      <c r="D72" s="930">
        <v>0</v>
      </c>
      <c r="E72" s="842">
        <v>44729</v>
      </c>
    </row>
    <row r="73" spans="1:5" s="51" customFormat="1" ht="13.5" customHeight="1" x14ac:dyDescent="0.3">
      <c r="A73" s="13"/>
      <c r="B73" s="49"/>
      <c r="C73" s="370" t="s">
        <v>8260</v>
      </c>
      <c r="D73" s="930">
        <v>0</v>
      </c>
      <c r="E73" s="842">
        <v>44729</v>
      </c>
    </row>
    <row r="74" spans="1:5" s="51" customFormat="1" ht="13.5" customHeight="1" x14ac:dyDescent="0.3">
      <c r="A74" s="13"/>
      <c r="B74" s="49"/>
      <c r="C74" s="370" t="s">
        <v>8261</v>
      </c>
      <c r="D74" s="930">
        <v>0</v>
      </c>
      <c r="E74" s="842">
        <v>44729</v>
      </c>
    </row>
    <row r="75" spans="1:5" s="51" customFormat="1" ht="13.5" customHeight="1" x14ac:dyDescent="0.3">
      <c r="A75" s="13"/>
      <c r="B75" s="49"/>
      <c r="C75" s="370" t="s">
        <v>8262</v>
      </c>
      <c r="D75" s="930">
        <v>0</v>
      </c>
      <c r="E75" s="842">
        <v>44729</v>
      </c>
    </row>
    <row r="76" spans="1:5" s="51" customFormat="1" ht="13.5" customHeight="1" x14ac:dyDescent="0.3">
      <c r="A76" s="13"/>
      <c r="B76" s="49"/>
      <c r="C76" s="370" t="s">
        <v>8263</v>
      </c>
      <c r="D76" s="930">
        <v>0</v>
      </c>
      <c r="E76" s="842">
        <v>44729</v>
      </c>
    </row>
    <row r="77" spans="1:5" s="592" customFormat="1" ht="13.5" customHeight="1" x14ac:dyDescent="0.3">
      <c r="A77" s="18"/>
      <c r="B77" s="391"/>
      <c r="C77" s="370" t="s">
        <v>8264</v>
      </c>
      <c r="D77" s="930">
        <v>0</v>
      </c>
      <c r="E77" s="842">
        <v>44729</v>
      </c>
    </row>
    <row r="78" spans="1:5" s="51" customFormat="1" ht="13.5" customHeight="1" x14ac:dyDescent="0.3">
      <c r="A78" s="13"/>
      <c r="B78" s="49"/>
      <c r="C78" s="370" t="s">
        <v>8265</v>
      </c>
      <c r="D78" s="930">
        <v>0</v>
      </c>
      <c r="E78" s="842">
        <v>44729</v>
      </c>
    </row>
    <row r="79" spans="1:5" s="51" customFormat="1" ht="13.5" customHeight="1" x14ac:dyDescent="0.3">
      <c r="A79" s="13"/>
      <c r="B79" s="49"/>
      <c r="C79" s="370" t="s">
        <v>8266</v>
      </c>
      <c r="D79" s="930">
        <v>0</v>
      </c>
      <c r="E79" s="842">
        <v>44729</v>
      </c>
    </row>
    <row r="80" spans="1:5" s="51" customFormat="1" ht="13.5" customHeight="1" x14ac:dyDescent="0.3">
      <c r="A80" s="13"/>
      <c r="B80" s="49"/>
      <c r="C80" s="370" t="s">
        <v>8267</v>
      </c>
      <c r="D80" s="930">
        <v>0</v>
      </c>
      <c r="E80" s="842">
        <v>44729</v>
      </c>
    </row>
    <row r="81" spans="1:5" s="51" customFormat="1" ht="13.5" customHeight="1" x14ac:dyDescent="0.3">
      <c r="A81" s="13"/>
      <c r="B81" s="49"/>
      <c r="C81" s="370" t="s">
        <v>8268</v>
      </c>
      <c r="D81" s="930">
        <v>0</v>
      </c>
      <c r="E81" s="842">
        <v>44729</v>
      </c>
    </row>
    <row r="82" spans="1:5" s="51" customFormat="1" ht="13.5" customHeight="1" x14ac:dyDescent="0.3">
      <c r="A82" s="13"/>
      <c r="B82" s="49"/>
      <c r="C82" s="370" t="s">
        <v>8269</v>
      </c>
      <c r="D82" s="930">
        <v>0</v>
      </c>
      <c r="E82" s="842">
        <v>44729</v>
      </c>
    </row>
    <row r="83" spans="1:5" s="51" customFormat="1" ht="13.5" customHeight="1" x14ac:dyDescent="0.3">
      <c r="A83" s="13"/>
      <c r="B83" s="49"/>
      <c r="C83" s="370" t="s">
        <v>8270</v>
      </c>
      <c r="D83" s="930">
        <v>0</v>
      </c>
      <c r="E83" s="842">
        <v>44729</v>
      </c>
    </row>
    <row r="84" spans="1:5" s="51" customFormat="1" ht="13.5" customHeight="1" x14ac:dyDescent="0.3">
      <c r="A84" s="13"/>
      <c r="B84" s="49"/>
      <c r="C84" s="370" t="s">
        <v>8279</v>
      </c>
      <c r="D84" s="930">
        <v>0</v>
      </c>
      <c r="E84" s="842">
        <v>44729</v>
      </c>
    </row>
    <row r="85" spans="1:5" s="51" customFormat="1" ht="13.5" customHeight="1" x14ac:dyDescent="0.3">
      <c r="A85" s="13"/>
      <c r="B85" s="49"/>
      <c r="C85" s="370" t="s">
        <v>8280</v>
      </c>
      <c r="D85" s="930">
        <v>0</v>
      </c>
      <c r="E85" s="842">
        <v>44729</v>
      </c>
    </row>
    <row r="86" spans="1:5" s="592" customFormat="1" ht="13.5" customHeight="1" x14ac:dyDescent="0.3">
      <c r="A86" s="478"/>
      <c r="B86" s="390" t="s">
        <v>359</v>
      </c>
      <c r="C86" s="390" t="s">
        <v>7706</v>
      </c>
      <c r="D86" s="323"/>
      <c r="E86" s="324"/>
    </row>
    <row r="87" spans="1:5" s="51" customFormat="1" ht="13.5" customHeight="1" x14ac:dyDescent="0.3">
      <c r="A87" s="13"/>
      <c r="B87" s="49"/>
      <c r="C87" s="370" t="s">
        <v>8242</v>
      </c>
      <c r="D87" s="930">
        <v>1</v>
      </c>
      <c r="E87" s="842">
        <v>44729</v>
      </c>
    </row>
    <row r="88" spans="1:5" s="51" customFormat="1" ht="13.5" customHeight="1" x14ac:dyDescent="0.3">
      <c r="A88" s="13"/>
      <c r="B88" s="49"/>
      <c r="C88" s="370" t="s">
        <v>8243</v>
      </c>
      <c r="D88" s="930">
        <v>3</v>
      </c>
      <c r="E88" s="842">
        <v>44729</v>
      </c>
    </row>
    <row r="89" spans="1:5" s="51" customFormat="1" ht="13.5" customHeight="1" x14ac:dyDescent="0.3">
      <c r="A89" s="13"/>
      <c r="B89" s="49"/>
      <c r="C89" s="370" t="s">
        <v>8244</v>
      </c>
      <c r="D89" s="930">
        <v>2</v>
      </c>
      <c r="E89" s="842">
        <v>44729</v>
      </c>
    </row>
    <row r="90" spans="1:5" s="51" customFormat="1" ht="13.5" customHeight="1" x14ac:dyDescent="0.3">
      <c r="A90" s="13"/>
      <c r="B90" s="49"/>
      <c r="C90" s="370" t="s">
        <v>8245</v>
      </c>
      <c r="D90" s="930">
        <v>1</v>
      </c>
      <c r="E90" s="842">
        <v>44729</v>
      </c>
    </row>
    <row r="91" spans="1:5" s="51" customFormat="1" ht="13.5" customHeight="1" x14ac:dyDescent="0.3">
      <c r="A91" s="13"/>
      <c r="B91" s="49"/>
      <c r="C91" s="370" t="s">
        <v>8278</v>
      </c>
      <c r="D91" s="930">
        <v>1</v>
      </c>
      <c r="E91" s="842">
        <v>44729</v>
      </c>
    </row>
    <row r="92" spans="1:5" s="592" customFormat="1" x14ac:dyDescent="0.3">
      <c r="A92" s="478"/>
      <c r="B92" s="390" t="s">
        <v>356</v>
      </c>
      <c r="C92" s="390" t="s">
        <v>3005</v>
      </c>
      <c r="D92" s="323"/>
      <c r="E92" s="324"/>
    </row>
    <row r="93" spans="1:5" ht="13.5" customHeight="1" x14ac:dyDescent="0.3">
      <c r="A93" s="13"/>
      <c r="B93" s="4"/>
      <c r="C93" s="370" t="s">
        <v>8271</v>
      </c>
      <c r="D93" s="930">
        <v>0</v>
      </c>
      <c r="E93" s="842">
        <v>44729</v>
      </c>
    </row>
    <row r="94" spans="1:5" ht="13.5" customHeight="1" x14ac:dyDescent="0.3">
      <c r="A94" s="13"/>
      <c r="B94" s="4"/>
      <c r="C94" s="370" t="s">
        <v>8272</v>
      </c>
      <c r="D94" s="930">
        <v>0</v>
      </c>
      <c r="E94" s="842">
        <v>44729</v>
      </c>
    </row>
    <row r="95" spans="1:5" ht="13.5" customHeight="1" x14ac:dyDescent="0.3">
      <c r="A95" s="13"/>
      <c r="B95" s="4"/>
      <c r="C95" s="370" t="s">
        <v>8273</v>
      </c>
      <c r="D95" s="930">
        <v>0</v>
      </c>
      <c r="E95" s="842">
        <v>44729</v>
      </c>
    </row>
    <row r="96" spans="1:5" ht="13.5" customHeight="1" x14ac:dyDescent="0.3">
      <c r="A96" s="13"/>
      <c r="B96" s="4"/>
      <c r="C96" s="370" t="s">
        <v>8274</v>
      </c>
      <c r="D96" s="930">
        <v>0</v>
      </c>
      <c r="E96" s="842">
        <v>44729</v>
      </c>
    </row>
    <row r="97" spans="1:5" ht="13.5" customHeight="1" x14ac:dyDescent="0.3">
      <c r="A97" s="13"/>
      <c r="B97" s="4"/>
      <c r="C97" s="370" t="s">
        <v>8275</v>
      </c>
      <c r="D97" s="930">
        <v>0</v>
      </c>
      <c r="E97" s="842">
        <v>44729</v>
      </c>
    </row>
    <row r="98" spans="1:5" ht="13.5" customHeight="1" x14ac:dyDescent="0.3">
      <c r="A98" s="13"/>
      <c r="B98" s="4"/>
      <c r="C98" s="370" t="s">
        <v>8276</v>
      </c>
      <c r="D98" s="930">
        <v>0</v>
      </c>
      <c r="E98" s="842">
        <v>44729</v>
      </c>
    </row>
    <row r="99" spans="1:5" ht="13.5" customHeight="1" x14ac:dyDescent="0.3">
      <c r="A99" s="13"/>
      <c r="B99" s="4"/>
      <c r="C99" s="370" t="s">
        <v>8277</v>
      </c>
      <c r="D99" s="930">
        <v>0</v>
      </c>
      <c r="E99" s="842">
        <v>44729</v>
      </c>
    </row>
    <row r="100" spans="1:5" s="592" customFormat="1" ht="13.5" customHeight="1" x14ac:dyDescent="0.3">
      <c r="A100" s="478"/>
      <c r="B100" s="390" t="s">
        <v>357</v>
      </c>
      <c r="C100" s="390" t="s">
        <v>86</v>
      </c>
      <c r="D100" s="323"/>
      <c r="E100" s="324"/>
    </row>
    <row r="101" spans="1:5" s="18" customFormat="1" ht="13.5" customHeight="1" x14ac:dyDescent="0.3">
      <c r="A101" s="290"/>
      <c r="B101" s="45" t="s">
        <v>381</v>
      </c>
      <c r="C101" s="45" t="s">
        <v>7708</v>
      </c>
      <c r="D101" s="327"/>
      <c r="E101" s="328"/>
    </row>
    <row r="102" spans="1:5" s="51" customFormat="1" ht="13.5" customHeight="1" x14ac:dyDescent="0.3">
      <c r="A102" s="13"/>
      <c r="B102" s="49"/>
      <c r="C102" s="370" t="s">
        <v>8173</v>
      </c>
      <c r="D102" s="930">
        <v>2</v>
      </c>
      <c r="E102" s="69"/>
    </row>
    <row r="103" spans="1:5" s="51" customFormat="1" ht="13.5" customHeight="1" x14ac:dyDescent="0.3">
      <c r="A103" s="13"/>
      <c r="B103" s="49"/>
      <c r="C103" s="370" t="s">
        <v>8174</v>
      </c>
      <c r="D103" s="930">
        <v>1</v>
      </c>
      <c r="E103" s="69"/>
    </row>
    <row r="104" spans="1:5" s="51" customFormat="1" ht="13.5" customHeight="1" x14ac:dyDescent="0.3">
      <c r="A104" s="13"/>
      <c r="B104" s="49"/>
      <c r="C104" s="370" t="s">
        <v>8175</v>
      </c>
      <c r="D104" s="930">
        <v>2</v>
      </c>
      <c r="E104" s="69"/>
    </row>
    <row r="105" spans="1:5" s="51" customFormat="1" ht="13.5" customHeight="1" x14ac:dyDescent="0.3">
      <c r="A105" s="13"/>
      <c r="B105" s="49"/>
      <c r="C105" s="370" t="s">
        <v>8176</v>
      </c>
      <c r="D105" s="930">
        <v>2</v>
      </c>
      <c r="E105" s="69"/>
    </row>
    <row r="106" spans="1:5" s="51" customFormat="1" ht="13.5" customHeight="1" x14ac:dyDescent="0.3">
      <c r="A106" s="13"/>
      <c r="B106" s="49"/>
      <c r="C106" s="370" t="s">
        <v>8177</v>
      </c>
      <c r="D106" s="930">
        <v>2</v>
      </c>
      <c r="E106" s="69"/>
    </row>
    <row r="107" spans="1:5" s="51" customFormat="1" ht="13.5" customHeight="1" x14ac:dyDescent="0.3">
      <c r="A107" s="13"/>
      <c r="B107" s="49"/>
      <c r="C107" s="370" t="s">
        <v>8178</v>
      </c>
      <c r="D107" s="930">
        <v>2</v>
      </c>
      <c r="E107" s="69"/>
    </row>
    <row r="108" spans="1:5" s="51" customFormat="1" ht="13.5" customHeight="1" x14ac:dyDescent="0.3">
      <c r="A108" s="13"/>
      <c r="B108" s="49"/>
      <c r="C108" s="370" t="s">
        <v>8179</v>
      </c>
      <c r="D108" s="930">
        <v>2</v>
      </c>
      <c r="E108" s="69"/>
    </row>
    <row r="109" spans="1:5" s="51" customFormat="1" ht="13.5" customHeight="1" x14ac:dyDescent="0.3">
      <c r="A109" s="13"/>
      <c r="B109" s="49"/>
      <c r="C109" s="370" t="s">
        <v>8180</v>
      </c>
      <c r="D109" s="930">
        <v>1</v>
      </c>
      <c r="E109" s="69"/>
    </row>
    <row r="110" spans="1:5" s="51" customFormat="1" ht="13.5" customHeight="1" x14ac:dyDescent="0.3">
      <c r="A110" s="13"/>
      <c r="B110" s="49"/>
      <c r="C110" s="370" t="s">
        <v>8181</v>
      </c>
      <c r="D110" s="930">
        <v>1</v>
      </c>
      <c r="E110" s="69"/>
    </row>
    <row r="111" spans="1:5" s="51" customFormat="1" ht="13.5" customHeight="1" x14ac:dyDescent="0.3">
      <c r="A111" s="13"/>
      <c r="B111" s="49"/>
      <c r="C111" s="370" t="s">
        <v>8182</v>
      </c>
      <c r="D111" s="930">
        <v>1</v>
      </c>
      <c r="E111" s="69"/>
    </row>
    <row r="112" spans="1:5" s="18" customFormat="1" ht="13.5" customHeight="1" x14ac:dyDescent="0.3">
      <c r="A112" s="13"/>
      <c r="B112" s="45" t="s">
        <v>54</v>
      </c>
      <c r="C112" s="45" t="s">
        <v>7709</v>
      </c>
      <c r="D112" s="327"/>
      <c r="E112" s="328"/>
    </row>
    <row r="113" spans="1:5" s="51" customFormat="1" ht="13.5" customHeight="1" x14ac:dyDescent="0.3">
      <c r="A113" s="13"/>
      <c r="B113" s="49"/>
      <c r="C113" s="370" t="s">
        <v>8183</v>
      </c>
      <c r="D113" s="930">
        <v>3</v>
      </c>
      <c r="E113" s="842">
        <v>44750</v>
      </c>
    </row>
    <row r="114" spans="1:5" s="51" customFormat="1" ht="13.5" customHeight="1" x14ac:dyDescent="0.3">
      <c r="A114" s="13"/>
      <c r="B114" s="49"/>
      <c r="C114" s="370" t="s">
        <v>8184</v>
      </c>
      <c r="D114" s="930">
        <v>3</v>
      </c>
      <c r="E114" s="842">
        <v>44750</v>
      </c>
    </row>
    <row r="115" spans="1:5" s="51" customFormat="1" ht="13.5" customHeight="1" x14ac:dyDescent="0.3">
      <c r="A115" s="13"/>
      <c r="B115" s="49"/>
      <c r="C115" s="370" t="s">
        <v>8185</v>
      </c>
      <c r="D115" s="930">
        <v>3</v>
      </c>
      <c r="E115" s="842">
        <v>44750</v>
      </c>
    </row>
    <row r="116" spans="1:5" s="51" customFormat="1" ht="13.5" customHeight="1" x14ac:dyDescent="0.3">
      <c r="A116" s="13"/>
      <c r="B116" s="49"/>
      <c r="C116" s="370" t="s">
        <v>8186</v>
      </c>
      <c r="D116" s="930">
        <v>3</v>
      </c>
      <c r="E116" s="842">
        <v>44750</v>
      </c>
    </row>
    <row r="117" spans="1:5" s="51" customFormat="1" ht="13.5" customHeight="1" x14ac:dyDescent="0.3">
      <c r="A117" s="13"/>
      <c r="B117" s="49"/>
      <c r="C117" s="370" t="s">
        <v>8187</v>
      </c>
      <c r="D117" s="930">
        <v>3</v>
      </c>
      <c r="E117" s="842">
        <v>44750</v>
      </c>
    </row>
    <row r="118" spans="1:5" s="51" customFormat="1" ht="13.5" customHeight="1" x14ac:dyDescent="0.3">
      <c r="A118" s="13"/>
      <c r="B118" s="49"/>
      <c r="C118" s="370" t="s">
        <v>8188</v>
      </c>
      <c r="D118" s="930">
        <v>3</v>
      </c>
      <c r="E118" s="842">
        <v>44750</v>
      </c>
    </row>
    <row r="119" spans="1:5" s="51" customFormat="1" ht="13.5" customHeight="1" x14ac:dyDescent="0.3">
      <c r="A119" s="13"/>
      <c r="B119" s="49"/>
      <c r="C119" s="370" t="s">
        <v>8189</v>
      </c>
      <c r="D119" s="930">
        <v>2</v>
      </c>
      <c r="E119" s="842">
        <v>44750</v>
      </c>
    </row>
    <row r="120" spans="1:5" s="51" customFormat="1" ht="13.5" customHeight="1" x14ac:dyDescent="0.3">
      <c r="A120" s="13"/>
      <c r="B120" s="49"/>
      <c r="C120" s="370" t="s">
        <v>8190</v>
      </c>
      <c r="D120" s="930">
        <v>3</v>
      </c>
      <c r="E120" s="842">
        <v>44750</v>
      </c>
    </row>
    <row r="121" spans="1:5" s="51" customFormat="1" ht="13.5" customHeight="1" x14ac:dyDescent="0.3">
      <c r="A121" s="13"/>
      <c r="B121" s="49"/>
      <c r="C121" s="370" t="s">
        <v>8191</v>
      </c>
      <c r="D121" s="930">
        <v>2</v>
      </c>
      <c r="E121" s="842">
        <v>44750</v>
      </c>
    </row>
    <row r="122" spans="1:5" s="18" customFormat="1" ht="13.5" customHeight="1" x14ac:dyDescent="0.3">
      <c r="A122" s="290"/>
      <c r="B122" s="45" t="s">
        <v>57</v>
      </c>
      <c r="C122" s="45" t="s">
        <v>7710</v>
      </c>
      <c r="D122" s="327"/>
      <c r="E122" s="328"/>
    </row>
    <row r="123" spans="1:5" s="51" customFormat="1" ht="13.5" customHeight="1" x14ac:dyDescent="0.3">
      <c r="A123" s="13"/>
      <c r="B123" s="49"/>
      <c r="C123" s="370" t="s">
        <v>8155</v>
      </c>
      <c r="D123" s="930">
        <v>0</v>
      </c>
      <c r="E123" s="69">
        <v>1</v>
      </c>
    </row>
    <row r="124" spans="1:5" s="51" customFormat="1" ht="13.5" customHeight="1" x14ac:dyDescent="0.3">
      <c r="A124" s="13"/>
      <c r="B124" s="49"/>
      <c r="C124" s="370" t="s">
        <v>8156</v>
      </c>
      <c r="D124" s="930">
        <v>0</v>
      </c>
      <c r="E124" s="69"/>
    </row>
    <row r="125" spans="1:5" s="51" customFormat="1" ht="13.5" customHeight="1" x14ac:dyDescent="0.3">
      <c r="A125" s="13"/>
      <c r="B125" s="49"/>
      <c r="C125" s="370" t="s">
        <v>8157</v>
      </c>
      <c r="D125" s="930">
        <v>0</v>
      </c>
      <c r="E125" s="69">
        <v>1</v>
      </c>
    </row>
    <row r="126" spans="1:5" s="51" customFormat="1" ht="13.5" customHeight="1" x14ac:dyDescent="0.3">
      <c r="A126" s="13"/>
      <c r="B126" s="49"/>
      <c r="C126" s="370" t="s">
        <v>8158</v>
      </c>
      <c r="D126" s="930">
        <v>0</v>
      </c>
      <c r="E126" s="69">
        <v>1</v>
      </c>
    </row>
    <row r="127" spans="1:5" s="51" customFormat="1" ht="13.5" customHeight="1" x14ac:dyDescent="0.3">
      <c r="A127" s="13"/>
      <c r="B127" s="49"/>
      <c r="C127" s="370" t="s">
        <v>8159</v>
      </c>
      <c r="D127" s="930">
        <v>0</v>
      </c>
      <c r="E127" s="69"/>
    </row>
    <row r="128" spans="1:5" s="51" customFormat="1" ht="13.5" customHeight="1" x14ac:dyDescent="0.3">
      <c r="A128" s="13"/>
      <c r="B128" s="49"/>
      <c r="C128" s="370" t="s">
        <v>8160</v>
      </c>
      <c r="D128" s="930">
        <v>0</v>
      </c>
      <c r="E128" s="69">
        <v>1</v>
      </c>
    </row>
    <row r="129" spans="1:5" s="51" customFormat="1" ht="13.5" customHeight="1" x14ac:dyDescent="0.3">
      <c r="A129" s="13"/>
      <c r="B129" s="49"/>
      <c r="C129" s="370" t="s">
        <v>8161</v>
      </c>
      <c r="D129" s="930">
        <v>0</v>
      </c>
      <c r="E129" s="69"/>
    </row>
    <row r="130" spans="1:5" s="51" customFormat="1" ht="13.5" customHeight="1" x14ac:dyDescent="0.3">
      <c r="A130" s="13"/>
      <c r="B130" s="49"/>
      <c r="C130" s="370" t="s">
        <v>8162</v>
      </c>
      <c r="D130" s="930">
        <v>0</v>
      </c>
      <c r="E130" s="69">
        <v>1</v>
      </c>
    </row>
    <row r="131" spans="1:5" s="51" customFormat="1" ht="13.5" customHeight="1" x14ac:dyDescent="0.3">
      <c r="A131" s="13"/>
      <c r="B131" s="49"/>
      <c r="C131" s="370" t="s">
        <v>8163</v>
      </c>
      <c r="D131" s="930">
        <v>0</v>
      </c>
      <c r="E131" s="69">
        <v>1</v>
      </c>
    </row>
    <row r="132" spans="1:5" s="51" customFormat="1" ht="13.5" customHeight="1" x14ac:dyDescent="0.3">
      <c r="A132" s="13"/>
      <c r="B132" s="49"/>
      <c r="C132" s="370" t="s">
        <v>8164</v>
      </c>
      <c r="D132" s="930">
        <v>0</v>
      </c>
      <c r="E132" s="69"/>
    </row>
    <row r="133" spans="1:5" s="18" customFormat="1" ht="13.5" customHeight="1" x14ac:dyDescent="0.3">
      <c r="A133" s="13"/>
      <c r="B133" s="45" t="s">
        <v>2028</v>
      </c>
      <c r="C133" s="45" t="s">
        <v>7711</v>
      </c>
      <c r="D133" s="327"/>
      <c r="E133" s="328"/>
    </row>
    <row r="134" spans="1:5" s="51" customFormat="1" ht="13.5" customHeight="1" x14ac:dyDescent="0.3">
      <c r="A134" s="13"/>
      <c r="B134" s="49"/>
      <c r="C134" s="370" t="s">
        <v>8231</v>
      </c>
      <c r="D134" s="930">
        <v>1</v>
      </c>
      <c r="E134" s="842">
        <v>44750</v>
      </c>
    </row>
    <row r="135" spans="1:5" s="51" customFormat="1" ht="13.5" customHeight="1" x14ac:dyDescent="0.3">
      <c r="A135" s="13"/>
      <c r="B135" s="49"/>
      <c r="C135" s="370" t="s">
        <v>8232</v>
      </c>
      <c r="D135" s="930">
        <v>2</v>
      </c>
      <c r="E135" s="842">
        <v>44750</v>
      </c>
    </row>
    <row r="136" spans="1:5" s="51" customFormat="1" ht="13.5" customHeight="1" x14ac:dyDescent="0.3">
      <c r="A136" s="13"/>
      <c r="B136" s="49"/>
      <c r="C136" s="370" t="s">
        <v>8233</v>
      </c>
      <c r="D136" s="930">
        <v>1</v>
      </c>
      <c r="E136" s="842">
        <v>44750</v>
      </c>
    </row>
    <row r="137" spans="1:5" s="51" customFormat="1" ht="13.5" customHeight="1" x14ac:dyDescent="0.3">
      <c r="A137" s="13"/>
      <c r="B137" s="49"/>
      <c r="C137" s="370" t="s">
        <v>8234</v>
      </c>
      <c r="D137" s="930">
        <v>2</v>
      </c>
      <c r="E137" s="842">
        <v>44750</v>
      </c>
    </row>
    <row r="138" spans="1:5" s="51" customFormat="1" ht="13.5" customHeight="1" x14ac:dyDescent="0.3">
      <c r="A138" s="13"/>
      <c r="B138" s="49"/>
      <c r="C138" s="370" t="s">
        <v>8235</v>
      </c>
      <c r="D138" s="930">
        <v>1</v>
      </c>
      <c r="E138" s="842">
        <v>44750</v>
      </c>
    </row>
    <row r="139" spans="1:5" s="51" customFormat="1" ht="13.5" customHeight="1" x14ac:dyDescent="0.3">
      <c r="A139" s="13"/>
      <c r="B139" s="49"/>
      <c r="C139" s="370" t="s">
        <v>8236</v>
      </c>
      <c r="D139" s="930">
        <v>1</v>
      </c>
      <c r="E139" s="842">
        <v>44750</v>
      </c>
    </row>
    <row r="140" spans="1:5" s="51" customFormat="1" ht="13.5" customHeight="1" x14ac:dyDescent="0.3">
      <c r="A140" s="13"/>
      <c r="B140" s="49"/>
      <c r="C140" s="370" t="s">
        <v>8237</v>
      </c>
      <c r="D140" s="930">
        <v>1</v>
      </c>
      <c r="E140" s="842">
        <v>44750</v>
      </c>
    </row>
    <row r="141" spans="1:5" s="51" customFormat="1" ht="13.5" customHeight="1" x14ac:dyDescent="0.3">
      <c r="A141" s="13"/>
      <c r="B141" s="49"/>
      <c r="C141" s="370" t="s">
        <v>8238</v>
      </c>
      <c r="D141" s="930">
        <v>1</v>
      </c>
      <c r="E141" s="842">
        <v>44750</v>
      </c>
    </row>
    <row r="142" spans="1:5" s="51" customFormat="1" ht="13.5" customHeight="1" x14ac:dyDescent="0.3">
      <c r="A142" s="13"/>
      <c r="B142" s="49"/>
      <c r="C142" s="370" t="s">
        <v>8239</v>
      </c>
      <c r="D142" s="930">
        <v>0</v>
      </c>
      <c r="E142" s="842">
        <v>44750</v>
      </c>
    </row>
    <row r="143" spans="1:5" s="51" customFormat="1" ht="13.5" customHeight="1" x14ac:dyDescent="0.3">
      <c r="A143" s="13"/>
      <c r="B143" s="49"/>
      <c r="C143" s="370" t="s">
        <v>8240</v>
      </c>
      <c r="D143" s="930">
        <v>0</v>
      </c>
      <c r="E143" s="842">
        <v>44750</v>
      </c>
    </row>
    <row r="144" spans="1:5" s="51" customFormat="1" ht="13.5" customHeight="1" x14ac:dyDescent="0.3">
      <c r="A144" s="13"/>
      <c r="B144" s="49"/>
      <c r="C144" s="370" t="s">
        <v>8241</v>
      </c>
      <c r="D144" s="930">
        <v>1</v>
      </c>
      <c r="E144" s="842">
        <v>44750</v>
      </c>
    </row>
    <row r="145" spans="1:5" s="18" customFormat="1" ht="13.5" customHeight="1" x14ac:dyDescent="0.3">
      <c r="A145" s="290"/>
      <c r="B145" s="45" t="s">
        <v>6419</v>
      </c>
      <c r="C145" s="45" t="s">
        <v>7712</v>
      </c>
      <c r="D145" s="327"/>
      <c r="E145" s="328"/>
    </row>
    <row r="146" spans="1:5" s="51" customFormat="1" ht="13.5" customHeight="1" x14ac:dyDescent="0.3">
      <c r="A146" s="13"/>
      <c r="B146" s="49"/>
      <c r="C146" s="370" t="s">
        <v>8165</v>
      </c>
      <c r="D146" s="930">
        <v>1</v>
      </c>
      <c r="E146" s="69"/>
    </row>
    <row r="147" spans="1:5" s="51" customFormat="1" ht="13.5" customHeight="1" x14ac:dyDescent="0.3">
      <c r="A147" s="13"/>
      <c r="B147" s="49"/>
      <c r="C147" s="370" t="s">
        <v>8166</v>
      </c>
      <c r="D147" s="930">
        <v>1</v>
      </c>
      <c r="E147" s="69"/>
    </row>
    <row r="148" spans="1:5" s="51" customFormat="1" ht="13.5" customHeight="1" x14ac:dyDescent="0.3">
      <c r="A148" s="13"/>
      <c r="B148" s="49"/>
      <c r="C148" s="370" t="s">
        <v>8167</v>
      </c>
      <c r="D148" s="930">
        <v>1</v>
      </c>
      <c r="E148" s="69"/>
    </row>
    <row r="149" spans="1:5" s="51" customFormat="1" ht="13.5" customHeight="1" x14ac:dyDescent="0.3">
      <c r="A149" s="13"/>
      <c r="B149" s="49"/>
      <c r="C149" s="370" t="s">
        <v>8168</v>
      </c>
      <c r="D149" s="930">
        <v>1</v>
      </c>
      <c r="E149" s="69"/>
    </row>
    <row r="150" spans="1:5" s="51" customFormat="1" ht="13.5" customHeight="1" x14ac:dyDescent="0.3">
      <c r="A150" s="13"/>
      <c r="B150" s="49"/>
      <c r="C150" s="370" t="s">
        <v>8169</v>
      </c>
      <c r="D150" s="930">
        <v>1</v>
      </c>
      <c r="E150" s="69"/>
    </row>
    <row r="151" spans="1:5" s="51" customFormat="1" ht="13.5" customHeight="1" x14ac:dyDescent="0.3">
      <c r="A151" s="13"/>
      <c r="B151" s="49"/>
      <c r="C151" s="370" t="s">
        <v>8170</v>
      </c>
      <c r="D151" s="930">
        <v>1</v>
      </c>
      <c r="E151" s="69"/>
    </row>
    <row r="152" spans="1:5" s="51" customFormat="1" ht="13.5" customHeight="1" x14ac:dyDescent="0.3">
      <c r="A152" s="13"/>
      <c r="B152" s="49"/>
      <c r="C152" s="370" t="s">
        <v>8171</v>
      </c>
      <c r="D152" s="930">
        <v>1</v>
      </c>
      <c r="E152" s="69"/>
    </row>
    <row r="153" spans="1:5" s="51" customFormat="1" ht="13.5" customHeight="1" x14ac:dyDescent="0.3">
      <c r="A153" s="13"/>
      <c r="B153" s="49"/>
      <c r="C153" s="370" t="s">
        <v>8172</v>
      </c>
      <c r="D153" s="930">
        <v>1</v>
      </c>
      <c r="E153" s="69"/>
    </row>
    <row r="154" spans="1:5" s="18" customFormat="1" ht="13.5" customHeight="1" x14ac:dyDescent="0.3">
      <c r="A154" s="290"/>
      <c r="B154" s="45" t="s">
        <v>7713</v>
      </c>
      <c r="C154" s="45" t="s">
        <v>7826</v>
      </c>
      <c r="D154" s="327"/>
      <c r="E154" s="328"/>
    </row>
    <row r="155" spans="1:5" s="51" customFormat="1" ht="13.5" customHeight="1" x14ac:dyDescent="0.3">
      <c r="A155" s="13"/>
      <c r="B155" s="49"/>
      <c r="C155" s="370" t="s">
        <v>8196</v>
      </c>
      <c r="D155" s="930">
        <v>7</v>
      </c>
      <c r="E155" s="69"/>
    </row>
    <row r="156" spans="1:5" s="51" customFormat="1" ht="13.5" customHeight="1" x14ac:dyDescent="0.3">
      <c r="A156" s="13"/>
      <c r="B156" s="49"/>
      <c r="C156" s="370" t="s">
        <v>8197</v>
      </c>
      <c r="D156" s="930">
        <v>12</v>
      </c>
      <c r="E156" s="69"/>
    </row>
    <row r="157" spans="1:5" s="51" customFormat="1" ht="13.5" customHeight="1" x14ac:dyDescent="0.3">
      <c r="A157" s="13"/>
      <c r="B157" s="49"/>
      <c r="C157" s="370" t="s">
        <v>8198</v>
      </c>
      <c r="D157" s="930">
        <v>11</v>
      </c>
      <c r="E157" s="69"/>
    </row>
    <row r="158" spans="1:5" s="51" customFormat="1" ht="13.5" customHeight="1" x14ac:dyDescent="0.3">
      <c r="A158" s="13"/>
      <c r="B158" s="49"/>
      <c r="C158" s="370" t="s">
        <v>8199</v>
      </c>
      <c r="D158" s="930">
        <v>10</v>
      </c>
      <c r="E158" s="69"/>
    </row>
    <row r="159" spans="1:5" s="51" customFormat="1" ht="13.5" customHeight="1" x14ac:dyDescent="0.3">
      <c r="A159" s="13"/>
      <c r="B159" s="49"/>
      <c r="C159" s="370" t="s">
        <v>8200</v>
      </c>
      <c r="D159" s="930">
        <v>9</v>
      </c>
      <c r="E159" s="69"/>
    </row>
    <row r="160" spans="1:5" s="51" customFormat="1" ht="13.5" customHeight="1" x14ac:dyDescent="0.3">
      <c r="A160" s="13"/>
      <c r="B160" s="49"/>
      <c r="C160" s="370" t="s">
        <v>8201</v>
      </c>
      <c r="D160" s="930">
        <v>5</v>
      </c>
      <c r="E160" s="69"/>
    </row>
    <row r="161" spans="1:5" s="51" customFormat="1" ht="13.5" customHeight="1" x14ac:dyDescent="0.3">
      <c r="A161" s="13"/>
      <c r="B161" s="49"/>
      <c r="C161" s="370" t="s">
        <v>8202</v>
      </c>
      <c r="D161" s="930">
        <v>7</v>
      </c>
      <c r="E161" s="69"/>
    </row>
    <row r="162" spans="1:5" s="51" customFormat="1" ht="13.5" customHeight="1" x14ac:dyDescent="0.3">
      <c r="A162" s="13"/>
      <c r="B162" s="49"/>
      <c r="C162" s="370" t="s">
        <v>8203</v>
      </c>
      <c r="D162" s="930">
        <v>7</v>
      </c>
      <c r="E162" s="69"/>
    </row>
    <row r="163" spans="1:5" s="51" customFormat="1" ht="13.5" customHeight="1" x14ac:dyDescent="0.3">
      <c r="A163" s="13"/>
      <c r="B163" s="49"/>
      <c r="C163" s="370" t="s">
        <v>8204</v>
      </c>
      <c r="D163" s="930">
        <v>7</v>
      </c>
      <c r="E163" s="69"/>
    </row>
    <row r="164" spans="1:5" s="51" customFormat="1" ht="13.5" customHeight="1" x14ac:dyDescent="0.3">
      <c r="A164" s="13"/>
      <c r="B164" s="49"/>
      <c r="C164" s="370" t="s">
        <v>8205</v>
      </c>
      <c r="D164" s="930">
        <v>6</v>
      </c>
      <c r="E164" s="69"/>
    </row>
    <row r="165" spans="1:5" s="51" customFormat="1" ht="13.5" customHeight="1" x14ac:dyDescent="0.3">
      <c r="A165" s="13"/>
      <c r="B165" s="49"/>
      <c r="C165" s="370" t="s">
        <v>8206</v>
      </c>
      <c r="D165" s="930">
        <v>7</v>
      </c>
      <c r="E165" s="69"/>
    </row>
    <row r="166" spans="1:5" s="51" customFormat="1" ht="13.5" customHeight="1" x14ac:dyDescent="0.3">
      <c r="A166" s="13"/>
      <c r="B166" s="49"/>
      <c r="C166" s="370" t="s">
        <v>8207</v>
      </c>
      <c r="D166" s="930">
        <v>6</v>
      </c>
      <c r="E166" s="69"/>
    </row>
    <row r="167" spans="1:5" s="51" customFormat="1" ht="13.5" customHeight="1" x14ac:dyDescent="0.3">
      <c r="A167" s="13"/>
      <c r="B167" s="49"/>
      <c r="C167" s="370" t="s">
        <v>8208</v>
      </c>
      <c r="D167" s="930">
        <v>5</v>
      </c>
      <c r="E167" s="69"/>
    </row>
    <row r="168" spans="1:5" s="51" customFormat="1" ht="13.5" customHeight="1" x14ac:dyDescent="0.3">
      <c r="A168" s="13"/>
      <c r="B168" s="49"/>
      <c r="C168" s="370" t="s">
        <v>8209</v>
      </c>
      <c r="D168" s="930">
        <v>4</v>
      </c>
      <c r="E168" s="69"/>
    </row>
    <row r="169" spans="1:5" s="51" customFormat="1" ht="13.5" customHeight="1" x14ac:dyDescent="0.3">
      <c r="A169" s="13"/>
      <c r="B169" s="49"/>
      <c r="C169" s="370" t="s">
        <v>8210</v>
      </c>
      <c r="D169" s="930">
        <v>5</v>
      </c>
      <c r="E169" s="69"/>
    </row>
    <row r="170" spans="1:5" s="51" customFormat="1" ht="13.5" customHeight="1" x14ac:dyDescent="0.3">
      <c r="A170" s="13"/>
      <c r="B170" s="49"/>
      <c r="C170" s="370" t="s">
        <v>8211</v>
      </c>
      <c r="D170" s="930">
        <v>4</v>
      </c>
      <c r="E170" s="69"/>
    </row>
    <row r="171" spans="1:5" s="51" customFormat="1" ht="13.5" customHeight="1" x14ac:dyDescent="0.3">
      <c r="A171" s="13"/>
      <c r="B171" s="49"/>
      <c r="C171" s="370" t="s">
        <v>8212</v>
      </c>
      <c r="D171" s="930">
        <v>4</v>
      </c>
      <c r="E171" s="69"/>
    </row>
    <row r="172" spans="1:5" s="51" customFormat="1" ht="13.5" customHeight="1" x14ac:dyDescent="0.3">
      <c r="A172" s="13"/>
      <c r="B172" s="49"/>
      <c r="C172" s="370" t="s">
        <v>8213</v>
      </c>
      <c r="D172" s="930">
        <v>4</v>
      </c>
      <c r="E172" s="69"/>
    </row>
    <row r="173" spans="1:5" s="51" customFormat="1" ht="13.5" customHeight="1" x14ac:dyDescent="0.3">
      <c r="A173" s="13"/>
      <c r="B173" s="49"/>
      <c r="C173" s="370" t="s">
        <v>8214</v>
      </c>
      <c r="D173" s="930">
        <v>4</v>
      </c>
      <c r="E173" s="69"/>
    </row>
    <row r="174" spans="1:5" s="51" customFormat="1" ht="13.5" customHeight="1" x14ac:dyDescent="0.3">
      <c r="A174" s="13"/>
      <c r="B174" s="49"/>
      <c r="C174" s="370" t="s">
        <v>8215</v>
      </c>
      <c r="D174" s="930">
        <v>4</v>
      </c>
      <c r="E174" s="69"/>
    </row>
    <row r="175" spans="1:5" s="51" customFormat="1" ht="13.5" customHeight="1" x14ac:dyDescent="0.3">
      <c r="A175" s="13"/>
      <c r="B175" s="49"/>
      <c r="C175" s="370" t="s">
        <v>8216</v>
      </c>
      <c r="D175" s="930">
        <v>4</v>
      </c>
      <c r="E175" s="69"/>
    </row>
    <row r="176" spans="1:5" s="51" customFormat="1" ht="13.5" customHeight="1" x14ac:dyDescent="0.3">
      <c r="A176" s="13"/>
      <c r="B176" s="49"/>
      <c r="C176" s="370" t="s">
        <v>8217</v>
      </c>
      <c r="D176" s="930">
        <v>3</v>
      </c>
      <c r="E176" s="69"/>
    </row>
    <row r="177" spans="1:5" s="51" customFormat="1" ht="13.5" customHeight="1" x14ac:dyDescent="0.3">
      <c r="A177" s="13"/>
      <c r="B177" s="49"/>
      <c r="C177" s="370" t="s">
        <v>8218</v>
      </c>
      <c r="D177" s="930">
        <v>2</v>
      </c>
      <c r="E177" s="69"/>
    </row>
    <row r="178" spans="1:5" s="51" customFormat="1" ht="13.5" customHeight="1" x14ac:dyDescent="0.3">
      <c r="A178" s="13"/>
      <c r="B178" s="49"/>
      <c r="C178" s="370" t="s">
        <v>8219</v>
      </c>
      <c r="D178" s="930">
        <v>4</v>
      </c>
      <c r="E178" s="69"/>
    </row>
    <row r="179" spans="1:5" s="51" customFormat="1" ht="13.5" customHeight="1" x14ac:dyDescent="0.3">
      <c r="A179" s="13"/>
      <c r="B179" s="49"/>
      <c r="C179" s="370" t="s">
        <v>8220</v>
      </c>
      <c r="D179" s="930">
        <v>4</v>
      </c>
      <c r="E179" s="69"/>
    </row>
    <row r="180" spans="1:5" s="51" customFormat="1" ht="13.5" customHeight="1" x14ac:dyDescent="0.3">
      <c r="A180" s="13"/>
      <c r="B180" s="49"/>
      <c r="C180" s="370" t="s">
        <v>8221</v>
      </c>
      <c r="D180" s="930">
        <v>0</v>
      </c>
      <c r="E180" s="69"/>
    </row>
    <row r="181" spans="1:5" s="18" customFormat="1" ht="13.5" customHeight="1" x14ac:dyDescent="0.3">
      <c r="A181" s="290"/>
      <c r="B181" s="45" t="s">
        <v>7828</v>
      </c>
      <c r="C181" s="45" t="s">
        <v>8192</v>
      </c>
      <c r="D181" s="327"/>
      <c r="E181" s="328"/>
    </row>
    <row r="182" spans="1:5" s="51" customFormat="1" ht="13.5" customHeight="1" x14ac:dyDescent="0.3">
      <c r="A182" s="13"/>
      <c r="B182" s="49"/>
      <c r="C182" s="370" t="s">
        <v>8222</v>
      </c>
      <c r="D182" s="930">
        <v>1</v>
      </c>
      <c r="E182" s="69"/>
    </row>
    <row r="183" spans="1:5" s="18" customFormat="1" ht="13.5" customHeight="1" x14ac:dyDescent="0.3">
      <c r="A183" s="290"/>
      <c r="B183" s="45" t="s">
        <v>7829</v>
      </c>
      <c r="C183" s="45" t="s">
        <v>8195</v>
      </c>
      <c r="D183" s="327"/>
      <c r="E183" s="328"/>
    </row>
    <row r="184" spans="1:5" s="51" customFormat="1" ht="13.5" customHeight="1" x14ac:dyDescent="0.3">
      <c r="A184" s="13"/>
      <c r="B184" s="49"/>
      <c r="C184" s="370" t="s">
        <v>8193</v>
      </c>
      <c r="D184" s="930">
        <v>0</v>
      </c>
      <c r="E184" s="69"/>
    </row>
    <row r="185" spans="1:5" s="51" customFormat="1" ht="13.5" customHeight="1" x14ac:dyDescent="0.3">
      <c r="A185" s="13"/>
      <c r="B185" s="49"/>
      <c r="C185" s="370" t="s">
        <v>8194</v>
      </c>
      <c r="D185" s="930">
        <v>1</v>
      </c>
      <c r="E185" s="69"/>
    </row>
    <row r="186" spans="1:5" s="18" customFormat="1" ht="13.5" customHeight="1" x14ac:dyDescent="0.3">
      <c r="A186" s="290"/>
      <c r="B186" s="45" t="s">
        <v>8223</v>
      </c>
      <c r="C186" s="45" t="s">
        <v>1152</v>
      </c>
      <c r="D186" s="327"/>
      <c r="E186" s="328"/>
    </row>
    <row r="187" spans="1:5" s="51" customFormat="1" ht="13.5" customHeight="1" x14ac:dyDescent="0.3">
      <c r="A187" s="13"/>
      <c r="B187" s="49"/>
      <c r="C187" s="370" t="s">
        <v>8224</v>
      </c>
      <c r="D187" s="930">
        <v>0</v>
      </c>
      <c r="E187" s="69"/>
    </row>
    <row r="188" spans="1:5" s="51" customFormat="1" ht="13.5" customHeight="1" x14ac:dyDescent="0.3">
      <c r="A188" s="13"/>
      <c r="B188" s="49"/>
      <c r="C188" s="370" t="s">
        <v>8225</v>
      </c>
      <c r="D188" s="930">
        <v>0</v>
      </c>
      <c r="E188" s="69"/>
    </row>
    <row r="189" spans="1:5" s="51" customFormat="1" ht="13.5" customHeight="1" x14ac:dyDescent="0.3">
      <c r="A189" s="13"/>
      <c r="B189" s="49"/>
      <c r="C189" s="370" t="s">
        <v>8226</v>
      </c>
      <c r="D189" s="930">
        <v>0</v>
      </c>
      <c r="E189" s="69"/>
    </row>
    <row r="190" spans="1:5" s="51" customFormat="1" ht="13.5" customHeight="1" x14ac:dyDescent="0.3">
      <c r="A190" s="13"/>
      <c r="B190" s="49"/>
      <c r="C190" s="370" t="s">
        <v>8227</v>
      </c>
      <c r="D190" s="930">
        <v>0</v>
      </c>
      <c r="E190" s="69"/>
    </row>
    <row r="191" spans="1:5" s="51" customFormat="1" ht="13.5" customHeight="1" x14ac:dyDescent="0.3">
      <c r="A191" s="13"/>
      <c r="B191" s="49"/>
      <c r="C191" s="370" t="s">
        <v>8228</v>
      </c>
      <c r="D191" s="930">
        <v>0</v>
      </c>
      <c r="E191" s="69"/>
    </row>
    <row r="192" spans="1:5" s="51" customFormat="1" ht="13.5" customHeight="1" x14ac:dyDescent="0.3">
      <c r="A192" s="13"/>
      <c r="B192" s="49"/>
      <c r="C192" s="370" t="s">
        <v>8229</v>
      </c>
      <c r="D192" s="930">
        <v>0</v>
      </c>
      <c r="E192" s="69"/>
    </row>
    <row r="193" spans="1:5" s="51" customFormat="1" ht="13.5" customHeight="1" x14ac:dyDescent="0.3">
      <c r="A193" s="13"/>
      <c r="B193" s="49"/>
      <c r="C193" s="370" t="s">
        <v>8230</v>
      </c>
      <c r="D193" s="930">
        <v>0</v>
      </c>
      <c r="E193" s="69"/>
    </row>
    <row r="194" spans="1:5" s="592" customFormat="1" ht="13.5" customHeight="1" x14ac:dyDescent="0.3">
      <c r="A194" s="478"/>
      <c r="B194" s="390" t="s">
        <v>358</v>
      </c>
      <c r="C194" s="390" t="s">
        <v>7714</v>
      </c>
      <c r="D194" s="323"/>
      <c r="E194" s="324"/>
    </row>
    <row r="195" spans="1:5" s="51" customFormat="1" ht="13.5" customHeight="1" x14ac:dyDescent="0.3">
      <c r="A195" s="13"/>
      <c r="B195" s="49"/>
      <c r="C195" s="370" t="s">
        <v>8131</v>
      </c>
      <c r="D195" s="930">
        <v>0</v>
      </c>
      <c r="E195" s="69"/>
    </row>
    <row r="196" spans="1:5" s="592" customFormat="1" ht="13.5" customHeight="1" x14ac:dyDescent="0.3">
      <c r="A196" s="478"/>
      <c r="B196" s="390" t="s">
        <v>343</v>
      </c>
      <c r="C196" s="390" t="s">
        <v>8281</v>
      </c>
      <c r="D196" s="323"/>
      <c r="E196" s="324"/>
    </row>
    <row r="197" spans="1:5" s="51" customFormat="1" ht="13.5" customHeight="1" x14ac:dyDescent="0.3">
      <c r="A197" s="13"/>
      <c r="B197" s="49"/>
      <c r="C197" s="370" t="s">
        <v>8282</v>
      </c>
      <c r="D197" s="930">
        <v>0</v>
      </c>
      <c r="E197" s="69"/>
    </row>
    <row r="198" spans="1:5" s="51" customFormat="1" ht="13.5" customHeight="1" x14ac:dyDescent="0.3">
      <c r="A198" s="13"/>
      <c r="B198" s="49"/>
      <c r="C198" s="370" t="s">
        <v>8283</v>
      </c>
      <c r="D198" s="930">
        <v>1</v>
      </c>
      <c r="E198" s="69"/>
    </row>
    <row r="199" spans="1:5" s="51" customFormat="1" ht="13.5" customHeight="1" x14ac:dyDescent="0.3">
      <c r="A199" s="13"/>
      <c r="B199" s="49"/>
      <c r="C199" s="370" t="s">
        <v>8284</v>
      </c>
      <c r="D199" s="930">
        <v>0</v>
      </c>
      <c r="E199" s="69"/>
    </row>
    <row r="200" spans="1:5" s="51" customFormat="1" ht="13.5" customHeight="1" x14ac:dyDescent="0.3">
      <c r="A200" s="13"/>
      <c r="B200" s="49"/>
      <c r="C200" s="370" t="s">
        <v>8285</v>
      </c>
      <c r="D200" s="930">
        <v>1</v>
      </c>
      <c r="E200" s="69"/>
    </row>
    <row r="201" spans="1:5" s="592" customFormat="1" ht="13.5" customHeight="1" x14ac:dyDescent="0.3">
      <c r="A201" s="478"/>
      <c r="B201" s="390" t="s">
        <v>344</v>
      </c>
      <c r="C201" s="390" t="s">
        <v>7715</v>
      </c>
      <c r="D201" s="323"/>
      <c r="E201" s="324"/>
    </row>
    <row r="202" spans="1:5" s="51" customFormat="1" ht="13.5" customHeight="1" x14ac:dyDescent="0.3">
      <c r="A202" s="13"/>
      <c r="B202" s="49"/>
      <c r="C202" s="370" t="s">
        <v>8130</v>
      </c>
      <c r="D202" s="930">
        <v>1</v>
      </c>
      <c r="E202" s="69"/>
    </row>
    <row r="203" spans="1:5" s="592" customFormat="1" ht="13.5" customHeight="1" x14ac:dyDescent="0.3">
      <c r="A203" s="478"/>
      <c r="B203" s="390" t="s">
        <v>345</v>
      </c>
      <c r="C203" s="390" t="s">
        <v>7716</v>
      </c>
      <c r="D203" s="323"/>
      <c r="E203" s="324"/>
    </row>
    <row r="204" spans="1:5" s="51" customFormat="1" x14ac:dyDescent="0.3">
      <c r="A204" s="13"/>
      <c r="B204" s="49"/>
      <c r="C204" s="370" t="s">
        <v>8148</v>
      </c>
      <c r="D204" s="930">
        <v>9</v>
      </c>
      <c r="E204" s="842">
        <v>44729</v>
      </c>
    </row>
    <row r="205" spans="1:5" s="51" customFormat="1" x14ac:dyDescent="0.3">
      <c r="A205" s="13"/>
      <c r="B205" s="49"/>
      <c r="C205" s="370" t="s">
        <v>8149</v>
      </c>
      <c r="D205" s="930">
        <v>9</v>
      </c>
      <c r="E205" s="842">
        <v>44729</v>
      </c>
    </row>
    <row r="206" spans="1:5" s="51" customFormat="1" x14ac:dyDescent="0.3">
      <c r="A206" s="13"/>
      <c r="B206" s="49"/>
      <c r="C206" s="370" t="s">
        <v>8150</v>
      </c>
      <c r="D206" s="930">
        <v>9</v>
      </c>
      <c r="E206" s="842">
        <v>44729</v>
      </c>
    </row>
    <row r="207" spans="1:5" s="51" customFormat="1" x14ac:dyDescent="0.3">
      <c r="A207" s="13"/>
      <c r="B207" s="49"/>
      <c r="C207" s="370" t="s">
        <v>8151</v>
      </c>
      <c r="D207" s="930">
        <v>9</v>
      </c>
      <c r="E207" s="842">
        <v>44729</v>
      </c>
    </row>
    <row r="208" spans="1:5" s="51" customFormat="1" x14ac:dyDescent="0.3">
      <c r="A208" s="13"/>
      <c r="B208" s="49"/>
      <c r="C208" s="370" t="s">
        <v>8152</v>
      </c>
      <c r="D208" s="930">
        <v>9</v>
      </c>
      <c r="E208" s="842">
        <v>44729</v>
      </c>
    </row>
    <row r="209" spans="1:5" s="51" customFormat="1" x14ac:dyDescent="0.3">
      <c r="A209" s="13"/>
      <c r="B209" s="49"/>
      <c r="C209" s="370" t="s">
        <v>8153</v>
      </c>
      <c r="D209" s="930">
        <v>9</v>
      </c>
      <c r="E209" s="842">
        <v>44729</v>
      </c>
    </row>
    <row r="210" spans="1:5" s="51" customFormat="1" x14ac:dyDescent="0.3">
      <c r="A210" s="13"/>
      <c r="B210" s="49"/>
      <c r="C210" s="370" t="s">
        <v>8154</v>
      </c>
      <c r="D210" s="930">
        <v>8</v>
      </c>
      <c r="E210" s="842">
        <v>44729</v>
      </c>
    </row>
    <row r="211" spans="1:5" s="51" customFormat="1" x14ac:dyDescent="0.3">
      <c r="A211" s="13"/>
      <c r="B211" s="49"/>
      <c r="C211" s="370" t="s">
        <v>7833</v>
      </c>
      <c r="D211" s="68" t="s">
        <v>7705</v>
      </c>
      <c r="E211" s="842">
        <v>44729</v>
      </c>
    </row>
    <row r="212" spans="1:5" s="51" customFormat="1" x14ac:dyDescent="0.3">
      <c r="A212" s="13"/>
      <c r="B212" s="49"/>
      <c r="C212" s="370" t="s">
        <v>7834</v>
      </c>
      <c r="D212" s="68" t="s">
        <v>7705</v>
      </c>
      <c r="E212" s="842">
        <v>44729</v>
      </c>
    </row>
    <row r="213" spans="1:5" s="51" customFormat="1" x14ac:dyDescent="0.3">
      <c r="A213" s="13"/>
      <c r="B213" s="49"/>
      <c r="C213" s="754" t="s">
        <v>7831</v>
      </c>
      <c r="D213" s="68" t="s">
        <v>7705</v>
      </c>
      <c r="E213" s="842">
        <v>44729</v>
      </c>
    </row>
    <row r="214" spans="1:5" s="51" customFormat="1" x14ac:dyDescent="0.3">
      <c r="A214" s="13"/>
      <c r="B214" s="49"/>
      <c r="C214" s="370" t="s">
        <v>7832</v>
      </c>
      <c r="D214" s="68" t="s">
        <v>7830</v>
      </c>
      <c r="E214" s="842">
        <v>44729</v>
      </c>
    </row>
    <row r="215" spans="1:5" s="51" customFormat="1" x14ac:dyDescent="0.3">
      <c r="A215" s="13"/>
      <c r="B215" s="49"/>
      <c r="C215" s="370" t="s">
        <v>7833</v>
      </c>
      <c r="D215" s="68" t="s">
        <v>7705</v>
      </c>
      <c r="E215" s="842">
        <v>44729</v>
      </c>
    </row>
    <row r="216" spans="1:5" s="51" customFormat="1" x14ac:dyDescent="0.3">
      <c r="A216" s="13"/>
      <c r="B216" s="49"/>
      <c r="C216" s="370" t="s">
        <v>7834</v>
      </c>
      <c r="D216" s="68" t="s">
        <v>7705</v>
      </c>
      <c r="E216" s="842">
        <v>44729</v>
      </c>
    </row>
    <row r="217" spans="1:5" s="592" customFormat="1" ht="13.5" customHeight="1" x14ac:dyDescent="0.3">
      <c r="A217" s="478"/>
      <c r="B217" s="390" t="s">
        <v>80</v>
      </c>
      <c r="C217" s="390" t="s">
        <v>7848</v>
      </c>
      <c r="D217" s="323"/>
      <c r="E217" s="324"/>
    </row>
    <row r="218" spans="1:5" s="51" customFormat="1" ht="13.5" customHeight="1" x14ac:dyDescent="0.3">
      <c r="A218" s="13"/>
      <c r="B218" s="49"/>
      <c r="C218" s="370" t="s">
        <v>8286</v>
      </c>
      <c r="D218" s="930">
        <v>0</v>
      </c>
      <c r="E218" s="69"/>
    </row>
    <row r="219" spans="1:5" s="51" customFormat="1" ht="13.5" customHeight="1" x14ac:dyDescent="0.3">
      <c r="A219" s="13"/>
      <c r="B219" s="49"/>
      <c r="C219" s="370" t="s">
        <v>8287</v>
      </c>
      <c r="D219" s="930">
        <v>0</v>
      </c>
      <c r="E219" s="69"/>
    </row>
    <row r="220" spans="1:5" s="51" customFormat="1" ht="13.5" customHeight="1" x14ac:dyDescent="0.3">
      <c r="A220" s="13"/>
      <c r="B220" s="49"/>
      <c r="C220" s="370" t="s">
        <v>8288</v>
      </c>
      <c r="D220" s="930">
        <v>0</v>
      </c>
      <c r="E220" s="69"/>
    </row>
    <row r="221" spans="1:5" s="51" customFormat="1" ht="13.5" customHeight="1" x14ac:dyDescent="0.3">
      <c r="A221" s="13"/>
      <c r="B221" s="49"/>
      <c r="C221" s="370" t="s">
        <v>8289</v>
      </c>
      <c r="D221" s="930">
        <v>0</v>
      </c>
      <c r="E221" s="69"/>
    </row>
    <row r="222" spans="1:5" s="51" customFormat="1" ht="13.5" customHeight="1" x14ac:dyDescent="0.3">
      <c r="A222" s="13"/>
      <c r="B222" s="49"/>
      <c r="C222" s="370" t="s">
        <v>8290</v>
      </c>
      <c r="D222" s="930">
        <v>0</v>
      </c>
      <c r="E222" s="69"/>
    </row>
    <row r="223" spans="1:5" s="592" customFormat="1" ht="13.5" customHeight="1" x14ac:dyDescent="0.3">
      <c r="A223" s="478"/>
      <c r="B223" s="390" t="s">
        <v>81</v>
      </c>
      <c r="C223" s="390" t="s">
        <v>7850</v>
      </c>
      <c r="D223" s="323"/>
      <c r="E223" s="324"/>
    </row>
    <row r="224" spans="1:5" s="51" customFormat="1" ht="13.2" customHeight="1" x14ac:dyDescent="0.3">
      <c r="A224" s="13"/>
      <c r="B224" s="49"/>
      <c r="C224" s="370" t="s">
        <v>7835</v>
      </c>
      <c r="D224" s="68" t="s">
        <v>7703</v>
      </c>
      <c r="E224" s="69"/>
    </row>
    <row r="225" spans="1:5" s="51" customFormat="1" ht="13.5" customHeight="1" x14ac:dyDescent="0.3">
      <c r="A225" s="13"/>
      <c r="B225" s="49"/>
      <c r="C225" s="370" t="s">
        <v>7836</v>
      </c>
      <c r="D225" s="68" t="s">
        <v>7703</v>
      </c>
      <c r="E225" s="69"/>
    </row>
    <row r="226" spans="1:5" s="51" customFormat="1" ht="13.5" customHeight="1" x14ac:dyDescent="0.3">
      <c r="A226" s="13"/>
      <c r="B226" s="49"/>
      <c r="C226" s="370" t="s">
        <v>7837</v>
      </c>
      <c r="D226" s="68" t="s">
        <v>7703</v>
      </c>
      <c r="E226" s="69"/>
    </row>
    <row r="227" spans="1:5" s="51" customFormat="1" ht="13.5" customHeight="1" x14ac:dyDescent="0.3">
      <c r="A227" s="13"/>
      <c r="B227" s="49"/>
      <c r="C227" s="370" t="s">
        <v>7838</v>
      </c>
      <c r="D227" s="68" t="s">
        <v>7703</v>
      </c>
      <c r="E227" s="69"/>
    </row>
    <row r="228" spans="1:5" s="51" customFormat="1" ht="13.5" customHeight="1" x14ac:dyDescent="0.3">
      <c r="A228" s="13"/>
      <c r="B228" s="49"/>
      <c r="C228" s="370" t="s">
        <v>7839</v>
      </c>
      <c r="D228" s="68" t="s">
        <v>7703</v>
      </c>
      <c r="E228" s="69"/>
    </row>
    <row r="229" spans="1:5" s="51" customFormat="1" ht="13.5" customHeight="1" x14ac:dyDescent="0.3">
      <c r="A229" s="13"/>
      <c r="B229" s="49"/>
      <c r="C229" s="370" t="s">
        <v>7840</v>
      </c>
      <c r="D229" s="68" t="s">
        <v>7703</v>
      </c>
      <c r="E229" s="69"/>
    </row>
    <row r="230" spans="1:5" s="51" customFormat="1" ht="13.2" customHeight="1" x14ac:dyDescent="0.3">
      <c r="A230" s="13"/>
      <c r="B230" s="49"/>
      <c r="C230" s="370" t="s">
        <v>7841</v>
      </c>
      <c r="D230" s="68" t="s">
        <v>7703</v>
      </c>
      <c r="E230" s="69"/>
    </row>
    <row r="231" spans="1:5" s="51" customFormat="1" ht="13.5" customHeight="1" x14ac:dyDescent="0.3">
      <c r="A231" s="13"/>
      <c r="B231" s="49"/>
      <c r="C231" s="370" t="s">
        <v>7842</v>
      </c>
      <c r="D231" s="68" t="s">
        <v>7707</v>
      </c>
      <c r="E231" s="69"/>
    </row>
    <row r="232" spans="1:5" s="51" customFormat="1" ht="13.5" customHeight="1" x14ac:dyDescent="0.3">
      <c r="A232" s="13"/>
      <c r="B232" s="49"/>
      <c r="C232" s="370" t="s">
        <v>7843</v>
      </c>
      <c r="D232" s="68" t="s">
        <v>7707</v>
      </c>
      <c r="E232" s="69"/>
    </row>
    <row r="233" spans="1:5" s="51" customFormat="1" ht="13.5" customHeight="1" x14ac:dyDescent="0.3">
      <c r="A233" s="13"/>
      <c r="B233" s="49"/>
      <c r="C233" s="370" t="s">
        <v>7844</v>
      </c>
      <c r="D233" s="68" t="s">
        <v>7707</v>
      </c>
      <c r="E233" s="69"/>
    </row>
    <row r="234" spans="1:5" s="51" customFormat="1" ht="13.5" customHeight="1" x14ac:dyDescent="0.3">
      <c r="A234" s="13"/>
      <c r="B234" s="49"/>
      <c r="C234" s="370" t="s">
        <v>7845</v>
      </c>
      <c r="D234" s="68" t="s">
        <v>7707</v>
      </c>
      <c r="E234" s="69"/>
    </row>
    <row r="235" spans="1:5" s="51" customFormat="1" ht="13.5" customHeight="1" x14ac:dyDescent="0.3">
      <c r="A235" s="13"/>
      <c r="B235" s="49"/>
      <c r="C235" s="370" t="s">
        <v>7846</v>
      </c>
      <c r="D235" s="68" t="s">
        <v>7707</v>
      </c>
      <c r="E235" s="69"/>
    </row>
    <row r="236" spans="1:5" s="51" customFormat="1" ht="13.5" customHeight="1" x14ac:dyDescent="0.3">
      <c r="A236" s="13"/>
      <c r="B236" s="49"/>
      <c r="C236" s="370" t="s">
        <v>7847</v>
      </c>
      <c r="D236" s="68" t="s">
        <v>7707</v>
      </c>
      <c r="E236" s="69"/>
    </row>
    <row r="237" spans="1:5" s="592" customFormat="1" ht="13.5" customHeight="1" x14ac:dyDescent="0.3">
      <c r="A237" s="478"/>
      <c r="B237" s="390" t="s">
        <v>82</v>
      </c>
      <c r="C237" s="390" t="s">
        <v>8319</v>
      </c>
      <c r="D237" s="323"/>
      <c r="E237" s="324"/>
    </row>
    <row r="238" spans="1:5" s="51" customFormat="1" ht="13.5" customHeight="1" x14ac:dyDescent="0.3">
      <c r="A238" s="13"/>
      <c r="B238" s="49"/>
      <c r="C238" s="370" t="s">
        <v>8320</v>
      </c>
      <c r="D238" s="930">
        <v>3</v>
      </c>
      <c r="E238" s="69"/>
    </row>
    <row r="239" spans="1:5" s="51" customFormat="1" ht="13.5" customHeight="1" x14ac:dyDescent="0.3">
      <c r="A239" s="13"/>
      <c r="B239" s="49"/>
      <c r="C239" s="370" t="s">
        <v>8321</v>
      </c>
      <c r="D239" s="930">
        <v>4</v>
      </c>
      <c r="E239" s="69"/>
    </row>
    <row r="240" spans="1:5" s="51" customFormat="1" ht="13.5" customHeight="1" x14ac:dyDescent="0.3">
      <c r="A240" s="13"/>
      <c r="B240" s="49"/>
      <c r="C240" s="370" t="s">
        <v>8322</v>
      </c>
      <c r="D240" s="930">
        <v>3</v>
      </c>
      <c r="E240" s="69"/>
    </row>
    <row r="241" spans="1:5" s="51" customFormat="1" ht="13.5" customHeight="1" x14ac:dyDescent="0.3">
      <c r="A241" s="13"/>
      <c r="B241" s="49"/>
      <c r="C241" s="370" t="s">
        <v>8323</v>
      </c>
      <c r="D241" s="930">
        <v>3</v>
      </c>
      <c r="E241" s="69"/>
    </row>
    <row r="242" spans="1:5" s="51" customFormat="1" ht="13.5" customHeight="1" x14ac:dyDescent="0.3">
      <c r="A242" s="13"/>
      <c r="B242" s="49"/>
      <c r="C242" s="370" t="s">
        <v>8324</v>
      </c>
      <c r="D242" s="930">
        <v>2</v>
      </c>
      <c r="E242" s="69"/>
    </row>
    <row r="243" spans="1:5" s="51" customFormat="1" ht="13.5" customHeight="1" x14ac:dyDescent="0.3">
      <c r="A243" s="13"/>
      <c r="B243" s="49"/>
      <c r="C243" s="370" t="s">
        <v>8325</v>
      </c>
      <c r="D243" s="930">
        <v>3</v>
      </c>
      <c r="E243" s="69"/>
    </row>
    <row r="244" spans="1:5" s="51" customFormat="1" ht="13.5" customHeight="1" x14ac:dyDescent="0.3">
      <c r="A244" s="13"/>
      <c r="B244" s="49"/>
      <c r="C244" s="370" t="s">
        <v>8326</v>
      </c>
      <c r="D244" s="930">
        <v>3</v>
      </c>
      <c r="E244" s="69"/>
    </row>
    <row r="245" spans="1:5" s="51" customFormat="1" ht="13.5" customHeight="1" x14ac:dyDescent="0.3">
      <c r="A245" s="13"/>
      <c r="B245" s="49"/>
      <c r="C245" s="370" t="s">
        <v>8327</v>
      </c>
      <c r="D245" s="930">
        <v>3</v>
      </c>
      <c r="E245" s="69"/>
    </row>
    <row r="246" spans="1:5" s="51" customFormat="1" ht="13.5" customHeight="1" x14ac:dyDescent="0.3">
      <c r="A246" s="13"/>
      <c r="B246" s="49"/>
      <c r="C246" s="370" t="s">
        <v>8328</v>
      </c>
      <c r="D246" s="930">
        <v>0</v>
      </c>
      <c r="E246" s="69"/>
    </row>
    <row r="247" spans="1:5" s="51" customFormat="1" ht="13.5" customHeight="1" x14ac:dyDescent="0.3">
      <c r="A247" s="13"/>
      <c r="B247" s="49"/>
      <c r="C247" s="370" t="s">
        <v>8329</v>
      </c>
      <c r="D247" s="930">
        <v>2</v>
      </c>
      <c r="E247" s="69"/>
    </row>
    <row r="248" spans="1:5" s="51" customFormat="1" ht="13.5" customHeight="1" x14ac:dyDescent="0.3">
      <c r="A248" s="13"/>
      <c r="B248" s="49"/>
      <c r="C248" s="370" t="s">
        <v>8330</v>
      </c>
      <c r="D248" s="930">
        <v>1</v>
      </c>
      <c r="E248" s="69"/>
    </row>
    <row r="249" spans="1:5" s="51" customFormat="1" ht="13.5" customHeight="1" x14ac:dyDescent="0.3">
      <c r="A249" s="13"/>
      <c r="B249" s="49"/>
      <c r="C249" s="370" t="s">
        <v>8331</v>
      </c>
      <c r="D249" s="930">
        <v>1</v>
      </c>
      <c r="E249" s="69"/>
    </row>
    <row r="250" spans="1:5" s="51" customFormat="1" ht="13.5" customHeight="1" x14ac:dyDescent="0.3">
      <c r="A250" s="13"/>
      <c r="B250" s="49"/>
      <c r="C250" s="370" t="s">
        <v>8332</v>
      </c>
      <c r="D250" s="930">
        <v>1</v>
      </c>
      <c r="E250" s="69"/>
    </row>
    <row r="251" spans="1:5" s="51" customFormat="1" ht="13.5" customHeight="1" x14ac:dyDescent="0.3">
      <c r="A251" s="13"/>
      <c r="B251" s="49"/>
      <c r="C251" s="370" t="s">
        <v>8333</v>
      </c>
      <c r="D251" s="930">
        <v>2</v>
      </c>
      <c r="E251" s="69"/>
    </row>
    <row r="252" spans="1:5" s="51" customFormat="1" ht="13.5" customHeight="1" x14ac:dyDescent="0.3">
      <c r="A252" s="13"/>
      <c r="B252" s="49"/>
      <c r="C252" s="370" t="s">
        <v>8334</v>
      </c>
      <c r="D252" s="930">
        <v>2</v>
      </c>
      <c r="E252" s="69"/>
    </row>
    <row r="253" spans="1:5" s="51" customFormat="1" ht="13.5" customHeight="1" x14ac:dyDescent="0.3">
      <c r="A253" s="13"/>
      <c r="B253" s="49"/>
      <c r="C253" s="370" t="s">
        <v>8335</v>
      </c>
      <c r="D253" s="930">
        <v>1</v>
      </c>
      <c r="E253" s="69"/>
    </row>
    <row r="254" spans="1:5" s="51" customFormat="1" ht="13.5" customHeight="1" x14ac:dyDescent="0.3">
      <c r="A254" s="13"/>
      <c r="B254" s="49"/>
      <c r="C254" s="370" t="s">
        <v>8336</v>
      </c>
      <c r="D254" s="930">
        <v>1</v>
      </c>
      <c r="E254" s="69"/>
    </row>
    <row r="255" spans="1:5" s="51" customFormat="1" ht="13.5" customHeight="1" x14ac:dyDescent="0.3">
      <c r="A255" s="13"/>
      <c r="B255" s="49"/>
      <c r="C255" s="370" t="s">
        <v>8337</v>
      </c>
      <c r="D255" s="930">
        <v>1</v>
      </c>
      <c r="E255" s="69"/>
    </row>
    <row r="256" spans="1:5" s="51" customFormat="1" ht="13.5" customHeight="1" x14ac:dyDescent="0.3">
      <c r="A256" s="13"/>
      <c r="B256" s="49"/>
      <c r="C256" s="370" t="s">
        <v>8338</v>
      </c>
      <c r="D256" s="930">
        <v>1</v>
      </c>
      <c r="E256" s="69"/>
    </row>
    <row r="257" spans="1:5" s="51" customFormat="1" ht="13.5" customHeight="1" x14ac:dyDescent="0.3">
      <c r="A257" s="13"/>
      <c r="B257" s="49"/>
      <c r="C257" s="370" t="s">
        <v>8339</v>
      </c>
      <c r="D257" s="930">
        <v>1</v>
      </c>
      <c r="E257" s="69"/>
    </row>
    <row r="258" spans="1:5" s="51" customFormat="1" ht="13.5" customHeight="1" x14ac:dyDescent="0.3">
      <c r="A258" s="13"/>
      <c r="B258" s="49"/>
      <c r="C258" s="370" t="s">
        <v>8340</v>
      </c>
      <c r="D258" s="930">
        <v>1</v>
      </c>
      <c r="E258" s="69"/>
    </row>
    <row r="259" spans="1:5" s="51" customFormat="1" ht="13.5" customHeight="1" x14ac:dyDescent="0.3">
      <c r="A259" s="13"/>
      <c r="B259" s="49"/>
      <c r="C259" s="370" t="s">
        <v>8341</v>
      </c>
      <c r="D259" s="930">
        <v>1</v>
      </c>
      <c r="E259" s="69"/>
    </row>
    <row r="260" spans="1:5" s="51" customFormat="1" ht="13.5" customHeight="1" x14ac:dyDescent="0.3">
      <c r="A260" s="13"/>
      <c r="B260" s="49"/>
      <c r="C260" s="370" t="s">
        <v>8342</v>
      </c>
      <c r="D260" s="930">
        <v>2</v>
      </c>
      <c r="E260" s="69"/>
    </row>
    <row r="261" spans="1:5" s="51" customFormat="1" ht="13.5" customHeight="1" x14ac:dyDescent="0.3">
      <c r="A261" s="13"/>
      <c r="B261" s="49"/>
      <c r="C261" s="370" t="s">
        <v>8343</v>
      </c>
      <c r="D261" s="930">
        <v>2</v>
      </c>
      <c r="E261" s="69"/>
    </row>
    <row r="262" spans="1:5" s="592" customFormat="1" ht="13.5" customHeight="1" x14ac:dyDescent="0.3">
      <c r="A262" s="478"/>
      <c r="B262" s="390" t="s">
        <v>275</v>
      </c>
      <c r="C262" s="390" t="s">
        <v>7849</v>
      </c>
      <c r="D262" s="323"/>
      <c r="E262" s="324"/>
    </row>
    <row r="263" spans="1:5" s="51" customFormat="1" ht="13.5" customHeight="1" x14ac:dyDescent="0.3">
      <c r="A263" s="13"/>
      <c r="B263" s="49"/>
      <c r="C263" s="370" t="s">
        <v>8295</v>
      </c>
      <c r="D263" s="930">
        <v>0</v>
      </c>
      <c r="E263" s="69"/>
    </row>
    <row r="264" spans="1:5" s="51" customFormat="1" ht="13.5" customHeight="1" x14ac:dyDescent="0.3">
      <c r="A264" s="13"/>
      <c r="B264" s="49"/>
      <c r="C264" s="370" t="s">
        <v>8296</v>
      </c>
      <c r="D264" s="930">
        <v>0</v>
      </c>
      <c r="E264" s="69"/>
    </row>
    <row r="265" spans="1:5" s="51" customFormat="1" ht="13.5" customHeight="1" x14ac:dyDescent="0.3">
      <c r="A265" s="13"/>
      <c r="B265" s="49"/>
      <c r="C265" s="370" t="s">
        <v>8297</v>
      </c>
      <c r="D265" s="930">
        <v>0</v>
      </c>
      <c r="E265" s="69"/>
    </row>
    <row r="266" spans="1:5" s="51" customFormat="1" ht="13.5" customHeight="1" x14ac:dyDescent="0.3">
      <c r="A266" s="13"/>
      <c r="B266" s="49"/>
      <c r="C266" s="370" t="s">
        <v>8298</v>
      </c>
      <c r="D266" s="930">
        <v>0</v>
      </c>
      <c r="E266" s="69"/>
    </row>
    <row r="267" spans="1:5" s="51" customFormat="1" ht="13.5" customHeight="1" x14ac:dyDescent="0.3">
      <c r="A267" s="13"/>
      <c r="B267" s="49"/>
      <c r="C267" s="370" t="s">
        <v>8299</v>
      </c>
      <c r="D267" s="930">
        <v>0</v>
      </c>
      <c r="E267" s="69"/>
    </row>
    <row r="268" spans="1:5" s="51" customFormat="1" ht="13.2" customHeight="1" x14ac:dyDescent="0.3">
      <c r="A268" s="13"/>
      <c r="B268" s="49"/>
      <c r="C268" s="370" t="s">
        <v>8300</v>
      </c>
      <c r="D268" s="930">
        <v>0</v>
      </c>
      <c r="E268" s="69"/>
    </row>
    <row r="269" spans="1:5" s="51" customFormat="1" ht="13.5" customHeight="1" x14ac:dyDescent="0.3">
      <c r="A269" s="13"/>
      <c r="B269" s="49"/>
      <c r="C269" s="370" t="s">
        <v>8301</v>
      </c>
      <c r="D269" s="930">
        <v>0</v>
      </c>
      <c r="E269" s="69"/>
    </row>
    <row r="270" spans="1:5" s="51" customFormat="1" ht="13.5" customHeight="1" x14ac:dyDescent="0.3">
      <c r="A270" s="13"/>
      <c r="B270" s="49"/>
      <c r="C270" s="370" t="s">
        <v>8302</v>
      </c>
      <c r="D270" s="930">
        <v>0</v>
      </c>
      <c r="E270" s="69"/>
    </row>
    <row r="271" spans="1:5" s="51" customFormat="1" ht="13.5" customHeight="1" x14ac:dyDescent="0.3">
      <c r="A271" s="13"/>
      <c r="B271" s="49"/>
      <c r="C271" s="370" t="s">
        <v>8303</v>
      </c>
      <c r="D271" s="930">
        <v>0</v>
      </c>
      <c r="E271" s="69"/>
    </row>
    <row r="272" spans="1:5" s="51" customFormat="1" ht="13.5" customHeight="1" x14ac:dyDescent="0.3">
      <c r="A272" s="13"/>
      <c r="B272" s="49"/>
      <c r="C272" s="370" t="s">
        <v>8304</v>
      </c>
      <c r="D272" s="930">
        <v>0</v>
      </c>
      <c r="E272" s="69"/>
    </row>
    <row r="273" spans="1:5" s="51" customFormat="1" ht="13.5" customHeight="1" x14ac:dyDescent="0.3">
      <c r="A273" s="13"/>
      <c r="B273" s="49"/>
      <c r="C273" s="370" t="s">
        <v>8305</v>
      </c>
      <c r="D273" s="930">
        <v>0</v>
      </c>
      <c r="E273" s="69"/>
    </row>
    <row r="274" spans="1:5" s="51" customFormat="1" ht="13.5" customHeight="1" x14ac:dyDescent="0.3">
      <c r="A274" s="13"/>
      <c r="B274" s="49"/>
      <c r="C274" s="370" t="s">
        <v>8306</v>
      </c>
      <c r="D274" s="930">
        <v>0</v>
      </c>
      <c r="E274" s="69"/>
    </row>
    <row r="275" spans="1:5" s="51" customFormat="1" ht="13.2" customHeight="1" x14ac:dyDescent="0.3">
      <c r="A275" s="13"/>
      <c r="B275" s="49"/>
      <c r="C275" s="370" t="s">
        <v>8307</v>
      </c>
      <c r="D275" s="930">
        <v>0</v>
      </c>
      <c r="E275" s="69"/>
    </row>
    <row r="276" spans="1:5" s="51" customFormat="1" ht="13.5" customHeight="1" x14ac:dyDescent="0.3">
      <c r="A276" s="13"/>
      <c r="B276" s="49"/>
      <c r="C276" s="370" t="s">
        <v>8308</v>
      </c>
      <c r="D276" s="930">
        <v>0</v>
      </c>
      <c r="E276" s="69"/>
    </row>
    <row r="277" spans="1:5" s="51" customFormat="1" ht="13.5" customHeight="1" x14ac:dyDescent="0.3">
      <c r="A277" s="13"/>
      <c r="B277" s="49"/>
      <c r="C277" s="370" t="s">
        <v>8309</v>
      </c>
      <c r="D277" s="930">
        <v>0</v>
      </c>
      <c r="E277" s="69"/>
    </row>
    <row r="278" spans="1:5" s="51" customFormat="1" ht="13.5" customHeight="1" x14ac:dyDescent="0.3">
      <c r="A278" s="13"/>
      <c r="B278" s="49"/>
      <c r="C278" s="370" t="s">
        <v>8310</v>
      </c>
      <c r="D278" s="930">
        <v>0</v>
      </c>
      <c r="E278" s="69"/>
    </row>
    <row r="279" spans="1:5" s="51" customFormat="1" ht="13.5" customHeight="1" x14ac:dyDescent="0.3">
      <c r="A279" s="13"/>
      <c r="B279" s="49"/>
      <c r="C279" s="370" t="s">
        <v>8311</v>
      </c>
      <c r="D279" s="930">
        <v>0</v>
      </c>
      <c r="E279" s="69"/>
    </row>
    <row r="280" spans="1:5" s="51" customFormat="1" ht="13.2" customHeight="1" x14ac:dyDescent="0.3">
      <c r="A280" s="13"/>
      <c r="B280" s="49"/>
      <c r="C280" s="370" t="s">
        <v>8312</v>
      </c>
      <c r="D280" s="930">
        <v>0</v>
      </c>
      <c r="E280" s="69"/>
    </row>
    <row r="281" spans="1:5" s="51" customFormat="1" ht="13.5" customHeight="1" x14ac:dyDescent="0.3">
      <c r="A281" s="13"/>
      <c r="B281" s="49"/>
      <c r="C281" s="370" t="s">
        <v>8313</v>
      </c>
      <c r="D281" s="930">
        <v>0</v>
      </c>
      <c r="E281" s="69"/>
    </row>
    <row r="282" spans="1:5" s="51" customFormat="1" ht="13.5" customHeight="1" x14ac:dyDescent="0.3">
      <c r="A282" s="13"/>
      <c r="B282" s="49"/>
      <c r="C282" s="370" t="s">
        <v>8314</v>
      </c>
      <c r="D282" s="930">
        <v>0</v>
      </c>
      <c r="E282" s="69"/>
    </row>
    <row r="283" spans="1:5" s="51" customFormat="1" ht="13.5" customHeight="1" x14ac:dyDescent="0.3">
      <c r="A283" s="13"/>
      <c r="B283" s="49"/>
      <c r="C283" s="370" t="s">
        <v>8315</v>
      </c>
      <c r="D283" s="930">
        <v>0</v>
      </c>
      <c r="E283" s="69"/>
    </row>
    <row r="284" spans="1:5" s="51" customFormat="1" ht="13.5" customHeight="1" x14ac:dyDescent="0.3">
      <c r="A284" s="13"/>
      <c r="B284" s="49"/>
      <c r="C284" s="370" t="s">
        <v>8316</v>
      </c>
      <c r="D284" s="930">
        <v>0</v>
      </c>
      <c r="E284" s="69"/>
    </row>
    <row r="285" spans="1:5" s="51" customFormat="1" ht="13.5" customHeight="1" x14ac:dyDescent="0.3">
      <c r="A285" s="13"/>
      <c r="B285" s="49"/>
      <c r="C285" s="370" t="s">
        <v>8317</v>
      </c>
      <c r="D285" s="930">
        <v>0</v>
      </c>
      <c r="E285" s="69"/>
    </row>
    <row r="286" spans="1:5" s="51" customFormat="1" ht="13.5" customHeight="1" x14ac:dyDescent="0.3">
      <c r="A286" s="13"/>
      <c r="B286" s="49"/>
      <c r="C286" s="370" t="s">
        <v>8318</v>
      </c>
      <c r="D286" s="930">
        <v>0</v>
      </c>
      <c r="E286" s="69"/>
    </row>
    <row r="287" spans="1:5" s="592" customFormat="1" ht="13.5" customHeight="1" x14ac:dyDescent="0.3">
      <c r="A287" s="478"/>
      <c r="B287" s="390" t="s">
        <v>301</v>
      </c>
      <c r="C287" s="390" t="s">
        <v>8129</v>
      </c>
      <c r="D287" s="323"/>
      <c r="E287" s="324"/>
    </row>
    <row r="288" spans="1:5" s="51" customFormat="1" ht="13.5" customHeight="1" x14ac:dyDescent="0.3">
      <c r="A288" s="13"/>
      <c r="B288" s="49"/>
      <c r="C288" s="370" t="s">
        <v>8132</v>
      </c>
      <c r="D288" s="930">
        <v>0</v>
      </c>
      <c r="E288" s="69"/>
    </row>
    <row r="289" spans="1:5" s="51" customFormat="1" ht="13.5" customHeight="1" x14ac:dyDescent="0.3">
      <c r="A289" s="13"/>
      <c r="B289" s="49"/>
      <c r="C289" s="370" t="s">
        <v>8133</v>
      </c>
      <c r="D289" s="930">
        <v>0</v>
      </c>
      <c r="E289" s="69"/>
    </row>
    <row r="290" spans="1:5" s="51" customFormat="1" ht="13.5" customHeight="1" x14ac:dyDescent="0.3">
      <c r="A290" s="13"/>
      <c r="B290" s="49"/>
      <c r="C290" s="370" t="s">
        <v>8134</v>
      </c>
      <c r="D290" s="930">
        <v>5</v>
      </c>
      <c r="E290" s="69"/>
    </row>
    <row r="291" spans="1:5" s="51" customFormat="1" ht="13.5" customHeight="1" x14ac:dyDescent="0.3">
      <c r="A291" s="13"/>
      <c r="B291" s="49"/>
      <c r="C291" s="370" t="s">
        <v>8135</v>
      </c>
      <c r="D291" s="930">
        <v>5</v>
      </c>
      <c r="E291" s="69"/>
    </row>
    <row r="292" spans="1:5" s="51" customFormat="1" ht="13.5" customHeight="1" x14ac:dyDescent="0.3">
      <c r="A292" s="13"/>
      <c r="B292" s="49"/>
      <c r="C292" s="370" t="s">
        <v>8136</v>
      </c>
      <c r="D292" s="930">
        <v>0</v>
      </c>
      <c r="E292" s="69"/>
    </row>
    <row r="293" spans="1:5" s="51" customFormat="1" ht="13.5" customHeight="1" x14ac:dyDescent="0.3">
      <c r="A293" s="13"/>
      <c r="B293" s="49"/>
      <c r="C293" s="370" t="s">
        <v>8137</v>
      </c>
      <c r="D293" s="930">
        <v>0</v>
      </c>
      <c r="E293" s="69"/>
    </row>
    <row r="294" spans="1:5" s="51" customFormat="1" ht="13.5" customHeight="1" x14ac:dyDescent="0.3">
      <c r="A294" s="13"/>
      <c r="B294" s="49"/>
      <c r="C294" s="370" t="s">
        <v>8138</v>
      </c>
      <c r="D294" s="930">
        <v>0</v>
      </c>
      <c r="E294" s="69"/>
    </row>
    <row r="295" spans="1:5" s="51" customFormat="1" ht="13.5" customHeight="1" x14ac:dyDescent="0.3">
      <c r="A295" s="13"/>
      <c r="B295" s="49"/>
      <c r="C295" s="370" t="s">
        <v>8139</v>
      </c>
      <c r="D295" s="930">
        <v>0</v>
      </c>
      <c r="E295" s="69"/>
    </row>
    <row r="296" spans="1:5" s="51" customFormat="1" ht="13.5" customHeight="1" x14ac:dyDescent="0.3">
      <c r="A296" s="13"/>
      <c r="B296" s="49"/>
      <c r="C296" s="370" t="s">
        <v>8140</v>
      </c>
      <c r="D296" s="930">
        <v>0</v>
      </c>
      <c r="E296" s="69"/>
    </row>
    <row r="297" spans="1:5" s="51" customFormat="1" ht="13.5" customHeight="1" x14ac:dyDescent="0.3">
      <c r="A297" s="13"/>
      <c r="B297" s="49"/>
      <c r="C297" s="370" t="s">
        <v>8141</v>
      </c>
      <c r="D297" s="930">
        <v>0</v>
      </c>
      <c r="E297" s="69"/>
    </row>
    <row r="298" spans="1:5" s="51" customFormat="1" ht="13.5" customHeight="1" x14ac:dyDescent="0.3">
      <c r="A298" s="13"/>
      <c r="B298" s="49"/>
      <c r="C298" s="370" t="s">
        <v>8142</v>
      </c>
      <c r="D298" s="930">
        <v>0</v>
      </c>
      <c r="E298" s="69"/>
    </row>
    <row r="299" spans="1:5" s="51" customFormat="1" ht="13.5" customHeight="1" x14ac:dyDescent="0.3">
      <c r="A299" s="13"/>
      <c r="B299" s="49"/>
      <c r="C299" s="370" t="s">
        <v>8143</v>
      </c>
      <c r="D299" s="930">
        <v>0</v>
      </c>
      <c r="E299" s="69"/>
    </row>
    <row r="300" spans="1:5" s="51" customFormat="1" ht="13.5" customHeight="1" x14ac:dyDescent="0.3">
      <c r="A300" s="13"/>
      <c r="B300" s="49"/>
      <c r="C300" s="370" t="s">
        <v>8144</v>
      </c>
      <c r="D300" s="930">
        <v>0</v>
      </c>
      <c r="E300" s="69"/>
    </row>
    <row r="301" spans="1:5" s="51" customFormat="1" ht="13.5" customHeight="1" x14ac:dyDescent="0.3">
      <c r="A301" s="13"/>
      <c r="B301" s="49"/>
      <c r="C301" s="370" t="s">
        <v>8145</v>
      </c>
      <c r="D301" s="930">
        <v>0</v>
      </c>
      <c r="E301" s="69"/>
    </row>
    <row r="302" spans="1:5" s="51" customFormat="1" ht="13.5" customHeight="1" x14ac:dyDescent="0.3">
      <c r="A302" s="13"/>
      <c r="B302" s="49"/>
      <c r="C302" s="370" t="s">
        <v>8146</v>
      </c>
      <c r="D302" s="930">
        <v>0</v>
      </c>
      <c r="E302" s="69"/>
    </row>
    <row r="303" spans="1:5" s="51" customFormat="1" ht="13.5" customHeight="1" x14ac:dyDescent="0.3">
      <c r="A303" s="13"/>
      <c r="B303" s="49"/>
      <c r="C303" s="370" t="s">
        <v>8147</v>
      </c>
      <c r="D303" s="930">
        <v>0</v>
      </c>
      <c r="E303" s="69"/>
    </row>
    <row r="304" spans="1:5" s="592" customFormat="1" ht="13.5" customHeight="1" x14ac:dyDescent="0.3">
      <c r="A304" s="478"/>
      <c r="B304" s="390" t="s">
        <v>319</v>
      </c>
      <c r="C304" s="390" t="s">
        <v>8291</v>
      </c>
      <c r="D304" s="323"/>
      <c r="E304" s="324"/>
    </row>
    <row r="305" spans="1:5" s="51" customFormat="1" ht="13.5" customHeight="1" x14ac:dyDescent="0.3">
      <c r="A305" s="13"/>
      <c r="B305" s="49"/>
      <c r="C305" s="370" t="s">
        <v>8292</v>
      </c>
      <c r="D305" s="930">
        <v>0</v>
      </c>
      <c r="E305" s="69"/>
    </row>
    <row r="306" spans="1:5" s="51" customFormat="1" ht="13.5" customHeight="1" x14ac:dyDescent="0.3">
      <c r="A306" s="13"/>
      <c r="B306" s="49"/>
      <c r="C306" s="370" t="s">
        <v>8293</v>
      </c>
      <c r="D306" s="930">
        <v>1</v>
      </c>
      <c r="E306" s="69"/>
    </row>
    <row r="307" spans="1:5" s="51" customFormat="1" ht="13.5" customHeight="1" x14ac:dyDescent="0.3">
      <c r="A307" s="13"/>
      <c r="B307" s="49"/>
      <c r="C307" s="370" t="s">
        <v>8294</v>
      </c>
      <c r="D307" s="930">
        <v>1</v>
      </c>
      <c r="E307" s="69"/>
    </row>
  </sheetData>
  <autoFilter ref="B5:E195" xr:uid="{B7410C54-8F7D-4A6A-B2E2-E31D1B075EAA}"/>
  <mergeCells count="1">
    <mergeCell ref="C1:E3"/>
  </mergeCells>
  <conditionalFormatting sqref="A1:A64850">
    <cfRule type="cellIs" dxfId="3" priority="1" operator="equal">
      <formula>2</formula>
    </cfRule>
  </conditionalFormatting>
  <printOptions horizontalCentered="1"/>
  <pageMargins left="0.70866141732283472" right="0.70866141732283472" top="0.47244094488188981" bottom="0.43307086614173229" header="0.31496062992125984" footer="0.31496062992125984"/>
  <pageSetup paperSize="9" scale="79" fitToHeight="3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S36"/>
  <sheetViews>
    <sheetView showGridLines="0" topLeftCell="A3" zoomScaleNormal="100" workbookViewId="0">
      <selection activeCell="L15" sqref="L15"/>
    </sheetView>
  </sheetViews>
  <sheetFormatPr defaultRowHeight="14.4" x14ac:dyDescent="0.3"/>
  <cols>
    <col min="2" max="2" width="2.6640625" customWidth="1"/>
    <col min="3" max="3" width="20.6640625" customWidth="1"/>
    <col min="4" max="4" width="10.44140625" customWidth="1"/>
    <col min="5" max="5" width="4.5546875" customWidth="1"/>
    <col min="6" max="6" width="1.6640625" customWidth="1"/>
    <col min="7" max="7" width="6" style="314" bestFit="1" customWidth="1"/>
    <col min="8" max="8" width="1.6640625" customWidth="1"/>
    <col min="9" max="9" width="10.44140625" customWidth="1"/>
    <col min="10" max="10" width="4.5546875" customWidth="1"/>
    <col min="11" max="11" width="2.6640625" customWidth="1"/>
    <col min="12" max="12" width="13.33203125" bestFit="1" customWidth="1"/>
    <col min="13" max="13" width="2.6640625" customWidth="1"/>
    <col min="14" max="14" width="9.5546875" bestFit="1" customWidth="1"/>
    <col min="15" max="15" width="2.6640625" customWidth="1"/>
    <col min="16" max="16" width="9.5546875" bestFit="1" customWidth="1"/>
    <col min="17" max="17" width="2.6640625" customWidth="1"/>
    <col min="18" max="18" width="14" bestFit="1" customWidth="1"/>
    <col min="19" max="19" width="2.6640625" customWidth="1"/>
  </cols>
  <sheetData>
    <row r="1" spans="2:19" ht="15" thickBot="1" x14ac:dyDescent="0.35"/>
    <row r="2" spans="2:19" x14ac:dyDescent="0.3">
      <c r="B2" s="564"/>
      <c r="C2" s="565"/>
      <c r="D2" s="565"/>
      <c r="E2" s="565"/>
      <c r="F2" s="565"/>
      <c r="G2" s="566"/>
      <c r="H2" s="565"/>
      <c r="I2" s="565"/>
      <c r="J2" s="565"/>
      <c r="K2" s="567"/>
    </row>
    <row r="3" spans="2:19" x14ac:dyDescent="0.3">
      <c r="B3" s="568"/>
      <c r="C3" s="1179" t="s">
        <v>7560</v>
      </c>
      <c r="D3" s="1179"/>
      <c r="E3" s="1179"/>
      <c r="F3" s="1178"/>
      <c r="G3" s="1178"/>
      <c r="H3" s="1178"/>
      <c r="I3" s="1178"/>
      <c r="J3" s="1178"/>
      <c r="K3" s="569"/>
    </row>
    <row r="4" spans="2:19" x14ac:dyDescent="0.3">
      <c r="B4" s="568"/>
      <c r="G4" s="570"/>
      <c r="K4" s="569"/>
    </row>
    <row r="5" spans="2:19" ht="15" thickBot="1" x14ac:dyDescent="0.35">
      <c r="B5" s="568"/>
      <c r="C5" s="571" t="s">
        <v>3525</v>
      </c>
      <c r="D5" s="572">
        <v>149</v>
      </c>
      <c r="E5" s="571" t="s">
        <v>73</v>
      </c>
      <c r="F5" s="570"/>
      <c r="G5" s="570"/>
      <c r="K5" s="569"/>
    </row>
    <row r="6" spans="2:19" x14ac:dyDescent="0.3">
      <c r="B6" s="568"/>
      <c r="D6" s="570"/>
      <c r="G6" s="570"/>
      <c r="K6" s="569"/>
      <c r="M6" s="564"/>
      <c r="N6" s="565"/>
      <c r="O6" s="565"/>
      <c r="P6" s="565"/>
      <c r="Q6" s="565"/>
      <c r="R6" s="565"/>
      <c r="S6" s="567"/>
    </row>
    <row r="7" spans="2:19" x14ac:dyDescent="0.3">
      <c r="B7" s="568"/>
      <c r="D7" s="1181" t="s">
        <v>2597</v>
      </c>
      <c r="E7" s="1181"/>
      <c r="G7" s="570"/>
      <c r="I7" s="1178" t="s">
        <v>3529</v>
      </c>
      <c r="J7" s="1178"/>
      <c r="K7" s="569"/>
      <c r="M7" s="580"/>
      <c r="N7" s="583" t="s">
        <v>3530</v>
      </c>
      <c r="O7" s="581"/>
      <c r="P7" s="583" t="s">
        <v>2824</v>
      </c>
      <c r="Q7" s="581"/>
      <c r="R7" s="583" t="s">
        <v>3531</v>
      </c>
      <c r="S7" s="582"/>
    </row>
    <row r="8" spans="2:19" x14ac:dyDescent="0.3">
      <c r="B8" s="568"/>
      <c r="C8" s="573"/>
      <c r="D8" s="574">
        <f>SUM(D10,D15,D19,D23,D26,D29,D32)</f>
        <v>1349.3300000000002</v>
      </c>
      <c r="E8" s="575" t="s">
        <v>73</v>
      </c>
      <c r="G8" s="570"/>
      <c r="I8" s="574">
        <f>SUM(I10,I15,I19,I23,I26,I29,I32)</f>
        <v>1412.0575000000001</v>
      </c>
      <c r="J8" s="575" t="s">
        <v>73</v>
      </c>
      <c r="K8" s="569"/>
      <c r="M8" s="580"/>
      <c r="N8" s="584"/>
      <c r="O8" s="581"/>
      <c r="P8" s="584"/>
      <c r="Q8" s="581"/>
      <c r="R8" s="584"/>
      <c r="S8" s="582"/>
    </row>
    <row r="9" spans="2:19" x14ac:dyDescent="0.3">
      <c r="B9" s="568"/>
      <c r="D9" s="570"/>
      <c r="G9" s="570"/>
      <c r="K9" s="569"/>
      <c r="L9" s="563"/>
      <c r="M9" s="568"/>
      <c r="N9" s="1180">
        <f>I8</f>
        <v>1412.0575000000001</v>
      </c>
      <c r="P9" s="570">
        <v>6500</v>
      </c>
      <c r="R9" s="585">
        <f>N9*P9</f>
        <v>9178373.75</v>
      </c>
      <c r="S9" s="569"/>
    </row>
    <row r="10" spans="2:19" x14ac:dyDescent="0.3">
      <c r="B10" s="568"/>
      <c r="C10" s="586" t="s">
        <v>3526</v>
      </c>
      <c r="D10" s="585">
        <f>SUM(D11:D13)</f>
        <v>149</v>
      </c>
      <c r="E10" s="586" t="s">
        <v>73</v>
      </c>
      <c r="G10" s="570"/>
      <c r="I10" s="585">
        <f>SUM(I11:I13)</f>
        <v>327.94499999999999</v>
      </c>
      <c r="J10" s="586" t="s">
        <v>73</v>
      </c>
      <c r="K10" s="569"/>
      <c r="L10" s="563"/>
      <c r="M10" s="568"/>
      <c r="N10" s="1180"/>
      <c r="P10" s="570"/>
      <c r="R10" s="563"/>
      <c r="S10" s="569"/>
    </row>
    <row r="11" spans="2:19" x14ac:dyDescent="0.3">
      <c r="B11" s="568"/>
      <c r="C11" t="s">
        <v>7416</v>
      </c>
      <c r="D11" s="570">
        <f>339.9+107.21+10.01</f>
        <v>457.11999999999995</v>
      </c>
      <c r="E11" t="s">
        <v>73</v>
      </c>
      <c r="G11" s="570">
        <v>1</v>
      </c>
      <c r="I11" s="570">
        <f>D11*G11</f>
        <v>457.11999999999995</v>
      </c>
      <c r="J11" t="s">
        <v>73</v>
      </c>
      <c r="K11" s="569"/>
      <c r="M11" s="568"/>
      <c r="N11" s="1180"/>
      <c r="P11" s="570">
        <v>7500</v>
      </c>
      <c r="R11" s="585">
        <f>N9*P11</f>
        <v>10590431.25</v>
      </c>
      <c r="S11" s="569"/>
    </row>
    <row r="12" spans="2:19" ht="15" thickBot="1" x14ac:dyDescent="0.35">
      <c r="B12" s="568"/>
      <c r="C12" t="s">
        <v>7461</v>
      </c>
      <c r="D12" s="570">
        <f>80.51+19.03</f>
        <v>99.54</v>
      </c>
      <c r="E12" t="s">
        <v>73</v>
      </c>
      <c r="G12" s="570">
        <v>0.75</v>
      </c>
      <c r="I12" s="570">
        <f>D12*G12</f>
        <v>74.655000000000001</v>
      </c>
      <c r="J12" t="s">
        <v>73</v>
      </c>
      <c r="K12" s="569"/>
      <c r="M12" s="576"/>
      <c r="N12" s="577"/>
      <c r="O12" s="577"/>
      <c r="P12" s="577"/>
      <c r="Q12" s="577"/>
      <c r="R12" s="577"/>
      <c r="S12" s="579"/>
    </row>
    <row r="13" spans="2:19" x14ac:dyDescent="0.3">
      <c r="B13" s="568"/>
      <c r="C13" t="s">
        <v>3524</v>
      </c>
      <c r="D13" s="570">
        <f>D5-D11-D12</f>
        <v>-407.65999999999997</v>
      </c>
      <c r="E13" t="s">
        <v>73</v>
      </c>
      <c r="G13" s="570">
        <v>0.5</v>
      </c>
      <c r="I13" s="570">
        <f>D13*G13</f>
        <v>-203.82999999999998</v>
      </c>
      <c r="J13" t="s">
        <v>73</v>
      </c>
      <c r="K13" s="569"/>
    </row>
    <row r="14" spans="2:19" x14ac:dyDescent="0.3">
      <c r="B14" s="568"/>
      <c r="D14" s="570"/>
      <c r="G14" s="570"/>
      <c r="I14" s="570"/>
      <c r="K14" s="569"/>
      <c r="R14" s="563"/>
    </row>
    <row r="15" spans="2:19" x14ac:dyDescent="0.3">
      <c r="B15" s="568"/>
      <c r="C15" s="586" t="s">
        <v>7460</v>
      </c>
      <c r="D15" s="585">
        <f>SUM(D16:D17)</f>
        <v>359.48</v>
      </c>
      <c r="E15" s="586" t="s">
        <v>73</v>
      </c>
      <c r="G15" s="570"/>
      <c r="I15" s="585">
        <f>SUM(I16:I17)</f>
        <v>349.82000000000005</v>
      </c>
      <c r="J15" s="586" t="s">
        <v>73</v>
      </c>
      <c r="K15" s="569"/>
      <c r="L15" s="314"/>
    </row>
    <row r="16" spans="2:19" x14ac:dyDescent="0.3">
      <c r="B16" s="568"/>
      <c r="C16" t="s">
        <v>7416</v>
      </c>
      <c r="D16" s="570">
        <v>340.16</v>
      </c>
      <c r="E16" t="s">
        <v>73</v>
      </c>
      <c r="G16" s="570">
        <v>1</v>
      </c>
      <c r="I16" s="570">
        <f>D16*G16</f>
        <v>340.16</v>
      </c>
      <c r="J16" t="s">
        <v>73</v>
      </c>
      <c r="K16" s="569"/>
    </row>
    <row r="17" spans="2:12" x14ac:dyDescent="0.3">
      <c r="B17" s="568"/>
      <c r="C17" t="s">
        <v>7459</v>
      </c>
      <c r="D17" s="570">
        <v>19.32</v>
      </c>
      <c r="E17" t="s">
        <v>73</v>
      </c>
      <c r="G17" s="570">
        <v>0.5</v>
      </c>
      <c r="I17" s="570">
        <f>D17*G17</f>
        <v>9.66</v>
      </c>
      <c r="J17" t="s">
        <v>73</v>
      </c>
      <c r="K17" s="569"/>
    </row>
    <row r="18" spans="2:12" x14ac:dyDescent="0.3">
      <c r="B18" s="568"/>
      <c r="D18" s="570"/>
      <c r="G18" s="570"/>
      <c r="I18" s="570"/>
      <c r="K18" s="569"/>
    </row>
    <row r="19" spans="2:12" x14ac:dyDescent="0.3">
      <c r="B19" s="568"/>
      <c r="C19" s="586" t="s">
        <v>3527</v>
      </c>
      <c r="D19" s="585">
        <f>SUM(D20:D21)</f>
        <v>403.93</v>
      </c>
      <c r="E19" s="586" t="s">
        <v>73</v>
      </c>
      <c r="G19" s="570"/>
      <c r="I19" s="585">
        <f>SUM(I20:I21)</f>
        <v>379.29500000000002</v>
      </c>
      <c r="J19" s="586" t="s">
        <v>73</v>
      </c>
      <c r="K19" s="569"/>
      <c r="L19" s="314"/>
    </row>
    <row r="20" spans="2:12" x14ac:dyDescent="0.3">
      <c r="B20" s="568"/>
      <c r="C20" t="s">
        <v>7416</v>
      </c>
      <c r="D20" s="570">
        <f>245.43+109.23</f>
        <v>354.66</v>
      </c>
      <c r="E20" t="s">
        <v>73</v>
      </c>
      <c r="G20" s="570">
        <v>1</v>
      </c>
      <c r="I20" s="570">
        <f>D20*G20</f>
        <v>354.66</v>
      </c>
      <c r="J20" t="s">
        <v>73</v>
      </c>
      <c r="K20" s="569"/>
    </row>
    <row r="21" spans="2:12" x14ac:dyDescent="0.3">
      <c r="B21" s="568"/>
      <c r="C21" t="s">
        <v>7459</v>
      </c>
      <c r="D21" s="570">
        <f>22.35+21.33+5.59</f>
        <v>49.269999999999996</v>
      </c>
      <c r="E21" t="s">
        <v>73</v>
      </c>
      <c r="G21" s="570">
        <v>0.5</v>
      </c>
      <c r="I21" s="570">
        <f>D21*G21</f>
        <v>24.634999999999998</v>
      </c>
      <c r="J21" t="s">
        <v>73</v>
      </c>
      <c r="K21" s="569"/>
    </row>
    <row r="22" spans="2:12" x14ac:dyDescent="0.3">
      <c r="B22" s="568"/>
      <c r="D22" s="570"/>
      <c r="G22" s="570"/>
      <c r="I22" s="570"/>
      <c r="K22" s="569"/>
    </row>
    <row r="23" spans="2:12" x14ac:dyDescent="0.3">
      <c r="B23" s="568"/>
      <c r="C23" s="586" t="s">
        <v>3561</v>
      </c>
      <c r="D23" s="585">
        <f>SUM(D24:D24)</f>
        <v>109.23</v>
      </c>
      <c r="E23" s="586" t="s">
        <v>73</v>
      </c>
      <c r="G23" s="570"/>
      <c r="I23" s="585">
        <f>SUM(I24:I24)</f>
        <v>109.23</v>
      </c>
      <c r="J23" s="586" t="s">
        <v>73</v>
      </c>
      <c r="K23" s="569"/>
    </row>
    <row r="24" spans="2:12" x14ac:dyDescent="0.3">
      <c r="B24" s="568"/>
      <c r="C24" t="s">
        <v>7416</v>
      </c>
      <c r="D24" s="570">
        <v>109.23</v>
      </c>
      <c r="E24" t="s">
        <v>73</v>
      </c>
      <c r="G24" s="570">
        <v>1</v>
      </c>
      <c r="I24" s="570">
        <f>D24*G24</f>
        <v>109.23</v>
      </c>
      <c r="J24" t="s">
        <v>73</v>
      </c>
      <c r="K24" s="569"/>
    </row>
    <row r="25" spans="2:12" x14ac:dyDescent="0.3">
      <c r="B25" s="568"/>
      <c r="D25" s="570"/>
      <c r="G25" s="570"/>
      <c r="I25" s="570"/>
      <c r="K25" s="569"/>
    </row>
    <row r="26" spans="2:12" x14ac:dyDescent="0.3">
      <c r="B26" s="568"/>
      <c r="C26" s="586" t="s">
        <v>7413</v>
      </c>
      <c r="D26" s="585">
        <f>SUM(D27)</f>
        <v>109.23</v>
      </c>
      <c r="E26" s="586" t="s">
        <v>73</v>
      </c>
      <c r="G26" s="570"/>
      <c r="I26" s="585">
        <f>SUM(I27)</f>
        <v>109.23</v>
      </c>
      <c r="J26" s="586" t="s">
        <v>73</v>
      </c>
      <c r="K26" s="569"/>
    </row>
    <row r="27" spans="2:12" x14ac:dyDescent="0.3">
      <c r="B27" s="568"/>
      <c r="C27" t="s">
        <v>7416</v>
      </c>
      <c r="D27" s="570">
        <v>109.23</v>
      </c>
      <c r="E27" t="s">
        <v>73</v>
      </c>
      <c r="G27" s="570">
        <v>1</v>
      </c>
      <c r="I27" s="570">
        <f>D27*G27</f>
        <v>109.23</v>
      </c>
      <c r="J27" t="s">
        <v>73</v>
      </c>
      <c r="K27" s="569"/>
    </row>
    <row r="28" spans="2:12" x14ac:dyDescent="0.3">
      <c r="B28" s="568"/>
      <c r="D28" s="570"/>
      <c r="G28" s="570"/>
      <c r="I28" s="570"/>
      <c r="K28" s="569"/>
    </row>
    <row r="29" spans="2:12" x14ac:dyDescent="0.3">
      <c r="B29" s="568"/>
      <c r="C29" s="586" t="s">
        <v>7414</v>
      </c>
      <c r="D29" s="585">
        <f>SUM(D30)</f>
        <v>109.23</v>
      </c>
      <c r="E29" s="586" t="s">
        <v>73</v>
      </c>
      <c r="G29" s="570"/>
      <c r="I29" s="585">
        <f>SUM(I30)</f>
        <v>109.23</v>
      </c>
      <c r="J29" s="586" t="s">
        <v>73</v>
      </c>
      <c r="K29" s="569"/>
    </row>
    <row r="30" spans="2:12" x14ac:dyDescent="0.3">
      <c r="B30" s="568"/>
      <c r="C30" t="s">
        <v>7416</v>
      </c>
      <c r="D30" s="570">
        <v>109.23</v>
      </c>
      <c r="E30" t="s">
        <v>73</v>
      </c>
      <c r="G30" s="570">
        <v>1</v>
      </c>
      <c r="I30" s="570">
        <f>D30*G30</f>
        <v>109.23</v>
      </c>
      <c r="J30" t="s">
        <v>73</v>
      </c>
      <c r="K30" s="569"/>
    </row>
    <row r="31" spans="2:12" x14ac:dyDescent="0.3">
      <c r="B31" s="568"/>
      <c r="D31" s="570"/>
      <c r="G31" s="570"/>
      <c r="I31" s="570"/>
      <c r="K31" s="569"/>
    </row>
    <row r="32" spans="2:12" x14ac:dyDescent="0.3">
      <c r="B32" s="568"/>
      <c r="C32" s="586" t="s">
        <v>7415</v>
      </c>
      <c r="D32" s="585">
        <f>SUM(D33)</f>
        <v>109.23</v>
      </c>
      <c r="E32" s="586" t="s">
        <v>73</v>
      </c>
      <c r="G32" s="570"/>
      <c r="I32" s="585">
        <f>SUM(I33)</f>
        <v>27.307500000000001</v>
      </c>
      <c r="J32" s="586" t="s">
        <v>73</v>
      </c>
      <c r="K32" s="569"/>
    </row>
    <row r="33" spans="2:11" x14ac:dyDescent="0.3">
      <c r="B33" s="568"/>
      <c r="C33" t="s">
        <v>3528</v>
      </c>
      <c r="D33" s="570">
        <v>109.23</v>
      </c>
      <c r="E33" t="s">
        <v>73</v>
      </c>
      <c r="G33" s="570">
        <v>0.25</v>
      </c>
      <c r="I33" s="570">
        <f>D33*G33</f>
        <v>27.307500000000001</v>
      </c>
      <c r="J33" t="s">
        <v>73</v>
      </c>
      <c r="K33" s="569"/>
    </row>
    <row r="34" spans="2:11" ht="15" thickBot="1" x14ac:dyDescent="0.35">
      <c r="B34" s="576"/>
      <c r="C34" s="577"/>
      <c r="D34" s="578"/>
      <c r="E34" s="577"/>
      <c r="F34" s="577"/>
      <c r="G34" s="578"/>
      <c r="H34" s="577"/>
      <c r="I34" s="577"/>
      <c r="J34" s="577"/>
      <c r="K34" s="579"/>
    </row>
    <row r="35" spans="2:11" x14ac:dyDescent="0.3">
      <c r="D35" s="314"/>
    </row>
    <row r="36" spans="2:11" x14ac:dyDescent="0.3">
      <c r="D36" s="314"/>
    </row>
  </sheetData>
  <mergeCells count="4">
    <mergeCell ref="I7:J7"/>
    <mergeCell ref="C3:J3"/>
    <mergeCell ref="N9:N11"/>
    <mergeCell ref="D7:E7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IV70"/>
  <sheetViews>
    <sheetView showGridLines="0" topLeftCell="A5" zoomScale="90" zoomScaleNormal="90" zoomScalePageLayoutView="150" workbookViewId="0">
      <selection activeCell="G21" sqref="G21"/>
    </sheetView>
  </sheetViews>
  <sheetFormatPr defaultColWidth="9.109375" defaultRowHeight="14.4" outlineLevelRow="1" x14ac:dyDescent="0.3"/>
  <cols>
    <col min="1" max="1" width="2.6640625" style="352" customWidth="1"/>
    <col min="2" max="2" width="14.88671875" style="352" customWidth="1"/>
    <col min="3" max="3" width="43" style="352" customWidth="1"/>
    <col min="4" max="4" width="20.6640625" style="352" customWidth="1"/>
    <col min="5" max="5" width="2.6640625" style="352" customWidth="1"/>
    <col min="6" max="6" width="3.6640625" style="352" customWidth="1"/>
    <col min="7" max="7" width="13.5546875" style="352" customWidth="1"/>
    <col min="8" max="19" width="12.33203125" style="352" customWidth="1"/>
    <col min="20" max="20" width="2.109375" style="352" customWidth="1"/>
    <col min="21" max="21" width="13.88671875" style="352" bestFit="1" customWidth="1"/>
    <col min="22" max="16384" width="9.109375" style="352"/>
  </cols>
  <sheetData>
    <row r="1" spans="1:21" ht="15" customHeight="1" outlineLevel="1" x14ac:dyDescent="0.3">
      <c r="A1" s="104"/>
      <c r="B1" s="105"/>
      <c r="C1" s="106"/>
      <c r="D1" s="106"/>
      <c r="E1" s="108"/>
    </row>
    <row r="2" spans="1:21" ht="15" customHeight="1" outlineLevel="1" x14ac:dyDescent="0.3">
      <c r="A2" s="104"/>
      <c r="B2" s="1197" t="s">
        <v>1175</v>
      </c>
      <c r="C2" s="1198"/>
      <c r="D2" s="1198"/>
      <c r="E2" s="108"/>
    </row>
    <row r="3" spans="1:21" ht="27.75" customHeight="1" outlineLevel="1" x14ac:dyDescent="0.3">
      <c r="A3" s="104"/>
      <c r="B3" s="1199"/>
      <c r="C3" s="1200"/>
      <c r="D3" s="1200"/>
      <c r="E3" s="108"/>
    </row>
    <row r="4" spans="1:21" ht="15" customHeight="1" outlineLevel="1" x14ac:dyDescent="0.3">
      <c r="A4" s="108"/>
      <c r="B4" s="396"/>
      <c r="E4" s="108"/>
    </row>
    <row r="5" spans="1:21" ht="15" customHeight="1" outlineLevel="1" x14ac:dyDescent="0.3">
      <c r="A5" s="108"/>
      <c r="B5" s="132" t="s">
        <v>96</v>
      </c>
      <c r="C5" s="77" t="str">
        <f>'01. Resumo Final'!C5</f>
        <v>Ana Silva</v>
      </c>
      <c r="E5" s="108"/>
    </row>
    <row r="6" spans="1:21" ht="15" customHeight="1" outlineLevel="1" x14ac:dyDescent="0.3">
      <c r="A6" s="108"/>
      <c r="B6" s="132" t="s">
        <v>97</v>
      </c>
      <c r="C6" s="77" t="str">
        <f>'01. Resumo Final'!C6</f>
        <v>Rio de Janeiro</v>
      </c>
      <c r="E6" s="108"/>
    </row>
    <row r="7" spans="1:21" ht="15" customHeight="1" outlineLevel="1" x14ac:dyDescent="0.3">
      <c r="A7" s="108"/>
      <c r="B7" s="132" t="s">
        <v>98</v>
      </c>
      <c r="C7" s="77" t="str">
        <f>'01. Resumo Final'!C7</f>
        <v>Pechincha</v>
      </c>
      <c r="E7" s="108"/>
    </row>
    <row r="8" spans="1:21" x14ac:dyDescent="0.3">
      <c r="A8" s="108"/>
      <c r="B8" s="133" t="s">
        <v>99</v>
      </c>
      <c r="C8" s="77" t="str">
        <f>'01. Resumo Final'!C8</f>
        <v>Multifamiliar</v>
      </c>
      <c r="E8" s="108"/>
      <c r="G8" s="1184" t="s">
        <v>7473</v>
      </c>
      <c r="H8" s="1184"/>
      <c r="I8" s="1184"/>
      <c r="J8" s="1184"/>
      <c r="K8" s="1184"/>
      <c r="L8" s="1184"/>
      <c r="M8" s="1184"/>
      <c r="N8" s="1184"/>
      <c r="O8" s="1184"/>
      <c r="P8" s="1184"/>
      <c r="Q8" s="1184"/>
      <c r="R8" s="1184"/>
      <c r="S8" s="1184"/>
      <c r="T8" s="1184"/>
      <c r="U8" s="1184"/>
    </row>
    <row r="9" spans="1:21" ht="15" hidden="1" customHeight="1" x14ac:dyDescent="0.3">
      <c r="A9" s="108"/>
      <c r="B9" s="133"/>
      <c r="C9" s="77"/>
      <c r="E9" s="108"/>
      <c r="G9" s="1184"/>
      <c r="H9" s="1184"/>
      <c r="I9" s="1184"/>
      <c r="J9" s="1184"/>
      <c r="K9" s="1184"/>
      <c r="L9" s="1184"/>
      <c r="M9" s="1184"/>
      <c r="N9" s="1184"/>
      <c r="O9" s="1184"/>
      <c r="P9" s="1184"/>
      <c r="Q9" s="1184"/>
      <c r="R9" s="1184"/>
      <c r="S9" s="1184"/>
      <c r="T9" s="1184"/>
      <c r="U9" s="1184"/>
    </row>
    <row r="10" spans="1:21" x14ac:dyDescent="0.3">
      <c r="A10" s="108"/>
      <c r="B10" s="397"/>
      <c r="C10" s="398"/>
      <c r="D10" s="398"/>
      <c r="E10" s="108"/>
      <c r="G10" s="1184"/>
      <c r="H10" s="1184"/>
      <c r="I10" s="1184"/>
      <c r="J10" s="1184"/>
      <c r="K10" s="1184"/>
      <c r="L10" s="1184"/>
      <c r="M10" s="1184"/>
      <c r="N10" s="1184"/>
      <c r="O10" s="1184"/>
      <c r="P10" s="1184"/>
      <c r="Q10" s="1184"/>
      <c r="R10" s="1184"/>
      <c r="S10" s="1184"/>
      <c r="T10" s="1184"/>
      <c r="U10" s="1184"/>
    </row>
    <row r="11" spans="1:21" ht="6.75" customHeight="1" x14ac:dyDescent="0.3">
      <c r="A11" s="108"/>
      <c r="B11" s="78"/>
      <c r="C11" s="78"/>
      <c r="D11" s="79"/>
      <c r="E11" s="108"/>
      <c r="G11" s="1184"/>
      <c r="H11" s="1184"/>
      <c r="I11" s="1184"/>
      <c r="J11" s="1184"/>
      <c r="K11" s="1184"/>
      <c r="L11" s="1184"/>
      <c r="M11" s="1184"/>
      <c r="N11" s="1184"/>
      <c r="O11" s="1184"/>
      <c r="P11" s="1184"/>
      <c r="Q11" s="1184"/>
      <c r="R11" s="1184"/>
      <c r="S11" s="1184"/>
      <c r="T11" s="1184"/>
      <c r="U11" s="1184"/>
    </row>
    <row r="12" spans="1:21" x14ac:dyDescent="0.3">
      <c r="A12" s="78"/>
      <c r="B12" s="399"/>
      <c r="C12" s="400"/>
      <c r="D12" s="401"/>
      <c r="E12" s="78"/>
      <c r="G12" s="1184"/>
      <c r="H12" s="1184"/>
      <c r="I12" s="1184"/>
      <c r="J12" s="1184"/>
      <c r="K12" s="1184"/>
      <c r="L12" s="1184"/>
      <c r="M12" s="1184"/>
      <c r="N12" s="1184"/>
      <c r="O12" s="1184"/>
      <c r="P12" s="1184"/>
      <c r="Q12" s="1184"/>
      <c r="R12" s="1184"/>
      <c r="S12" s="1184"/>
      <c r="T12" s="1184"/>
      <c r="U12" s="1184"/>
    </row>
    <row r="13" spans="1:21" x14ac:dyDescent="0.3">
      <c r="A13" s="78"/>
      <c r="B13" s="402" t="s">
        <v>999</v>
      </c>
      <c r="C13" s="832">
        <f>'01. Resumo Final'!C13</f>
        <v>36</v>
      </c>
      <c r="D13" s="103"/>
      <c r="E13" s="78"/>
    </row>
    <row r="14" spans="1:21" x14ac:dyDescent="0.3">
      <c r="A14" s="78"/>
      <c r="B14" s="403"/>
      <c r="C14" s="404"/>
      <c r="D14" s="405"/>
      <c r="E14" s="78"/>
      <c r="G14" s="115" t="s">
        <v>2904</v>
      </c>
      <c r="H14" s="1191" t="s">
        <v>2905</v>
      </c>
      <c r="I14" s="1192"/>
      <c r="J14" s="1191" t="s">
        <v>2906</v>
      </c>
      <c r="K14" s="1192"/>
      <c r="L14" s="1191" t="s">
        <v>2907</v>
      </c>
      <c r="M14" s="1192"/>
      <c r="N14" s="1191" t="s">
        <v>2908</v>
      </c>
      <c r="O14" s="1192"/>
      <c r="P14" s="1191" t="s">
        <v>2870</v>
      </c>
      <c r="Q14" s="1192"/>
      <c r="R14" s="1191" t="s">
        <v>2871</v>
      </c>
      <c r="S14" s="1192"/>
      <c r="U14" s="1182" t="s">
        <v>27</v>
      </c>
    </row>
    <row r="15" spans="1:21" ht="15" customHeight="1" x14ac:dyDescent="0.3">
      <c r="A15" s="78"/>
      <c r="B15" s="78"/>
      <c r="C15" s="406"/>
      <c r="D15" s="407"/>
      <c r="E15" s="78"/>
      <c r="G15" s="441" t="s">
        <v>2879</v>
      </c>
      <c r="H15" s="442" t="s">
        <v>2878</v>
      </c>
      <c r="I15" s="443" t="s">
        <v>2879</v>
      </c>
      <c r="J15" s="442" t="s">
        <v>2878</v>
      </c>
      <c r="K15" s="443" t="s">
        <v>2879</v>
      </c>
      <c r="L15" s="442" t="s">
        <v>2878</v>
      </c>
      <c r="M15" s="443" t="s">
        <v>2879</v>
      </c>
      <c r="N15" s="442" t="s">
        <v>2878</v>
      </c>
      <c r="O15" s="444" t="s">
        <v>2879</v>
      </c>
      <c r="P15" s="442" t="s">
        <v>2878</v>
      </c>
      <c r="Q15" s="443" t="s">
        <v>2879</v>
      </c>
      <c r="R15" s="442" t="s">
        <v>2878</v>
      </c>
      <c r="S15" s="443" t="s">
        <v>2879</v>
      </c>
      <c r="U15" s="1183"/>
    </row>
    <row r="16" spans="1:21" x14ac:dyDescent="0.3">
      <c r="A16" s="113"/>
      <c r="B16" s="115"/>
      <c r="C16" s="115" t="s">
        <v>101</v>
      </c>
      <c r="D16" s="115" t="s">
        <v>103</v>
      </c>
      <c r="E16" s="113"/>
      <c r="G16" s="445">
        <f t="shared" ref="G16:S16" ca="1" si="0">G17/$D$50</f>
        <v>0.15000000000000002</v>
      </c>
      <c r="H16" s="446">
        <f t="shared" ca="1" si="0"/>
        <v>7.00122524835399E-2</v>
      </c>
      <c r="I16" s="447">
        <f t="shared" ca="1" si="0"/>
        <v>5.9584113443505733E-2</v>
      </c>
      <c r="J16" s="446">
        <f t="shared" ca="1" si="0"/>
        <v>9.1989144418273633E-2</v>
      </c>
      <c r="K16" s="447">
        <f t="shared" ca="1" si="0"/>
        <v>6.7532247244497259E-2</v>
      </c>
      <c r="L16" s="446">
        <f t="shared" ca="1" si="0"/>
        <v>7.5523120912483893E-2</v>
      </c>
      <c r="M16" s="447">
        <f t="shared" ca="1" si="0"/>
        <v>0.10016412409514457</v>
      </c>
      <c r="N16" s="446">
        <f t="shared" ca="1" si="0"/>
        <v>5.2332309826307613E-2</v>
      </c>
      <c r="O16" s="448">
        <f t="shared" ca="1" si="0"/>
        <v>6.4730927085014101E-2</v>
      </c>
      <c r="P16" s="446">
        <f t="shared" ca="1" si="0"/>
        <v>5.5495844819741472E-2</v>
      </c>
      <c r="Q16" s="447">
        <f t="shared" ca="1" si="0"/>
        <v>6.2635915671491946E-2</v>
      </c>
      <c r="R16" s="446">
        <f t="shared" ca="1" si="0"/>
        <v>0</v>
      </c>
      <c r="S16" s="447">
        <f t="shared" ca="1" si="0"/>
        <v>0.15000000000000002</v>
      </c>
      <c r="U16" s="445">
        <f ca="1">U17/$D$50</f>
        <v>1</v>
      </c>
    </row>
    <row r="17" spans="1:256" ht="5.25" customHeight="1" x14ac:dyDescent="0.3">
      <c r="A17" s="113"/>
      <c r="B17" s="1116"/>
      <c r="C17" s="1117"/>
      <c r="D17" s="1117"/>
      <c r="E17" s="113"/>
      <c r="G17" s="1189">
        <f t="shared" ref="G17:S17" ca="1" si="1">SUM(G20:G46)</f>
        <v>2470407.2223336594</v>
      </c>
      <c r="H17" s="1185">
        <f t="shared" si="1"/>
        <v>1153058.4945812309</v>
      </c>
      <c r="I17" s="1187">
        <f t="shared" si="1"/>
        <v>981313.49458123092</v>
      </c>
      <c r="J17" s="1185">
        <f t="shared" si="1"/>
        <v>1515004.3116479812</v>
      </c>
      <c r="K17" s="1187">
        <f t="shared" si="1"/>
        <v>1112214.3422215225</v>
      </c>
      <c r="L17" s="1185">
        <f t="shared" si="1"/>
        <v>1243819.0890358561</v>
      </c>
      <c r="M17" s="1187">
        <f t="shared" ca="1" si="1"/>
        <v>1649641.1705558002</v>
      </c>
      <c r="N17" s="1185">
        <f t="shared" si="1"/>
        <v>861880.7743754203</v>
      </c>
      <c r="O17" s="1193">
        <f t="shared" si="1"/>
        <v>1066078.3318611486</v>
      </c>
      <c r="P17" s="1185">
        <f t="shared" ca="1" si="1"/>
        <v>913982.23901464872</v>
      </c>
      <c r="Q17" s="1187">
        <f t="shared" si="1"/>
        <v>1031574.7896822381</v>
      </c>
      <c r="R17" s="1185">
        <f t="shared" si="1"/>
        <v>0</v>
      </c>
      <c r="S17" s="1187">
        <f t="shared" ca="1" si="1"/>
        <v>2470407.2223336594</v>
      </c>
      <c r="U17" s="1189">
        <f ca="1">SUM(U20:U46)</f>
        <v>16469381.482224394</v>
      </c>
    </row>
    <row r="18" spans="1:256" x14ac:dyDescent="0.3">
      <c r="A18" s="113"/>
      <c r="B18" s="1195" t="s">
        <v>30</v>
      </c>
      <c r="C18" s="1196"/>
      <c r="D18" s="82">
        <f ca="1">D20+D27</f>
        <v>16469381.482224394</v>
      </c>
      <c r="E18" s="113"/>
      <c r="G18" s="1190"/>
      <c r="H18" s="1186"/>
      <c r="I18" s="1188"/>
      <c r="J18" s="1186"/>
      <c r="K18" s="1188"/>
      <c r="L18" s="1186"/>
      <c r="M18" s="1188"/>
      <c r="N18" s="1186"/>
      <c r="O18" s="1194"/>
      <c r="P18" s="1186"/>
      <c r="Q18" s="1188"/>
      <c r="R18" s="1186"/>
      <c r="S18" s="1188"/>
      <c r="U18" s="1190"/>
      <c r="V18" s="352" t="str">
        <f ca="1">IF(U17=D18,"ok","erro")</f>
        <v>ok</v>
      </c>
      <c r="IV18" s="408"/>
    </row>
    <row r="19" spans="1:256" ht="5.25" customHeight="1" x14ac:dyDescent="0.3">
      <c r="A19" s="113"/>
      <c r="B19" s="1121"/>
      <c r="C19" s="1122"/>
      <c r="D19" s="1122"/>
      <c r="E19" s="113"/>
    </row>
    <row r="20" spans="1:256" x14ac:dyDescent="0.3">
      <c r="A20" s="113"/>
      <c r="B20" s="116" t="s">
        <v>106</v>
      </c>
      <c r="C20" s="100"/>
      <c r="D20" s="101">
        <f>SUM(D21:D26)</f>
        <v>4421734.1117419368</v>
      </c>
      <c r="E20" s="113"/>
      <c r="G20" s="409"/>
      <c r="H20" s="409"/>
      <c r="I20" s="409"/>
      <c r="J20" s="409"/>
      <c r="K20" s="409"/>
      <c r="L20" s="409"/>
      <c r="M20" s="409"/>
      <c r="N20" s="409"/>
      <c r="O20" s="409"/>
      <c r="P20" s="409"/>
      <c r="Q20" s="409"/>
      <c r="R20" s="409"/>
      <c r="S20" s="409"/>
    </row>
    <row r="21" spans="1:256" x14ac:dyDescent="0.3">
      <c r="A21" s="108"/>
      <c r="B21" s="118" t="s">
        <v>281</v>
      </c>
      <c r="C21" s="94" t="str">
        <f>'01. Resumo Final'!C21</f>
        <v>SERVIÇOS TÉCNICOS E PRELIMINARES</v>
      </c>
      <c r="D21" s="95">
        <f>'01. Resumo Final'!D21</f>
        <v>245350</v>
      </c>
      <c r="E21" s="114"/>
      <c r="F21" s="410"/>
      <c r="G21" s="438">
        <f t="shared" ref="G21:G26" si="2">15%*D21</f>
        <v>36802.5</v>
      </c>
      <c r="H21" s="427">
        <f>70%*$D21</f>
        <v>171745</v>
      </c>
      <c r="I21" s="428"/>
      <c r="J21" s="427"/>
      <c r="K21" s="428"/>
      <c r="L21" s="427"/>
      <c r="M21" s="428"/>
      <c r="N21" s="427"/>
      <c r="O21" s="433"/>
      <c r="P21" s="427"/>
      <c r="Q21" s="428"/>
      <c r="R21" s="427"/>
      <c r="S21" s="428">
        <f>15%*D21</f>
        <v>36802.5</v>
      </c>
      <c r="T21" s="410"/>
      <c r="U21" s="435">
        <f>SUM(G21:S21)</f>
        <v>245350</v>
      </c>
      <c r="V21" s="352" t="str">
        <f>IF(U21=D21,"ok","erro")</f>
        <v>ok</v>
      </c>
    </row>
    <row r="22" spans="1:256" x14ac:dyDescent="0.3">
      <c r="A22" s="108"/>
      <c r="B22" s="119" t="s">
        <v>282</v>
      </c>
      <c r="C22" s="96" t="str">
        <f>'01. Resumo Final'!C22</f>
        <v>INSTALAÇÕES PROVISÓRIAS E CANTEIRO</v>
      </c>
      <c r="D22" s="97">
        <f>'01. Resumo Final'!D22</f>
        <v>288861.24</v>
      </c>
      <c r="E22" s="114"/>
      <c r="G22" s="439">
        <f t="shared" si="2"/>
        <v>43329.185999999994</v>
      </c>
      <c r="H22" s="429">
        <f>70%*$D22/2</f>
        <v>101101.43399999999</v>
      </c>
      <c r="I22" s="430">
        <f>70%*$D22/2</f>
        <v>101101.43399999999</v>
      </c>
      <c r="J22" s="429"/>
      <c r="K22" s="430"/>
      <c r="L22" s="429"/>
      <c r="M22" s="430"/>
      <c r="N22" s="429"/>
      <c r="O22" s="426"/>
      <c r="P22" s="429"/>
      <c r="Q22" s="430"/>
      <c r="R22" s="429"/>
      <c r="S22" s="430">
        <f t="shared" ref="S22:S42" si="3">15%*D22</f>
        <v>43329.185999999994</v>
      </c>
      <c r="U22" s="436">
        <f t="shared" ref="U22:U42" si="4">SUM(G22:S22)</f>
        <v>288861.24</v>
      </c>
      <c r="V22" s="352" t="str">
        <f t="shared" ref="V22:V42" si="5">IF(U22=D22,"ok","erro")</f>
        <v>ok</v>
      </c>
    </row>
    <row r="23" spans="1:256" x14ac:dyDescent="0.3">
      <c r="A23" s="108"/>
      <c r="B23" s="119" t="s">
        <v>283</v>
      </c>
      <c r="C23" s="96" t="str">
        <f>'01. Resumo Final'!C23</f>
        <v>SEGURANÇA DO TRABALHO E PROTEÇÕES</v>
      </c>
      <c r="D23" s="97">
        <f>'01. Resumo Final'!D23</f>
        <v>215613.63139999998</v>
      </c>
      <c r="E23" s="114"/>
      <c r="G23" s="439">
        <f t="shared" si="2"/>
        <v>32342.044709999995</v>
      </c>
      <c r="H23" s="429">
        <f t="shared" ref="H23:Q26" si="6">70%*$D23/10</f>
        <v>15092.954197999998</v>
      </c>
      <c r="I23" s="430">
        <f t="shared" si="6"/>
        <v>15092.954197999998</v>
      </c>
      <c r="J23" s="429">
        <f t="shared" si="6"/>
        <v>15092.954197999998</v>
      </c>
      <c r="K23" s="430">
        <f t="shared" si="6"/>
        <v>15092.954197999998</v>
      </c>
      <c r="L23" s="429">
        <f t="shared" si="6"/>
        <v>15092.954197999998</v>
      </c>
      <c r="M23" s="430">
        <f t="shared" si="6"/>
        <v>15092.954197999998</v>
      </c>
      <c r="N23" s="429">
        <f t="shared" si="6"/>
        <v>15092.954197999998</v>
      </c>
      <c r="O23" s="426">
        <f t="shared" si="6"/>
        <v>15092.954197999998</v>
      </c>
      <c r="P23" s="429">
        <f t="shared" si="6"/>
        <v>15092.954197999998</v>
      </c>
      <c r="Q23" s="430">
        <f t="shared" si="6"/>
        <v>15092.954197999998</v>
      </c>
      <c r="R23" s="429"/>
      <c r="S23" s="430">
        <f t="shared" si="3"/>
        <v>32342.044709999995</v>
      </c>
      <c r="U23" s="436">
        <f t="shared" si="4"/>
        <v>215613.63139999993</v>
      </c>
      <c r="V23" s="352" t="str">
        <f t="shared" si="5"/>
        <v>ok</v>
      </c>
    </row>
    <row r="24" spans="1:256" x14ac:dyDescent="0.3">
      <c r="A24" s="108"/>
      <c r="B24" s="119" t="s">
        <v>284</v>
      </c>
      <c r="C24" s="96" t="str">
        <f>'01. Resumo Final'!C24</f>
        <v>MÁQUINAS E EQUIPAMENTOS</v>
      </c>
      <c r="D24" s="97">
        <f>'01. Resumo Final'!D24</f>
        <v>426714.52521875</v>
      </c>
      <c r="E24" s="114"/>
      <c r="G24" s="439">
        <f t="shared" si="2"/>
        <v>64007.178782812494</v>
      </c>
      <c r="H24" s="429">
        <f t="shared" si="6"/>
        <v>29870.016765312495</v>
      </c>
      <c r="I24" s="430">
        <f t="shared" si="6"/>
        <v>29870.016765312495</v>
      </c>
      <c r="J24" s="429">
        <f t="shared" si="6"/>
        <v>29870.016765312495</v>
      </c>
      <c r="K24" s="430">
        <f t="shared" si="6"/>
        <v>29870.016765312495</v>
      </c>
      <c r="L24" s="429">
        <f t="shared" si="6"/>
        <v>29870.016765312495</v>
      </c>
      <c r="M24" s="430">
        <f t="shared" si="6"/>
        <v>29870.016765312495</v>
      </c>
      <c r="N24" s="429">
        <f t="shared" si="6"/>
        <v>29870.016765312495</v>
      </c>
      <c r="O24" s="426">
        <f t="shared" si="6"/>
        <v>29870.016765312495</v>
      </c>
      <c r="P24" s="429">
        <f t="shared" si="6"/>
        <v>29870.016765312495</v>
      </c>
      <c r="Q24" s="430">
        <f t="shared" si="6"/>
        <v>29870.016765312495</v>
      </c>
      <c r="R24" s="429"/>
      <c r="S24" s="430">
        <f t="shared" si="3"/>
        <v>64007.178782812494</v>
      </c>
      <c r="U24" s="436">
        <f t="shared" si="4"/>
        <v>426714.52521875006</v>
      </c>
      <c r="V24" s="352" t="str">
        <f t="shared" si="5"/>
        <v>ok</v>
      </c>
    </row>
    <row r="25" spans="1:256" x14ac:dyDescent="0.3">
      <c r="A25" s="108"/>
      <c r="B25" s="119" t="s">
        <v>285</v>
      </c>
      <c r="C25" s="96" t="str">
        <f>'01. Resumo Final'!C25</f>
        <v>MÃO DE OBRA DE APOIO / ENGENHARIA</v>
      </c>
      <c r="D25" s="97">
        <f>'01. Resumo Final'!D25</f>
        <v>2895074.7151231868</v>
      </c>
      <c r="E25" s="114"/>
      <c r="G25" s="439">
        <f t="shared" si="2"/>
        <v>434261.207268478</v>
      </c>
      <c r="H25" s="429">
        <f t="shared" si="6"/>
        <v>202655.23005862307</v>
      </c>
      <c r="I25" s="430">
        <f t="shared" si="6"/>
        <v>202655.23005862307</v>
      </c>
      <c r="J25" s="429">
        <f t="shared" si="6"/>
        <v>202655.23005862307</v>
      </c>
      <c r="K25" s="430">
        <f t="shared" si="6"/>
        <v>202655.23005862307</v>
      </c>
      <c r="L25" s="429">
        <f t="shared" si="6"/>
        <v>202655.23005862307</v>
      </c>
      <c r="M25" s="430">
        <f t="shared" si="6"/>
        <v>202655.23005862307</v>
      </c>
      <c r="N25" s="429">
        <f t="shared" si="6"/>
        <v>202655.23005862307</v>
      </c>
      <c r="O25" s="426">
        <f t="shared" si="6"/>
        <v>202655.23005862307</v>
      </c>
      <c r="P25" s="429">
        <f t="shared" si="6"/>
        <v>202655.23005862307</v>
      </c>
      <c r="Q25" s="430">
        <f t="shared" si="6"/>
        <v>202655.23005862307</v>
      </c>
      <c r="R25" s="429"/>
      <c r="S25" s="430">
        <f t="shared" si="3"/>
        <v>434261.207268478</v>
      </c>
      <c r="U25" s="436">
        <f t="shared" si="4"/>
        <v>2895074.7151231864</v>
      </c>
      <c r="V25" s="352" t="str">
        <f t="shared" si="5"/>
        <v>ok</v>
      </c>
    </row>
    <row r="26" spans="1:256" x14ac:dyDescent="0.3">
      <c r="A26" s="108"/>
      <c r="B26" s="120" t="s">
        <v>286</v>
      </c>
      <c r="C26" s="98" t="str">
        <f>'01. Resumo Final'!C26</f>
        <v>DESPESAS OPERACIONAIS</v>
      </c>
      <c r="D26" s="99">
        <f>'01. Resumo Final'!D26</f>
        <v>350120</v>
      </c>
      <c r="E26" s="114"/>
      <c r="G26" s="440">
        <f t="shared" si="2"/>
        <v>52518</v>
      </c>
      <c r="H26" s="431">
        <f t="shared" si="6"/>
        <v>24508.399999999998</v>
      </c>
      <c r="I26" s="432">
        <f t="shared" si="6"/>
        <v>24508.399999999998</v>
      </c>
      <c r="J26" s="431">
        <f t="shared" si="6"/>
        <v>24508.399999999998</v>
      </c>
      <c r="K26" s="432">
        <f t="shared" si="6"/>
        <v>24508.399999999998</v>
      </c>
      <c r="L26" s="431">
        <f t="shared" si="6"/>
        <v>24508.399999999998</v>
      </c>
      <c r="M26" s="432">
        <f t="shared" si="6"/>
        <v>24508.399999999998</v>
      </c>
      <c r="N26" s="431">
        <f t="shared" si="6"/>
        <v>24508.399999999998</v>
      </c>
      <c r="O26" s="434">
        <f t="shared" si="6"/>
        <v>24508.399999999998</v>
      </c>
      <c r="P26" s="431">
        <f t="shared" si="6"/>
        <v>24508.399999999998</v>
      </c>
      <c r="Q26" s="432">
        <f t="shared" si="6"/>
        <v>24508.399999999998</v>
      </c>
      <c r="R26" s="431"/>
      <c r="S26" s="432">
        <f t="shared" si="3"/>
        <v>52518</v>
      </c>
      <c r="U26" s="437">
        <f t="shared" si="4"/>
        <v>350120</v>
      </c>
      <c r="V26" s="352" t="str">
        <f t="shared" si="5"/>
        <v>ok</v>
      </c>
    </row>
    <row r="27" spans="1:256" x14ac:dyDescent="0.3">
      <c r="A27" s="113"/>
      <c r="B27" s="116" t="s">
        <v>105</v>
      </c>
      <c r="C27" s="100"/>
      <c r="D27" s="101">
        <f ca="1">SUM(D28:D46)</f>
        <v>12047647.370482458</v>
      </c>
      <c r="E27" s="113"/>
      <c r="G27" s="409"/>
      <c r="H27" s="409"/>
      <c r="I27" s="409"/>
      <c r="J27" s="409"/>
      <c r="K27" s="409"/>
      <c r="L27" s="409"/>
      <c r="M27" s="409"/>
      <c r="N27" s="409"/>
      <c r="O27" s="409"/>
      <c r="P27" s="409"/>
      <c r="Q27" s="409"/>
      <c r="R27" s="409"/>
      <c r="S27" s="409"/>
      <c r="U27" s="408"/>
    </row>
    <row r="28" spans="1:256" x14ac:dyDescent="0.3">
      <c r="A28" s="108"/>
      <c r="B28" s="119" t="s">
        <v>1415</v>
      </c>
      <c r="C28" s="96" t="str">
        <f>'01. Resumo Final'!C28</f>
        <v>MOVIMENTAÇÃO DE TERRA / DEMOLIÇÃO</v>
      </c>
      <c r="D28" s="97">
        <f>'01. Resumo Final'!D28</f>
        <v>255846.5</v>
      </c>
      <c r="E28" s="114"/>
      <c r="G28" s="438">
        <f t="shared" ref="G28:G42" si="7">15%*D28</f>
        <v>38376.974999999999</v>
      </c>
      <c r="H28" s="427">
        <f>70%*$D28/4</f>
        <v>44773.137499999997</v>
      </c>
      <c r="I28" s="428">
        <f>70%*$D28/4</f>
        <v>44773.137499999997</v>
      </c>
      <c r="J28" s="427">
        <f>70%*$D28/4</f>
        <v>44773.137499999997</v>
      </c>
      <c r="K28" s="428">
        <f>70%*$D28/4</f>
        <v>44773.137499999997</v>
      </c>
      <c r="L28" s="427"/>
      <c r="M28" s="428"/>
      <c r="N28" s="427"/>
      <c r="O28" s="433"/>
      <c r="P28" s="427"/>
      <c r="Q28" s="428"/>
      <c r="R28" s="427"/>
      <c r="S28" s="428">
        <f t="shared" si="3"/>
        <v>38376.974999999999</v>
      </c>
      <c r="U28" s="435">
        <f t="shared" si="4"/>
        <v>255846.49999999997</v>
      </c>
      <c r="V28" s="352" t="str">
        <f t="shared" si="5"/>
        <v>ok</v>
      </c>
    </row>
    <row r="29" spans="1:256" x14ac:dyDescent="0.3">
      <c r="A29" s="108"/>
      <c r="B29" s="119" t="s">
        <v>1416</v>
      </c>
      <c r="C29" s="96" t="str">
        <f>'01. Resumo Final'!C29</f>
        <v>INFRAESTRUTURA</v>
      </c>
      <c r="D29" s="97">
        <f>'01. Resumo Final'!D29</f>
        <v>970337.50762339332</v>
      </c>
      <c r="E29" s="114"/>
      <c r="G29" s="439">
        <f t="shared" si="7"/>
        <v>145550.626143509</v>
      </c>
      <c r="H29" s="429">
        <f>70%*$D29/3</f>
        <v>226412.08511212512</v>
      </c>
      <c r="I29" s="430">
        <f>70%*$D29/3</f>
        <v>226412.08511212512</v>
      </c>
      <c r="J29" s="429">
        <f>70%*$D29/3</f>
        <v>226412.08511212512</v>
      </c>
      <c r="K29" s="430"/>
      <c r="L29" s="429"/>
      <c r="M29" s="430"/>
      <c r="N29" s="429"/>
      <c r="O29" s="426"/>
      <c r="P29" s="429"/>
      <c r="Q29" s="430"/>
      <c r="R29" s="429"/>
      <c r="S29" s="430">
        <f t="shared" si="3"/>
        <v>145550.626143509</v>
      </c>
      <c r="U29" s="436">
        <f t="shared" si="4"/>
        <v>970337.50762339332</v>
      </c>
      <c r="V29" s="352" t="str">
        <f t="shared" si="5"/>
        <v>ok</v>
      </c>
    </row>
    <row r="30" spans="1:256" x14ac:dyDescent="0.3">
      <c r="A30" s="108"/>
      <c r="B30" s="119" t="s">
        <v>287</v>
      </c>
      <c r="C30" s="96" t="str">
        <f>'01. Resumo Final'!C30</f>
        <v>SUPRAESTRUTURA</v>
      </c>
      <c r="D30" s="97">
        <f>'01. Resumo Final'!D30</f>
        <v>2724364.1217417186</v>
      </c>
      <c r="E30" s="114"/>
      <c r="G30" s="439">
        <f t="shared" si="7"/>
        <v>408654.61826125777</v>
      </c>
      <c r="H30" s="429">
        <f>70%*$D30/10</f>
        <v>190705.48852192028</v>
      </c>
      <c r="I30" s="430">
        <f t="shared" ref="I30:Q30" si="8">70%*$D30/10</f>
        <v>190705.48852192028</v>
      </c>
      <c r="J30" s="429">
        <f t="shared" si="8"/>
        <v>190705.48852192028</v>
      </c>
      <c r="K30" s="430">
        <f t="shared" si="8"/>
        <v>190705.48852192028</v>
      </c>
      <c r="L30" s="429">
        <f t="shared" si="8"/>
        <v>190705.48852192028</v>
      </c>
      <c r="M30" s="430">
        <f t="shared" si="8"/>
        <v>190705.48852192028</v>
      </c>
      <c r="N30" s="429">
        <f t="shared" si="8"/>
        <v>190705.48852192028</v>
      </c>
      <c r="O30" s="426">
        <f t="shared" si="8"/>
        <v>190705.48852192028</v>
      </c>
      <c r="P30" s="429">
        <f t="shared" si="8"/>
        <v>190705.48852192028</v>
      </c>
      <c r="Q30" s="430">
        <f t="shared" si="8"/>
        <v>190705.48852192028</v>
      </c>
      <c r="R30" s="429"/>
      <c r="S30" s="430">
        <f t="shared" si="3"/>
        <v>408654.61826125777</v>
      </c>
      <c r="U30" s="436">
        <f t="shared" si="4"/>
        <v>2724364.1217417181</v>
      </c>
      <c r="V30" s="352" t="str">
        <f t="shared" si="5"/>
        <v>ok</v>
      </c>
    </row>
    <row r="31" spans="1:256" x14ac:dyDescent="0.3">
      <c r="A31" s="108"/>
      <c r="B31" s="119" t="s">
        <v>288</v>
      </c>
      <c r="C31" s="96" t="str">
        <f>'01. Resumo Final'!C31</f>
        <v>PAREDES E PAINÉIS</v>
      </c>
      <c r="D31" s="97">
        <f>'01. Resumo Final'!D31</f>
        <v>651943.63619000022</v>
      </c>
      <c r="E31" s="114"/>
      <c r="G31" s="439">
        <f t="shared" si="7"/>
        <v>97791.545428500031</v>
      </c>
      <c r="H31" s="429"/>
      <c r="I31" s="430"/>
      <c r="J31" s="429">
        <f>70%*$D31/3</f>
        <v>152120.1817776667</v>
      </c>
      <c r="K31" s="430">
        <f>70%*$D31/3</f>
        <v>152120.1817776667</v>
      </c>
      <c r="L31" s="429">
        <f>70%*$D31/3</f>
        <v>152120.1817776667</v>
      </c>
      <c r="M31" s="430"/>
      <c r="N31" s="429"/>
      <c r="O31" s="426"/>
      <c r="P31" s="429"/>
      <c r="Q31" s="430"/>
      <c r="R31" s="429"/>
      <c r="S31" s="430">
        <f t="shared" si="3"/>
        <v>97791.545428500031</v>
      </c>
      <c r="U31" s="436">
        <f t="shared" si="4"/>
        <v>651943.63619000011</v>
      </c>
      <c r="V31" s="352" t="str">
        <f t="shared" si="5"/>
        <v>ok</v>
      </c>
    </row>
    <row r="32" spans="1:256" x14ac:dyDescent="0.3">
      <c r="A32" s="108"/>
      <c r="B32" s="119" t="s">
        <v>289</v>
      </c>
      <c r="C32" s="96" t="str">
        <f>'01. Resumo Final'!C32</f>
        <v>INSTALAÇÕES</v>
      </c>
      <c r="D32" s="97">
        <f>'01. Resumo Final'!D32</f>
        <v>2424709</v>
      </c>
      <c r="E32" s="114"/>
      <c r="G32" s="439">
        <f t="shared" si="7"/>
        <v>363706.35</v>
      </c>
      <c r="H32" s="429"/>
      <c r="I32" s="430"/>
      <c r="J32" s="429">
        <f>70%*$D32/4</f>
        <v>424324.07499999995</v>
      </c>
      <c r="K32" s="430">
        <f>70%*$D32/4</f>
        <v>424324.07499999995</v>
      </c>
      <c r="L32" s="429">
        <f>70%*$D32/4</f>
        <v>424324.07499999995</v>
      </c>
      <c r="M32" s="430">
        <f>70%*$D32/4</f>
        <v>424324.07499999995</v>
      </c>
      <c r="N32" s="429"/>
      <c r="O32" s="426"/>
      <c r="P32" s="429"/>
      <c r="Q32" s="430"/>
      <c r="R32" s="429"/>
      <c r="S32" s="430">
        <f t="shared" si="3"/>
        <v>363706.35</v>
      </c>
      <c r="U32" s="436">
        <f t="shared" si="4"/>
        <v>2424709</v>
      </c>
      <c r="V32" s="352" t="str">
        <f t="shared" si="5"/>
        <v>ok</v>
      </c>
    </row>
    <row r="33" spans="1:22" x14ac:dyDescent="0.3">
      <c r="A33" s="108"/>
      <c r="B33" s="119" t="s">
        <v>331</v>
      </c>
      <c r="C33" s="96" t="str">
        <f>'01. Resumo Final'!C33</f>
        <v>IMPERMEABILIZAÇÃO</v>
      </c>
      <c r="D33" s="97">
        <f>'01. Resumo Final'!D33</f>
        <v>241413.07200000001</v>
      </c>
      <c r="E33" s="114"/>
      <c r="G33" s="439">
        <f t="shared" si="7"/>
        <v>36211.960800000001</v>
      </c>
      <c r="H33" s="429"/>
      <c r="I33" s="430"/>
      <c r="J33" s="429">
        <f t="shared" ref="J33:O33" si="9">70%*$D33/6</f>
        <v>28164.858400000001</v>
      </c>
      <c r="K33" s="430">
        <f t="shared" si="9"/>
        <v>28164.858400000001</v>
      </c>
      <c r="L33" s="429">
        <f t="shared" si="9"/>
        <v>28164.858400000001</v>
      </c>
      <c r="M33" s="430">
        <f t="shared" si="9"/>
        <v>28164.858400000001</v>
      </c>
      <c r="N33" s="429">
        <f t="shared" si="9"/>
        <v>28164.858400000001</v>
      </c>
      <c r="O33" s="426">
        <f t="shared" si="9"/>
        <v>28164.858400000001</v>
      </c>
      <c r="P33" s="429"/>
      <c r="Q33" s="430"/>
      <c r="R33" s="429"/>
      <c r="S33" s="430">
        <f t="shared" si="3"/>
        <v>36211.960800000001</v>
      </c>
      <c r="U33" s="436">
        <f t="shared" si="4"/>
        <v>241413.07199999999</v>
      </c>
      <c r="V33" s="352" t="str">
        <f t="shared" si="5"/>
        <v>ok</v>
      </c>
    </row>
    <row r="34" spans="1:22" x14ac:dyDescent="0.3">
      <c r="A34" s="108"/>
      <c r="B34" s="119" t="s">
        <v>290</v>
      </c>
      <c r="C34" s="96" t="str">
        <f>'01. Resumo Final'!C34</f>
        <v>MASSA</v>
      </c>
      <c r="D34" s="97">
        <f>'01. Resumo Final'!D34</f>
        <v>904246.00686890259</v>
      </c>
      <c r="E34" s="114"/>
      <c r="G34" s="439">
        <f t="shared" si="7"/>
        <v>135636.90103033537</v>
      </c>
      <c r="H34" s="429"/>
      <c r="I34" s="430"/>
      <c r="J34" s="429"/>
      <c r="K34" s="430"/>
      <c r="L34" s="429"/>
      <c r="M34" s="430">
        <f>70%*$D34/3</f>
        <v>210990.73493607726</v>
      </c>
      <c r="N34" s="429">
        <f>70%*$D34/3</f>
        <v>210990.73493607726</v>
      </c>
      <c r="O34" s="426">
        <f>70%*$D34/3</f>
        <v>210990.73493607726</v>
      </c>
      <c r="P34" s="429"/>
      <c r="Q34" s="430"/>
      <c r="R34" s="429"/>
      <c r="S34" s="430">
        <f t="shared" si="3"/>
        <v>135636.90103033537</v>
      </c>
      <c r="U34" s="436">
        <f t="shared" si="4"/>
        <v>904246.00686890248</v>
      </c>
      <c r="V34" s="352" t="str">
        <f t="shared" si="5"/>
        <v>erro</v>
      </c>
    </row>
    <row r="35" spans="1:22" x14ac:dyDescent="0.3">
      <c r="A35" s="108"/>
      <c r="B35" s="119" t="s">
        <v>291</v>
      </c>
      <c r="C35" s="96" t="str">
        <f>'01. Resumo Final'!C35</f>
        <v>FORRO</v>
      </c>
      <c r="D35" s="97">
        <f>'01. Resumo Final'!D35</f>
        <v>34872.390000000007</v>
      </c>
      <c r="E35" s="114"/>
      <c r="G35" s="439">
        <f t="shared" si="7"/>
        <v>5230.8585000000012</v>
      </c>
      <c r="H35" s="429"/>
      <c r="I35" s="430"/>
      <c r="J35" s="429"/>
      <c r="K35" s="430"/>
      <c r="L35" s="429"/>
      <c r="M35" s="430"/>
      <c r="N35" s="429">
        <f>70%*$D35/3</f>
        <v>8136.8910000000005</v>
      </c>
      <c r="O35" s="426">
        <f>70%*$D35/3</f>
        <v>8136.8910000000005</v>
      </c>
      <c r="P35" s="429">
        <f>70%*$D35/3</f>
        <v>8136.8910000000005</v>
      </c>
      <c r="Q35" s="430"/>
      <c r="R35" s="429"/>
      <c r="S35" s="430">
        <f t="shared" si="3"/>
        <v>5230.8585000000012</v>
      </c>
      <c r="U35" s="436">
        <f t="shared" si="4"/>
        <v>34872.39</v>
      </c>
      <c r="V35" s="352" t="str">
        <f t="shared" si="5"/>
        <v>ok</v>
      </c>
    </row>
    <row r="36" spans="1:22" hidden="1" x14ac:dyDescent="0.3">
      <c r="A36" s="108"/>
      <c r="B36" s="119" t="s">
        <v>332</v>
      </c>
      <c r="C36" s="96" t="str">
        <f>'01. Resumo Final'!C36</f>
        <v>REVESTIMENTOS INTERNOS</v>
      </c>
      <c r="D36" s="97">
        <f>'01. Resumo Final'!D36</f>
        <v>829026.70979999995</v>
      </c>
      <c r="E36" s="114"/>
      <c r="G36" s="439">
        <f t="shared" si="7"/>
        <v>124354.00646999999</v>
      </c>
      <c r="H36" s="429"/>
      <c r="I36" s="430"/>
      <c r="J36" s="429"/>
      <c r="K36" s="430"/>
      <c r="L36" s="429"/>
      <c r="M36" s="430">
        <f>70%*$D36/5</f>
        <v>116063.73937199998</v>
      </c>
      <c r="N36" s="429">
        <f>70%*$D36/5</f>
        <v>116063.73937199998</v>
      </c>
      <c r="O36" s="426">
        <f>70%*$D36/5</f>
        <v>116063.73937199998</v>
      </c>
      <c r="P36" s="429">
        <f>70%*$D36/5</f>
        <v>116063.73937199998</v>
      </c>
      <c r="Q36" s="430">
        <f>70%*$D36/5</f>
        <v>116063.73937199998</v>
      </c>
      <c r="R36" s="429"/>
      <c r="S36" s="430">
        <f t="shared" si="3"/>
        <v>124354.00646999999</v>
      </c>
      <c r="U36" s="436">
        <f t="shared" si="4"/>
        <v>829026.70979999995</v>
      </c>
      <c r="V36" s="352" t="str">
        <f t="shared" si="5"/>
        <v>ok</v>
      </c>
    </row>
    <row r="37" spans="1:22" x14ac:dyDescent="0.3">
      <c r="A37" s="108"/>
      <c r="B37" s="119" t="s">
        <v>333</v>
      </c>
      <c r="C37" s="96" t="str">
        <f>'01. Resumo Final'!C37</f>
        <v>PEDRAS NATURAIS E SINTÉTICAS</v>
      </c>
      <c r="D37" s="97">
        <f>'01. Resumo Final'!D37</f>
        <v>203956.92070564104</v>
      </c>
      <c r="E37" s="114"/>
      <c r="G37" s="439">
        <f t="shared" si="7"/>
        <v>30593.538105846153</v>
      </c>
      <c r="H37" s="429"/>
      <c r="I37" s="430"/>
      <c r="J37" s="429"/>
      <c r="K37" s="430"/>
      <c r="L37" s="429"/>
      <c r="M37" s="430"/>
      <c r="N37" s="429">
        <f>70%*$D37/4</f>
        <v>35692.461123487177</v>
      </c>
      <c r="O37" s="426">
        <f>70%*$D37/4</f>
        <v>35692.461123487177</v>
      </c>
      <c r="P37" s="429">
        <f>70%*$D37/4</f>
        <v>35692.461123487177</v>
      </c>
      <c r="Q37" s="430">
        <f>70%*$D37/4</f>
        <v>35692.461123487177</v>
      </c>
      <c r="R37" s="429"/>
      <c r="S37" s="430">
        <f t="shared" si="3"/>
        <v>30593.538105846153</v>
      </c>
      <c r="U37" s="436">
        <f t="shared" si="4"/>
        <v>203956.92070564104</v>
      </c>
      <c r="V37" s="352" t="str">
        <f t="shared" si="5"/>
        <v>ok</v>
      </c>
    </row>
    <row r="38" spans="1:22" hidden="1" x14ac:dyDescent="0.3">
      <c r="A38" s="108"/>
      <c r="B38" s="119" t="s">
        <v>334</v>
      </c>
      <c r="C38" s="96" t="str">
        <f>'01. Resumo Final'!C38</f>
        <v>ESQUADRIAS EM ALUMÍNIO, FERRO E MADEIRA</v>
      </c>
      <c r="D38" s="97">
        <f>'01. Resumo Final'!D38</f>
        <v>875132.38922454999</v>
      </c>
      <c r="E38" s="114"/>
      <c r="G38" s="439">
        <f t="shared" si="7"/>
        <v>131269.8583836825</v>
      </c>
      <c r="H38" s="429"/>
      <c r="I38" s="430"/>
      <c r="J38" s="429"/>
      <c r="K38" s="430"/>
      <c r="L38" s="429"/>
      <c r="M38" s="430">
        <f>70%*$D38/3</f>
        <v>204197.55748572832</v>
      </c>
      <c r="N38" s="429"/>
      <c r="O38" s="426">
        <f>70%*$D38/3</f>
        <v>204197.55748572832</v>
      </c>
      <c r="P38" s="429"/>
      <c r="Q38" s="430">
        <f>70%*$D38/3</f>
        <v>204197.55748572832</v>
      </c>
      <c r="R38" s="429"/>
      <c r="S38" s="430">
        <f t="shared" si="3"/>
        <v>131269.8583836825</v>
      </c>
      <c r="U38" s="436">
        <f t="shared" si="4"/>
        <v>875132.38922454999</v>
      </c>
      <c r="V38" s="352" t="str">
        <f t="shared" si="5"/>
        <v>ok</v>
      </c>
    </row>
    <row r="39" spans="1:22" x14ac:dyDescent="0.3">
      <c r="A39" s="108"/>
      <c r="B39" s="119" t="s">
        <v>2939</v>
      </c>
      <c r="C39" s="96" t="str">
        <f>'01. Resumo Final'!C39</f>
        <v>FACHADA</v>
      </c>
      <c r="D39" s="97">
        <f ca="1">'01. Resumo Final'!D39</f>
        <v>580194.61662325379</v>
      </c>
      <c r="E39" s="114"/>
      <c r="G39" s="439">
        <f t="shared" ca="1" si="7"/>
        <v>87029.192493488066</v>
      </c>
      <c r="H39" s="429"/>
      <c r="I39" s="430"/>
      <c r="J39" s="429"/>
      <c r="K39" s="430"/>
      <c r="L39" s="429"/>
      <c r="M39" s="430">
        <f ca="1">70%*$D39/2</f>
        <v>203068.11581813882</v>
      </c>
      <c r="N39" s="429"/>
      <c r="O39" s="426"/>
      <c r="P39" s="429">
        <f ca="1">70%*$D39/2</f>
        <v>203068.11581813882</v>
      </c>
      <c r="Q39" s="430"/>
      <c r="R39" s="429"/>
      <c r="S39" s="430">
        <f t="shared" ca="1" si="3"/>
        <v>87029.192493488066</v>
      </c>
      <c r="U39" s="436">
        <f t="shared" ca="1" si="4"/>
        <v>580194.61662325379</v>
      </c>
      <c r="V39" s="352" t="str">
        <f t="shared" ca="1" si="5"/>
        <v>ok</v>
      </c>
    </row>
    <row r="40" spans="1:22" x14ac:dyDescent="0.3">
      <c r="A40" s="108"/>
      <c r="B40" s="119" t="s">
        <v>2940</v>
      </c>
      <c r="C40" s="96" t="str">
        <f>'01. Resumo Final'!C40</f>
        <v>ELEVADORES</v>
      </c>
      <c r="D40" s="97">
        <f>'01. Resumo Final'!D40</f>
        <v>178000</v>
      </c>
      <c r="E40" s="114"/>
      <c r="G40" s="439">
        <f t="shared" si="7"/>
        <v>26700</v>
      </c>
      <c r="H40" s="429"/>
      <c r="I40" s="430"/>
      <c r="J40" s="429"/>
      <c r="K40" s="430"/>
      <c r="L40" s="429"/>
      <c r="M40" s="430"/>
      <c r="N40" s="429"/>
      <c r="O40" s="426"/>
      <c r="P40" s="429"/>
      <c r="Q40" s="430">
        <f>70%*$D40</f>
        <v>124599.99999999999</v>
      </c>
      <c r="R40" s="429"/>
      <c r="S40" s="430">
        <f t="shared" si="3"/>
        <v>26700</v>
      </c>
      <c r="U40" s="436">
        <f t="shared" si="4"/>
        <v>178000</v>
      </c>
      <c r="V40" s="352" t="str">
        <f t="shared" si="5"/>
        <v>ok</v>
      </c>
    </row>
    <row r="41" spans="1:22" x14ac:dyDescent="0.3">
      <c r="A41" s="108"/>
      <c r="B41" s="119" t="s">
        <v>338</v>
      </c>
      <c r="C41" s="96" t="str">
        <f>'01. Resumo Final'!C41</f>
        <v>PINTURA</v>
      </c>
      <c r="D41" s="97">
        <f>'01. Resumo Final'!D41</f>
        <v>417699.28121499997</v>
      </c>
      <c r="E41" s="114"/>
      <c r="G41" s="439">
        <f t="shared" si="7"/>
        <v>62654.892182249991</v>
      </c>
      <c r="H41" s="429">
        <f>70%*$D41/2</f>
        <v>146194.74842524997</v>
      </c>
      <c r="I41" s="430">
        <f>70%*$D41/2</f>
        <v>146194.74842524997</v>
      </c>
      <c r="J41" s="429"/>
      <c r="K41" s="430"/>
      <c r="L41" s="429"/>
      <c r="M41" s="430"/>
      <c r="N41" s="429"/>
      <c r="O41" s="426"/>
      <c r="P41" s="429"/>
      <c r="Q41" s="430"/>
      <c r="R41" s="429"/>
      <c r="S41" s="430">
        <f t="shared" si="3"/>
        <v>62654.892182249991</v>
      </c>
      <c r="U41" s="436">
        <f t="shared" si="4"/>
        <v>417699.28121499991</v>
      </c>
      <c r="V41" s="352" t="str">
        <f t="shared" si="5"/>
        <v>ok</v>
      </c>
    </row>
    <row r="42" spans="1:22" x14ac:dyDescent="0.3">
      <c r="A42" s="108"/>
      <c r="B42" s="119" t="s">
        <v>339</v>
      </c>
      <c r="C42" s="96" t="str">
        <f>'01. Resumo Final'!C42</f>
        <v>LOUÇAS E METAIS</v>
      </c>
      <c r="D42" s="97">
        <f>'01. Resumo Final'!D42</f>
        <v>161044.30799999999</v>
      </c>
      <c r="E42" s="114"/>
      <c r="G42" s="440">
        <f t="shared" si="7"/>
        <v>24156.646199999999</v>
      </c>
      <c r="H42" s="431"/>
      <c r="I42" s="432"/>
      <c r="J42" s="431">
        <f>70%*$D42/3</f>
        <v>37577.005199999992</v>
      </c>
      <c r="K42" s="432"/>
      <c r="L42" s="431">
        <f>70%*$D42/3</f>
        <v>37577.005199999992</v>
      </c>
      <c r="M42" s="432"/>
      <c r="N42" s="431"/>
      <c r="O42" s="434"/>
      <c r="P42" s="431">
        <f>70%*$D42/6</f>
        <v>18788.502599999996</v>
      </c>
      <c r="Q42" s="432">
        <f>70%*$D42/6</f>
        <v>18788.502599999996</v>
      </c>
      <c r="R42" s="431"/>
      <c r="S42" s="432">
        <f t="shared" si="3"/>
        <v>24156.646199999999</v>
      </c>
      <c r="U42" s="437">
        <f t="shared" si="4"/>
        <v>161044.30799999996</v>
      </c>
      <c r="V42" s="352" t="str">
        <f t="shared" si="5"/>
        <v>ok</v>
      </c>
    </row>
    <row r="43" spans="1:22" x14ac:dyDescent="0.3">
      <c r="A43" s="108"/>
      <c r="B43" s="119" t="s">
        <v>1817</v>
      </c>
      <c r="C43" s="96" t="str">
        <f>'01. Resumo Final'!C43</f>
        <v>AR CONDICIONADO E EXAUSTÃO</v>
      </c>
      <c r="D43" s="97">
        <f>'01. Resumo Final'!D43</f>
        <v>357846.29</v>
      </c>
      <c r="E43" s="114"/>
      <c r="G43" s="440">
        <f t="shared" ref="G43:G46" si="10">15%*D43</f>
        <v>53676.943499999994</v>
      </c>
      <c r="H43" s="431"/>
      <c r="I43" s="432"/>
      <c r="J43" s="431">
        <f t="shared" ref="J43:J46" si="11">70%*$D43/3</f>
        <v>83497.467666666649</v>
      </c>
      <c r="K43" s="432"/>
      <c r="L43" s="431">
        <f t="shared" ref="L43:L46" si="12">70%*$D43/3</f>
        <v>83497.467666666649</v>
      </c>
      <c r="M43" s="432"/>
      <c r="N43" s="431"/>
      <c r="O43" s="434"/>
      <c r="P43" s="431">
        <f t="shared" ref="P43:Q46" si="13">70%*$D43/6</f>
        <v>41748.733833333325</v>
      </c>
      <c r="Q43" s="432">
        <f t="shared" si="13"/>
        <v>41748.733833333325</v>
      </c>
      <c r="R43" s="431"/>
      <c r="S43" s="432">
        <f t="shared" ref="S43:S46" si="14">15%*D43</f>
        <v>53676.943499999994</v>
      </c>
      <c r="U43" s="437">
        <f t="shared" ref="U43:U46" si="15">SUM(G43:S43)</f>
        <v>357846.28999999992</v>
      </c>
    </row>
    <row r="44" spans="1:22" x14ac:dyDescent="0.3">
      <c r="A44" s="108"/>
      <c r="B44" s="119" t="s">
        <v>970</v>
      </c>
      <c r="C44" s="96" t="str">
        <f>'01. Resumo Final'!C44</f>
        <v>EQUIPAMENTOS ESPECIAIS</v>
      </c>
      <c r="D44" s="97">
        <f>'01. Resumo Final'!D44</f>
        <v>64065.423999999999</v>
      </c>
      <c r="E44" s="114"/>
      <c r="G44" s="440">
        <f t="shared" si="10"/>
        <v>9609.8135999999995</v>
      </c>
      <c r="H44" s="431"/>
      <c r="I44" s="432"/>
      <c r="J44" s="431">
        <f t="shared" si="11"/>
        <v>14948.598933333333</v>
      </c>
      <c r="K44" s="432"/>
      <c r="L44" s="431">
        <f t="shared" si="12"/>
        <v>14948.598933333333</v>
      </c>
      <c r="M44" s="432"/>
      <c r="N44" s="431"/>
      <c r="O44" s="434"/>
      <c r="P44" s="431">
        <f t="shared" si="13"/>
        <v>7474.2994666666664</v>
      </c>
      <c r="Q44" s="432">
        <f t="shared" si="13"/>
        <v>7474.2994666666664</v>
      </c>
      <c r="R44" s="431"/>
      <c r="S44" s="432">
        <f t="shared" si="14"/>
        <v>9609.8135999999995</v>
      </c>
      <c r="U44" s="437">
        <f t="shared" si="15"/>
        <v>64065.423999999992</v>
      </c>
    </row>
    <row r="45" spans="1:22" x14ac:dyDescent="0.3">
      <c r="A45" s="108"/>
      <c r="B45" s="119" t="s">
        <v>983</v>
      </c>
      <c r="C45" s="96" t="str">
        <f>'01. Resumo Final'!C45</f>
        <v>LIMPEZA DE OBRA</v>
      </c>
      <c r="D45" s="97">
        <f>'01. Resumo Final'!D45</f>
        <v>57871.360000000001</v>
      </c>
      <c r="E45" s="114"/>
      <c r="G45" s="440">
        <f t="shared" si="10"/>
        <v>8680.7039999999997</v>
      </c>
      <c r="H45" s="431"/>
      <c r="I45" s="432"/>
      <c r="J45" s="431">
        <f t="shared" si="11"/>
        <v>13503.317333333332</v>
      </c>
      <c r="K45" s="432"/>
      <c r="L45" s="431">
        <f t="shared" si="12"/>
        <v>13503.317333333332</v>
      </c>
      <c r="M45" s="432"/>
      <c r="N45" s="431"/>
      <c r="O45" s="434"/>
      <c r="P45" s="431">
        <f t="shared" si="13"/>
        <v>6751.6586666666662</v>
      </c>
      <c r="Q45" s="432">
        <f t="shared" si="13"/>
        <v>6751.6586666666662</v>
      </c>
      <c r="R45" s="431"/>
      <c r="S45" s="432">
        <f t="shared" si="14"/>
        <v>8680.7039999999997</v>
      </c>
      <c r="U45" s="437">
        <f t="shared" si="15"/>
        <v>57871.360000000001</v>
      </c>
    </row>
    <row r="46" spans="1:22" x14ac:dyDescent="0.3">
      <c r="A46" s="108"/>
      <c r="B46" s="119" t="s">
        <v>984</v>
      </c>
      <c r="C46" s="96" t="str">
        <f>'01. Resumo Final'!C46</f>
        <v>ÁREA COMUM</v>
      </c>
      <c r="D46" s="97">
        <f>'01. Resumo Final'!D46</f>
        <v>115077.83649</v>
      </c>
      <c r="E46" s="114"/>
      <c r="G46" s="440">
        <f t="shared" si="10"/>
        <v>17261.675473499999</v>
      </c>
      <c r="H46" s="431"/>
      <c r="I46" s="432"/>
      <c r="J46" s="431">
        <f t="shared" si="11"/>
        <v>26851.495181000002</v>
      </c>
      <c r="K46" s="432"/>
      <c r="L46" s="431">
        <f t="shared" si="12"/>
        <v>26851.495181000002</v>
      </c>
      <c r="M46" s="432"/>
      <c r="N46" s="431"/>
      <c r="O46" s="434"/>
      <c r="P46" s="431">
        <f t="shared" si="13"/>
        <v>13425.747590500001</v>
      </c>
      <c r="Q46" s="432">
        <f t="shared" si="13"/>
        <v>13425.747590500001</v>
      </c>
      <c r="R46" s="431"/>
      <c r="S46" s="432">
        <f t="shared" si="14"/>
        <v>17261.675473499999</v>
      </c>
      <c r="U46" s="437">
        <f t="shared" si="15"/>
        <v>115077.83649000002</v>
      </c>
    </row>
    <row r="47" spans="1:22" ht="5.25" customHeight="1" x14ac:dyDescent="0.3">
      <c r="A47" s="113"/>
      <c r="B47" s="1124"/>
      <c r="C47" s="1125"/>
      <c r="D47" s="1125"/>
      <c r="E47" s="113"/>
      <c r="G47" s="409"/>
      <c r="H47" s="409"/>
      <c r="I47" s="409"/>
      <c r="J47" s="409"/>
      <c r="K47" s="409"/>
      <c r="L47" s="409"/>
      <c r="M47" s="409"/>
      <c r="N47" s="409"/>
      <c r="O47" s="409"/>
      <c r="P47" s="409"/>
      <c r="Q47" s="409"/>
      <c r="R47" s="409"/>
      <c r="S47" s="409"/>
    </row>
    <row r="48" spans="1:22" ht="6" customHeight="1" x14ac:dyDescent="0.3">
      <c r="A48" s="108"/>
      <c r="B48" s="83"/>
      <c r="C48" s="84"/>
      <c r="D48" s="85"/>
      <c r="E48" s="114"/>
      <c r="G48" s="409"/>
      <c r="H48" s="409"/>
      <c r="I48" s="409"/>
      <c r="J48" s="409"/>
      <c r="K48" s="409"/>
      <c r="L48" s="409"/>
      <c r="M48" s="409"/>
      <c r="N48" s="409"/>
      <c r="O48" s="409"/>
      <c r="P48" s="409"/>
      <c r="Q48" s="409"/>
      <c r="R48" s="409"/>
      <c r="S48" s="409"/>
    </row>
    <row r="49" spans="1:19" x14ac:dyDescent="0.3">
      <c r="A49" s="78"/>
      <c r="B49" s="411"/>
      <c r="C49" s="412"/>
      <c r="D49" s="413"/>
      <c r="E49" s="78"/>
      <c r="G49" s="409"/>
      <c r="H49" s="409"/>
      <c r="I49" s="409"/>
      <c r="J49" s="409"/>
      <c r="K49" s="409"/>
      <c r="L49" s="409"/>
      <c r="M49" s="409"/>
      <c r="N49" s="409"/>
      <c r="O49" s="409"/>
      <c r="P49" s="409"/>
      <c r="Q49" s="409"/>
      <c r="R49" s="409"/>
      <c r="S49" s="409"/>
    </row>
    <row r="50" spans="1:19" x14ac:dyDescent="0.3">
      <c r="A50" s="78"/>
      <c r="B50" s="396"/>
      <c r="C50" s="87" t="s">
        <v>22</v>
      </c>
      <c r="D50" s="102">
        <f ca="1">D18</f>
        <v>16469381.482224394</v>
      </c>
      <c r="E50" s="78"/>
      <c r="G50" s="409"/>
      <c r="H50" s="409"/>
      <c r="I50" s="409"/>
      <c r="J50" s="409"/>
      <c r="K50" s="409"/>
      <c r="L50" s="409"/>
      <c r="M50" s="409"/>
      <c r="N50" s="409"/>
      <c r="O50" s="409"/>
      <c r="P50" s="409"/>
      <c r="Q50" s="409"/>
      <c r="R50" s="409"/>
      <c r="S50" s="409"/>
    </row>
    <row r="51" spans="1:19" x14ac:dyDescent="0.3">
      <c r="A51" s="78"/>
      <c r="B51" s="397"/>
      <c r="C51" s="322"/>
      <c r="D51" s="137"/>
      <c r="E51" s="78"/>
      <c r="G51" s="409"/>
      <c r="H51" s="409"/>
      <c r="I51" s="409"/>
      <c r="J51" s="409"/>
      <c r="K51" s="409"/>
      <c r="L51" s="409"/>
      <c r="M51" s="409"/>
      <c r="N51" s="409"/>
      <c r="O51" s="409"/>
      <c r="P51" s="409"/>
      <c r="Q51" s="409"/>
      <c r="R51" s="409"/>
      <c r="S51" s="409"/>
    </row>
    <row r="52" spans="1:19" x14ac:dyDescent="0.3">
      <c r="A52" s="78"/>
      <c r="B52" s="414"/>
      <c r="C52" s="415"/>
      <c r="D52" s="416"/>
      <c r="E52" s="78"/>
      <c r="G52" s="409"/>
      <c r="H52" s="409"/>
      <c r="I52" s="409"/>
      <c r="J52" s="409"/>
      <c r="K52" s="409"/>
      <c r="L52" s="409"/>
      <c r="M52" s="409"/>
      <c r="N52" s="409"/>
      <c r="O52" s="409"/>
      <c r="P52" s="409"/>
      <c r="Q52" s="409"/>
      <c r="R52" s="409"/>
      <c r="S52" s="409"/>
    </row>
    <row r="53" spans="1:19" hidden="1" x14ac:dyDescent="0.3">
      <c r="A53" s="78"/>
      <c r="B53" s="417"/>
      <c r="C53" s="418"/>
      <c r="D53" s="419"/>
      <c r="E53" s="78"/>
      <c r="G53" s="409"/>
      <c r="H53" s="409"/>
      <c r="I53" s="409"/>
      <c r="J53" s="409"/>
      <c r="K53" s="409"/>
      <c r="L53" s="409"/>
      <c r="M53" s="409"/>
      <c r="N53" s="409"/>
      <c r="O53" s="409"/>
      <c r="P53" s="409"/>
      <c r="Q53" s="409"/>
      <c r="R53" s="409"/>
      <c r="S53" s="409"/>
    </row>
    <row r="54" spans="1:19" hidden="1" x14ac:dyDescent="0.3">
      <c r="A54" s="78"/>
      <c r="B54" s="396"/>
      <c r="C54" s="420" t="s">
        <v>2617</v>
      </c>
      <c r="D54" s="421" t="e">
        <f>#REF!</f>
        <v>#REF!</v>
      </c>
      <c r="E54" s="78"/>
      <c r="G54" s="409"/>
      <c r="H54" s="409"/>
      <c r="I54" s="409"/>
      <c r="J54" s="409"/>
      <c r="K54" s="409"/>
      <c r="L54" s="409"/>
      <c r="M54" s="409"/>
      <c r="N54" s="409"/>
      <c r="O54" s="409"/>
      <c r="P54" s="409"/>
      <c r="Q54" s="409"/>
      <c r="R54" s="409"/>
      <c r="S54" s="409"/>
    </row>
    <row r="55" spans="1:19" hidden="1" x14ac:dyDescent="0.3">
      <c r="A55" s="78"/>
      <c r="B55" s="396"/>
      <c r="C55" s="420" t="s">
        <v>2618</v>
      </c>
      <c r="D55" s="421" t="e">
        <f>#REF!</f>
        <v>#REF!</v>
      </c>
      <c r="E55" s="78"/>
      <c r="G55" s="409"/>
      <c r="H55" s="409"/>
      <c r="I55" s="409"/>
      <c r="J55" s="409"/>
      <c r="K55" s="409"/>
      <c r="L55" s="409"/>
      <c r="M55" s="409"/>
      <c r="N55" s="409"/>
      <c r="O55" s="409"/>
      <c r="P55" s="409"/>
      <c r="Q55" s="409"/>
      <c r="R55" s="409"/>
      <c r="S55" s="409"/>
    </row>
    <row r="56" spans="1:19" hidden="1" x14ac:dyDescent="0.3">
      <c r="A56" s="78"/>
      <c r="B56" s="396"/>
      <c r="C56" s="420" t="s">
        <v>2619</v>
      </c>
      <c r="D56" s="421" t="e">
        <f>#REF!</f>
        <v>#REF!</v>
      </c>
      <c r="E56" s="78"/>
      <c r="G56" s="409"/>
      <c r="H56" s="409"/>
      <c r="I56" s="409"/>
      <c r="J56" s="409"/>
      <c r="K56" s="409"/>
      <c r="L56" s="409"/>
      <c r="M56" s="409"/>
      <c r="N56" s="409"/>
      <c r="O56" s="409"/>
      <c r="P56" s="409"/>
      <c r="Q56" s="409"/>
      <c r="R56" s="409"/>
      <c r="S56" s="409"/>
    </row>
    <row r="57" spans="1:19" hidden="1" x14ac:dyDescent="0.3">
      <c r="A57" s="78"/>
      <c r="B57" s="396"/>
      <c r="C57" s="420" t="s">
        <v>2620</v>
      </c>
      <c r="D57" s="421" t="e">
        <f>#REF!</f>
        <v>#REF!</v>
      </c>
      <c r="E57" s="78"/>
      <c r="G57" s="409"/>
      <c r="H57" s="409"/>
      <c r="I57" s="409"/>
      <c r="J57" s="409"/>
      <c r="K57" s="409"/>
      <c r="L57" s="409"/>
      <c r="M57" s="409"/>
      <c r="N57" s="409"/>
      <c r="O57" s="409"/>
      <c r="P57" s="409"/>
      <c r="Q57" s="409"/>
      <c r="R57" s="409"/>
      <c r="S57" s="409"/>
    </row>
    <row r="58" spans="1:19" hidden="1" x14ac:dyDescent="0.3">
      <c r="A58" s="78"/>
      <c r="B58" s="422"/>
      <c r="C58" s="423"/>
      <c r="D58" s="424"/>
      <c r="E58" s="78"/>
      <c r="G58" s="409"/>
      <c r="H58" s="409"/>
      <c r="I58" s="409"/>
      <c r="J58" s="409"/>
      <c r="K58" s="409"/>
      <c r="L58" s="409"/>
      <c r="M58" s="409"/>
      <c r="N58" s="409"/>
      <c r="O58" s="409"/>
      <c r="P58" s="409"/>
      <c r="Q58" s="409"/>
      <c r="R58" s="409"/>
      <c r="S58" s="409"/>
    </row>
    <row r="59" spans="1:19" ht="16.5" hidden="1" customHeight="1" x14ac:dyDescent="0.3">
      <c r="A59" s="78"/>
      <c r="B59" s="414"/>
      <c r="C59" s="415"/>
      <c r="D59" s="416"/>
      <c r="E59" s="78"/>
      <c r="G59" s="409"/>
      <c r="H59" s="409"/>
      <c r="I59" s="409"/>
      <c r="J59" s="409"/>
      <c r="K59" s="409"/>
      <c r="L59" s="409"/>
      <c r="M59" s="409"/>
      <c r="N59" s="409"/>
      <c r="O59" s="409"/>
      <c r="P59" s="409"/>
      <c r="Q59" s="409"/>
      <c r="R59" s="409"/>
      <c r="S59" s="409"/>
    </row>
    <row r="60" spans="1:19" x14ac:dyDescent="0.3">
      <c r="G60" s="409"/>
      <c r="H60" s="409"/>
      <c r="I60" s="409"/>
      <c r="J60" s="409"/>
      <c r="K60" s="409"/>
      <c r="L60" s="409"/>
      <c r="M60" s="409"/>
      <c r="N60" s="409"/>
      <c r="O60" s="409"/>
      <c r="P60" s="409"/>
      <c r="Q60" s="409"/>
      <c r="R60" s="409"/>
      <c r="S60" s="409"/>
    </row>
    <row r="61" spans="1:19" x14ac:dyDescent="0.3">
      <c r="C61" s="425"/>
      <c r="G61" s="409"/>
      <c r="H61" s="409"/>
      <c r="I61" s="409"/>
      <c r="J61" s="409"/>
      <c r="K61" s="409"/>
      <c r="L61" s="409"/>
      <c r="M61" s="409"/>
      <c r="N61" s="409"/>
      <c r="O61" s="409"/>
      <c r="P61" s="409"/>
      <c r="Q61" s="409"/>
      <c r="R61" s="409"/>
      <c r="S61" s="409"/>
    </row>
    <row r="62" spans="1:19" x14ac:dyDescent="0.3">
      <c r="C62" s="425"/>
      <c r="D62" s="409"/>
      <c r="G62" s="409"/>
      <c r="H62" s="409"/>
      <c r="I62" s="409"/>
      <c r="J62" s="409"/>
      <c r="K62" s="409"/>
      <c r="L62" s="409"/>
      <c r="M62" s="409"/>
      <c r="N62" s="409"/>
      <c r="O62" s="409"/>
      <c r="P62" s="409"/>
      <c r="Q62" s="409"/>
      <c r="R62" s="409"/>
      <c r="S62" s="409"/>
    </row>
    <row r="63" spans="1:19" x14ac:dyDescent="0.3">
      <c r="C63" s="425"/>
      <c r="D63" s="409"/>
    </row>
    <row r="64" spans="1:19" x14ac:dyDescent="0.3">
      <c r="D64" s="409"/>
    </row>
    <row r="65" spans="4:4" x14ac:dyDescent="0.3">
      <c r="D65" s="409"/>
    </row>
    <row r="66" spans="4:4" x14ac:dyDescent="0.3">
      <c r="D66" s="409"/>
    </row>
    <row r="67" spans="4:4" x14ac:dyDescent="0.3">
      <c r="D67" s="409"/>
    </row>
    <row r="68" spans="4:4" x14ac:dyDescent="0.3">
      <c r="D68" s="409"/>
    </row>
    <row r="69" spans="4:4" x14ac:dyDescent="0.3">
      <c r="D69" s="409"/>
    </row>
    <row r="70" spans="4:4" x14ac:dyDescent="0.3">
      <c r="D70" s="409"/>
    </row>
  </sheetData>
  <mergeCells count="27">
    <mergeCell ref="B2:D3"/>
    <mergeCell ref="R14:S14"/>
    <mergeCell ref="H14:I14"/>
    <mergeCell ref="J14:K14"/>
    <mergeCell ref="L14:M14"/>
    <mergeCell ref="N14:O14"/>
    <mergeCell ref="M17:M18"/>
    <mergeCell ref="B17:D17"/>
    <mergeCell ref="B18:C18"/>
    <mergeCell ref="B19:D19"/>
    <mergeCell ref="B47:D47"/>
    <mergeCell ref="U14:U15"/>
    <mergeCell ref="G8:U12"/>
    <mergeCell ref="L17:L18"/>
    <mergeCell ref="K17:K18"/>
    <mergeCell ref="U17:U18"/>
    <mergeCell ref="S17:S18"/>
    <mergeCell ref="R17:R18"/>
    <mergeCell ref="Q17:Q18"/>
    <mergeCell ref="P14:Q14"/>
    <mergeCell ref="H17:H18"/>
    <mergeCell ref="I17:I18"/>
    <mergeCell ref="J17:J18"/>
    <mergeCell ref="G17:G18"/>
    <mergeCell ref="P17:P18"/>
    <mergeCell ref="O17:O18"/>
    <mergeCell ref="N17:N18"/>
  </mergeCells>
  <phoneticPr fontId="6" type="noConversion"/>
  <printOptions horizontalCentered="1"/>
  <pageMargins left="0.70866141732283472" right="0.51181102362204722" top="0.74803149606299213" bottom="0.55118110236220474" header="0.31496062992125984" footer="0.31496062992125984"/>
  <pageSetup paperSize="9" scale="75" orientation="landscape" horizontalDpi="4294967293" verticalDpi="4294967293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3553" r:id="rId4" name="Button 1">
              <controlPr defaultSize="0" print="0" autoFill="0" autoPict="0" macro="[0]!MIG_PLAN2">
                <anchor moveWithCells="1" sizeWithCells="1">
                  <from>
                    <xdr:col>6</xdr:col>
                    <xdr:colOff>0</xdr:colOff>
                    <xdr:row>0</xdr:row>
                    <xdr:rowOff>0</xdr:rowOff>
                  </from>
                  <to>
                    <xdr:col>6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R932"/>
  <sheetViews>
    <sheetView showGridLines="0" topLeftCell="B1" zoomScaleNormal="100" zoomScaleSheetLayoutView="85" workbookViewId="0">
      <pane ySplit="7" topLeftCell="A268" activePane="bottomLeft" state="frozen"/>
      <selection pane="bottomLeft" activeCell="J272" sqref="J272"/>
    </sheetView>
  </sheetViews>
  <sheetFormatPr defaultColWidth="9.109375" defaultRowHeight="13.8" outlineLevelRow="1" outlineLevelCol="1" x14ac:dyDescent="0.3"/>
  <cols>
    <col min="1" max="1" width="4.33203125" style="290" customWidth="1" outlineLevel="1"/>
    <col min="2" max="2" width="1.88671875" style="39" customWidth="1"/>
    <col min="3" max="3" width="7.109375" style="39" customWidth="1"/>
    <col min="4" max="4" width="8.6640625" style="39" customWidth="1"/>
    <col min="5" max="5" width="65.6640625" style="39" customWidth="1"/>
    <col min="6" max="6" width="14" style="9" customWidth="1"/>
    <col min="7" max="7" width="10.33203125" style="9" customWidth="1"/>
    <col min="8" max="8" width="9" style="44" customWidth="1"/>
    <col min="9" max="9" width="11.6640625" style="44" customWidth="1"/>
    <col min="10" max="10" width="17.6640625" style="43" bestFit="1" customWidth="1"/>
    <col min="11" max="11" width="16.5546875" style="43" customWidth="1" outlineLevel="1"/>
    <col min="12" max="12" width="19" style="43" customWidth="1"/>
    <col min="13" max="13" width="11.109375" style="150" customWidth="1"/>
    <col min="14" max="14" width="17" style="13" customWidth="1" outlineLevel="1"/>
    <col min="15" max="15" width="17.88671875" style="13" customWidth="1" outlineLevel="1"/>
    <col min="16" max="16" width="16" style="13" customWidth="1" outlineLevel="1"/>
    <col min="17" max="17" width="1.44140625" style="13" customWidth="1"/>
    <col min="18" max="18" width="15.6640625" style="13" customWidth="1"/>
    <col min="19" max="20" width="13.5546875" style="13" customWidth="1"/>
    <col min="21" max="16384" width="9.109375" style="13"/>
  </cols>
  <sheetData>
    <row r="1" spans="1:18" ht="15" customHeight="1" x14ac:dyDescent="0.3">
      <c r="B1" s="371"/>
      <c r="C1" s="373"/>
      <c r="D1" s="374"/>
      <c r="E1" s="1111" t="s">
        <v>1263</v>
      </c>
      <c r="F1" s="1111"/>
      <c r="G1" s="1111"/>
      <c r="H1" s="1111"/>
      <c r="I1" s="1111"/>
      <c r="J1" s="1111"/>
      <c r="K1" s="375" t="s">
        <v>1155</v>
      </c>
      <c r="L1" s="382" t="s">
        <v>1000</v>
      </c>
      <c r="M1" s="149"/>
    </row>
    <row r="2" spans="1:18" ht="17.25" customHeight="1" x14ac:dyDescent="0.3">
      <c r="B2" s="371"/>
      <c r="C2" s="373"/>
      <c r="D2" s="374"/>
      <c r="E2" s="1111"/>
      <c r="F2" s="1111"/>
      <c r="G2" s="1111"/>
      <c r="H2" s="1111"/>
      <c r="I2" s="1111"/>
      <c r="J2" s="1111"/>
      <c r="K2" s="376"/>
      <c r="L2" s="383">
        <v>5</v>
      </c>
      <c r="M2" s="149"/>
      <c r="N2" s="226"/>
    </row>
    <row r="3" spans="1:18" ht="14.4" thickBot="1" x14ac:dyDescent="0.35">
      <c r="B3" s="372"/>
      <c r="C3" s="377"/>
      <c r="D3" s="378"/>
      <c r="E3" s="378"/>
      <c r="F3" s="379"/>
      <c r="G3" s="380"/>
      <c r="H3" s="380"/>
      <c r="I3" s="380"/>
      <c r="J3" s="380"/>
      <c r="K3" s="376"/>
      <c r="L3" s="381"/>
      <c r="M3" s="149"/>
    </row>
    <row r="4" spans="1:18" ht="15" thickTop="1" thickBot="1" x14ac:dyDescent="0.35">
      <c r="H4" s="9"/>
      <c r="I4" s="9"/>
      <c r="K4" s="228" t="s">
        <v>1261</v>
      </c>
    </row>
    <row r="5" spans="1:18" ht="13.5" customHeight="1" thickBot="1" x14ac:dyDescent="0.35">
      <c r="B5" s="24"/>
      <c r="C5" s="24"/>
      <c r="D5" s="24"/>
      <c r="E5" s="24"/>
      <c r="F5" s="3" t="s">
        <v>1593</v>
      </c>
      <c r="G5" s="3" t="s">
        <v>28</v>
      </c>
      <c r="H5" s="3" t="s">
        <v>1596</v>
      </c>
      <c r="I5" s="3" t="s">
        <v>88</v>
      </c>
      <c r="J5" s="25" t="s">
        <v>26</v>
      </c>
      <c r="K5" s="228">
        <v>1</v>
      </c>
      <c r="L5" s="25" t="s">
        <v>27</v>
      </c>
      <c r="M5" s="151"/>
      <c r="O5" s="148" t="s">
        <v>1262</v>
      </c>
    </row>
    <row r="6" spans="1:18" ht="5.25" customHeight="1" x14ac:dyDescent="0.3">
      <c r="B6" s="88"/>
      <c r="C6" s="88"/>
      <c r="D6" s="88"/>
      <c r="E6" s="88"/>
      <c r="F6" s="10"/>
      <c r="G6" s="10"/>
      <c r="H6" s="10"/>
      <c r="I6" s="10"/>
      <c r="J6" s="89"/>
      <c r="K6" s="89"/>
      <c r="L6" s="89"/>
      <c r="M6" s="152"/>
      <c r="O6" s="148"/>
    </row>
    <row r="7" spans="1:18" ht="13.5" customHeight="1" x14ac:dyDescent="0.3">
      <c r="B7" s="76" t="s">
        <v>22</v>
      </c>
      <c r="C7" s="90"/>
      <c r="D7" s="90"/>
      <c r="E7" s="90"/>
      <c r="F7" s="91"/>
      <c r="G7" s="91"/>
      <c r="H7" s="92"/>
      <c r="I7" s="92"/>
      <c r="J7" s="93"/>
      <c r="K7" s="93"/>
      <c r="L7" s="93">
        <f ca="1">SUM(L9+L177)</f>
        <v>57908169.876155503</v>
      </c>
      <c r="M7" s="153">
        <f t="shared" ref="M7:M143" ca="1" si="0">L7/$L$7</f>
        <v>1</v>
      </c>
      <c r="N7" s="13" t="e">
        <f ca="1">P7=L7</f>
        <v>#N/A</v>
      </c>
      <c r="O7" s="227" t="e">
        <f>SUM(O10:O904)</f>
        <v>#N/A</v>
      </c>
      <c r="P7" s="225" t="e">
        <f>O7*K5</f>
        <v>#N/A</v>
      </c>
      <c r="Q7" s="226"/>
    </row>
    <row r="8" spans="1:18" ht="5.25" customHeight="1" x14ac:dyDescent="0.3">
      <c r="B8" s="63">
        <v>0</v>
      </c>
      <c r="C8" s="72">
        <v>0</v>
      </c>
      <c r="D8" s="72">
        <v>0</v>
      </c>
      <c r="E8" s="72">
        <v>0</v>
      </c>
      <c r="F8" s="73"/>
      <c r="G8" s="73">
        <v>0</v>
      </c>
      <c r="H8" s="74">
        <v>0</v>
      </c>
      <c r="I8" s="74"/>
      <c r="J8" s="75">
        <f>IFERROR(IF(K8&lt;&gt;0,K8*$K$5,0),0)</f>
        <v>0</v>
      </c>
      <c r="K8" s="75"/>
      <c r="L8" s="75"/>
      <c r="M8" s="153">
        <f t="shared" ca="1" si="0"/>
        <v>0</v>
      </c>
      <c r="O8" s="148"/>
    </row>
    <row r="9" spans="1:18" ht="13.5" customHeight="1" x14ac:dyDescent="0.3">
      <c r="A9" s="290">
        <f t="shared" ref="A9:A145" si="1">LEN(C9)</f>
        <v>1</v>
      </c>
      <c r="B9" s="20"/>
      <c r="C9" s="20" t="s">
        <v>352</v>
      </c>
      <c r="D9" s="20" t="s">
        <v>90</v>
      </c>
      <c r="E9" s="21"/>
      <c r="F9" s="22"/>
      <c r="G9" s="22"/>
      <c r="H9" s="28"/>
      <c r="I9" s="28"/>
      <c r="J9" s="26"/>
      <c r="K9" s="26"/>
      <c r="L9" s="26">
        <f>SUMIF(A10:A176,3,L10:L176)</f>
        <v>173524.18</v>
      </c>
      <c r="M9" s="153">
        <f t="shared" ca="1" si="0"/>
        <v>2.996540563639035E-3</v>
      </c>
      <c r="O9" s="148">
        <f t="shared" ref="O9:O20" si="2">IF(I9&lt;&gt;0,I9*H9*K9,)</f>
        <v>0</v>
      </c>
      <c r="R9" s="12">
        <f t="shared" ref="R9:R24" si="3">IF(J9&lt;&gt;0,J9/1.03-K9,0)</f>
        <v>0</v>
      </c>
    </row>
    <row r="10" spans="1:18" s="18" customFormat="1" ht="13.5" customHeight="1" x14ac:dyDescent="0.3">
      <c r="A10" s="290">
        <f t="shared" si="1"/>
        <v>3</v>
      </c>
      <c r="B10" s="35"/>
      <c r="C10" s="35" t="s">
        <v>354</v>
      </c>
      <c r="D10" s="35" t="s">
        <v>76</v>
      </c>
      <c r="E10" s="35"/>
      <c r="F10" s="36"/>
      <c r="G10" s="36"/>
      <c r="H10" s="37"/>
      <c r="I10" s="37"/>
      <c r="J10" s="333"/>
      <c r="K10" s="38"/>
      <c r="L10" s="333">
        <f>SUMIF(A11:A24,4,L11:L24)</f>
        <v>1</v>
      </c>
      <c r="M10" s="153">
        <f t="shared" ca="1" si="0"/>
        <v>1.7268720495547279E-8</v>
      </c>
      <c r="O10" s="148">
        <f t="shared" si="2"/>
        <v>0</v>
      </c>
      <c r="R10" s="12">
        <f t="shared" si="3"/>
        <v>0</v>
      </c>
    </row>
    <row r="11" spans="1:18" s="18" customFormat="1" ht="5.25" hidden="1" customHeight="1" outlineLevel="1" x14ac:dyDescent="0.3">
      <c r="A11" s="290">
        <f t="shared" si="1"/>
        <v>0</v>
      </c>
      <c r="B11" s="63"/>
      <c r="C11" s="63"/>
      <c r="D11" s="63"/>
      <c r="E11" s="63"/>
      <c r="F11" s="64"/>
      <c r="G11" s="64"/>
      <c r="H11" s="65"/>
      <c r="I11" s="65"/>
      <c r="J11" s="334">
        <f>IFERROR(IF(K11&lt;&gt;0,K11*$K$5,0),0)</f>
        <v>0</v>
      </c>
      <c r="K11" s="66" t="e">
        <f>IF(A11=0,VLOOKUP(D11,'03. Insumos'!A:F,4,0),"")</f>
        <v>#N/A</v>
      </c>
      <c r="L11" s="334"/>
      <c r="M11" s="153">
        <f t="shared" ca="1" si="0"/>
        <v>0</v>
      </c>
      <c r="O11" s="148">
        <f t="shared" si="2"/>
        <v>0</v>
      </c>
      <c r="R11" s="12">
        <f t="shared" si="3"/>
        <v>0</v>
      </c>
    </row>
    <row r="12" spans="1:18" s="18" customFormat="1" ht="13.5" hidden="1" customHeight="1" outlineLevel="1" x14ac:dyDescent="0.3">
      <c r="A12" s="290">
        <f t="shared" si="1"/>
        <v>4</v>
      </c>
      <c r="B12" s="45"/>
      <c r="C12" s="45" t="s">
        <v>388</v>
      </c>
      <c r="D12" s="45" t="s">
        <v>1361</v>
      </c>
      <c r="E12" s="45"/>
      <c r="F12" s="60"/>
      <c r="G12" s="60"/>
      <c r="H12" s="61"/>
      <c r="I12" s="61"/>
      <c r="J12" s="335"/>
      <c r="K12" s="62" t="str">
        <f>IF(A12=0,VLOOKUP(D12,'03. Insumos'!A:F,4,0),"")</f>
        <v/>
      </c>
      <c r="L12" s="335">
        <f>SUMIF(A13:A14,6,L13:L14)</f>
        <v>0</v>
      </c>
      <c r="M12" s="153">
        <f t="shared" ca="1" si="0"/>
        <v>0</v>
      </c>
      <c r="O12" s="148">
        <f t="shared" si="2"/>
        <v>0</v>
      </c>
      <c r="R12" s="12">
        <f t="shared" si="3"/>
        <v>0</v>
      </c>
    </row>
    <row r="13" spans="1:18" s="71" customFormat="1" ht="13.5" hidden="1" customHeight="1" outlineLevel="1" x14ac:dyDescent="0.3">
      <c r="A13" s="290">
        <f t="shared" si="1"/>
        <v>6</v>
      </c>
      <c r="B13" s="67"/>
      <c r="C13" s="67" t="s">
        <v>910</v>
      </c>
      <c r="D13" s="67" t="s">
        <v>31</v>
      </c>
      <c r="E13" s="67"/>
      <c r="F13" s="68"/>
      <c r="G13" s="68"/>
      <c r="H13" s="69"/>
      <c r="I13" s="69"/>
      <c r="J13" s="70"/>
      <c r="K13" s="70" t="str">
        <f>IF(A13=0,VLOOKUP(D13,'03. Insumos'!A:F,4,0),"")</f>
        <v/>
      </c>
      <c r="L13" s="70"/>
      <c r="M13" s="153">
        <f t="shared" ca="1" si="0"/>
        <v>0</v>
      </c>
      <c r="O13" s="148">
        <f t="shared" si="2"/>
        <v>0</v>
      </c>
      <c r="R13" s="12">
        <f t="shared" si="3"/>
        <v>0</v>
      </c>
    </row>
    <row r="14" spans="1:18" s="51" customFormat="1" ht="13.5" hidden="1" customHeight="1" outlineLevel="1" x14ac:dyDescent="0.3">
      <c r="A14" s="290">
        <f t="shared" si="1"/>
        <v>0</v>
      </c>
      <c r="B14" s="49"/>
      <c r="C14" s="49"/>
      <c r="D14" s="140" t="s">
        <v>117</v>
      </c>
      <c r="E14" s="49" t="str">
        <f>VLOOKUP(D14,'03. Insumos'!A:D,2,0)</f>
        <v>Placa de Obra</v>
      </c>
      <c r="F14" s="52"/>
      <c r="G14" s="52" t="str">
        <f>VLOOKUP(D14,'03. Insumos'!A:F,3,0)</f>
        <v>vb</v>
      </c>
      <c r="H14" s="53">
        <v>1</v>
      </c>
      <c r="I14" s="191"/>
      <c r="J14" s="70">
        <f>IFERROR(IF(K14&lt;&gt;0,K14*$K$5,0),0)</f>
        <v>1</v>
      </c>
      <c r="K14" s="54">
        <f>IF(A14=0,VLOOKUP(D14,'03. Insumos'!A:F,4,0),"")</f>
        <v>1</v>
      </c>
      <c r="L14" s="338">
        <f>H14*J14*I14</f>
        <v>0</v>
      </c>
      <c r="M14" s="153">
        <f t="shared" ca="1" si="0"/>
        <v>0</v>
      </c>
      <c r="O14" s="148">
        <f t="shared" si="2"/>
        <v>0</v>
      </c>
      <c r="R14" s="12">
        <f t="shared" si="3"/>
        <v>-2.9126213592232997E-2</v>
      </c>
    </row>
    <row r="15" spans="1:18" s="18" customFormat="1" ht="13.5" customHeight="1" outlineLevel="1" x14ac:dyDescent="0.3">
      <c r="A15" s="290">
        <f t="shared" si="1"/>
        <v>4</v>
      </c>
      <c r="B15" s="45"/>
      <c r="C15" s="45" t="s">
        <v>389</v>
      </c>
      <c r="D15" s="45" t="s">
        <v>342</v>
      </c>
      <c r="E15" s="45"/>
      <c r="F15" s="60"/>
      <c r="G15" s="60"/>
      <c r="H15" s="61"/>
      <c r="I15" s="61"/>
      <c r="J15" s="335"/>
      <c r="K15" s="62" t="str">
        <f>IF(A15=0,VLOOKUP(D15,'03. Insumos'!A:F,4,0),"")</f>
        <v/>
      </c>
      <c r="L15" s="335">
        <f>SUMIF(A16:A24,6,L16:L24)</f>
        <v>1</v>
      </c>
      <c r="M15" s="153">
        <f t="shared" ca="1" si="0"/>
        <v>1.7268720495547279E-8</v>
      </c>
      <c r="O15" s="148">
        <f t="shared" si="2"/>
        <v>0</v>
      </c>
      <c r="R15" s="12">
        <f t="shared" si="3"/>
        <v>0</v>
      </c>
    </row>
    <row r="16" spans="1:18" s="34" customFormat="1" ht="13.5" hidden="1" customHeight="1" outlineLevel="1" x14ac:dyDescent="0.3">
      <c r="A16" s="290">
        <f t="shared" si="1"/>
        <v>6</v>
      </c>
      <c r="B16" s="30"/>
      <c r="C16" s="30" t="s">
        <v>911</v>
      </c>
      <c r="D16" s="30" t="s">
        <v>32</v>
      </c>
      <c r="E16" s="30"/>
      <c r="F16" s="31"/>
      <c r="G16" s="31"/>
      <c r="H16" s="32"/>
      <c r="I16" s="32"/>
      <c r="J16" s="70"/>
      <c r="K16" s="33" t="str">
        <f>IF(A16=0,VLOOKUP(D16,'03. Insumos'!A:F,4,0),"")</f>
        <v/>
      </c>
      <c r="L16" s="70">
        <f>SUM(L17:L20)</f>
        <v>0</v>
      </c>
      <c r="M16" s="153">
        <f t="shared" ca="1" si="0"/>
        <v>0</v>
      </c>
      <c r="O16" s="148">
        <f t="shared" si="2"/>
        <v>0</v>
      </c>
      <c r="R16" s="12">
        <f t="shared" si="3"/>
        <v>0</v>
      </c>
    </row>
    <row r="17" spans="1:18" s="51" customFormat="1" ht="13.5" hidden="1" customHeight="1" outlineLevel="1" x14ac:dyDescent="0.3">
      <c r="A17" s="290">
        <f t="shared" si="1"/>
        <v>0</v>
      </c>
      <c r="B17" s="49"/>
      <c r="C17" s="49"/>
      <c r="D17" s="140" t="s">
        <v>226</v>
      </c>
      <c r="E17" s="49" t="str">
        <f>VLOOKUP(D17,'03. Insumos'!A:D,2,0)</f>
        <v xml:space="preserve">Controle Tecnológico - Ensaio compressão simples concreto NBR 7215 </v>
      </c>
      <c r="F17" s="52"/>
      <c r="G17" s="52" t="str">
        <f>VLOOKUP(D17,'03. Insumos'!A:F,3,0)</f>
        <v>cp</v>
      </c>
      <c r="H17" s="53">
        <v>1</v>
      </c>
      <c r="I17" s="141"/>
      <c r="J17" s="70">
        <f>IFERROR(IF(K17&lt;&gt;0,K17*$K$5,0),0)</f>
        <v>12</v>
      </c>
      <c r="K17" s="54">
        <f>IF(A17=0,VLOOKUP(D17,'03. Insumos'!A:F,4,0),"")</f>
        <v>12</v>
      </c>
      <c r="L17" s="338">
        <f>H17*J17*I17</f>
        <v>0</v>
      </c>
      <c r="M17" s="153">
        <f t="shared" ca="1" si="0"/>
        <v>0</v>
      </c>
      <c r="O17" s="148">
        <f t="shared" si="2"/>
        <v>0</v>
      </c>
      <c r="R17" s="12">
        <f t="shared" si="3"/>
        <v>-0.34951456310679596</v>
      </c>
    </row>
    <row r="18" spans="1:18" s="51" customFormat="1" ht="13.5" hidden="1" customHeight="1" outlineLevel="1" x14ac:dyDescent="0.3">
      <c r="A18" s="290">
        <f t="shared" si="1"/>
        <v>0</v>
      </c>
      <c r="B18" s="49"/>
      <c r="C18" s="49"/>
      <c r="D18" s="140" t="s">
        <v>224</v>
      </c>
      <c r="E18" s="49" t="str">
        <f>VLOOKUP(D18,'03. Insumos'!A:D,2,0)</f>
        <v>Controle Tecnológico - Diária Moldador</v>
      </c>
      <c r="F18" s="52"/>
      <c r="G18" s="52" t="str">
        <f>VLOOKUP(D18,'03. Insumos'!A:F,3,0)</f>
        <v>dia</v>
      </c>
      <c r="H18" s="53">
        <v>1</v>
      </c>
      <c r="I18" s="141"/>
      <c r="J18" s="70">
        <f>IFERROR(IF(K18&lt;&gt;0,K18*$K$5,0),0)</f>
        <v>225</v>
      </c>
      <c r="K18" s="54">
        <f>IF(A18=0,VLOOKUP(D18,'03. Insumos'!A:F,4,0),"")</f>
        <v>225</v>
      </c>
      <c r="L18" s="338">
        <f>H18*J18*I18</f>
        <v>0</v>
      </c>
      <c r="M18" s="153">
        <f t="shared" ca="1" si="0"/>
        <v>0</v>
      </c>
      <c r="O18" s="148">
        <f t="shared" si="2"/>
        <v>0</v>
      </c>
      <c r="R18" s="12">
        <f t="shared" si="3"/>
        <v>-6.5533980582524407</v>
      </c>
    </row>
    <row r="19" spans="1:18" s="51" customFormat="1" ht="13.5" hidden="1" customHeight="1" outlineLevel="1" x14ac:dyDescent="0.3">
      <c r="A19" s="290">
        <f t="shared" si="1"/>
        <v>0</v>
      </c>
      <c r="B19" s="49"/>
      <c r="C19" s="49"/>
      <c r="D19" s="140" t="s">
        <v>225</v>
      </c>
      <c r="E19" s="49" t="str">
        <f>VLOOKUP(D19,'03. Insumos'!A:D,2,0)</f>
        <v>Controle Tecnológico - Mobilização</v>
      </c>
      <c r="F19" s="52"/>
      <c r="G19" s="52" t="str">
        <f>VLOOKUP(D19,'03. Insumos'!A:F,3,0)</f>
        <v>uni</v>
      </c>
      <c r="H19" s="53">
        <v>1</v>
      </c>
      <c r="I19" s="141"/>
      <c r="J19" s="70">
        <f>IFERROR(IF(K19&lt;&gt;0,K19*$K$5,0),0)</f>
        <v>155</v>
      </c>
      <c r="K19" s="54">
        <f>IF(A19=0,VLOOKUP(D19,'03. Insumos'!A:F,4,0),"")</f>
        <v>155</v>
      </c>
      <c r="L19" s="338">
        <f>H19*J19*I19</f>
        <v>0</v>
      </c>
      <c r="M19" s="153">
        <f t="shared" ca="1" si="0"/>
        <v>0</v>
      </c>
      <c r="O19" s="148">
        <f t="shared" si="2"/>
        <v>0</v>
      </c>
      <c r="R19" s="12">
        <f t="shared" si="3"/>
        <v>-4.5145631067961176</v>
      </c>
    </row>
    <row r="20" spans="1:18" s="51" customFormat="1" ht="13.5" hidden="1" customHeight="1" outlineLevel="1" x14ac:dyDescent="0.3">
      <c r="A20" s="290">
        <f t="shared" si="1"/>
        <v>0</v>
      </c>
      <c r="B20" s="49"/>
      <c r="C20" s="49"/>
      <c r="D20" s="140" t="s">
        <v>228</v>
      </c>
      <c r="E20" s="49" t="str">
        <f>VLOOKUP(D20,'03. Insumos'!A:D,2,0)</f>
        <v xml:space="preserve">Controle Tecnológico - Coleta de materiais na obra </v>
      </c>
      <c r="F20" s="52"/>
      <c r="G20" s="52" t="str">
        <f>VLOOKUP(D20,'03. Insumos'!A:F,3,0)</f>
        <v>uni</v>
      </c>
      <c r="H20" s="53">
        <v>1</v>
      </c>
      <c r="I20" s="141"/>
      <c r="J20" s="70">
        <f>IFERROR(IF(K20&lt;&gt;0,K20*$K$5,0),0)</f>
        <v>155</v>
      </c>
      <c r="K20" s="54">
        <f>IF(A20=0,VLOOKUP(D20,'03. Insumos'!A:F,4,0),"")</f>
        <v>155</v>
      </c>
      <c r="L20" s="338">
        <f>H20*J20*I20</f>
        <v>0</v>
      </c>
      <c r="M20" s="153">
        <f t="shared" ca="1" si="0"/>
        <v>0</v>
      </c>
      <c r="O20" s="148">
        <f t="shared" si="2"/>
        <v>0</v>
      </c>
      <c r="R20" s="12">
        <f t="shared" si="3"/>
        <v>-4.5145631067961176</v>
      </c>
    </row>
    <row r="21" spans="1:18" s="34" customFormat="1" ht="13.5" hidden="1" customHeight="1" outlineLevel="1" x14ac:dyDescent="0.3">
      <c r="A21" s="290">
        <f t="shared" si="1"/>
        <v>6</v>
      </c>
      <c r="B21" s="30"/>
      <c r="C21" s="30" t="s">
        <v>912</v>
      </c>
      <c r="D21" s="30" t="s">
        <v>94</v>
      </c>
      <c r="E21" s="30"/>
      <c r="F21" s="31"/>
      <c r="G21" s="31"/>
      <c r="H21" s="32"/>
      <c r="I21" s="197"/>
      <c r="J21" s="70"/>
      <c r="K21" s="33" t="str">
        <f>IF(A21=0,VLOOKUP(D21,'03. Insumos'!A:F,4,0),"")</f>
        <v/>
      </c>
      <c r="L21" s="70">
        <f>SUM(L22:L22)</f>
        <v>0</v>
      </c>
      <c r="M21" s="153">
        <f t="shared" ca="1" si="0"/>
        <v>0</v>
      </c>
      <c r="O21" s="148"/>
      <c r="R21" s="12">
        <f t="shared" si="3"/>
        <v>0</v>
      </c>
    </row>
    <row r="22" spans="1:18" s="51" customFormat="1" ht="13.5" hidden="1" customHeight="1" outlineLevel="1" x14ac:dyDescent="0.3">
      <c r="A22" s="290">
        <f t="shared" si="1"/>
        <v>0</v>
      </c>
      <c r="B22" s="49"/>
      <c r="C22" s="49"/>
      <c r="D22" s="140" t="s">
        <v>126</v>
      </c>
      <c r="E22" s="49" t="str">
        <f>VLOOKUP(D22,'03. Insumos'!A:D,2,0)</f>
        <v>Consultoria Estrutura</v>
      </c>
      <c r="F22" s="52"/>
      <c r="G22" s="52" t="str">
        <f>VLOOKUP(D22,'03. Insumos'!A:F,3,0)</f>
        <v>mês</v>
      </c>
      <c r="H22" s="53">
        <v>1</v>
      </c>
      <c r="I22" s="193"/>
      <c r="J22" s="70">
        <f>IFERROR(IF(K22&lt;&gt;0,K22*$K$5,0),0)</f>
        <v>3000</v>
      </c>
      <c r="K22" s="54">
        <f>IF(A22=0,VLOOKUP(D22,'03. Insumos'!A:F,4,0),"")</f>
        <v>3000</v>
      </c>
      <c r="L22" s="338">
        <f>H22*J22*I22</f>
        <v>0</v>
      </c>
      <c r="M22" s="153">
        <f t="shared" ca="1" si="0"/>
        <v>0</v>
      </c>
      <c r="O22" s="148">
        <f>IF(I22&lt;&gt;0,I22*H22*K22,)</f>
        <v>0</v>
      </c>
      <c r="R22" s="12">
        <f t="shared" si="3"/>
        <v>-87.378640776699285</v>
      </c>
    </row>
    <row r="23" spans="1:18" s="34" customFormat="1" ht="13.5" customHeight="1" outlineLevel="1" x14ac:dyDescent="0.3">
      <c r="A23" s="290">
        <f t="shared" si="1"/>
        <v>6</v>
      </c>
      <c r="B23" s="30"/>
      <c r="C23" s="30" t="s">
        <v>913</v>
      </c>
      <c r="D23" s="30" t="s">
        <v>1001</v>
      </c>
      <c r="E23" s="30"/>
      <c r="F23" s="31"/>
      <c r="G23" s="31"/>
      <c r="H23" s="32"/>
      <c r="I23" s="197"/>
      <c r="J23" s="70"/>
      <c r="K23" s="33" t="str">
        <f>IF(A23=0,VLOOKUP(D23,'03. Insumos'!A:F,4,0),"")</f>
        <v/>
      </c>
      <c r="L23" s="70">
        <f>SUM(L24:L26)</f>
        <v>1</v>
      </c>
      <c r="M23" s="153">
        <f t="shared" ca="1" si="0"/>
        <v>1.7268720495547279E-8</v>
      </c>
      <c r="O23" s="148"/>
      <c r="R23" s="12">
        <f t="shared" si="3"/>
        <v>0</v>
      </c>
    </row>
    <row r="24" spans="1:18" s="51" customFormat="1" ht="13.5" customHeight="1" outlineLevel="1" x14ac:dyDescent="0.3">
      <c r="A24" s="290">
        <f t="shared" si="1"/>
        <v>0</v>
      </c>
      <c r="B24" s="49"/>
      <c r="C24" s="49"/>
      <c r="D24" s="140" t="s">
        <v>1875</v>
      </c>
      <c r="E24" s="67" t="str">
        <f>VLOOKUP(D24,'03. Insumos'!A:D,2,0)</f>
        <v>Seguro responsabilidade civil e cruzada</v>
      </c>
      <c r="F24" s="68" t="s">
        <v>2599</v>
      </c>
      <c r="G24" s="68" t="str">
        <f>VLOOKUP(D24,'03. Insumos'!A:F,3,0)</f>
        <v>vb</v>
      </c>
      <c r="H24" s="69">
        <v>1</v>
      </c>
      <c r="I24" s="282">
        <v>1</v>
      </c>
      <c r="J24" s="70">
        <f>IFERROR(IF(K24&lt;&gt;0,K24*$K$5,0),0)</f>
        <v>1</v>
      </c>
      <c r="K24" s="70">
        <f>IF(A24=0,VLOOKUP(D24,'03. Insumos'!A:F,4,0),"")</f>
        <v>1</v>
      </c>
      <c r="L24" s="70">
        <f>H24*J24*I24</f>
        <v>1</v>
      </c>
      <c r="M24" s="153">
        <f t="shared" ca="1" si="0"/>
        <v>1.7268720495547279E-8</v>
      </c>
      <c r="O24" s="148">
        <f>IF(I24&lt;&gt;0,I24*H24*K24,)</f>
        <v>1</v>
      </c>
      <c r="R24" s="12">
        <f t="shared" si="3"/>
        <v>-2.9126213592232997E-2</v>
      </c>
    </row>
    <row r="25" spans="1:18" s="51" customFormat="1" ht="13.5" hidden="1" customHeight="1" outlineLevel="1" x14ac:dyDescent="0.3">
      <c r="A25" s="290">
        <f t="shared" si="1"/>
        <v>0</v>
      </c>
      <c r="B25" s="49"/>
      <c r="C25" s="49"/>
      <c r="D25" s="140" t="s">
        <v>1876</v>
      </c>
      <c r="E25" s="49" t="str">
        <f>VLOOKUP(D25,'03. Insumos'!A:D,2,0)</f>
        <v>Seguro Performance Bond</v>
      </c>
      <c r="F25" s="68"/>
      <c r="G25" s="68" t="str">
        <f>VLOOKUP(D25,'03. Insumos'!A:F,3,0)</f>
        <v>vb</v>
      </c>
      <c r="H25" s="69">
        <v>12</v>
      </c>
      <c r="I25" s="282"/>
      <c r="J25" s="70">
        <f>IFERROR(IF(K25&lt;&gt;0,K25*$K$5,0),0)</f>
        <v>1</v>
      </c>
      <c r="K25" s="54">
        <f>IF(A25=0,VLOOKUP(D25,'03. Insumos'!A:F,4,0),"")</f>
        <v>1</v>
      </c>
      <c r="L25" s="338">
        <f>H25*J25*I25</f>
        <v>0</v>
      </c>
      <c r="M25" s="153">
        <f t="shared" ca="1" si="0"/>
        <v>0</v>
      </c>
      <c r="O25" s="148"/>
      <c r="R25" s="12"/>
    </row>
    <row r="26" spans="1:18" s="51" customFormat="1" ht="13.5" hidden="1" customHeight="1" outlineLevel="1" x14ac:dyDescent="0.3">
      <c r="A26" s="290">
        <f t="shared" si="1"/>
        <v>0</v>
      </c>
      <c r="B26" s="49"/>
      <c r="C26" s="49"/>
      <c r="D26" s="140" t="s">
        <v>2018</v>
      </c>
      <c r="E26" s="49" t="str">
        <f>VLOOKUP(D26,'03. Insumos'!A:D,2,0)</f>
        <v>Carta fiança (10% valor)</v>
      </c>
      <c r="F26" s="68"/>
      <c r="G26" s="68" t="str">
        <f>VLOOKUP(D26,'03. Insumos'!A:F,3,0)</f>
        <v>vb</v>
      </c>
      <c r="H26" s="69">
        <v>1</v>
      </c>
      <c r="I26" s="282"/>
      <c r="J26" s="70">
        <f>IFERROR(IF(K26&lt;&gt;0,K26*$K$5,0),0)</f>
        <v>85135.684800000003</v>
      </c>
      <c r="K26" s="54">
        <f>0.03*2837856.16</f>
        <v>85135.684800000003</v>
      </c>
      <c r="L26" s="338">
        <f>H26*J26*I26</f>
        <v>0</v>
      </c>
      <c r="M26" s="153">
        <f t="shared" ca="1" si="0"/>
        <v>0</v>
      </c>
      <c r="O26" s="148"/>
      <c r="R26" s="12"/>
    </row>
    <row r="27" spans="1:18" s="18" customFormat="1" ht="13.5" customHeight="1" x14ac:dyDescent="0.3">
      <c r="A27" s="290">
        <f t="shared" si="1"/>
        <v>3</v>
      </c>
      <c r="B27" s="35"/>
      <c r="C27" s="35" t="s">
        <v>355</v>
      </c>
      <c r="D27" s="35" t="s">
        <v>77</v>
      </c>
      <c r="E27" s="35"/>
      <c r="F27" s="323"/>
      <c r="G27" s="323"/>
      <c r="H27" s="324"/>
      <c r="I27" s="37"/>
      <c r="J27" s="333"/>
      <c r="K27" s="38"/>
      <c r="L27" s="333">
        <f>SUMIF(A28:A49,4,L28:L49)</f>
        <v>2139</v>
      </c>
      <c r="M27" s="153">
        <f t="shared" ca="1" si="0"/>
        <v>3.6937793139975628E-5</v>
      </c>
      <c r="O27" s="148">
        <f>IF(I27&lt;&gt;0,I27*H27*K27,)</f>
        <v>0</v>
      </c>
      <c r="R27" s="12">
        <f>IF(J27&lt;&gt;0,J27/1.03-K27,0)</f>
        <v>0</v>
      </c>
    </row>
    <row r="28" spans="1:18" s="18" customFormat="1" ht="5.25" customHeight="1" x14ac:dyDescent="0.3">
      <c r="A28" s="290">
        <f t="shared" si="1"/>
        <v>0</v>
      </c>
      <c r="B28" s="63"/>
      <c r="C28" s="63"/>
      <c r="D28" s="63"/>
      <c r="E28" s="63"/>
      <c r="F28" s="325"/>
      <c r="G28" s="325"/>
      <c r="H28" s="326"/>
      <c r="I28" s="65"/>
      <c r="J28" s="334">
        <f>IFERROR(IF(K28&lt;&gt;0,K28*$K$5,0),0)</f>
        <v>0</v>
      </c>
      <c r="K28" s="66" t="e">
        <f>IF(A28=0,VLOOKUP(D28,'03. Insumos'!A:F,4,0),"")</f>
        <v>#N/A</v>
      </c>
      <c r="L28" s="334"/>
      <c r="M28" s="153">
        <f t="shared" ca="1" si="0"/>
        <v>0</v>
      </c>
      <c r="O28" s="148">
        <f>IF(I28&lt;&gt;0,I28*H28*K28,)</f>
        <v>0</v>
      </c>
      <c r="R28" s="12">
        <f>IF(J28&lt;&gt;0,J28/1.03-K28,0)</f>
        <v>0</v>
      </c>
    </row>
    <row r="29" spans="1:18" s="18" customFormat="1" ht="13.5" customHeight="1" x14ac:dyDescent="0.3">
      <c r="A29" s="290">
        <f t="shared" si="1"/>
        <v>4</v>
      </c>
      <c r="B29" s="45"/>
      <c r="C29" s="45" t="s">
        <v>387</v>
      </c>
      <c r="D29" s="45" t="s">
        <v>36</v>
      </c>
      <c r="E29" s="45"/>
      <c r="F29" s="327"/>
      <c r="G29" s="327"/>
      <c r="H29" s="328"/>
      <c r="I29" s="61"/>
      <c r="J29" s="335"/>
      <c r="K29" s="62" t="str">
        <f>IF(A29=0,VLOOKUP(D29,'03. Insumos'!A:F,4,0),"")</f>
        <v/>
      </c>
      <c r="L29" s="335">
        <f>SUMIF(A30:A49,6,L30:L49)</f>
        <v>2139</v>
      </c>
      <c r="M29" s="153">
        <f t="shared" ca="1" si="0"/>
        <v>3.6937793139975628E-5</v>
      </c>
      <c r="O29" s="148">
        <f>IF(I29&lt;&gt;0,I29*H29*K29,)</f>
        <v>0</v>
      </c>
      <c r="R29" s="12">
        <f>IF(J29&lt;&gt;0,J29/1.03-K29,0)</f>
        <v>0</v>
      </c>
    </row>
    <row r="30" spans="1:18" s="59" customFormat="1" ht="13.5" hidden="1" customHeight="1" x14ac:dyDescent="0.3">
      <c r="A30" s="290">
        <f t="shared" si="1"/>
        <v>6</v>
      </c>
      <c r="B30" s="55"/>
      <c r="C30" s="55" t="s">
        <v>914</v>
      </c>
      <c r="D30" s="55" t="s">
        <v>877</v>
      </c>
      <c r="E30" s="55"/>
      <c r="F30" s="56"/>
      <c r="G30" s="56"/>
      <c r="H30" s="57"/>
      <c r="I30" s="57"/>
      <c r="J30" s="58"/>
      <c r="K30" s="58" t="str">
        <f>IF(A30=0,VLOOKUP(D30,'03. Insumos'!A:F,4,0),"")</f>
        <v/>
      </c>
      <c r="L30" s="58">
        <f>SUM(L31:L36)</f>
        <v>0</v>
      </c>
      <c r="M30" s="153">
        <f t="shared" ca="1" si="0"/>
        <v>0</v>
      </c>
      <c r="O30" s="148">
        <f>IF(I30&lt;&gt;0,I30*H30*K30,)</f>
        <v>0</v>
      </c>
      <c r="R30" s="12">
        <f>IF(J30&lt;&gt;0,J30/1.03-K30,0)</f>
        <v>0</v>
      </c>
    </row>
    <row r="31" spans="1:18" s="51" customFormat="1" ht="13.5" hidden="1" customHeight="1" x14ac:dyDescent="0.3">
      <c r="A31" s="290">
        <f t="shared" si="1"/>
        <v>0</v>
      </c>
      <c r="B31" s="49"/>
      <c r="C31" s="49"/>
      <c r="D31" s="140" t="s">
        <v>1883</v>
      </c>
      <c r="E31" s="49" t="str">
        <f>VLOOKUP(D31,'03. Insumos'!A:D,2,0)</f>
        <v>Barraco de Obra</v>
      </c>
      <c r="F31" s="68"/>
      <c r="G31" s="68" t="str">
        <f>VLOOKUP(D31,'03. Insumos'!A:F,3,0)</f>
        <v>vb</v>
      </c>
      <c r="H31" s="69">
        <v>1</v>
      </c>
      <c r="I31" s="141"/>
      <c r="J31" s="70">
        <f t="shared" ref="J31:J36" si="4">IFERROR(IF(K31&lt;&gt;0,K31*$K$5,0),0)</f>
        <v>45169.279999999999</v>
      </c>
      <c r="K31" s="54">
        <v>45169.279999999999</v>
      </c>
      <c r="L31" s="338">
        <f t="shared" ref="L31:L36" si="5">H31*J31*I31</f>
        <v>0</v>
      </c>
      <c r="M31" s="153">
        <f t="shared" ca="1" si="0"/>
        <v>0</v>
      </c>
      <c r="O31" s="148">
        <f>IF(I31&lt;&gt;0,I31*H31*K31,)</f>
        <v>0</v>
      </c>
      <c r="R31" s="12">
        <f>IF(J31&lt;&gt;0,J31/1.03-K31,0)</f>
        <v>-1315.6100970873813</v>
      </c>
    </row>
    <row r="32" spans="1:18" s="51" customFormat="1" ht="13.5" hidden="1" customHeight="1" x14ac:dyDescent="0.3">
      <c r="A32" s="290">
        <f t="shared" si="1"/>
        <v>0</v>
      </c>
      <c r="B32" s="49"/>
      <c r="C32" s="49"/>
      <c r="D32" s="140" t="s">
        <v>1882</v>
      </c>
      <c r="E32" s="49" t="str">
        <f>VLOOKUP(D32,'03. Insumos'!A:D,2,0)</f>
        <v>Mobiliário para barraco</v>
      </c>
      <c r="F32" s="68"/>
      <c r="G32" s="68" t="str">
        <f>VLOOKUP(D32,'03. Insumos'!A:F,3,0)</f>
        <v>vb</v>
      </c>
      <c r="H32" s="69">
        <v>1</v>
      </c>
      <c r="I32" s="141"/>
      <c r="J32" s="70">
        <f t="shared" si="4"/>
        <v>20143.759999999998</v>
      </c>
      <c r="K32" s="54">
        <v>20143.759999999998</v>
      </c>
      <c r="L32" s="338">
        <f t="shared" si="5"/>
        <v>0</v>
      </c>
      <c r="M32" s="153">
        <f t="shared" ca="1" si="0"/>
        <v>0</v>
      </c>
      <c r="O32" s="148"/>
      <c r="R32" s="12"/>
    </row>
    <row r="33" spans="1:18" s="51" customFormat="1" ht="13.5" hidden="1" customHeight="1" x14ac:dyDescent="0.3">
      <c r="A33" s="290">
        <f t="shared" si="1"/>
        <v>0</v>
      </c>
      <c r="B33" s="49"/>
      <c r="C33" s="49"/>
      <c r="D33" s="140" t="s">
        <v>1997</v>
      </c>
      <c r="E33" s="49" t="str">
        <f>VLOOKUP(D33,'03. Insumos'!A:D,2,0)</f>
        <v>Módulo habitacional banheiro</v>
      </c>
      <c r="F33" s="68"/>
      <c r="G33" s="68" t="str">
        <f>VLOOKUP(D33,'03. Insumos'!A:F,3,0)</f>
        <v>mês</v>
      </c>
      <c r="H33" s="69">
        <v>1</v>
      </c>
      <c r="I33" s="141"/>
      <c r="J33" s="70">
        <f t="shared" si="4"/>
        <v>620</v>
      </c>
      <c r="K33" s="54">
        <f>IF(A33=0,VLOOKUP(D33,'03. Insumos'!A:F,4,0),"")</f>
        <v>620</v>
      </c>
      <c r="L33" s="338">
        <f t="shared" si="5"/>
        <v>0</v>
      </c>
      <c r="M33" s="153">
        <f t="shared" ca="1" si="0"/>
        <v>0</v>
      </c>
      <c r="O33" s="148"/>
      <c r="R33" s="12"/>
    </row>
    <row r="34" spans="1:18" s="51" customFormat="1" ht="13.5" hidden="1" customHeight="1" x14ac:dyDescent="0.3">
      <c r="A34" s="290">
        <f t="shared" si="1"/>
        <v>0</v>
      </c>
      <c r="B34" s="49"/>
      <c r="C34" s="49"/>
      <c r="D34" s="140" t="s">
        <v>2007</v>
      </c>
      <c r="E34" s="49" t="str">
        <f>VLOOKUP(D34,'03. Insumos'!A:D,2,0)</f>
        <v>Banheiro químico</v>
      </c>
      <c r="F34" s="68"/>
      <c r="G34" s="68" t="str">
        <f>VLOOKUP(D34,'03. Insumos'!A:F,3,0)</f>
        <v>mês</v>
      </c>
      <c r="H34" s="69">
        <v>2</v>
      </c>
      <c r="I34" s="141"/>
      <c r="J34" s="70">
        <f t="shared" si="4"/>
        <v>700</v>
      </c>
      <c r="K34" s="54">
        <f>IF(A34=0,VLOOKUP(D34,'03. Insumos'!A:F,4,0),"")</f>
        <v>700</v>
      </c>
      <c r="L34" s="338">
        <f t="shared" si="5"/>
        <v>0</v>
      </c>
      <c r="M34" s="153">
        <f t="shared" ca="1" si="0"/>
        <v>0</v>
      </c>
      <c r="O34" s="148"/>
      <c r="R34" s="12"/>
    </row>
    <row r="35" spans="1:18" s="51" customFormat="1" ht="13.5" hidden="1" customHeight="1" x14ac:dyDescent="0.3">
      <c r="A35" s="290">
        <f t="shared" si="1"/>
        <v>0</v>
      </c>
      <c r="B35" s="49"/>
      <c r="C35" s="49"/>
      <c r="D35" s="140" t="s">
        <v>1910</v>
      </c>
      <c r="E35" s="49" t="str">
        <f>VLOOKUP(D35,'03. Insumos'!A:D,2,0)</f>
        <v>Container marítimo 20 pés</v>
      </c>
      <c r="F35" s="68"/>
      <c r="G35" s="68" t="str">
        <f>VLOOKUP(D35,'03. Insumos'!A:F,3,0)</f>
        <v>unid</v>
      </c>
      <c r="H35" s="69">
        <v>2</v>
      </c>
      <c r="I35" s="141"/>
      <c r="J35" s="70">
        <f t="shared" si="4"/>
        <v>500</v>
      </c>
      <c r="K35" s="54">
        <f>IF(A35=0,VLOOKUP(D35,'03. Insumos'!A:F,4,0),"")</f>
        <v>500</v>
      </c>
      <c r="L35" s="338">
        <f t="shared" si="5"/>
        <v>0</v>
      </c>
      <c r="M35" s="153">
        <f t="shared" ca="1" si="0"/>
        <v>0</v>
      </c>
      <c r="O35" s="148"/>
      <c r="R35" s="12"/>
    </row>
    <row r="36" spans="1:18" s="51" customFormat="1" ht="13.5" hidden="1" customHeight="1" x14ac:dyDescent="0.3">
      <c r="A36" s="290">
        <f t="shared" si="1"/>
        <v>0</v>
      </c>
      <c r="B36" s="49"/>
      <c r="C36" s="49"/>
      <c r="D36" s="140" t="s">
        <v>1913</v>
      </c>
      <c r="E36" s="49" t="str">
        <f>VLOOKUP(D36,'03. Insumos'!A:D,2,0)</f>
        <v>Frete container marítimo</v>
      </c>
      <c r="F36" s="68"/>
      <c r="G36" s="68" t="str">
        <f>VLOOKUP(D36,'03. Insumos'!A:F,3,0)</f>
        <v>unid</v>
      </c>
      <c r="H36" s="69">
        <v>1</v>
      </c>
      <c r="I36" s="141"/>
      <c r="J36" s="70">
        <f t="shared" si="4"/>
        <v>800</v>
      </c>
      <c r="K36" s="54">
        <f>IF(A36=0,VLOOKUP(D36,'03. Insumos'!A:F,4,0),"")</f>
        <v>800</v>
      </c>
      <c r="L36" s="338">
        <f t="shared" si="5"/>
        <v>0</v>
      </c>
      <c r="M36" s="153">
        <f t="shared" ca="1" si="0"/>
        <v>0</v>
      </c>
      <c r="O36" s="148"/>
      <c r="R36" s="12"/>
    </row>
    <row r="37" spans="1:18" s="59" customFormat="1" ht="13.5" hidden="1" customHeight="1" x14ac:dyDescent="0.3">
      <c r="A37" s="290">
        <f t="shared" si="1"/>
        <v>6</v>
      </c>
      <c r="B37" s="55"/>
      <c r="C37" s="55" t="s">
        <v>915</v>
      </c>
      <c r="D37" s="55" t="s">
        <v>2023</v>
      </c>
      <c r="E37" s="55"/>
      <c r="F37" s="56"/>
      <c r="G37" s="56"/>
      <c r="H37" s="57"/>
      <c r="I37" s="57"/>
      <c r="J37" s="58"/>
      <c r="K37" s="58" t="str">
        <f>IF(A37=0,VLOOKUP(D37,'03. Insumos'!A:F,4,0),"")</f>
        <v/>
      </c>
      <c r="L37" s="58">
        <f>SUM(L38:L38)</f>
        <v>0</v>
      </c>
      <c r="M37" s="153">
        <f t="shared" ca="1" si="0"/>
        <v>0</v>
      </c>
      <c r="O37" s="148">
        <f>IF(I37&lt;&gt;0,I37*H37*K37,)</f>
        <v>0</v>
      </c>
      <c r="R37" s="12">
        <f>IF(J37&lt;&gt;0,J37/1.03-K37,0)</f>
        <v>0</v>
      </c>
    </row>
    <row r="38" spans="1:18" s="51" customFormat="1" ht="13.5" hidden="1" customHeight="1" x14ac:dyDescent="0.3">
      <c r="A38" s="290">
        <f t="shared" si="1"/>
        <v>0</v>
      </c>
      <c r="B38" s="49"/>
      <c r="C38" s="49"/>
      <c r="D38" s="140" t="s">
        <v>717</v>
      </c>
      <c r="E38" s="49" t="str">
        <f>VLOOKUP(D38,'03. Insumos'!A:D,2,0)</f>
        <v>Tapume metálico</v>
      </c>
      <c r="F38" s="68"/>
      <c r="G38" s="68" t="s">
        <v>29</v>
      </c>
      <c r="H38" s="69">
        <v>1</v>
      </c>
      <c r="I38" s="141"/>
      <c r="J38" s="70">
        <f>IFERROR(IF(K38&lt;&gt;0,K38*$K$5,0),0)</f>
        <v>100</v>
      </c>
      <c r="K38" s="54">
        <f>IF(A38=0,VLOOKUP(D38,'03. Insumos'!A:F,4,0),"")</f>
        <v>100</v>
      </c>
      <c r="L38" s="338">
        <f>H38*J38*I38</f>
        <v>0</v>
      </c>
      <c r="M38" s="153">
        <f t="shared" ca="1" si="0"/>
        <v>0</v>
      </c>
      <c r="O38" s="148">
        <f>IF(I38&lt;&gt;0,I38*H38*K38,)</f>
        <v>0</v>
      </c>
      <c r="R38" s="12">
        <f>IF(J38&lt;&gt;0,J38/1.03-K38,0)</f>
        <v>-2.9126213592233086</v>
      </c>
    </row>
    <row r="39" spans="1:18" s="59" customFormat="1" ht="13.5" customHeight="1" x14ac:dyDescent="0.3">
      <c r="A39" s="290">
        <f t="shared" si="1"/>
        <v>6</v>
      </c>
      <c r="B39" s="55"/>
      <c r="C39" s="55" t="s">
        <v>916</v>
      </c>
      <c r="D39" s="55" t="s">
        <v>904</v>
      </c>
      <c r="E39" s="55"/>
      <c r="F39" s="56"/>
      <c r="G39" s="56"/>
      <c r="H39" s="57"/>
      <c r="I39" s="57"/>
      <c r="J39" s="58"/>
      <c r="K39" s="58" t="str">
        <f>IF(A39=0,VLOOKUP(D39,'03. Insumos'!A:F,4,0),"")</f>
        <v/>
      </c>
      <c r="L39" s="58">
        <f>SUM(L40:L49)</f>
        <v>2139</v>
      </c>
      <c r="M39" s="153">
        <f t="shared" ca="1" si="0"/>
        <v>3.6937793139975628E-5</v>
      </c>
      <c r="O39" s="148">
        <f>IF(I39&lt;&gt;0,I39*H39*K39,)</f>
        <v>0</v>
      </c>
      <c r="R39" s="12">
        <f>IF(J39&lt;&gt;0,J39/1.03-K39,0)</f>
        <v>0</v>
      </c>
    </row>
    <row r="40" spans="1:18" s="51" customFormat="1" ht="13.5" customHeight="1" x14ac:dyDescent="0.3">
      <c r="A40" s="290">
        <f t="shared" si="1"/>
        <v>0</v>
      </c>
      <c r="B40" s="49"/>
      <c r="C40" s="49"/>
      <c r="D40" s="140" t="s">
        <v>712</v>
      </c>
      <c r="E40" s="67" t="str">
        <f>VLOOKUP(D40,'03. Insumos'!A:D,2,0)</f>
        <v>Cabo PP (2 x 2,5 mm)</v>
      </c>
      <c r="F40" s="68" t="s">
        <v>2612</v>
      </c>
      <c r="G40" s="68" t="str">
        <f>VLOOKUP(D40,'03. Insumos'!A:F,3,0)</f>
        <v>m</v>
      </c>
      <c r="H40" s="69">
        <v>1</v>
      </c>
      <c r="I40" s="141">
        <v>200</v>
      </c>
      <c r="J40" s="70">
        <f t="shared" ref="J40:J49" si="6">IFERROR(IF(K40&lt;&gt;0,K40*$K$5,0),0)</f>
        <v>3.22</v>
      </c>
      <c r="K40" s="54">
        <f>IF(A40=0,VLOOKUP(D40,'03. Insumos'!A:F,4,0),"")</f>
        <v>3.22</v>
      </c>
      <c r="L40" s="70">
        <f t="shared" ref="L40:L49" si="7">H40*J40*I40</f>
        <v>644</v>
      </c>
      <c r="M40" s="153">
        <f t="shared" ca="1" si="0"/>
        <v>1.1121055999132447E-5</v>
      </c>
      <c r="O40" s="148">
        <f>IF(I40&lt;&gt;0,I40*H40*K40,)</f>
        <v>644</v>
      </c>
      <c r="R40" s="12">
        <f>IF(J40&lt;&gt;0,J40/1.03-K40,0)</f>
        <v>-9.3786407766990543E-2</v>
      </c>
    </row>
    <row r="41" spans="1:18" s="51" customFormat="1" ht="13.5" customHeight="1" x14ac:dyDescent="0.3">
      <c r="A41" s="290">
        <f t="shared" si="1"/>
        <v>0</v>
      </c>
      <c r="B41" s="49"/>
      <c r="C41" s="49"/>
      <c r="D41" s="140" t="s">
        <v>713</v>
      </c>
      <c r="E41" s="67" t="str">
        <f>VLOOKUP(D41,'03. Insumos'!A:D,2,0)</f>
        <v>Bocal para lâmpada</v>
      </c>
      <c r="F41" s="68" t="s">
        <v>2612</v>
      </c>
      <c r="G41" s="68" t="str">
        <f>VLOOKUP(D41,'03. Insumos'!A:F,3,0)</f>
        <v>unid</v>
      </c>
      <c r="H41" s="69">
        <v>1</v>
      </c>
      <c r="I41" s="141">
        <v>10</v>
      </c>
      <c r="J41" s="70">
        <f t="shared" si="6"/>
        <v>3.5</v>
      </c>
      <c r="K41" s="54">
        <f>IF(A41=0,VLOOKUP(D41,'03. Insumos'!A:F,4,0),"")</f>
        <v>3.5</v>
      </c>
      <c r="L41" s="70">
        <f t="shared" si="7"/>
        <v>35</v>
      </c>
      <c r="M41" s="153">
        <f t="shared" ca="1" si="0"/>
        <v>6.0440521734415474E-7</v>
      </c>
      <c r="O41" s="148"/>
      <c r="R41" s="12"/>
    </row>
    <row r="42" spans="1:18" s="51" customFormat="1" ht="13.5" customHeight="1" x14ac:dyDescent="0.3">
      <c r="A42" s="290">
        <f t="shared" si="1"/>
        <v>0</v>
      </c>
      <c r="B42" s="49"/>
      <c r="C42" s="49"/>
      <c r="D42" s="140" t="s">
        <v>714</v>
      </c>
      <c r="E42" s="67" t="str">
        <f>VLOOKUP(D42,'03. Insumos'!A:D,2,0)</f>
        <v>Lâmpada</v>
      </c>
      <c r="F42" s="68" t="s">
        <v>2612</v>
      </c>
      <c r="G42" s="68" t="str">
        <f>VLOOKUP(D42,'03. Insumos'!A:F,3,0)</f>
        <v>unid</v>
      </c>
      <c r="H42" s="69">
        <v>1</v>
      </c>
      <c r="I42" s="141">
        <v>20</v>
      </c>
      <c r="J42" s="70">
        <f t="shared" si="6"/>
        <v>6</v>
      </c>
      <c r="K42" s="54">
        <f>IF(A42=0,VLOOKUP(D42,'03. Insumos'!A:F,4,0),"")</f>
        <v>6</v>
      </c>
      <c r="L42" s="70">
        <f>H42*J42*I42</f>
        <v>120</v>
      </c>
      <c r="M42" s="153">
        <f t="shared" ca="1" si="0"/>
        <v>2.0722464594656732E-6</v>
      </c>
      <c r="O42" s="148"/>
      <c r="R42" s="12"/>
    </row>
    <row r="43" spans="1:18" s="51" customFormat="1" ht="13.5" customHeight="1" x14ac:dyDescent="0.3">
      <c r="A43" s="290">
        <f t="shared" si="1"/>
        <v>0</v>
      </c>
      <c r="B43" s="49"/>
      <c r="C43" s="49"/>
      <c r="D43" s="140" t="s">
        <v>2039</v>
      </c>
      <c r="E43" s="67" t="str">
        <f>VLOOKUP(D43,'03. Insumos'!A:D,2,0)</f>
        <v>Refletores 400 W</v>
      </c>
      <c r="F43" s="68" t="s">
        <v>2612</v>
      </c>
      <c r="G43" s="68" t="str">
        <f>VLOOKUP(D43,'03. Insumos'!A:F,3,0)</f>
        <v>unid</v>
      </c>
      <c r="H43" s="69">
        <v>1</v>
      </c>
      <c r="I43" s="141">
        <v>2</v>
      </c>
      <c r="J43" s="70">
        <f t="shared" si="6"/>
        <v>134</v>
      </c>
      <c r="K43" s="54">
        <f>IF(A43=0,VLOOKUP(D43,'03. Insumos'!A:F,4,0),"")</f>
        <v>134</v>
      </c>
      <c r="L43" s="70">
        <f>H43*J43*I43</f>
        <v>268</v>
      </c>
      <c r="M43" s="153">
        <f t="shared" ca="1" si="0"/>
        <v>4.6280170928066703E-6</v>
      </c>
      <c r="O43" s="148"/>
      <c r="R43" s="12"/>
    </row>
    <row r="44" spans="1:18" s="51" customFormat="1" ht="13.5" customHeight="1" x14ac:dyDescent="0.3">
      <c r="A44" s="290">
        <f t="shared" si="1"/>
        <v>0</v>
      </c>
      <c r="B44" s="49"/>
      <c r="C44" s="49"/>
      <c r="D44" s="140" t="s">
        <v>715</v>
      </c>
      <c r="E44" s="67" t="str">
        <f>VLOOKUP(D44,'03. Insumos'!A:D,2,0)</f>
        <v>Plug macho</v>
      </c>
      <c r="F44" s="68" t="s">
        <v>2612</v>
      </c>
      <c r="G44" s="68" t="str">
        <f>VLOOKUP(D44,'03. Insumos'!A:F,3,0)</f>
        <v>unid</v>
      </c>
      <c r="H44" s="69">
        <v>1</v>
      </c>
      <c r="I44" s="141">
        <v>10</v>
      </c>
      <c r="J44" s="70">
        <f t="shared" si="6"/>
        <v>2.75</v>
      </c>
      <c r="K44" s="54">
        <f>IF(A44=0,VLOOKUP(D44,'03. Insumos'!A:F,4,0),"")</f>
        <v>2.75</v>
      </c>
      <c r="L44" s="70">
        <f t="shared" si="7"/>
        <v>27.5</v>
      </c>
      <c r="M44" s="153">
        <f t="shared" ca="1" si="0"/>
        <v>4.7488981362755014E-7</v>
      </c>
      <c r="O44" s="148"/>
      <c r="R44" s="12"/>
    </row>
    <row r="45" spans="1:18" s="51" customFormat="1" ht="13.5" customHeight="1" x14ac:dyDescent="0.3">
      <c r="A45" s="290">
        <f t="shared" si="1"/>
        <v>0</v>
      </c>
      <c r="B45" s="49"/>
      <c r="C45" s="49"/>
      <c r="D45" s="140" t="s">
        <v>716</v>
      </c>
      <c r="E45" s="67" t="str">
        <f>VLOOKUP(D45,'03. Insumos'!A:D,2,0)</f>
        <v>Plug fêmea</v>
      </c>
      <c r="F45" s="68" t="s">
        <v>2612</v>
      </c>
      <c r="G45" s="68" t="str">
        <f>VLOOKUP(D45,'03. Insumos'!A:F,3,0)</f>
        <v>unid</v>
      </c>
      <c r="H45" s="69">
        <v>1</v>
      </c>
      <c r="I45" s="141">
        <v>10</v>
      </c>
      <c r="J45" s="70">
        <f t="shared" si="6"/>
        <v>4.45</v>
      </c>
      <c r="K45" s="54">
        <f>IF(A45=0,VLOOKUP(D45,'03. Insumos'!A:F,4,0),"")</f>
        <v>4.45</v>
      </c>
      <c r="L45" s="70">
        <f t="shared" si="7"/>
        <v>44.5</v>
      </c>
      <c r="M45" s="153">
        <f t="shared" ca="1" si="0"/>
        <v>7.6845806205185382E-7</v>
      </c>
      <c r="O45" s="148"/>
      <c r="R45" s="12"/>
    </row>
    <row r="46" spans="1:18" s="51" customFormat="1" ht="13.5" hidden="1" customHeight="1" x14ac:dyDescent="0.3">
      <c r="A46" s="290">
        <f t="shared" si="1"/>
        <v>0</v>
      </c>
      <c r="B46" s="49"/>
      <c r="C46" s="49"/>
      <c r="D46" s="140" t="s">
        <v>1600</v>
      </c>
      <c r="E46" s="67" t="str">
        <f>VLOOKUP(D46,'03. Insumos'!A:D,2,0)</f>
        <v>Robozinho para instalação provisória</v>
      </c>
      <c r="F46" s="68"/>
      <c r="G46" s="68" t="str">
        <f>VLOOKUP(D46,'03. Insumos'!A:F,3,0)</f>
        <v>unid</v>
      </c>
      <c r="H46" s="69">
        <v>1</v>
      </c>
      <c r="I46" s="141"/>
      <c r="J46" s="70">
        <f t="shared" si="6"/>
        <v>2700</v>
      </c>
      <c r="K46" s="54">
        <f>IF(A46=0,VLOOKUP(D46,'03. Insumos'!A:F,4,0),"")</f>
        <v>2700</v>
      </c>
      <c r="L46" s="70">
        <f t="shared" si="7"/>
        <v>0</v>
      </c>
      <c r="M46" s="153">
        <f t="shared" ca="1" si="0"/>
        <v>0</v>
      </c>
      <c r="O46" s="148"/>
      <c r="R46" s="12"/>
    </row>
    <row r="47" spans="1:18" s="51" customFormat="1" ht="13.5" hidden="1" customHeight="1" x14ac:dyDescent="0.3">
      <c r="A47" s="290">
        <f t="shared" si="1"/>
        <v>0</v>
      </c>
      <c r="B47" s="49"/>
      <c r="C47" s="49"/>
      <c r="D47" s="140" t="s">
        <v>2060</v>
      </c>
      <c r="E47" s="67" t="str">
        <f>VLOOKUP(D47,'03. Insumos'!A:D,2,0)</f>
        <v>Caixa d' agua 10.000 L</v>
      </c>
      <c r="F47" s="68"/>
      <c r="G47" s="68" t="str">
        <f>VLOOKUP(D47,'03. Insumos'!A:F,3,0)</f>
        <v>unid</v>
      </c>
      <c r="H47" s="69">
        <v>1</v>
      </c>
      <c r="I47" s="141"/>
      <c r="J47" s="70">
        <f t="shared" si="6"/>
        <v>3800</v>
      </c>
      <c r="K47" s="54">
        <f>IF(A47=0,VLOOKUP(D47,'03. Insumos'!A:F,4,0),"")</f>
        <v>3800</v>
      </c>
      <c r="L47" s="70">
        <f>H47*J47*I47</f>
        <v>0</v>
      </c>
      <c r="M47" s="153">
        <f t="shared" ca="1" si="0"/>
        <v>0</v>
      </c>
      <c r="O47" s="148"/>
      <c r="R47" s="12"/>
    </row>
    <row r="48" spans="1:18" s="51" customFormat="1" ht="13.5" hidden="1" customHeight="1" x14ac:dyDescent="0.3">
      <c r="A48" s="290">
        <f t="shared" si="1"/>
        <v>0</v>
      </c>
      <c r="B48" s="49"/>
      <c r="C48" s="49"/>
      <c r="D48" s="140" t="s">
        <v>2062</v>
      </c>
      <c r="E48" s="67" t="str">
        <f>VLOOKUP(D48,'03. Insumos'!A:D,2,0)</f>
        <v>Bomba de recalque água</v>
      </c>
      <c r="F48" s="68"/>
      <c r="G48" s="68" t="str">
        <f>VLOOKUP(D48,'03. Insumos'!A:F,3,0)</f>
        <v>unid</v>
      </c>
      <c r="H48" s="69">
        <v>1</v>
      </c>
      <c r="I48" s="141"/>
      <c r="J48" s="70">
        <f t="shared" si="6"/>
        <v>780</v>
      </c>
      <c r="K48" s="54">
        <f>IF(A48=0,VLOOKUP(D48,'03. Insumos'!A:F,4,0),"")</f>
        <v>780</v>
      </c>
      <c r="L48" s="70">
        <f>H48*J48*I48</f>
        <v>0</v>
      </c>
      <c r="M48" s="153">
        <f t="shared" ca="1" si="0"/>
        <v>0</v>
      </c>
      <c r="O48" s="148"/>
      <c r="R48" s="12"/>
    </row>
    <row r="49" spans="1:18" s="51" customFormat="1" ht="13.5" customHeight="1" x14ac:dyDescent="0.3">
      <c r="A49" s="290">
        <f t="shared" si="1"/>
        <v>0</v>
      </c>
      <c r="B49" s="49"/>
      <c r="C49" s="49"/>
      <c r="D49" s="140" t="s">
        <v>1885</v>
      </c>
      <c r="E49" s="67" t="str">
        <f>VLOOKUP(D49,'03. Insumos'!A:D,2,0)</f>
        <v>Itens diversos de instalações provisórias</v>
      </c>
      <c r="F49" s="68" t="s">
        <v>2612</v>
      </c>
      <c r="G49" s="68" t="str">
        <f>VLOOKUP(D49,'03. Insumos'!A:F,3,0)</f>
        <v>vb</v>
      </c>
      <c r="H49" s="69">
        <v>1</v>
      </c>
      <c r="I49" s="141">
        <v>1</v>
      </c>
      <c r="J49" s="70">
        <f t="shared" si="6"/>
        <v>1000</v>
      </c>
      <c r="K49" s="54">
        <v>1000</v>
      </c>
      <c r="L49" s="70">
        <f t="shared" si="7"/>
        <v>1000</v>
      </c>
      <c r="M49" s="153">
        <f t="shared" ca="1" si="0"/>
        <v>1.7268720495547279E-5</v>
      </c>
      <c r="O49" s="148"/>
      <c r="R49" s="12"/>
    </row>
    <row r="50" spans="1:18" s="18" customFormat="1" ht="13.5" customHeight="1" x14ac:dyDescent="0.3">
      <c r="A50" s="290">
        <f t="shared" si="1"/>
        <v>3</v>
      </c>
      <c r="B50" s="35"/>
      <c r="C50" s="35" t="s">
        <v>359</v>
      </c>
      <c r="D50" s="35" t="s">
        <v>75</v>
      </c>
      <c r="E50" s="35"/>
      <c r="F50" s="323"/>
      <c r="G50" s="323"/>
      <c r="H50" s="324"/>
      <c r="I50" s="37"/>
      <c r="J50" s="333"/>
      <c r="K50" s="38"/>
      <c r="L50" s="333">
        <f>SUMIF(A51:A79,4,L51:L79)</f>
        <v>17913</v>
      </c>
      <c r="M50" s="153">
        <f t="shared" ca="1" si="0"/>
        <v>3.0933459023673837E-4</v>
      </c>
      <c r="O50" s="148">
        <f t="shared" ref="O50:O55" si="8">IF(I50&lt;&gt;0,I50*H50*K50,)</f>
        <v>0</v>
      </c>
      <c r="R50" s="12">
        <f t="shared" ref="R50:R55" si="9">IF(J50&lt;&gt;0,J50/1.03-K50,0)</f>
        <v>0</v>
      </c>
    </row>
    <row r="51" spans="1:18" s="18" customFormat="1" ht="5.25" customHeight="1" x14ac:dyDescent="0.3">
      <c r="A51" s="290">
        <f t="shared" si="1"/>
        <v>0</v>
      </c>
      <c r="B51" s="63"/>
      <c r="C51" s="63"/>
      <c r="D51" s="63"/>
      <c r="E51" s="63"/>
      <c r="F51" s="325"/>
      <c r="G51" s="325"/>
      <c r="H51" s="326"/>
      <c r="I51" s="65"/>
      <c r="J51" s="334"/>
      <c r="K51" s="66" t="e">
        <f>IF(A51=0,VLOOKUP(D51,'03. Insumos'!A:F,4,0),"")</f>
        <v>#N/A</v>
      </c>
      <c r="L51" s="334"/>
      <c r="M51" s="153">
        <f t="shared" ca="1" si="0"/>
        <v>0</v>
      </c>
      <c r="O51" s="148">
        <f t="shared" si="8"/>
        <v>0</v>
      </c>
      <c r="R51" s="12">
        <f t="shared" si="9"/>
        <v>0</v>
      </c>
    </row>
    <row r="52" spans="1:18" s="18" customFormat="1" ht="13.5" hidden="1" customHeight="1" x14ac:dyDescent="0.3">
      <c r="A52" s="290">
        <f t="shared" si="1"/>
        <v>4</v>
      </c>
      <c r="B52" s="45"/>
      <c r="C52" s="45" t="s">
        <v>385</v>
      </c>
      <c r="D52" s="45" t="s">
        <v>44</v>
      </c>
      <c r="E52" s="45"/>
      <c r="F52" s="327"/>
      <c r="G52" s="327"/>
      <c r="H52" s="328"/>
      <c r="I52" s="61"/>
      <c r="J52" s="335"/>
      <c r="K52" s="62" t="str">
        <f>IF(A52=0,VLOOKUP(D52,'03. Insumos'!A:F,4,0),"")</f>
        <v/>
      </c>
      <c r="L52" s="335">
        <f>SUMIF(A53:A55,6,L53:L55)</f>
        <v>0</v>
      </c>
      <c r="M52" s="153">
        <f t="shared" ca="1" si="0"/>
        <v>0</v>
      </c>
      <c r="O52" s="148">
        <f t="shared" si="8"/>
        <v>0</v>
      </c>
      <c r="R52" s="12">
        <f t="shared" si="9"/>
        <v>0</v>
      </c>
    </row>
    <row r="53" spans="1:18" ht="13.5" hidden="1" customHeight="1" x14ac:dyDescent="0.3">
      <c r="A53" s="290">
        <f t="shared" si="1"/>
        <v>6</v>
      </c>
      <c r="B53" s="4"/>
      <c r="C53" s="4" t="s">
        <v>917</v>
      </c>
      <c r="D53" s="4" t="s">
        <v>45</v>
      </c>
      <c r="E53" s="4"/>
      <c r="F53" s="56"/>
      <c r="G53" s="56"/>
      <c r="H53" s="57"/>
      <c r="I53" s="29"/>
      <c r="J53" s="58"/>
      <c r="K53" s="27" t="str">
        <f>IF(A53=0,VLOOKUP(D53,'03. Insumos'!A:F,4,0),"")</f>
        <v/>
      </c>
      <c r="L53" s="58">
        <f>SUM(L54:L55)</f>
        <v>0</v>
      </c>
      <c r="M53" s="153">
        <f t="shared" ca="1" si="0"/>
        <v>0</v>
      </c>
      <c r="O53" s="148">
        <f t="shared" si="8"/>
        <v>0</v>
      </c>
      <c r="R53" s="12">
        <f t="shared" si="9"/>
        <v>0</v>
      </c>
    </row>
    <row r="54" spans="1:18" s="51" customFormat="1" ht="13.5" hidden="1" customHeight="1" x14ac:dyDescent="0.3">
      <c r="A54" s="290">
        <f t="shared" si="1"/>
        <v>0</v>
      </c>
      <c r="B54" s="49"/>
      <c r="C54" s="49"/>
      <c r="D54" s="140" t="s">
        <v>146</v>
      </c>
      <c r="E54" s="67" t="str">
        <f>VLOOKUP(D54,'03. Insumos'!A:D,2,0)</f>
        <v>Extintor de Pó Químico 4kg</v>
      </c>
      <c r="F54" s="68" t="s">
        <v>2612</v>
      </c>
      <c r="G54" s="68" t="str">
        <f>VLOOKUP(D54,'03. Insumos'!A:F,3,0)</f>
        <v>uni</v>
      </c>
      <c r="H54" s="69">
        <v>1</v>
      </c>
      <c r="I54" s="141"/>
      <c r="J54" s="70">
        <f>IFERROR(IF(K54&lt;&gt;0,K54*$K$5,0),0)</f>
        <v>540</v>
      </c>
      <c r="K54" s="54">
        <f>IF(A54=0,VLOOKUP(D54,'03. Insumos'!A:F,4,0),"")</f>
        <v>540</v>
      </c>
      <c r="L54" s="70">
        <f>H54*J54*I54</f>
        <v>0</v>
      </c>
      <c r="M54" s="153">
        <f t="shared" ca="1" si="0"/>
        <v>0</v>
      </c>
      <c r="O54" s="148">
        <f t="shared" si="8"/>
        <v>0</v>
      </c>
      <c r="R54" s="12">
        <f t="shared" si="9"/>
        <v>-15.72815533980588</v>
      </c>
    </row>
    <row r="55" spans="1:18" s="51" customFormat="1" ht="13.5" hidden="1" customHeight="1" x14ac:dyDescent="0.3">
      <c r="A55" s="290">
        <f t="shared" si="1"/>
        <v>0</v>
      </c>
      <c r="B55" s="49"/>
      <c r="C55" s="49"/>
      <c r="D55" s="140" t="s">
        <v>147</v>
      </c>
      <c r="E55" s="67" t="str">
        <f>VLOOKUP(D55,'03. Insumos'!A:D,2,0)</f>
        <v>Extintor CO2 4Kg</v>
      </c>
      <c r="F55" s="68" t="s">
        <v>2612</v>
      </c>
      <c r="G55" s="68" t="str">
        <f>VLOOKUP(D55,'03. Insumos'!A:F,3,0)</f>
        <v>uni</v>
      </c>
      <c r="H55" s="69">
        <v>1</v>
      </c>
      <c r="I55" s="141"/>
      <c r="J55" s="70">
        <f>IFERROR(IF(K55&lt;&gt;0,K55*$K$5,0),0)</f>
        <v>370</v>
      </c>
      <c r="K55" s="54">
        <f>IF(A55=0,VLOOKUP(D55,'03. Insumos'!A:F,4,0),"")</f>
        <v>370</v>
      </c>
      <c r="L55" s="70">
        <f>H55*J55*I55</f>
        <v>0</v>
      </c>
      <c r="M55" s="153">
        <f t="shared" ca="1" si="0"/>
        <v>0</v>
      </c>
      <c r="O55" s="148">
        <f t="shared" si="8"/>
        <v>0</v>
      </c>
      <c r="R55" s="12">
        <f t="shared" si="9"/>
        <v>-10.776699029126235</v>
      </c>
    </row>
    <row r="56" spans="1:18" s="51" customFormat="1" ht="13.5" hidden="1" customHeight="1" x14ac:dyDescent="0.3">
      <c r="A56" s="290">
        <f t="shared" si="1"/>
        <v>4</v>
      </c>
      <c r="B56" s="45"/>
      <c r="C56" s="45" t="s">
        <v>386</v>
      </c>
      <c r="D56" s="45" t="s">
        <v>2063</v>
      </c>
      <c r="E56" s="45"/>
      <c r="F56" s="327"/>
      <c r="G56" s="327"/>
      <c r="H56" s="328"/>
      <c r="I56" s="61"/>
      <c r="J56" s="335"/>
      <c r="K56" s="62" t="str">
        <f>IF(A56=0,VLOOKUP(D56,'03. Insumos'!A:F,4,0),"")</f>
        <v/>
      </c>
      <c r="L56" s="335">
        <f>SUMIF(A57:A58,6,L57:L66)</f>
        <v>0</v>
      </c>
      <c r="M56" s="153">
        <f t="shared" ca="1" si="0"/>
        <v>0</v>
      </c>
      <c r="O56" s="148"/>
      <c r="R56" s="12"/>
    </row>
    <row r="57" spans="1:18" s="51" customFormat="1" ht="13.5" hidden="1" customHeight="1" x14ac:dyDescent="0.3">
      <c r="A57" s="290">
        <f t="shared" si="1"/>
        <v>6</v>
      </c>
      <c r="B57" s="4"/>
      <c r="C57" s="4" t="s">
        <v>918</v>
      </c>
      <c r="D57" s="4" t="s">
        <v>2063</v>
      </c>
      <c r="E57" s="4"/>
      <c r="F57" s="56"/>
      <c r="G57" s="56"/>
      <c r="H57" s="57"/>
      <c r="I57" s="29"/>
      <c r="J57" s="58"/>
      <c r="K57" s="27" t="str">
        <f>IF(A57=0,VLOOKUP(D57,'03. Insumos'!A:F,4,0),"")</f>
        <v/>
      </c>
      <c r="L57" s="58">
        <f>SUM(L58:L66)</f>
        <v>0</v>
      </c>
      <c r="M57" s="153">
        <f t="shared" ca="1" si="0"/>
        <v>0</v>
      </c>
      <c r="O57" s="148"/>
      <c r="R57" s="12"/>
    </row>
    <row r="58" spans="1:18" s="51" customFormat="1" ht="13.5" hidden="1" customHeight="1" x14ac:dyDescent="0.3">
      <c r="A58" s="290">
        <f t="shared" si="1"/>
        <v>0</v>
      </c>
      <c r="B58" s="49"/>
      <c r="C58" s="49"/>
      <c r="D58" s="140" t="s">
        <v>2070</v>
      </c>
      <c r="E58" s="49" t="str">
        <f>VLOOKUP(D58,'03. Insumos'!A:D,2,0)</f>
        <v>PCMAT por fase da obra</v>
      </c>
      <c r="F58" s="68"/>
      <c r="G58" s="68" t="str">
        <f>VLOOKUP(D58,'03. Insumos'!A:F,3,0)</f>
        <v>unid</v>
      </c>
      <c r="H58" s="69">
        <v>1</v>
      </c>
      <c r="I58" s="141"/>
      <c r="J58" s="70">
        <f t="shared" ref="J58:J66" si="10">IFERROR(IF(K58&lt;&gt;0,K58*$K$5,0),0)</f>
        <v>1200</v>
      </c>
      <c r="K58" s="54">
        <f>IF(A58=0,VLOOKUP(D58,'03. Insumos'!A:F,4,0),"")</f>
        <v>1200</v>
      </c>
      <c r="L58" s="338">
        <f>H58*J58*I58</f>
        <v>0</v>
      </c>
      <c r="M58" s="153">
        <f t="shared" ca="1" si="0"/>
        <v>0</v>
      </c>
      <c r="O58" s="148"/>
      <c r="R58" s="12"/>
    </row>
    <row r="59" spans="1:18" s="51" customFormat="1" ht="13.5" hidden="1" customHeight="1" x14ac:dyDescent="0.3">
      <c r="A59" s="290">
        <f t="shared" si="1"/>
        <v>0</v>
      </c>
      <c r="B59" s="49"/>
      <c r="C59" s="49"/>
      <c r="D59" s="140" t="s">
        <v>2071</v>
      </c>
      <c r="E59" s="49" t="str">
        <f>VLOOKUP(D59,'03. Insumos'!A:D,2,0)</f>
        <v>Revisão do PCMAT</v>
      </c>
      <c r="F59" s="68"/>
      <c r="G59" s="68" t="str">
        <f>VLOOKUP(D59,'03. Insumos'!A:F,3,0)</f>
        <v>unid</v>
      </c>
      <c r="H59" s="69">
        <v>1</v>
      </c>
      <c r="I59" s="141"/>
      <c r="J59" s="70">
        <f t="shared" si="10"/>
        <v>300</v>
      </c>
      <c r="K59" s="54">
        <f>IF(A59=0,VLOOKUP(D59,'03. Insumos'!A:F,4,0),"")</f>
        <v>300</v>
      </c>
      <c r="L59" s="338">
        <f t="shared" ref="L59:L64" si="11">H59*J59*I59</f>
        <v>0</v>
      </c>
      <c r="M59" s="153">
        <f t="shared" ca="1" si="0"/>
        <v>0</v>
      </c>
      <c r="O59" s="148"/>
      <c r="R59" s="12"/>
    </row>
    <row r="60" spans="1:18" s="51" customFormat="1" ht="13.5" hidden="1" customHeight="1" x14ac:dyDescent="0.3">
      <c r="A60" s="290">
        <f t="shared" si="1"/>
        <v>0</v>
      </c>
      <c r="B60" s="49"/>
      <c r="C60" s="49"/>
      <c r="D60" s="140" t="s">
        <v>2072</v>
      </c>
      <c r="E60" s="49" t="str">
        <f>VLOOKUP(D60,'03. Insumos'!A:D,2,0)</f>
        <v>PGR por fase da obra</v>
      </c>
      <c r="F60" s="68"/>
      <c r="G60" s="68" t="str">
        <f>VLOOKUP(D60,'03. Insumos'!A:F,3,0)</f>
        <v>unid</v>
      </c>
      <c r="H60" s="69">
        <v>1</v>
      </c>
      <c r="I60" s="141"/>
      <c r="J60" s="70">
        <f t="shared" si="10"/>
        <v>1500</v>
      </c>
      <c r="K60" s="54">
        <f>IF(A60=0,VLOOKUP(D60,'03. Insumos'!A:F,4,0),"")</f>
        <v>1500</v>
      </c>
      <c r="L60" s="338">
        <f t="shared" si="11"/>
        <v>0</v>
      </c>
      <c r="M60" s="153">
        <f t="shared" ca="1" si="0"/>
        <v>0</v>
      </c>
      <c r="O60" s="148"/>
      <c r="R60" s="12"/>
    </row>
    <row r="61" spans="1:18" s="51" customFormat="1" ht="13.5" hidden="1" customHeight="1" x14ac:dyDescent="0.3">
      <c r="A61" s="290">
        <f t="shared" si="1"/>
        <v>0</v>
      </c>
      <c r="B61" s="49"/>
      <c r="C61" s="49"/>
      <c r="D61" s="140" t="s">
        <v>2073</v>
      </c>
      <c r="E61" s="49" t="str">
        <f>VLOOKUP(D61,'03. Insumos'!A:D,2,0)</f>
        <v>Revisão PGR</v>
      </c>
      <c r="F61" s="68"/>
      <c r="G61" s="68" t="str">
        <f>VLOOKUP(D61,'03. Insumos'!A:F,3,0)</f>
        <v>unid</v>
      </c>
      <c r="H61" s="69">
        <v>1</v>
      </c>
      <c r="I61" s="141"/>
      <c r="J61" s="70">
        <f t="shared" si="10"/>
        <v>369</v>
      </c>
      <c r="K61" s="54">
        <f>IF(A61=0,VLOOKUP(D61,'03. Insumos'!A:F,4,0),"")</f>
        <v>369</v>
      </c>
      <c r="L61" s="338">
        <f t="shared" si="11"/>
        <v>0</v>
      </c>
      <c r="M61" s="153">
        <f t="shared" ca="1" si="0"/>
        <v>0</v>
      </c>
      <c r="O61" s="148"/>
      <c r="R61" s="12"/>
    </row>
    <row r="62" spans="1:18" s="51" customFormat="1" ht="13.5" hidden="1" customHeight="1" x14ac:dyDescent="0.3">
      <c r="A62" s="290">
        <f t="shared" si="1"/>
        <v>0</v>
      </c>
      <c r="B62" s="49"/>
      <c r="C62" s="49"/>
      <c r="D62" s="140" t="s">
        <v>2074</v>
      </c>
      <c r="E62" s="49" t="str">
        <f>VLOOKUP(D62,'03. Insumos'!A:D,2,0)</f>
        <v>Mapa de risco por fase da obra</v>
      </c>
      <c r="F62" s="68"/>
      <c r="G62" s="68" t="str">
        <f>VLOOKUP(D62,'03. Insumos'!A:F,3,0)</f>
        <v>unid</v>
      </c>
      <c r="H62" s="69">
        <v>1</v>
      </c>
      <c r="I62" s="141"/>
      <c r="J62" s="70">
        <f t="shared" si="10"/>
        <v>180</v>
      </c>
      <c r="K62" s="54">
        <f>IF(A62=0,VLOOKUP(D62,'03. Insumos'!A:F,4,0),"")</f>
        <v>180</v>
      </c>
      <c r="L62" s="338">
        <f t="shared" si="11"/>
        <v>0</v>
      </c>
      <c r="M62" s="153">
        <f t="shared" ca="1" si="0"/>
        <v>0</v>
      </c>
      <c r="O62" s="148"/>
      <c r="R62" s="12"/>
    </row>
    <row r="63" spans="1:18" s="51" customFormat="1" ht="13.5" hidden="1" customHeight="1" x14ac:dyDescent="0.3">
      <c r="A63" s="290">
        <f t="shared" si="1"/>
        <v>0</v>
      </c>
      <c r="B63" s="49"/>
      <c r="C63" s="49"/>
      <c r="D63" s="140" t="s">
        <v>2075</v>
      </c>
      <c r="E63" s="49" t="str">
        <f>VLOOKUP(D63,'03. Insumos'!A:D,2,0)</f>
        <v>PCMAT por fase da obra</v>
      </c>
      <c r="F63" s="68"/>
      <c r="G63" s="68" t="str">
        <f>VLOOKUP(D63,'03. Insumos'!A:F,3,0)</f>
        <v>unid</v>
      </c>
      <c r="H63" s="69">
        <v>1</v>
      </c>
      <c r="I63" s="141"/>
      <c r="J63" s="70">
        <f t="shared" si="10"/>
        <v>1800</v>
      </c>
      <c r="K63" s="54">
        <f>IF(A63=0,VLOOKUP(D63,'03. Insumos'!A:F,4,0),"")</f>
        <v>1800</v>
      </c>
      <c r="L63" s="338">
        <f t="shared" si="11"/>
        <v>0</v>
      </c>
      <c r="M63" s="153">
        <f t="shared" ca="1" si="0"/>
        <v>0</v>
      </c>
      <c r="O63" s="148"/>
      <c r="R63" s="12"/>
    </row>
    <row r="64" spans="1:18" s="51" customFormat="1" ht="13.5" hidden="1" customHeight="1" x14ac:dyDescent="0.3">
      <c r="A64" s="290">
        <f t="shared" si="1"/>
        <v>0</v>
      </c>
      <c r="B64" s="49"/>
      <c r="C64" s="49"/>
      <c r="D64" s="140" t="s">
        <v>2076</v>
      </c>
      <c r="E64" s="49" t="str">
        <f>VLOOKUP(D64,'03. Insumos'!A:D,2,0)</f>
        <v>Revisão do PCMSO</v>
      </c>
      <c r="F64" s="68"/>
      <c r="G64" s="68" t="str">
        <f>VLOOKUP(D64,'03. Insumos'!A:F,3,0)</f>
        <v>unid</v>
      </c>
      <c r="H64" s="69">
        <v>1</v>
      </c>
      <c r="I64" s="141"/>
      <c r="J64" s="70">
        <f t="shared" si="10"/>
        <v>300</v>
      </c>
      <c r="K64" s="54">
        <f>IF(A64=0,VLOOKUP(D64,'03. Insumos'!A:F,4,0),"")</f>
        <v>300</v>
      </c>
      <c r="L64" s="338">
        <f t="shared" si="11"/>
        <v>0</v>
      </c>
      <c r="M64" s="153">
        <f t="shared" ca="1" si="0"/>
        <v>0</v>
      </c>
      <c r="O64" s="148"/>
      <c r="R64" s="12"/>
    </row>
    <row r="65" spans="1:18" s="51" customFormat="1" ht="13.5" hidden="1" customHeight="1" x14ac:dyDescent="0.3">
      <c r="A65" s="290">
        <f t="shared" si="1"/>
        <v>0</v>
      </c>
      <c r="B65" s="49"/>
      <c r="C65" s="49"/>
      <c r="D65" s="140" t="s">
        <v>2077</v>
      </c>
      <c r="E65" s="49" t="str">
        <f>VLOOKUP(D65,'03. Insumos'!A:D,2,0)</f>
        <v>Implantação e gerenciamento da CIPA</v>
      </c>
      <c r="F65" s="68"/>
      <c r="G65" s="68" t="str">
        <f>VLOOKUP(D65,'03. Insumos'!A:F,3,0)</f>
        <v>mês</v>
      </c>
      <c r="H65" s="69">
        <v>1</v>
      </c>
      <c r="I65" s="141"/>
      <c r="J65" s="70">
        <f t="shared" si="10"/>
        <v>300</v>
      </c>
      <c r="K65" s="54">
        <f>IF(A65=0,VLOOKUP(D65,'03. Insumos'!A:F,4,0),"")</f>
        <v>300</v>
      </c>
      <c r="L65" s="338">
        <f>H65*J65*I65</f>
        <v>0</v>
      </c>
      <c r="M65" s="153">
        <f t="shared" ca="1" si="0"/>
        <v>0</v>
      </c>
      <c r="O65" s="148"/>
      <c r="R65" s="12"/>
    </row>
    <row r="66" spans="1:18" s="51" customFormat="1" ht="13.5" hidden="1" customHeight="1" x14ac:dyDescent="0.3">
      <c r="A66" s="290">
        <f t="shared" si="1"/>
        <v>0</v>
      </c>
      <c r="B66" s="49"/>
      <c r="C66" s="49"/>
      <c r="D66" s="140" t="s">
        <v>2078</v>
      </c>
      <c r="E66" s="49" t="str">
        <f>VLOOKUP(D66,'03. Insumos'!A:D,2,0)</f>
        <v>Treinamento para CIPA</v>
      </c>
      <c r="F66" s="68"/>
      <c r="G66" s="68" t="str">
        <f>VLOOKUP(D66,'03. Insumos'!A:F,3,0)</f>
        <v>unid</v>
      </c>
      <c r="H66" s="69">
        <v>1</v>
      </c>
      <c r="I66" s="141"/>
      <c r="J66" s="70">
        <f t="shared" si="10"/>
        <v>2000</v>
      </c>
      <c r="K66" s="54">
        <f>IF(A66=0,VLOOKUP(D66,'03. Insumos'!A:F,4,0),"")</f>
        <v>2000</v>
      </c>
      <c r="L66" s="338">
        <f>H66*J66*I66</f>
        <v>0</v>
      </c>
      <c r="M66" s="153">
        <f t="shared" ca="1" si="0"/>
        <v>0</v>
      </c>
      <c r="O66" s="148"/>
      <c r="R66" s="12"/>
    </row>
    <row r="67" spans="1:18" s="18" customFormat="1" ht="13.5" customHeight="1" x14ac:dyDescent="0.3">
      <c r="A67" s="290">
        <f t="shared" si="1"/>
        <v>4</v>
      </c>
      <c r="B67" s="45"/>
      <c r="C67" s="45" t="s">
        <v>385</v>
      </c>
      <c r="D67" s="45" t="s">
        <v>47</v>
      </c>
      <c r="E67" s="45"/>
      <c r="F67" s="327"/>
      <c r="G67" s="327"/>
      <c r="H67" s="328"/>
      <c r="I67" s="61"/>
      <c r="J67" s="335"/>
      <c r="K67" s="62" t="str">
        <f>IF(A67=0,VLOOKUP(D67,'03. Insumos'!A:F,4,0),"")</f>
        <v/>
      </c>
      <c r="L67" s="335">
        <f>SUMIF(A68:A75,6,L68:L75)</f>
        <v>17913</v>
      </c>
      <c r="M67" s="153">
        <f t="shared" ca="1" si="0"/>
        <v>3.0933459023673837E-4</v>
      </c>
      <c r="O67" s="148">
        <f>IF(I67&lt;&gt;0,I67*H67*K67,)</f>
        <v>0</v>
      </c>
      <c r="R67" s="12">
        <f>IF(J67&lt;&gt;0,J67/1.03-K67,0)</f>
        <v>0</v>
      </c>
    </row>
    <row r="68" spans="1:18" ht="13.5" customHeight="1" x14ac:dyDescent="0.3">
      <c r="A68" s="290">
        <f t="shared" si="1"/>
        <v>6</v>
      </c>
      <c r="B68" s="4"/>
      <c r="C68" s="4" t="s">
        <v>917</v>
      </c>
      <c r="D68" s="4" t="s">
        <v>47</v>
      </c>
      <c r="E68" s="4"/>
      <c r="F68" s="56"/>
      <c r="G68" s="56"/>
      <c r="H68" s="57"/>
      <c r="I68" s="29"/>
      <c r="J68" s="58"/>
      <c r="K68" s="27" t="str">
        <f>IF(A68=0,VLOOKUP(D68,'03. Insumos'!A:F,4,0),"")</f>
        <v/>
      </c>
      <c r="L68" s="58">
        <f>SUM(L69:L75)</f>
        <v>17913</v>
      </c>
      <c r="M68" s="153">
        <f t="shared" ca="1" si="0"/>
        <v>3.0933459023673837E-4</v>
      </c>
      <c r="O68" s="148">
        <f>IF(I68&lt;&gt;0,I68*H68*K68,)</f>
        <v>0</v>
      </c>
      <c r="R68" s="12">
        <f>IF(J68&lt;&gt;0,J68/1.03-K68,0)</f>
        <v>0</v>
      </c>
    </row>
    <row r="69" spans="1:18" s="51" customFormat="1" ht="13.5" customHeight="1" x14ac:dyDescent="0.3">
      <c r="A69" s="290">
        <f t="shared" si="1"/>
        <v>0</v>
      </c>
      <c r="B69" s="49"/>
      <c r="C69" s="49"/>
      <c r="D69" s="140" t="s">
        <v>718</v>
      </c>
      <c r="E69" s="67" t="str">
        <f>VLOOKUP(D69,'03. Insumos'!A:D,2,0)</f>
        <v>Máscara</v>
      </c>
      <c r="F69" s="68" t="s">
        <v>2612</v>
      </c>
      <c r="G69" s="68" t="str">
        <f>VLOOKUP(D69,'03. Insumos'!A:F,3,0)</f>
        <v>unid</v>
      </c>
      <c r="H69" s="69">
        <v>1</v>
      </c>
      <c r="I69" s="141">
        <f>5*6*2</f>
        <v>60</v>
      </c>
      <c r="J69" s="70">
        <f t="shared" ref="J69:J75" si="12">IFERROR(IF(K69&lt;&gt;0,K69*$K$5,0),0)</f>
        <v>0.47333333333333333</v>
      </c>
      <c r="K69" s="54">
        <f>IF(A69=0,VLOOKUP(D69,'03. Insumos'!A:F,4,0),"")</f>
        <v>0.47333333333333333</v>
      </c>
      <c r="L69" s="70">
        <f t="shared" ref="L69:L75" si="13">H69*J69*I69</f>
        <v>28.4</v>
      </c>
      <c r="M69" s="153">
        <f t="shared" ca="1" si="0"/>
        <v>4.9043166207354265E-7</v>
      </c>
      <c r="O69" s="148">
        <f>IF(I69&lt;&gt;0,I69*H69*K69,)</f>
        <v>28.4</v>
      </c>
      <c r="R69" s="12">
        <f>IF(J69&lt;&gt;0,J69/1.03-K69,0)</f>
        <v>-1.3786407766990305E-2</v>
      </c>
    </row>
    <row r="70" spans="1:18" s="51" customFormat="1" ht="13.5" hidden="1" customHeight="1" x14ac:dyDescent="0.3">
      <c r="A70" s="290">
        <f t="shared" si="1"/>
        <v>0</v>
      </c>
      <c r="B70" s="49"/>
      <c r="C70" s="49"/>
      <c r="D70" s="140" t="s">
        <v>719</v>
      </c>
      <c r="E70" s="67" t="str">
        <f>VLOOKUP(D70,'03. Insumos'!A:D,2,0)</f>
        <v>Bota</v>
      </c>
      <c r="F70" s="68"/>
      <c r="G70" s="68" t="str">
        <f>VLOOKUP(D70,'03. Insumos'!A:F,3,0)</f>
        <v>unid</v>
      </c>
      <c r="H70" s="69">
        <v>1</v>
      </c>
      <c r="I70" s="141"/>
      <c r="J70" s="70">
        <f t="shared" si="12"/>
        <v>27</v>
      </c>
      <c r="K70" s="54">
        <f>IF(A70=0,VLOOKUP(D70,'03. Insumos'!A:F,4,0),"")</f>
        <v>27</v>
      </c>
      <c r="L70" s="70">
        <f t="shared" si="13"/>
        <v>0</v>
      </c>
      <c r="M70" s="153">
        <f t="shared" ca="1" si="0"/>
        <v>0</v>
      </c>
      <c r="O70" s="148"/>
      <c r="R70" s="12"/>
    </row>
    <row r="71" spans="1:18" s="51" customFormat="1" ht="13.5" hidden="1" customHeight="1" x14ac:dyDescent="0.3">
      <c r="A71" s="290">
        <f t="shared" si="1"/>
        <v>0</v>
      </c>
      <c r="B71" s="49"/>
      <c r="C71" s="49"/>
      <c r="D71" s="140" t="s">
        <v>720</v>
      </c>
      <c r="E71" s="67" t="str">
        <f>VLOOKUP(D71,'03. Insumos'!A:D,2,0)</f>
        <v>Capacete</v>
      </c>
      <c r="F71" s="68"/>
      <c r="G71" s="68" t="str">
        <f>VLOOKUP(D71,'03. Insumos'!A:F,3,0)</f>
        <v>unid</v>
      </c>
      <c r="H71" s="69">
        <v>1</v>
      </c>
      <c r="I71" s="141"/>
      <c r="J71" s="70">
        <f t="shared" si="12"/>
        <v>9.73</v>
      </c>
      <c r="K71" s="54">
        <f>IF(A71=0,VLOOKUP(D71,'03. Insumos'!A:F,4,0),"")</f>
        <v>9.73</v>
      </c>
      <c r="L71" s="70">
        <f t="shared" si="13"/>
        <v>0</v>
      </c>
      <c r="M71" s="153">
        <f t="shared" ca="1" si="0"/>
        <v>0</v>
      </c>
      <c r="O71" s="148"/>
      <c r="R71" s="12"/>
    </row>
    <row r="72" spans="1:18" s="51" customFormat="1" ht="13.5" customHeight="1" x14ac:dyDescent="0.3">
      <c r="A72" s="290">
        <f t="shared" si="1"/>
        <v>0</v>
      </c>
      <c r="B72" s="49"/>
      <c r="C72" s="49"/>
      <c r="D72" s="140" t="s">
        <v>721</v>
      </c>
      <c r="E72" s="67" t="str">
        <f>VLOOKUP(D72,'03. Insumos'!A:D,2,0)</f>
        <v>Cinto de segurança</v>
      </c>
      <c r="F72" s="68" t="s">
        <v>2612</v>
      </c>
      <c r="G72" s="68" t="str">
        <f>VLOOKUP(D72,'03. Insumos'!A:F,3,0)</f>
        <v>unid</v>
      </c>
      <c r="H72" s="69">
        <v>1</v>
      </c>
      <c r="I72" s="141">
        <v>2</v>
      </c>
      <c r="J72" s="70">
        <f t="shared" si="12"/>
        <v>46.2</v>
      </c>
      <c r="K72" s="54">
        <f>IF(A72=0,VLOOKUP(D72,'03. Insumos'!A:F,4,0),"")</f>
        <v>46.2</v>
      </c>
      <c r="L72" s="70">
        <f t="shared" si="13"/>
        <v>92.4</v>
      </c>
      <c r="M72" s="153">
        <f t="shared" ca="1" si="0"/>
        <v>1.5956297737885685E-6</v>
      </c>
      <c r="O72" s="148"/>
      <c r="R72" s="12"/>
    </row>
    <row r="73" spans="1:18" s="51" customFormat="1" ht="13.5" customHeight="1" x14ac:dyDescent="0.3">
      <c r="A73" s="290">
        <f t="shared" si="1"/>
        <v>0</v>
      </c>
      <c r="B73" s="49"/>
      <c r="C73" s="49"/>
      <c r="D73" s="140" t="s">
        <v>722</v>
      </c>
      <c r="E73" s="67" t="str">
        <f>VLOOKUP(D73,'03. Insumos'!A:D,2,0)</f>
        <v>Corda de poliamida (50 m)</v>
      </c>
      <c r="F73" s="68" t="s">
        <v>2612</v>
      </c>
      <c r="G73" s="68" t="str">
        <f>VLOOKUP(D73,'03. Insumos'!A:F,3,0)</f>
        <v>rolo</v>
      </c>
      <c r="H73" s="69">
        <v>1</v>
      </c>
      <c r="I73" s="141">
        <v>50</v>
      </c>
      <c r="J73" s="70">
        <f t="shared" si="12"/>
        <v>350</v>
      </c>
      <c r="K73" s="54">
        <f>IF(A73=0,VLOOKUP(D73,'03. Insumos'!A:F,4,0),"")</f>
        <v>350</v>
      </c>
      <c r="L73" s="70">
        <f t="shared" si="13"/>
        <v>17500</v>
      </c>
      <c r="M73" s="153">
        <f t="shared" ca="1" si="0"/>
        <v>3.0220260867207737E-4</v>
      </c>
      <c r="O73" s="148"/>
      <c r="R73" s="12"/>
    </row>
    <row r="74" spans="1:18" s="51" customFormat="1" ht="13.5" customHeight="1" x14ac:dyDescent="0.3">
      <c r="A74" s="290">
        <f t="shared" si="1"/>
        <v>0</v>
      </c>
      <c r="B74" s="49"/>
      <c r="C74" s="49"/>
      <c r="D74" s="140" t="s">
        <v>723</v>
      </c>
      <c r="E74" s="67" t="str">
        <f>VLOOKUP(D74,'03. Insumos'!A:D,2,0)</f>
        <v>Luva</v>
      </c>
      <c r="F74" s="68" t="s">
        <v>2612</v>
      </c>
      <c r="G74" s="68" t="str">
        <f>VLOOKUP(D74,'03. Insumos'!A:F,3,0)</f>
        <v>unid</v>
      </c>
      <c r="H74" s="69">
        <v>1</v>
      </c>
      <c r="I74" s="141">
        <f>I69/2</f>
        <v>30</v>
      </c>
      <c r="J74" s="70">
        <f t="shared" si="12"/>
        <v>7.74</v>
      </c>
      <c r="K74" s="54">
        <f>IF(A74=0,VLOOKUP(D74,'03. Insumos'!A:F,4,0),"")</f>
        <v>7.74</v>
      </c>
      <c r="L74" s="70">
        <f t="shared" si="13"/>
        <v>232.20000000000002</v>
      </c>
      <c r="M74" s="153">
        <f t="shared" ca="1" si="0"/>
        <v>4.0097968990660779E-6</v>
      </c>
      <c r="O74" s="148"/>
      <c r="R74" s="12"/>
    </row>
    <row r="75" spans="1:18" s="51" customFormat="1" ht="13.5" customHeight="1" x14ac:dyDescent="0.3">
      <c r="A75" s="290">
        <f t="shared" si="1"/>
        <v>0</v>
      </c>
      <c r="B75" s="49"/>
      <c r="C75" s="49"/>
      <c r="D75" s="140" t="s">
        <v>724</v>
      </c>
      <c r="E75" s="67" t="str">
        <f>VLOOKUP(D75,'03. Insumos'!A:D,2,0)</f>
        <v>Óculos</v>
      </c>
      <c r="F75" s="68" t="s">
        <v>2612</v>
      </c>
      <c r="G75" s="68" t="str">
        <f>VLOOKUP(D75,'03. Insumos'!A:F,3,0)</f>
        <v>unid</v>
      </c>
      <c r="H75" s="69">
        <v>1</v>
      </c>
      <c r="I75" s="141">
        <f>I69/2</f>
        <v>30</v>
      </c>
      <c r="J75" s="70">
        <f t="shared" si="12"/>
        <v>2</v>
      </c>
      <c r="K75" s="54">
        <f>IF(A75=0,VLOOKUP(D75,'03. Insumos'!A:F,4,0),"")</f>
        <v>2</v>
      </c>
      <c r="L75" s="70">
        <f t="shared" si="13"/>
        <v>60</v>
      </c>
      <c r="M75" s="153">
        <f t="shared" ca="1" si="0"/>
        <v>1.0361232297328366E-6</v>
      </c>
      <c r="O75" s="148"/>
      <c r="R75" s="12"/>
    </row>
    <row r="76" spans="1:18" s="18" customFormat="1" ht="13.5" hidden="1" customHeight="1" x14ac:dyDescent="0.3">
      <c r="A76" s="290">
        <f>LEN(C76)</f>
        <v>4</v>
      </c>
      <c r="B76" s="45"/>
      <c r="C76" s="45" t="s">
        <v>1941</v>
      </c>
      <c r="D76" s="45" t="s">
        <v>1940</v>
      </c>
      <c r="E76" s="45"/>
      <c r="F76" s="327"/>
      <c r="G76" s="327"/>
      <c r="H76" s="328"/>
      <c r="I76" s="61"/>
      <c r="J76" s="335"/>
      <c r="K76" s="62" t="str">
        <f>IF(A76=0,VLOOKUP(D76,'03. Insumos'!A:F,4,0),"")</f>
        <v/>
      </c>
      <c r="L76" s="335">
        <f>SUMIF(A77:A79,6,L77:L79)</f>
        <v>0</v>
      </c>
      <c r="M76" s="153">
        <f ca="1">L76/$L$7</f>
        <v>0</v>
      </c>
      <c r="O76" s="148">
        <f>IF(I76&lt;&gt;0,I76*H76*K76,)</f>
        <v>0</v>
      </c>
      <c r="R76" s="12">
        <f>IF(J76&lt;&gt;0,J76/1.03-K76,0)</f>
        <v>0</v>
      </c>
    </row>
    <row r="77" spans="1:18" ht="13.5" hidden="1" customHeight="1" x14ac:dyDescent="0.3">
      <c r="A77" s="290">
        <f>LEN(C77)</f>
        <v>6</v>
      </c>
      <c r="B77" s="4"/>
      <c r="C77" s="4" t="s">
        <v>1942</v>
      </c>
      <c r="D77" s="4" t="s">
        <v>1940</v>
      </c>
      <c r="E77" s="4"/>
      <c r="F77" s="56"/>
      <c r="G77" s="56"/>
      <c r="H77" s="57"/>
      <c r="I77" s="29"/>
      <c r="J77" s="58"/>
      <c r="K77" s="27" t="str">
        <f>IF(A77=0,VLOOKUP(D77,'03. Insumos'!A:F,4,0),"")</f>
        <v/>
      </c>
      <c r="L77" s="58">
        <f>SUM(L78:L79)</f>
        <v>0</v>
      </c>
      <c r="M77" s="153">
        <f ca="1">L77/$L$7</f>
        <v>0</v>
      </c>
      <c r="O77" s="148">
        <f>IF(I77&lt;&gt;0,I77*H77*K77,)</f>
        <v>0</v>
      </c>
      <c r="R77" s="12">
        <f>IF(J77&lt;&gt;0,J77/1.03-K77,0)</f>
        <v>0</v>
      </c>
    </row>
    <row r="78" spans="1:18" ht="13.5" hidden="1" customHeight="1" x14ac:dyDescent="0.3">
      <c r="A78" s="290">
        <f>LEN(C78)</f>
        <v>0</v>
      </c>
      <c r="B78" s="4"/>
      <c r="C78" s="4"/>
      <c r="D78" s="140" t="s">
        <v>1945</v>
      </c>
      <c r="E78" s="49" t="str">
        <f>VLOOKUP(D78,'03. Insumos'!A:D,2,0)</f>
        <v>Proteção de periferia</v>
      </c>
      <c r="F78" s="68"/>
      <c r="G78" s="68" t="str">
        <f>VLOOKUP(D78,'03. Insumos'!A:F,3,0)</f>
        <v>vb</v>
      </c>
      <c r="H78" s="69">
        <v>1</v>
      </c>
      <c r="I78" s="141"/>
      <c r="J78" s="70">
        <f>IFERROR(IF(K78&lt;&gt;0,K78*$K$5,0),0)</f>
        <v>1683.2</v>
      </c>
      <c r="K78" s="54">
        <f>(40*5.58)+(60*16)+(10*50)</f>
        <v>1683.2</v>
      </c>
      <c r="L78" s="338">
        <f>H78*J78*I78</f>
        <v>0</v>
      </c>
      <c r="M78" s="153">
        <f ca="1">L78/$L$7</f>
        <v>0</v>
      </c>
      <c r="O78" s="148"/>
      <c r="R78" s="12"/>
    </row>
    <row r="79" spans="1:18" s="51" customFormat="1" ht="13.5" hidden="1" customHeight="1" x14ac:dyDescent="0.3">
      <c r="A79" s="290">
        <f>LEN(C79)</f>
        <v>0</v>
      </c>
      <c r="B79" s="49"/>
      <c r="C79" s="49"/>
      <c r="D79" s="140" t="s">
        <v>1946</v>
      </c>
      <c r="E79" s="49" t="str">
        <f>VLOOKUP(D79,'03. Insumos'!A:D,2,0)</f>
        <v>Linha de vida</v>
      </c>
      <c r="F79" s="68"/>
      <c r="G79" s="68" t="str">
        <f>VLOOKUP(D79,'03. Insumos'!A:F,3,0)</f>
        <v>vb</v>
      </c>
      <c r="H79" s="69">
        <v>1</v>
      </c>
      <c r="I79" s="141"/>
      <c r="J79" s="70">
        <f>IFERROR(IF(K79&lt;&gt;0,K79*$K$5,0),0)</f>
        <v>11688.62</v>
      </c>
      <c r="K79" s="54">
        <f>IF(A79=0,VLOOKUP(D79,'03. Insumos'!A:F,4,0),"")</f>
        <v>11688.62</v>
      </c>
      <c r="L79" s="338">
        <f>H79*J79*I79</f>
        <v>0</v>
      </c>
      <c r="M79" s="153">
        <f ca="1">L79/$L$7</f>
        <v>0</v>
      </c>
      <c r="O79" s="148">
        <f>IF(I79&lt;&gt;0,I79*H79*K79,)</f>
        <v>0</v>
      </c>
      <c r="R79" s="12">
        <f>IF(J79&lt;&gt;0,J79/1.03-K79,0)</f>
        <v>-340.44524271844602</v>
      </c>
    </row>
    <row r="80" spans="1:18" s="18" customFormat="1" ht="13.5" customHeight="1" x14ac:dyDescent="0.3">
      <c r="A80" s="290">
        <f t="shared" si="1"/>
        <v>3</v>
      </c>
      <c r="B80" s="35"/>
      <c r="C80" s="35" t="s">
        <v>356</v>
      </c>
      <c r="D80" s="35" t="s">
        <v>78</v>
      </c>
      <c r="E80" s="35"/>
      <c r="F80" s="323"/>
      <c r="G80" s="323"/>
      <c r="H80" s="324"/>
      <c r="I80" s="37"/>
      <c r="J80" s="333"/>
      <c r="K80" s="38"/>
      <c r="L80" s="333">
        <f>SUMIF(A81:A137,4,L81:L137)</f>
        <v>9617.18</v>
      </c>
      <c r="M80" s="153">
        <f t="shared" ca="1" si="0"/>
        <v>1.6607639337536738E-4</v>
      </c>
      <c r="O80" s="148">
        <f>IF(I80&lt;&gt;0,I80*H80*K80,)</f>
        <v>0</v>
      </c>
      <c r="R80" s="12">
        <f>IF(J80&lt;&gt;0,J80/1.03-K80,0)</f>
        <v>0</v>
      </c>
    </row>
    <row r="81" spans="1:18" s="18" customFormat="1" ht="5.25" customHeight="1" x14ac:dyDescent="0.3">
      <c r="A81" s="290">
        <f t="shared" si="1"/>
        <v>0</v>
      </c>
      <c r="B81" s="63"/>
      <c r="C81" s="63"/>
      <c r="D81" s="63"/>
      <c r="E81" s="63"/>
      <c r="F81" s="325"/>
      <c r="G81" s="325"/>
      <c r="H81" s="326"/>
      <c r="I81" s="65"/>
      <c r="J81" s="334">
        <f>IFERROR(IF(K81&lt;&gt;0,K81*$K$5,0),0)</f>
        <v>0</v>
      </c>
      <c r="K81" s="66" t="e">
        <f>IF(A81=0,VLOOKUP(D81,'03. Insumos'!A:F,4,0),"")</f>
        <v>#N/A</v>
      </c>
      <c r="L81" s="334"/>
      <c r="M81" s="153">
        <f t="shared" ca="1" si="0"/>
        <v>0</v>
      </c>
      <c r="O81" s="148">
        <f>IF(I81&lt;&gt;0,I81*H81*K81,)</f>
        <v>0</v>
      </c>
      <c r="R81" s="12">
        <f>IF(J81&lt;&gt;0,J81/1.03-K81,0)</f>
        <v>0</v>
      </c>
    </row>
    <row r="82" spans="1:18" s="18" customFormat="1" ht="13.5" customHeight="1" x14ac:dyDescent="0.3">
      <c r="A82" s="290">
        <f t="shared" si="1"/>
        <v>4</v>
      </c>
      <c r="B82" s="45"/>
      <c r="C82" s="45" t="s">
        <v>382</v>
      </c>
      <c r="D82" s="45" t="s">
        <v>112</v>
      </c>
      <c r="E82" s="45"/>
      <c r="F82" s="327"/>
      <c r="G82" s="327"/>
      <c r="H82" s="328"/>
      <c r="I82" s="61"/>
      <c r="J82" s="335"/>
      <c r="K82" s="62" t="str">
        <f>IF(A82=0,VLOOKUP(D82,'03. Insumos'!A:F,4,0),"")</f>
        <v/>
      </c>
      <c r="L82" s="335">
        <f>SUMIF(A83:A112,6,L83:L112)</f>
        <v>4137</v>
      </c>
      <c r="M82" s="153">
        <f t="shared" ca="1" si="0"/>
        <v>7.1440696690079088E-5</v>
      </c>
      <c r="O82" s="148">
        <f>IF(I82&lt;&gt;0,I82*H82*K82,)</f>
        <v>0</v>
      </c>
      <c r="R82" s="12">
        <f>IF(J82&lt;&gt;0,J82/1.03-K82,0)</f>
        <v>0</v>
      </c>
    </row>
    <row r="83" spans="1:18" ht="13.5" customHeight="1" x14ac:dyDescent="0.3">
      <c r="A83" s="290">
        <f t="shared" si="1"/>
        <v>6</v>
      </c>
      <c r="B83" s="4"/>
      <c r="C83" s="4" t="s">
        <v>919</v>
      </c>
      <c r="D83" s="4" t="s">
        <v>2004</v>
      </c>
      <c r="E83" s="4"/>
      <c r="F83" s="56"/>
      <c r="G83" s="56"/>
      <c r="H83" s="57"/>
      <c r="I83" s="29"/>
      <c r="J83" s="58"/>
      <c r="K83" s="54" t="str">
        <f>IF(A83=0,VLOOKUP(D83,'03. Insumos'!A:F,4,0),"")</f>
        <v/>
      </c>
      <c r="L83" s="58">
        <f>SUM(L84:L110)</f>
        <v>4137</v>
      </c>
      <c r="M83" s="153">
        <f t="shared" ca="1" si="0"/>
        <v>7.1440696690079088E-5</v>
      </c>
      <c r="O83" s="148">
        <f>IF(I83&lt;&gt;0,I83*H83*K83,)</f>
        <v>0</v>
      </c>
      <c r="R83" s="12">
        <f>IF(J83&lt;&gt;0,J83/1.03-K83,0)</f>
        <v>0</v>
      </c>
    </row>
    <row r="84" spans="1:18" ht="13.5" customHeight="1" x14ac:dyDescent="0.3">
      <c r="A84" s="290">
        <f t="shared" si="1"/>
        <v>0</v>
      </c>
      <c r="B84" s="4"/>
      <c r="C84" s="4"/>
      <c r="D84" s="140" t="s">
        <v>726</v>
      </c>
      <c r="E84" s="67" t="str">
        <f>VLOOKUP(D84,'03. Insumos'!A:D,2,0)</f>
        <v>Serra mármore</v>
      </c>
      <c r="F84" s="68" t="s">
        <v>2612</v>
      </c>
      <c r="G84" s="68" t="str">
        <f>VLOOKUP(D84,'03. Insumos'!A:F,3,0)</f>
        <v>mês</v>
      </c>
      <c r="H84" s="69">
        <v>1</v>
      </c>
      <c r="I84" s="141">
        <v>5</v>
      </c>
      <c r="J84" s="70">
        <f t="shared" ref="J84:J110" si="14">IFERROR(IF(K84&lt;&gt;0,K84*$K$5,0),0)</f>
        <v>80</v>
      </c>
      <c r="K84" s="54">
        <f>IF(A84=0,VLOOKUP(D84,'03. Insumos'!A:F,4,0),"")</f>
        <v>80</v>
      </c>
      <c r="L84" s="70">
        <f>H84*J84*I84</f>
        <v>400</v>
      </c>
      <c r="M84" s="153">
        <f t="shared" ca="1" si="0"/>
        <v>6.9074881982189107E-6</v>
      </c>
      <c r="O84" s="148"/>
      <c r="R84" s="12"/>
    </row>
    <row r="85" spans="1:18" ht="13.5" hidden="1" customHeight="1" x14ac:dyDescent="0.3">
      <c r="A85" s="290">
        <f t="shared" si="1"/>
        <v>0</v>
      </c>
      <c r="B85" s="4"/>
      <c r="C85" s="4"/>
      <c r="D85" s="140" t="s">
        <v>1987</v>
      </c>
      <c r="E85" s="67" t="str">
        <f>VLOOKUP(D85,'03. Insumos'!A:D,2,0)</f>
        <v>Torre de iluminação</v>
      </c>
      <c r="F85" s="68"/>
      <c r="G85" s="68" t="str">
        <f>VLOOKUP(D85,'03. Insumos'!A:F,3,0)</f>
        <v>mês</v>
      </c>
      <c r="H85" s="69">
        <v>1</v>
      </c>
      <c r="I85" s="141"/>
      <c r="J85" s="70">
        <f t="shared" si="14"/>
        <v>1490</v>
      </c>
      <c r="K85" s="54">
        <f>IF(A85=0,VLOOKUP(D85,'03. Insumos'!A:F,4,0),"")</f>
        <v>1490</v>
      </c>
      <c r="L85" s="70">
        <f t="shared" ref="L85:L110" si="15">H85*J85*I85</f>
        <v>0</v>
      </c>
      <c r="M85" s="153">
        <f t="shared" ca="1" si="0"/>
        <v>0</v>
      </c>
      <c r="O85" s="148"/>
      <c r="R85" s="12"/>
    </row>
    <row r="86" spans="1:18" ht="13.5" customHeight="1" x14ac:dyDescent="0.3">
      <c r="A86" s="290">
        <f t="shared" si="1"/>
        <v>0</v>
      </c>
      <c r="B86" s="4"/>
      <c r="C86" s="4"/>
      <c r="D86" s="140" t="s">
        <v>2049</v>
      </c>
      <c r="E86" s="67" t="str">
        <f>VLOOKUP(D86,'03. Insumos'!A:D,2,0)</f>
        <v>Traçador</v>
      </c>
      <c r="F86" s="68" t="s">
        <v>2612</v>
      </c>
      <c r="G86" s="68" t="str">
        <f>VLOOKUP(D86,'03. Insumos'!A:F,3,0)</f>
        <v>mês</v>
      </c>
      <c r="H86" s="69">
        <v>1</v>
      </c>
      <c r="I86" s="141">
        <v>2</v>
      </c>
      <c r="J86" s="70">
        <f t="shared" si="14"/>
        <v>105</v>
      </c>
      <c r="K86" s="54">
        <f>IF(A86=0,VLOOKUP(D86,'03. Insumos'!A:F,4,0),"")</f>
        <v>105</v>
      </c>
      <c r="L86" s="70">
        <f>H86*J86*I86</f>
        <v>210</v>
      </c>
      <c r="M86" s="153">
        <f t="shared" ca="1" si="0"/>
        <v>3.6264313040649282E-6</v>
      </c>
      <c r="O86" s="148"/>
      <c r="R86" s="12"/>
    </row>
    <row r="87" spans="1:18" ht="13.5" customHeight="1" x14ac:dyDescent="0.3">
      <c r="A87" s="290">
        <f t="shared" si="1"/>
        <v>0</v>
      </c>
      <c r="B87" s="4"/>
      <c r="C87" s="4"/>
      <c r="D87" s="140" t="s">
        <v>153</v>
      </c>
      <c r="E87" s="67" t="str">
        <f>VLOOKUP(D87,'03. Insumos'!A:D,2,0)</f>
        <v>Velox Locação</v>
      </c>
      <c r="F87" s="68" t="s">
        <v>2612</v>
      </c>
      <c r="G87" s="68" t="str">
        <f>VLOOKUP(D87,'03. Insumos'!A:F,3,0)</f>
        <v>mês</v>
      </c>
      <c r="H87" s="69">
        <v>1</v>
      </c>
      <c r="I87" s="141">
        <v>4</v>
      </c>
      <c r="J87" s="70">
        <f t="shared" si="14"/>
        <v>290</v>
      </c>
      <c r="K87" s="54">
        <f>IF(A87=0,VLOOKUP(D87,'03. Insumos'!A:F,4,0),"")</f>
        <v>290</v>
      </c>
      <c r="L87" s="70">
        <f>H87*J87*I87</f>
        <v>1160</v>
      </c>
      <c r="M87" s="153">
        <f t="shared" ca="1" si="0"/>
        <v>2.0031715774834841E-5</v>
      </c>
      <c r="O87" s="148"/>
      <c r="R87" s="12"/>
    </row>
    <row r="88" spans="1:18" ht="13.5" hidden="1" customHeight="1" x14ac:dyDescent="0.3">
      <c r="A88" s="290">
        <f t="shared" si="1"/>
        <v>0</v>
      </c>
      <c r="B88" s="4"/>
      <c r="C88" s="4"/>
      <c r="D88" s="140" t="s">
        <v>2044</v>
      </c>
      <c r="E88" s="67" t="str">
        <f>VLOOKUP(D88,'03. Insumos'!A:D,2,0)</f>
        <v>Bomba submersa</v>
      </c>
      <c r="F88" s="68"/>
      <c r="G88" s="68" t="str">
        <f>VLOOKUP(D88,'03. Insumos'!A:F,3,0)</f>
        <v>mês</v>
      </c>
      <c r="H88" s="69">
        <v>1</v>
      </c>
      <c r="I88" s="141"/>
      <c r="J88" s="70">
        <f t="shared" si="14"/>
        <v>230</v>
      </c>
      <c r="K88" s="54">
        <f>IF(A88=0,VLOOKUP(D88,'03. Insumos'!A:F,4,0),"")</f>
        <v>230</v>
      </c>
      <c r="L88" s="70">
        <f>H88*J88*I88</f>
        <v>0</v>
      </c>
      <c r="M88" s="153">
        <f t="shared" ca="1" si="0"/>
        <v>0</v>
      </c>
      <c r="O88" s="148"/>
      <c r="R88" s="12"/>
    </row>
    <row r="89" spans="1:18" ht="13.5" hidden="1" customHeight="1" x14ac:dyDescent="0.3">
      <c r="A89" s="290">
        <f t="shared" si="1"/>
        <v>0</v>
      </c>
      <c r="B89" s="4"/>
      <c r="C89" s="4"/>
      <c r="D89" s="140" t="s">
        <v>2047</v>
      </c>
      <c r="E89" s="67" t="str">
        <f>VLOOKUP(D89,'03. Insumos'!A:D,2,0)</f>
        <v>Mangote para bomba 20 m</v>
      </c>
      <c r="F89" s="68"/>
      <c r="G89" s="68" t="str">
        <f>VLOOKUP(D89,'03. Insumos'!A:F,3,0)</f>
        <v>mês</v>
      </c>
      <c r="H89" s="69">
        <v>1</v>
      </c>
      <c r="I89" s="141"/>
      <c r="J89" s="70">
        <f t="shared" si="14"/>
        <v>96</v>
      </c>
      <c r="K89" s="54">
        <f>IF(A89=0,VLOOKUP(D89,'03. Insumos'!A:F,4,0),"")</f>
        <v>96</v>
      </c>
      <c r="L89" s="70">
        <f>H89*J89*I89</f>
        <v>0</v>
      </c>
      <c r="M89" s="153">
        <f t="shared" ca="1" si="0"/>
        <v>0</v>
      </c>
      <c r="O89" s="148"/>
      <c r="R89" s="12"/>
    </row>
    <row r="90" spans="1:18" ht="13.5" hidden="1" customHeight="1" x14ac:dyDescent="0.3">
      <c r="A90" s="290">
        <f t="shared" si="1"/>
        <v>0</v>
      </c>
      <c r="B90" s="4"/>
      <c r="C90" s="4"/>
      <c r="D90" s="140" t="s">
        <v>1988</v>
      </c>
      <c r="E90" s="67" t="str">
        <f>VLOOKUP(D90,'03. Insumos'!A:D,2,0)</f>
        <v>Martelete 10 Kg</v>
      </c>
      <c r="F90" s="68"/>
      <c r="G90" s="68" t="str">
        <f>VLOOKUP(D90,'03. Insumos'!A:F,3,0)</f>
        <v>mês</v>
      </c>
      <c r="H90" s="69">
        <v>1</v>
      </c>
      <c r="I90" s="141"/>
      <c r="J90" s="70">
        <f t="shared" si="14"/>
        <v>490</v>
      </c>
      <c r="K90" s="54">
        <f>IF(A90=0,VLOOKUP(D90,'03. Insumos'!A:F,4,0),"")</f>
        <v>490</v>
      </c>
      <c r="L90" s="70">
        <f t="shared" si="15"/>
        <v>0</v>
      </c>
      <c r="M90" s="153">
        <f t="shared" ca="1" si="0"/>
        <v>0</v>
      </c>
      <c r="O90" s="148"/>
      <c r="R90" s="12"/>
    </row>
    <row r="91" spans="1:18" ht="13.5" customHeight="1" x14ac:dyDescent="0.3">
      <c r="A91" s="290">
        <f t="shared" si="1"/>
        <v>0</v>
      </c>
      <c r="B91" s="4"/>
      <c r="C91" s="4"/>
      <c r="D91" s="140" t="s">
        <v>411</v>
      </c>
      <c r="E91" s="67" t="str">
        <f>VLOOKUP(D91,'03. Insumos'!A:D,2,0)</f>
        <v>Martelete de 2,5 Kg</v>
      </c>
      <c r="F91" s="68" t="s">
        <v>2612</v>
      </c>
      <c r="G91" s="68" t="str">
        <f>VLOOKUP(D91,'03. Insumos'!A:F,3,0)</f>
        <v>mês</v>
      </c>
      <c r="H91" s="69">
        <v>2</v>
      </c>
      <c r="I91" s="141">
        <v>2</v>
      </c>
      <c r="J91" s="70">
        <f t="shared" si="14"/>
        <v>185</v>
      </c>
      <c r="K91" s="54">
        <f>IF(A91=0,VLOOKUP(D91,'03. Insumos'!A:F,4,0),"")</f>
        <v>185</v>
      </c>
      <c r="L91" s="70">
        <f>H91*J91*I91</f>
        <v>740</v>
      </c>
      <c r="M91" s="153">
        <f t="shared" ca="1" si="0"/>
        <v>1.2778853166704985E-5</v>
      </c>
      <c r="O91" s="148"/>
      <c r="R91" s="12"/>
    </row>
    <row r="92" spans="1:18" ht="13.5" hidden="1" customHeight="1" x14ac:dyDescent="0.3">
      <c r="A92" s="290">
        <f t="shared" si="1"/>
        <v>0</v>
      </c>
      <c r="B92" s="4"/>
      <c r="C92" s="4"/>
      <c r="D92" s="140" t="s">
        <v>727</v>
      </c>
      <c r="E92" s="67" t="str">
        <f>VLOOKUP(D92,'03. Insumos'!A:D,2,0)</f>
        <v>MARTELETE (SDS PLUS) 220VOLTS BIF</v>
      </c>
      <c r="F92" s="68" t="s">
        <v>2612</v>
      </c>
      <c r="G92" s="68" t="str">
        <f>VLOOKUP(D92,'03. Insumos'!A:F,3,0)</f>
        <v>mês</v>
      </c>
      <c r="H92" s="69">
        <v>1</v>
      </c>
      <c r="I92" s="141"/>
      <c r="J92" s="70">
        <f t="shared" si="14"/>
        <v>125</v>
      </c>
      <c r="K92" s="54">
        <f>IF(A92=0,VLOOKUP(D92,'03. Insumos'!A:F,4,0),"")</f>
        <v>125</v>
      </c>
      <c r="L92" s="70">
        <f>H92*J92*I92</f>
        <v>0</v>
      </c>
      <c r="M92" s="153">
        <f t="shared" ca="1" si="0"/>
        <v>0</v>
      </c>
      <c r="O92" s="148"/>
      <c r="R92" s="12"/>
    </row>
    <row r="93" spans="1:18" ht="13.5" hidden="1" customHeight="1" x14ac:dyDescent="0.3">
      <c r="A93" s="290">
        <f t="shared" si="1"/>
        <v>0</v>
      </c>
      <c r="B93" s="4"/>
      <c r="C93" s="4"/>
      <c r="D93" s="140" t="s">
        <v>1990</v>
      </c>
      <c r="E93" s="67" t="str">
        <f>VLOOKUP(D93,'03. Insumos'!A:D,2,0)</f>
        <v>Compressor 185 PCM para 2 marteletes</v>
      </c>
      <c r="F93" s="68"/>
      <c r="G93" s="68" t="str">
        <f>VLOOKUP(D93,'03. Insumos'!A:F,3,0)</f>
        <v>mês</v>
      </c>
      <c r="H93" s="69">
        <v>1</v>
      </c>
      <c r="I93" s="141"/>
      <c r="J93" s="70">
        <f t="shared" si="14"/>
        <v>2100</v>
      </c>
      <c r="K93" s="54">
        <f>IF(A93=0,VLOOKUP(D93,'03. Insumos'!A:F,4,0),"")</f>
        <v>2100</v>
      </c>
      <c r="L93" s="70">
        <f t="shared" si="15"/>
        <v>0</v>
      </c>
      <c r="M93" s="153">
        <f t="shared" ca="1" si="0"/>
        <v>0</v>
      </c>
      <c r="O93" s="148"/>
      <c r="R93" s="12"/>
    </row>
    <row r="94" spans="1:18" ht="13.5" hidden="1" customHeight="1" x14ac:dyDescent="0.3">
      <c r="A94" s="290">
        <f t="shared" si="1"/>
        <v>0</v>
      </c>
      <c r="B94" s="4"/>
      <c r="C94" s="4"/>
      <c r="D94" s="140" t="s">
        <v>1991</v>
      </c>
      <c r="E94" s="67" t="str">
        <f>VLOOKUP(D94,'03. Insumos'!A:D,2,0)</f>
        <v>Lance de mangueira c/ 20 m</v>
      </c>
      <c r="F94" s="68"/>
      <c r="G94" s="68" t="str">
        <f>VLOOKUP(D94,'03. Insumos'!A:F,3,0)</f>
        <v>mês</v>
      </c>
      <c r="H94" s="69">
        <v>1</v>
      </c>
      <c r="I94" s="141"/>
      <c r="J94" s="70">
        <f t="shared" si="14"/>
        <v>98</v>
      </c>
      <c r="K94" s="54">
        <f>IF(A94=0,VLOOKUP(D94,'03. Insumos'!A:F,4,0),"")</f>
        <v>98</v>
      </c>
      <c r="L94" s="70">
        <f t="shared" si="15"/>
        <v>0</v>
      </c>
      <c r="M94" s="153">
        <f t="shared" ca="1" si="0"/>
        <v>0</v>
      </c>
      <c r="O94" s="148"/>
      <c r="R94" s="12"/>
    </row>
    <row r="95" spans="1:18" ht="13.5" hidden="1" customHeight="1" x14ac:dyDescent="0.3">
      <c r="A95" s="290">
        <f t="shared" si="1"/>
        <v>0</v>
      </c>
      <c r="B95" s="4"/>
      <c r="C95" s="4"/>
      <c r="D95" s="140" t="s">
        <v>1992</v>
      </c>
      <c r="E95" s="67" t="str">
        <f>VLOOKUP(D95,'03. Insumos'!A:D,2,0)</f>
        <v>Mini escavadeira</v>
      </c>
      <c r="F95" s="68"/>
      <c r="G95" s="68" t="str">
        <f>VLOOKUP(D95,'03. Insumos'!A:F,3,0)</f>
        <v>mês</v>
      </c>
      <c r="H95" s="69">
        <v>1</v>
      </c>
      <c r="I95" s="141"/>
      <c r="J95" s="70">
        <f t="shared" si="14"/>
        <v>24000</v>
      </c>
      <c r="K95" s="54">
        <f>IF(A95=0,VLOOKUP(D95,'03. Insumos'!A:F,4,0),"")</f>
        <v>24000</v>
      </c>
      <c r="L95" s="70">
        <f t="shared" si="15"/>
        <v>0</v>
      </c>
      <c r="M95" s="153">
        <f t="shared" ca="1" si="0"/>
        <v>0</v>
      </c>
      <c r="O95" s="148"/>
      <c r="R95" s="12"/>
    </row>
    <row r="96" spans="1:18" ht="13.5" hidden="1" customHeight="1" x14ac:dyDescent="0.3">
      <c r="A96" s="290">
        <f t="shared" si="1"/>
        <v>0</v>
      </c>
      <c r="B96" s="4"/>
      <c r="C96" s="4"/>
      <c r="D96" s="140" t="s">
        <v>2043</v>
      </c>
      <c r="E96" s="67" t="str">
        <f>VLOOKUP(D96,'03. Insumos'!A:D,2,0)</f>
        <v>Retroescavadeira com operador</v>
      </c>
      <c r="F96" s="68"/>
      <c r="G96" s="68" t="str">
        <f>VLOOKUP(D96,'03. Insumos'!A:F,3,0)</f>
        <v>mês</v>
      </c>
      <c r="H96" s="69">
        <v>1</v>
      </c>
      <c r="I96" s="141"/>
      <c r="J96" s="70">
        <f t="shared" si="14"/>
        <v>16000</v>
      </c>
      <c r="K96" s="54">
        <f>IF(A96=0,VLOOKUP(D96,'03. Insumos'!A:F,4,0),"")</f>
        <v>16000</v>
      </c>
      <c r="L96" s="70">
        <f>H96*J96*I96</f>
        <v>0</v>
      </c>
      <c r="M96" s="153">
        <f t="shared" ca="1" si="0"/>
        <v>0</v>
      </c>
      <c r="O96" s="148"/>
      <c r="R96" s="12"/>
    </row>
    <row r="97" spans="1:18" ht="13.5" hidden="1" customHeight="1" x14ac:dyDescent="0.3">
      <c r="A97" s="290">
        <f t="shared" si="1"/>
        <v>0</v>
      </c>
      <c r="B97" s="4"/>
      <c r="C97" s="4"/>
      <c r="D97" s="140" t="s">
        <v>1970</v>
      </c>
      <c r="E97" s="67" t="str">
        <f>VLOOKUP(D97,'03. Insumos'!A:D,2,0)</f>
        <v>Plataforma elevatória de 7 m (tesourinha)</v>
      </c>
      <c r="F97" s="68"/>
      <c r="G97" s="68" t="str">
        <f>VLOOKUP(D97,'03. Insumos'!A:F,3,0)</f>
        <v>mês</v>
      </c>
      <c r="H97" s="69">
        <v>1</v>
      </c>
      <c r="I97" s="141"/>
      <c r="J97" s="70">
        <f t="shared" si="14"/>
        <v>1600</v>
      </c>
      <c r="K97" s="54">
        <f>IF(A97=0,VLOOKUP(D97,'03. Insumos'!A:F,4,0),"")</f>
        <v>1600</v>
      </c>
      <c r="L97" s="70">
        <f>H97*J97*I97</f>
        <v>0</v>
      </c>
      <c r="M97" s="153">
        <f t="shared" ca="1" si="0"/>
        <v>0</v>
      </c>
      <c r="O97" s="148"/>
      <c r="R97" s="12"/>
    </row>
    <row r="98" spans="1:18" ht="13.5" hidden="1" customHeight="1" x14ac:dyDescent="0.3">
      <c r="A98" s="290">
        <f t="shared" si="1"/>
        <v>0</v>
      </c>
      <c r="B98" s="4"/>
      <c r="C98" s="4"/>
      <c r="D98" s="140" t="s">
        <v>1993</v>
      </c>
      <c r="E98" s="67" t="str">
        <f>VLOOKUP(D98,'03. Insumos'!A:D,2,0)</f>
        <v>Gerador portátil 8 Kva</v>
      </c>
      <c r="F98" s="68"/>
      <c r="G98" s="68" t="str">
        <f>VLOOKUP(D98,'03. Insumos'!A:F,3,0)</f>
        <v>mês</v>
      </c>
      <c r="H98" s="69">
        <v>1</v>
      </c>
      <c r="I98" s="141"/>
      <c r="J98" s="70">
        <f t="shared" si="14"/>
        <v>600</v>
      </c>
      <c r="K98" s="54">
        <f>IF(A98=0,VLOOKUP(D98,'03. Insumos'!A:F,4,0),"")</f>
        <v>600</v>
      </c>
      <c r="L98" s="70">
        <f t="shared" si="15"/>
        <v>0</v>
      </c>
      <c r="M98" s="153">
        <f t="shared" ca="1" si="0"/>
        <v>0</v>
      </c>
      <c r="O98" s="148"/>
      <c r="R98" s="12"/>
    </row>
    <row r="99" spans="1:18" ht="13.5" hidden="1" customHeight="1" x14ac:dyDescent="0.3">
      <c r="A99" s="290">
        <f t="shared" si="1"/>
        <v>0</v>
      </c>
      <c r="B99" s="4"/>
      <c r="C99" s="4"/>
      <c r="D99" s="140" t="s">
        <v>1994</v>
      </c>
      <c r="E99" s="67" t="str">
        <f>VLOOKUP(D99,'03. Insumos'!A:D,2,0)</f>
        <v>Cortador de piso</v>
      </c>
      <c r="F99" s="68"/>
      <c r="G99" s="68" t="str">
        <f>VLOOKUP(D99,'03. Insumos'!A:F,3,0)</f>
        <v>mês</v>
      </c>
      <c r="H99" s="69">
        <v>1</v>
      </c>
      <c r="I99" s="141"/>
      <c r="J99" s="70">
        <f t="shared" si="14"/>
        <v>350</v>
      </c>
      <c r="K99" s="54">
        <f>IF(A99=0,VLOOKUP(D99,'03. Insumos'!A:F,4,0),"")</f>
        <v>350</v>
      </c>
      <c r="L99" s="70">
        <f t="shared" si="15"/>
        <v>0</v>
      </c>
      <c r="M99" s="153">
        <f t="shared" ca="1" si="0"/>
        <v>0</v>
      </c>
      <c r="O99" s="148"/>
      <c r="R99" s="12"/>
    </row>
    <row r="100" spans="1:18" ht="13.5" hidden="1" customHeight="1" x14ac:dyDescent="0.3">
      <c r="A100" s="290">
        <f t="shared" si="1"/>
        <v>0</v>
      </c>
      <c r="B100" s="4"/>
      <c r="C100" s="4"/>
      <c r="D100" s="140" t="s">
        <v>1995</v>
      </c>
      <c r="E100" s="67" t="str">
        <f>VLOOKUP(D100,'03. Insumos'!A:D,2,0)</f>
        <v>Disco corte</v>
      </c>
      <c r="F100" s="68"/>
      <c r="G100" s="68" t="str">
        <f>VLOOKUP(D100,'03. Insumos'!A:F,3,0)</f>
        <v>unid</v>
      </c>
      <c r="H100" s="69">
        <v>1</v>
      </c>
      <c r="I100" s="141"/>
      <c r="J100" s="70">
        <f t="shared" si="14"/>
        <v>260</v>
      </c>
      <c r="K100" s="54">
        <f>IF(A100=0,VLOOKUP(D100,'03. Insumos'!A:F,4,0),"")</f>
        <v>260</v>
      </c>
      <c r="L100" s="70">
        <f t="shared" si="15"/>
        <v>0</v>
      </c>
      <c r="M100" s="153">
        <f t="shared" ca="1" si="0"/>
        <v>0</v>
      </c>
      <c r="O100" s="148"/>
      <c r="R100" s="12"/>
    </row>
    <row r="101" spans="1:18" ht="13.5" hidden="1" customHeight="1" x14ac:dyDescent="0.3">
      <c r="A101" s="290">
        <f t="shared" si="1"/>
        <v>0</v>
      </c>
      <c r="B101" s="4"/>
      <c r="C101" s="4"/>
      <c r="D101" s="140" t="s">
        <v>2014</v>
      </c>
      <c r="E101" s="67" t="str">
        <f>VLOOKUP(D101,'03. Insumos'!A:D,2,0)</f>
        <v>Compactador de solo</v>
      </c>
      <c r="F101" s="68" t="s">
        <v>2612</v>
      </c>
      <c r="G101" s="68" t="str">
        <f>VLOOKUP(D101,'03. Insumos'!A:F,3,0)</f>
        <v>mês</v>
      </c>
      <c r="H101" s="69">
        <v>1</v>
      </c>
      <c r="I101" s="141"/>
      <c r="J101" s="70">
        <f t="shared" si="14"/>
        <v>495</v>
      </c>
      <c r="K101" s="54">
        <f>IF(A101=0,VLOOKUP(D101,'03. Insumos'!A:F,4,0),"")</f>
        <v>495</v>
      </c>
      <c r="L101" s="70">
        <f t="shared" si="15"/>
        <v>0</v>
      </c>
      <c r="M101" s="153">
        <f t="shared" ca="1" si="0"/>
        <v>0</v>
      </c>
      <c r="O101" s="148"/>
      <c r="R101" s="12"/>
    </row>
    <row r="102" spans="1:18" ht="13.5" hidden="1" customHeight="1" x14ac:dyDescent="0.3">
      <c r="A102" s="290">
        <f t="shared" si="1"/>
        <v>0</v>
      </c>
      <c r="B102" s="4"/>
      <c r="C102" s="4"/>
      <c r="D102" s="140" t="s">
        <v>2016</v>
      </c>
      <c r="E102" s="67" t="str">
        <f>VLOOKUP(D102,'03. Insumos'!A:D,2,0)</f>
        <v>Giranda com 100 metros</v>
      </c>
      <c r="F102" s="68"/>
      <c r="G102" s="68" t="str">
        <f>VLOOKUP(D102,'03. Insumos'!A:F,3,0)</f>
        <v>unid</v>
      </c>
      <c r="H102" s="69">
        <v>1</v>
      </c>
      <c r="I102" s="141"/>
      <c r="J102" s="70">
        <f t="shared" si="14"/>
        <v>1300</v>
      </c>
      <c r="K102" s="54">
        <f>IF(A102=0,VLOOKUP(D102,'03. Insumos'!A:F,4,0),"")</f>
        <v>1300</v>
      </c>
      <c r="L102" s="70">
        <f t="shared" si="15"/>
        <v>0</v>
      </c>
      <c r="M102" s="153">
        <f t="shared" ca="1" si="0"/>
        <v>0</v>
      </c>
      <c r="O102" s="148"/>
      <c r="R102" s="12"/>
    </row>
    <row r="103" spans="1:18" ht="13.5" customHeight="1" x14ac:dyDescent="0.3">
      <c r="A103" s="290">
        <f t="shared" si="1"/>
        <v>0</v>
      </c>
      <c r="B103" s="4"/>
      <c r="C103" s="4"/>
      <c r="D103" s="140" t="s">
        <v>729</v>
      </c>
      <c r="E103" s="67" t="str">
        <f>VLOOKUP(D103,'03. Insumos'!A:D,2,0)</f>
        <v>Lixadeira</v>
      </c>
      <c r="F103" s="68" t="s">
        <v>2612</v>
      </c>
      <c r="G103" s="68" t="str">
        <f>VLOOKUP(D103,'03. Insumos'!A:F,3,0)</f>
        <v>mês</v>
      </c>
      <c r="H103" s="69">
        <v>1</v>
      </c>
      <c r="I103" s="141">
        <v>2</v>
      </c>
      <c r="J103" s="70">
        <f t="shared" si="14"/>
        <v>105</v>
      </c>
      <c r="K103" s="54">
        <f>IF(A103=0,VLOOKUP(D103,'03. Insumos'!A:F,4,0),"")</f>
        <v>105</v>
      </c>
      <c r="L103" s="70">
        <f t="shared" si="15"/>
        <v>210</v>
      </c>
      <c r="M103" s="153">
        <f t="shared" ca="1" si="0"/>
        <v>3.6264313040649282E-6</v>
      </c>
      <c r="O103" s="148"/>
      <c r="R103" s="12"/>
    </row>
    <row r="104" spans="1:18" ht="13.5" customHeight="1" x14ac:dyDescent="0.3">
      <c r="A104" s="290">
        <f t="shared" si="1"/>
        <v>0</v>
      </c>
      <c r="B104" s="4"/>
      <c r="C104" s="4"/>
      <c r="D104" s="140" t="s">
        <v>2177</v>
      </c>
      <c r="E104" s="67" t="str">
        <f>VLOOKUP(D104,'03. Insumos'!A:D,2,0)</f>
        <v>Betoneira</v>
      </c>
      <c r="F104" s="68" t="s">
        <v>2612</v>
      </c>
      <c r="G104" s="68" t="str">
        <f>VLOOKUP(D104,'03. Insumos'!A:F,3,0)</f>
        <v>mês</v>
      </c>
      <c r="H104" s="69">
        <v>1</v>
      </c>
      <c r="I104" s="141">
        <v>1</v>
      </c>
      <c r="J104" s="70">
        <f t="shared" si="14"/>
        <v>500</v>
      </c>
      <c r="K104" s="54">
        <f>IF(A104=0,VLOOKUP(D104,'03. Insumos'!A:F,4,0),"")</f>
        <v>500</v>
      </c>
      <c r="L104" s="70">
        <f>H104*J104*I104</f>
        <v>500</v>
      </c>
      <c r="M104" s="153">
        <f t="shared" ca="1" si="0"/>
        <v>8.6343602477736394E-6</v>
      </c>
      <c r="O104" s="148"/>
      <c r="R104" s="12"/>
    </row>
    <row r="105" spans="1:18" ht="13.5" customHeight="1" x14ac:dyDescent="0.3">
      <c r="A105" s="290">
        <f t="shared" si="1"/>
        <v>0</v>
      </c>
      <c r="B105" s="4"/>
      <c r="C105" s="4"/>
      <c r="D105" s="140" t="s">
        <v>730</v>
      </c>
      <c r="E105" s="67" t="str">
        <f>VLOOKUP(D105,'03. Insumos'!A:D,2,0)</f>
        <v>Furadeira</v>
      </c>
      <c r="F105" s="68" t="s">
        <v>2612</v>
      </c>
      <c r="G105" s="68" t="str">
        <f>VLOOKUP(D105,'03. Insumos'!A:F,3,0)</f>
        <v>mês</v>
      </c>
      <c r="H105" s="69">
        <v>1</v>
      </c>
      <c r="I105" s="141">
        <v>5</v>
      </c>
      <c r="J105" s="70">
        <f t="shared" si="14"/>
        <v>125</v>
      </c>
      <c r="K105" s="54">
        <f>IF(A105=0,VLOOKUP(D105,'03. Insumos'!A:F,4,0),"")</f>
        <v>125</v>
      </c>
      <c r="L105" s="70">
        <f t="shared" si="15"/>
        <v>625</v>
      </c>
      <c r="M105" s="153">
        <f t="shared" ca="1" si="0"/>
        <v>1.0792950309717048E-5</v>
      </c>
      <c r="O105" s="148"/>
      <c r="R105" s="12"/>
    </row>
    <row r="106" spans="1:18" ht="13.5" customHeight="1" x14ac:dyDescent="0.3">
      <c r="A106" s="290">
        <f t="shared" si="1"/>
        <v>0</v>
      </c>
      <c r="B106" s="4"/>
      <c r="C106" s="4"/>
      <c r="D106" s="140" t="s">
        <v>2025</v>
      </c>
      <c r="E106" s="67" t="str">
        <f>VLOOKUP(D106,'03. Insumos'!A:D,2,0)</f>
        <v>Vibrador de concreto de 35 mm com motor</v>
      </c>
      <c r="F106" s="68" t="s">
        <v>2612</v>
      </c>
      <c r="G106" s="68" t="str">
        <f>VLOOKUP(D106,'03. Insumos'!A:F,3,0)</f>
        <v>mês</v>
      </c>
      <c r="H106" s="69">
        <v>1</v>
      </c>
      <c r="I106" s="141">
        <v>1</v>
      </c>
      <c r="J106" s="70">
        <f t="shared" si="14"/>
        <v>160</v>
      </c>
      <c r="K106" s="54">
        <f>IF(A106=0,VLOOKUP(D106,'03. Insumos'!A:F,4,0),"")</f>
        <v>160</v>
      </c>
      <c r="L106" s="70">
        <f>H106*J106*I106</f>
        <v>160</v>
      </c>
      <c r="M106" s="153">
        <f t="shared" ca="1" si="0"/>
        <v>2.7629952792875643E-6</v>
      </c>
      <c r="O106" s="148"/>
      <c r="R106" s="12"/>
    </row>
    <row r="107" spans="1:18" ht="13.5" hidden="1" customHeight="1" x14ac:dyDescent="0.3">
      <c r="A107" s="290">
        <f t="shared" si="1"/>
        <v>0</v>
      </c>
      <c r="B107" s="4"/>
      <c r="C107" s="4"/>
      <c r="D107" s="140" t="s">
        <v>2027</v>
      </c>
      <c r="E107" s="67" t="str">
        <f>VLOOKUP(D107,'03. Insumos'!A:D,2,0)</f>
        <v>Hidrojato</v>
      </c>
      <c r="F107" s="68"/>
      <c r="G107" s="68" t="str">
        <f>VLOOKUP(D107,'03. Insumos'!A:F,3,0)</f>
        <v>mês</v>
      </c>
      <c r="H107" s="69">
        <v>1</v>
      </c>
      <c r="I107" s="141"/>
      <c r="J107" s="70">
        <f t="shared" si="14"/>
        <v>400</v>
      </c>
      <c r="K107" s="54">
        <f>IF(A107=0,VLOOKUP(D107,'03. Insumos'!A:F,4,0),"")</f>
        <v>400</v>
      </c>
      <c r="L107" s="70">
        <f>H107*J107*I107</f>
        <v>0</v>
      </c>
      <c r="M107" s="153">
        <f t="shared" ca="1" si="0"/>
        <v>0</v>
      </c>
      <c r="O107" s="148"/>
      <c r="R107" s="12"/>
    </row>
    <row r="108" spans="1:18" ht="13.5" hidden="1" customHeight="1" x14ac:dyDescent="0.3">
      <c r="A108" s="290">
        <f t="shared" si="1"/>
        <v>0</v>
      </c>
      <c r="B108" s="4"/>
      <c r="C108" s="4"/>
      <c r="D108" s="140" t="s">
        <v>2033</v>
      </c>
      <c r="E108" s="67" t="str">
        <f>VLOOKUP(D108,'03. Insumos'!A:D,2,0)</f>
        <v>Caminhão Munck  (com peça para transporte )</v>
      </c>
      <c r="F108" s="68"/>
      <c r="G108" s="68" t="str">
        <f>VLOOKUP(D108,'03. Insumos'!A:F,3,0)</f>
        <v>Diária</v>
      </c>
      <c r="H108" s="69">
        <v>1</v>
      </c>
      <c r="I108" s="141"/>
      <c r="J108" s="70">
        <f t="shared" si="14"/>
        <v>1000</v>
      </c>
      <c r="K108" s="54">
        <f>IF(A108=0,VLOOKUP(D108,'03. Insumos'!A:F,4,0),"")</f>
        <v>1000</v>
      </c>
      <c r="L108" s="70">
        <f>H108*J108*I108</f>
        <v>0</v>
      </c>
      <c r="M108" s="153">
        <f t="shared" ca="1" si="0"/>
        <v>0</v>
      </c>
      <c r="O108" s="148"/>
      <c r="R108" s="12"/>
    </row>
    <row r="109" spans="1:18" ht="13.5" customHeight="1" x14ac:dyDescent="0.3">
      <c r="A109" s="290">
        <f t="shared" si="1"/>
        <v>0</v>
      </c>
      <c r="B109" s="4"/>
      <c r="C109" s="4"/>
      <c r="D109" s="140" t="s">
        <v>2009</v>
      </c>
      <c r="E109" s="67" t="str">
        <f>VLOOKUP(D109,'03. Insumos'!A:D,2,0)</f>
        <v xml:space="preserve">Frete equipamentos </v>
      </c>
      <c r="F109" s="68" t="s">
        <v>2612</v>
      </c>
      <c r="G109" s="68" t="str">
        <f>VLOOKUP(D109,'03. Insumos'!A:F,3,0)</f>
        <v>vb</v>
      </c>
      <c r="H109" s="69">
        <v>1</v>
      </c>
      <c r="I109" s="141">
        <v>2</v>
      </c>
      <c r="J109" s="70">
        <f t="shared" si="14"/>
        <v>1</v>
      </c>
      <c r="K109" s="54">
        <f>IF(A109=0,VLOOKUP(D109,'03. Insumos'!A:F,4,0),"")</f>
        <v>1</v>
      </c>
      <c r="L109" s="70">
        <f t="shared" si="15"/>
        <v>2</v>
      </c>
      <c r="M109" s="153">
        <f t="shared" ca="1" si="0"/>
        <v>3.4537440991094559E-8</v>
      </c>
      <c r="O109" s="148"/>
      <c r="R109" s="12"/>
    </row>
    <row r="110" spans="1:18" ht="13.5" customHeight="1" x14ac:dyDescent="0.3">
      <c r="A110" s="290">
        <f t="shared" si="1"/>
        <v>0</v>
      </c>
      <c r="B110" s="4"/>
      <c r="C110" s="4"/>
      <c r="D110" s="140" t="s">
        <v>2266</v>
      </c>
      <c r="E110" s="67" t="str">
        <f>VLOOKUP(D110,'03. Insumos'!A:D,2,0)</f>
        <v>Locação de escoras metálicas para até 750 Kg</v>
      </c>
      <c r="F110" s="68" t="s">
        <v>2612</v>
      </c>
      <c r="G110" s="68" t="str">
        <f>VLOOKUP(D110,'03. Insumos'!A:F,3,0)</f>
        <v>Unid/mês</v>
      </c>
      <c r="H110" s="69">
        <v>1</v>
      </c>
      <c r="I110" s="141">
        <v>10</v>
      </c>
      <c r="J110" s="70">
        <f t="shared" si="14"/>
        <v>13</v>
      </c>
      <c r="K110" s="54">
        <f>IF(A110=0,VLOOKUP(D110,'03. Insumos'!A:F,4,0),"")</f>
        <v>13</v>
      </c>
      <c r="L110" s="70">
        <f t="shared" si="15"/>
        <v>130</v>
      </c>
      <c r="M110" s="153">
        <f t="shared" ca="1" si="0"/>
        <v>2.2449336644211461E-6</v>
      </c>
      <c r="O110" s="148"/>
      <c r="R110" s="12"/>
    </row>
    <row r="111" spans="1:18" ht="13.5" hidden="1" customHeight="1" x14ac:dyDescent="0.3">
      <c r="A111" s="290">
        <f t="shared" si="1"/>
        <v>6</v>
      </c>
      <c r="B111" s="4"/>
      <c r="C111" s="4" t="s">
        <v>1329</v>
      </c>
      <c r="D111" s="4" t="s">
        <v>2003</v>
      </c>
      <c r="E111" s="49"/>
      <c r="F111" s="68"/>
      <c r="G111" s="56"/>
      <c r="H111" s="57"/>
      <c r="I111" s="29"/>
      <c r="J111" s="58"/>
      <c r="K111" s="54" t="str">
        <f>IF(A111=0,VLOOKUP(D111,'03. Insumos'!A:F,4,0),"")</f>
        <v/>
      </c>
      <c r="L111" s="58">
        <f>SUM(L112:L112)</f>
        <v>0</v>
      </c>
      <c r="M111" s="153">
        <f t="shared" ca="1" si="0"/>
        <v>0</v>
      </c>
      <c r="O111" s="148">
        <f t="shared" ref="O111:O146" si="16">IF(I111&lt;&gt;0,I111*H111*K111,)</f>
        <v>0</v>
      </c>
      <c r="R111" s="12">
        <f>IF(J111&lt;&gt;0,J111/1.03-K111,0)</f>
        <v>0</v>
      </c>
    </row>
    <row r="112" spans="1:18" s="51" customFormat="1" ht="13.5" hidden="1" customHeight="1" x14ac:dyDescent="0.3">
      <c r="A112" s="290">
        <f t="shared" si="1"/>
        <v>0</v>
      </c>
      <c r="B112" s="49"/>
      <c r="C112" s="49"/>
      <c r="D112" s="140" t="s">
        <v>1996</v>
      </c>
      <c r="E112" s="49" t="str">
        <f>VLOOKUP(D112,'03. Insumos'!A:D,2,0)</f>
        <v>Veículo (Kombi, Bongo,etc)</v>
      </c>
      <c r="F112" s="68"/>
      <c r="G112" s="68" t="str">
        <f>VLOOKUP(D112,'03. Insumos'!A:F,3,0)</f>
        <v>mês</v>
      </c>
      <c r="H112" s="69">
        <v>1</v>
      </c>
      <c r="I112" s="141"/>
      <c r="J112" s="70">
        <f>IFERROR(IF(K112&lt;&gt;0,K112*$K$5,0),0)</f>
        <v>8300</v>
      </c>
      <c r="K112" s="54">
        <f>IF(A112=0,VLOOKUP(D112,'03. Insumos'!A:F,4,0),"")</f>
        <v>8300</v>
      </c>
      <c r="L112" s="338">
        <f>H112*J112*I112</f>
        <v>0</v>
      </c>
      <c r="M112" s="153">
        <f t="shared" ca="1" si="0"/>
        <v>0</v>
      </c>
      <c r="O112" s="148">
        <f t="shared" si="16"/>
        <v>0</v>
      </c>
      <c r="R112" s="12">
        <f>IF(J112&lt;&gt;0,J112/1.03-K112,0)</f>
        <v>-241.74757281553411</v>
      </c>
    </row>
    <row r="113" spans="1:18" s="18" customFormat="1" ht="13.5" customHeight="1" x14ac:dyDescent="0.3">
      <c r="A113" s="290">
        <f t="shared" si="1"/>
        <v>4</v>
      </c>
      <c r="B113" s="45"/>
      <c r="C113" s="45" t="s">
        <v>383</v>
      </c>
      <c r="D113" s="45" t="s">
        <v>48</v>
      </c>
      <c r="E113" s="45"/>
      <c r="F113" s="327"/>
      <c r="G113" s="329"/>
      <c r="H113" s="330"/>
      <c r="I113" s="47"/>
      <c r="J113" s="336"/>
      <c r="K113" s="48" t="str">
        <f>IF(A113=0,VLOOKUP(D113,'03. Insumos'!A:F,4,0),"")</f>
        <v/>
      </c>
      <c r="L113" s="335">
        <f>SUMIF(A114:A122,6,L114:L122)</f>
        <v>4702.58</v>
      </c>
      <c r="M113" s="153">
        <f t="shared" ca="1" si="0"/>
        <v>8.1207539627950719E-5</v>
      </c>
      <c r="O113" s="148">
        <f t="shared" si="16"/>
        <v>0</v>
      </c>
      <c r="R113" s="12">
        <f>IF(J113&lt;&gt;0,J113/1.03-K113,0)</f>
        <v>0</v>
      </c>
    </row>
    <row r="114" spans="1:18" ht="13.5" customHeight="1" x14ac:dyDescent="0.3">
      <c r="A114" s="290">
        <f t="shared" si="1"/>
        <v>6</v>
      </c>
      <c r="B114" s="4"/>
      <c r="C114" s="4" t="s">
        <v>920</v>
      </c>
      <c r="D114" s="4" t="s">
        <v>49</v>
      </c>
      <c r="E114" s="4"/>
      <c r="F114" s="56"/>
      <c r="G114" s="56"/>
      <c r="H114" s="57"/>
      <c r="I114" s="29"/>
      <c r="J114" s="58"/>
      <c r="K114" s="27" t="str">
        <f>IF(A114=0,VLOOKUP(D114,'03. Insumos'!A:F,4,0),"")</f>
        <v/>
      </c>
      <c r="L114" s="58">
        <f>SUM(L115:L115)</f>
        <v>3500</v>
      </c>
      <c r="M114" s="153">
        <f t="shared" ca="1" si="0"/>
        <v>6.0440521734415474E-5</v>
      </c>
      <c r="O114" s="148">
        <f t="shared" si="16"/>
        <v>0</v>
      </c>
      <c r="R114" s="12">
        <f>IF(J114&lt;&gt;0,J114/1.03-K114,0)</f>
        <v>0</v>
      </c>
    </row>
    <row r="115" spans="1:18" s="51" customFormat="1" ht="13.5" customHeight="1" x14ac:dyDescent="0.3">
      <c r="A115" s="290">
        <f t="shared" si="1"/>
        <v>0</v>
      </c>
      <c r="B115" s="49"/>
      <c r="C115" s="49"/>
      <c r="D115" s="140" t="s">
        <v>164</v>
      </c>
      <c r="E115" s="67" t="str">
        <f>VLOOKUP(D115,'03. Insumos'!A:D,2,0)</f>
        <v>Diversos materiais de canteiro</v>
      </c>
      <c r="F115" s="68" t="s">
        <v>2612</v>
      </c>
      <c r="G115" s="68" t="str">
        <f>VLOOKUP(D115,'03. Insumos'!A:F,3,0)</f>
        <v>uni</v>
      </c>
      <c r="H115" s="69">
        <v>1</v>
      </c>
      <c r="I115" s="193">
        <f>L2</f>
        <v>5</v>
      </c>
      <c r="J115" s="70">
        <f>IFERROR(IF(K115&lt;&gt;0,K115*$K$5,0),0)</f>
        <v>700</v>
      </c>
      <c r="K115" s="54">
        <v>700</v>
      </c>
      <c r="L115" s="70">
        <f>H115*J115*I115</f>
        <v>3500</v>
      </c>
      <c r="M115" s="153">
        <f t="shared" ca="1" si="0"/>
        <v>6.0440521734415474E-5</v>
      </c>
      <c r="O115" s="148">
        <f t="shared" si="16"/>
        <v>3500</v>
      </c>
      <c r="R115" s="12">
        <f>IF(J115&lt;&gt;0,J115/1.03-K115,0)</f>
        <v>-20.388349514563174</v>
      </c>
    </row>
    <row r="116" spans="1:18" s="51" customFormat="1" ht="13.5" customHeight="1" x14ac:dyDescent="0.3">
      <c r="A116" s="290">
        <f t="shared" si="1"/>
        <v>6</v>
      </c>
      <c r="B116" s="49"/>
      <c r="C116" s="4" t="s">
        <v>1890</v>
      </c>
      <c r="D116" s="4" t="s">
        <v>1962</v>
      </c>
      <c r="E116" s="49"/>
      <c r="F116" s="68"/>
      <c r="G116" s="68"/>
      <c r="H116" s="69"/>
      <c r="I116" s="282"/>
      <c r="J116" s="70"/>
      <c r="K116" s="54"/>
      <c r="L116" s="58">
        <f>SUM(L117:L120)</f>
        <v>1202.5800000000002</v>
      </c>
      <c r="M116" s="153">
        <f t="shared" ca="1" si="0"/>
        <v>2.0767017893535249E-5</v>
      </c>
      <c r="O116" s="148"/>
      <c r="R116" s="12"/>
    </row>
    <row r="117" spans="1:18" s="51" customFormat="1" ht="13.5" customHeight="1" x14ac:dyDescent="0.3">
      <c r="A117" s="290">
        <f t="shared" si="1"/>
        <v>0</v>
      </c>
      <c r="B117" s="49"/>
      <c r="C117" s="4"/>
      <c r="D117" s="140" t="s">
        <v>1893</v>
      </c>
      <c r="E117" s="67" t="str">
        <f>VLOOKUP(D117,'03. Insumos'!A:D,2,0)</f>
        <v>Plástico bolha</v>
      </c>
      <c r="F117" s="68" t="s">
        <v>2612</v>
      </c>
      <c r="G117" s="68" t="str">
        <f>VLOOKUP(D117,'03. Insumos'!A:F,3,0)</f>
        <v>rolo</v>
      </c>
      <c r="H117" s="69">
        <v>1</v>
      </c>
      <c r="I117" s="282">
        <v>6</v>
      </c>
      <c r="J117" s="70">
        <f>IFERROR(IF(K117&lt;&gt;0,K117*$K$5,0),0)</f>
        <v>75.930000000000007</v>
      </c>
      <c r="K117" s="54">
        <f>IF(A117=0,VLOOKUP(D117,'03. Insumos'!A:F,4,0),"")</f>
        <v>75.930000000000007</v>
      </c>
      <c r="L117" s="70">
        <f>H117*J117*I117</f>
        <v>455.58000000000004</v>
      </c>
      <c r="M117" s="153">
        <f t="shared" ca="1" si="0"/>
        <v>7.8672836833614301E-6</v>
      </c>
      <c r="O117" s="148"/>
      <c r="R117" s="12"/>
    </row>
    <row r="118" spans="1:18" s="51" customFormat="1" ht="13.5" hidden="1" customHeight="1" x14ac:dyDescent="0.3">
      <c r="A118" s="290">
        <f t="shared" si="1"/>
        <v>0</v>
      </c>
      <c r="B118" s="49"/>
      <c r="C118" s="49"/>
      <c r="D118" s="140" t="s">
        <v>1894</v>
      </c>
      <c r="E118" s="67" t="str">
        <f>VLOOKUP(D118,'03. Insumos'!A:D,2,0)</f>
        <v>Chapa compensando 10 mm (1,1 x 2,2)</v>
      </c>
      <c r="F118" s="68"/>
      <c r="G118" s="68" t="str">
        <f>VLOOKUP(D118,'03. Insumos'!A:F,3,0)</f>
        <v>unid</v>
      </c>
      <c r="H118" s="69">
        <v>1</v>
      </c>
      <c r="I118" s="282"/>
      <c r="J118" s="70">
        <f>IFERROR(IF(K118&lt;&gt;0,K118*$K$5,0),0)</f>
        <v>35.799999999999997</v>
      </c>
      <c r="K118" s="54">
        <f>IF(A118=0,VLOOKUP(D118,'03. Insumos'!A:F,4,0),"")</f>
        <v>35.799999999999997</v>
      </c>
      <c r="L118" s="70">
        <f>H118*J118*I118</f>
        <v>0</v>
      </c>
      <c r="M118" s="153">
        <f t="shared" ca="1" si="0"/>
        <v>0</v>
      </c>
      <c r="O118" s="148"/>
      <c r="R118" s="12"/>
    </row>
    <row r="119" spans="1:18" s="51" customFormat="1" ht="13.5" hidden="1" customHeight="1" x14ac:dyDescent="0.3">
      <c r="A119" s="290">
        <f t="shared" si="1"/>
        <v>0</v>
      </c>
      <c r="B119" s="49"/>
      <c r="C119" s="49"/>
      <c r="D119" s="140" t="s">
        <v>1965</v>
      </c>
      <c r="E119" s="67" t="str">
        <f>VLOOKUP(D119,'03. Insumos'!A:D,2,0)</f>
        <v>Lycra</v>
      </c>
      <c r="F119" s="68"/>
      <c r="G119" s="68" t="str">
        <f>VLOOKUP(D119,'03. Insumos'!A:F,3,0)</f>
        <v>m²</v>
      </c>
      <c r="H119" s="69">
        <v>1</v>
      </c>
      <c r="I119" s="282"/>
      <c r="J119" s="70">
        <f>IFERROR(IF(K119&lt;&gt;0,K119*$K$5,0),0)</f>
        <v>5.65</v>
      </c>
      <c r="K119" s="54">
        <f>IF(A119=0,VLOOKUP(D119,'03. Insumos'!A:F,4,0),"")</f>
        <v>5.65</v>
      </c>
      <c r="L119" s="70">
        <f>H119*J119*I119</f>
        <v>0</v>
      </c>
      <c r="M119" s="153">
        <f t="shared" ca="1" si="0"/>
        <v>0</v>
      </c>
      <c r="O119" s="148"/>
      <c r="R119" s="12"/>
    </row>
    <row r="120" spans="1:18" s="51" customFormat="1" ht="13.5" customHeight="1" x14ac:dyDescent="0.3">
      <c r="A120" s="290">
        <f t="shared" si="1"/>
        <v>0</v>
      </c>
      <c r="B120" s="49"/>
      <c r="C120" s="49"/>
      <c r="D120" s="140" t="s">
        <v>2050</v>
      </c>
      <c r="E120" s="67" t="str">
        <f>VLOOKUP(D120,'03. Insumos'!A:D,2,0)</f>
        <v xml:space="preserve">Protetor de Piso 25 metros Salva Piso
</v>
      </c>
      <c r="F120" s="68" t="s">
        <v>2612</v>
      </c>
      <c r="G120" s="68" t="str">
        <f>VLOOKUP(D120,'03. Insumos'!A:F,3,0)</f>
        <v>RL</v>
      </c>
      <c r="H120" s="69">
        <v>1</v>
      </c>
      <c r="I120" s="282">
        <v>6</v>
      </c>
      <c r="J120" s="70">
        <f>IFERROR(IF(K120&lt;&gt;0,K120*$K$5,0),0)</f>
        <v>124.50000000000001</v>
      </c>
      <c r="K120" s="54">
        <f>IF(A120=0,VLOOKUP(D120,'03. Insumos'!A:F,4,0),"")</f>
        <v>124.50000000000001</v>
      </c>
      <c r="L120" s="70">
        <f>H120*J120*I120</f>
        <v>747.00000000000011</v>
      </c>
      <c r="M120" s="153">
        <f t="shared" ca="1" si="0"/>
        <v>1.2899734210173819E-5</v>
      </c>
      <c r="O120" s="148"/>
      <c r="R120" s="12"/>
    </row>
    <row r="121" spans="1:18" s="51" customFormat="1" ht="13.5" hidden="1" customHeight="1" x14ac:dyDescent="0.3">
      <c r="A121" s="290">
        <f t="shared" si="1"/>
        <v>6</v>
      </c>
      <c r="B121" s="49"/>
      <c r="C121" s="4" t="s">
        <v>1938</v>
      </c>
      <c r="D121" s="4" t="s">
        <v>1939</v>
      </c>
      <c r="E121" s="49"/>
      <c r="F121" s="68"/>
      <c r="G121" s="68"/>
      <c r="H121" s="69"/>
      <c r="I121" s="282"/>
      <c r="J121" s="70"/>
      <c r="K121" s="54"/>
      <c r="L121" s="58">
        <f>L122</f>
        <v>0</v>
      </c>
      <c r="M121" s="153">
        <f t="shared" ca="1" si="0"/>
        <v>0</v>
      </c>
      <c r="O121" s="148"/>
      <c r="R121" s="12"/>
    </row>
    <row r="122" spans="1:18" s="51" customFormat="1" ht="13.5" hidden="1" customHeight="1" x14ac:dyDescent="0.3">
      <c r="A122" s="290">
        <f t="shared" si="1"/>
        <v>0</v>
      </c>
      <c r="B122" s="49"/>
      <c r="C122" s="49"/>
      <c r="D122" s="140" t="s">
        <v>1937</v>
      </c>
      <c r="E122" s="49" t="str">
        <f>VLOOKUP(D122,'03. Insumos'!A:D,2,0)</f>
        <v>Furos no concreto</v>
      </c>
      <c r="F122" s="68"/>
      <c r="G122" s="68" t="str">
        <f>VLOOKUP(D122,'03. Insumos'!A:F,3,0)</f>
        <v>Unid</v>
      </c>
      <c r="H122" s="69">
        <v>1</v>
      </c>
      <c r="I122" s="282"/>
      <c r="J122" s="70">
        <f>IFERROR(IF(K122&lt;&gt;0,K122*$K$5,0),0)</f>
        <v>140</v>
      </c>
      <c r="K122" s="54">
        <f>IF(A122=0,VLOOKUP(D122,'03. Insumos'!A:F,4,0),"")</f>
        <v>140</v>
      </c>
      <c r="L122" s="338">
        <f>H122*J122*I122</f>
        <v>0</v>
      </c>
      <c r="M122" s="153">
        <f t="shared" ca="1" si="0"/>
        <v>0</v>
      </c>
      <c r="O122" s="148"/>
      <c r="R122" s="12"/>
    </row>
    <row r="123" spans="1:18" s="18" customFormat="1" ht="13.5" customHeight="1" x14ac:dyDescent="0.3">
      <c r="A123" s="290">
        <f t="shared" si="1"/>
        <v>4</v>
      </c>
      <c r="B123" s="45"/>
      <c r="C123" s="45" t="s">
        <v>384</v>
      </c>
      <c r="D123" s="45" t="s">
        <v>1294</v>
      </c>
      <c r="E123" s="45"/>
      <c r="F123" s="327"/>
      <c r="G123" s="327"/>
      <c r="H123" s="328"/>
      <c r="I123" s="61"/>
      <c r="J123" s="335"/>
      <c r="K123" s="62" t="str">
        <f>IF(A123=0,VLOOKUP(D123,'03. Insumos'!A:F,4,0),"")</f>
        <v/>
      </c>
      <c r="L123" s="335">
        <f>SUMIF(A124:A137,6,L124:L137)</f>
        <v>777.6</v>
      </c>
      <c r="M123" s="153">
        <f t="shared" ca="1" si="0"/>
        <v>1.3428157057337563E-5</v>
      </c>
      <c r="O123" s="148">
        <f t="shared" si="16"/>
        <v>0</v>
      </c>
      <c r="R123" s="12">
        <f>IF(J123&lt;&gt;0,J123/1.03-K123,0)</f>
        <v>0</v>
      </c>
    </row>
    <row r="124" spans="1:18" ht="13.5" customHeight="1" x14ac:dyDescent="0.3">
      <c r="A124" s="290">
        <f t="shared" si="1"/>
        <v>6</v>
      </c>
      <c r="B124" s="4"/>
      <c r="C124" s="4" t="s">
        <v>921</v>
      </c>
      <c r="D124" s="4" t="s">
        <v>2056</v>
      </c>
      <c r="E124" s="4"/>
      <c r="F124" s="56"/>
      <c r="G124" s="56"/>
      <c r="H124" s="57"/>
      <c r="I124" s="29"/>
      <c r="J124" s="58"/>
      <c r="K124" s="27" t="str">
        <f>IF(A124=0,VLOOKUP(D124,'03. Insumos'!A:F,4,0),"")</f>
        <v/>
      </c>
      <c r="L124" s="58">
        <f>SUM(L125:L137)</f>
        <v>777.6</v>
      </c>
      <c r="M124" s="153">
        <f t="shared" ca="1" si="0"/>
        <v>1.3428157057337563E-5</v>
      </c>
      <c r="O124" s="148">
        <f t="shared" si="16"/>
        <v>0</v>
      </c>
      <c r="R124" s="12">
        <f>IF(J124&lt;&gt;0,J124/1.03-K124,0)</f>
        <v>0</v>
      </c>
    </row>
    <row r="125" spans="1:18" ht="13.5" hidden="1" customHeight="1" x14ac:dyDescent="0.3">
      <c r="A125" s="290">
        <f t="shared" si="1"/>
        <v>0</v>
      </c>
      <c r="B125" s="4"/>
      <c r="C125" s="4"/>
      <c r="D125" s="140" t="s">
        <v>2054</v>
      </c>
      <c r="E125" s="49" t="str">
        <f>VLOOKUP(D125,'03. Insumos'!A:D,2,0)</f>
        <v>Locação andaime fachadeiro</v>
      </c>
      <c r="F125" s="68"/>
      <c r="G125" s="68" t="str">
        <f>VLOOKUP(D125,'03. Insumos'!A:F,3,0)</f>
        <v>m²</v>
      </c>
      <c r="H125" s="69">
        <v>3</v>
      </c>
      <c r="I125" s="141"/>
      <c r="J125" s="70">
        <f t="shared" ref="J125:J137" si="17">IFERROR(IF(K125&lt;&gt;0,K125*$K$5,0),0)</f>
        <v>3.5</v>
      </c>
      <c r="K125" s="54">
        <f>IF(A125=0,VLOOKUP(D125,'03. Insumos'!A:F,4,0),"")</f>
        <v>3.5</v>
      </c>
      <c r="L125" s="338">
        <f t="shared" ref="L125:L136" si="18">H125*J125*I125</f>
        <v>0</v>
      </c>
      <c r="M125" s="153">
        <f t="shared" ca="1" si="0"/>
        <v>0</v>
      </c>
      <c r="O125" s="148"/>
      <c r="R125" s="12"/>
    </row>
    <row r="126" spans="1:18" ht="13.5" hidden="1" customHeight="1" x14ac:dyDescent="0.3">
      <c r="A126" s="290">
        <f t="shared" si="1"/>
        <v>0</v>
      </c>
      <c r="B126" s="4"/>
      <c r="C126" s="4"/>
      <c r="D126" s="140" t="s">
        <v>2055</v>
      </c>
      <c r="E126" s="49" t="str">
        <f>VLOOKUP(D126,'03. Insumos'!A:D,2,0)</f>
        <v>Mão de obra para montagem e desmontagem de andaime fachadeiro</v>
      </c>
      <c r="F126" s="68"/>
      <c r="G126" s="68" t="str">
        <f>VLOOKUP(D126,'03. Insumos'!A:F,3,0)</f>
        <v>m²</v>
      </c>
      <c r="H126" s="69">
        <v>1</v>
      </c>
      <c r="I126" s="141"/>
      <c r="J126" s="70">
        <f t="shared" si="17"/>
        <v>18</v>
      </c>
      <c r="K126" s="54">
        <f>IF(A126=0,VLOOKUP(D126,'03. Insumos'!A:F,4,0),"")</f>
        <v>18</v>
      </c>
      <c r="L126" s="338">
        <f t="shared" si="18"/>
        <v>0</v>
      </c>
      <c r="M126" s="153">
        <f t="shared" ca="1" si="0"/>
        <v>0</v>
      </c>
      <c r="O126" s="148"/>
      <c r="R126" s="12"/>
    </row>
    <row r="127" spans="1:18" ht="13.5" customHeight="1" x14ac:dyDescent="0.3">
      <c r="A127" s="290">
        <f t="shared" si="1"/>
        <v>0</v>
      </c>
      <c r="B127" s="4"/>
      <c r="C127" s="4"/>
      <c r="D127" s="140" t="s">
        <v>2057</v>
      </c>
      <c r="E127" s="67" t="str">
        <f>VLOOKUP(D127,'03. Insumos'!A:D,2,0)</f>
        <v>Locação torre de andaime com  2 m de altura com rodízio</v>
      </c>
      <c r="F127" s="68" t="s">
        <v>2612</v>
      </c>
      <c r="G127" s="68" t="str">
        <f>VLOOKUP(D127,'03. Insumos'!A:F,3,0)</f>
        <v>mês</v>
      </c>
      <c r="H127" s="69">
        <v>1</v>
      </c>
      <c r="I127" s="141">
        <v>5</v>
      </c>
      <c r="J127" s="70">
        <f t="shared" si="17"/>
        <v>115.52</v>
      </c>
      <c r="K127" s="54">
        <f>IF(A127=0,VLOOKUP(D127,'03. Insumos'!A:F,4,0),"")</f>
        <v>115.52</v>
      </c>
      <c r="L127" s="70">
        <f t="shared" si="18"/>
        <v>577.6</v>
      </c>
      <c r="M127" s="153">
        <f t="shared" ca="1" si="0"/>
        <v>9.9744129582281072E-6</v>
      </c>
      <c r="O127" s="148"/>
      <c r="R127" s="12"/>
    </row>
    <row r="128" spans="1:18" s="51" customFormat="1" ht="13.5" hidden="1" customHeight="1" x14ac:dyDescent="0.3">
      <c r="A128" s="290">
        <f t="shared" si="1"/>
        <v>0</v>
      </c>
      <c r="B128" s="49"/>
      <c r="C128" s="49"/>
      <c r="D128" s="140" t="s">
        <v>1920</v>
      </c>
      <c r="E128" s="67" t="str">
        <f>VLOOKUP(D128,'03. Insumos'!A:D,2,0)</f>
        <v>Locação Andaime com rodízio, 6 m de altura</v>
      </c>
      <c r="F128" s="68" t="s">
        <v>2612</v>
      </c>
      <c r="G128" s="68" t="str">
        <f>VLOOKUP(D128,'03. Insumos'!A:F,3,0)</f>
        <v>unid</v>
      </c>
      <c r="H128" s="69">
        <v>4</v>
      </c>
      <c r="I128" s="141"/>
      <c r="J128" s="70">
        <f t="shared" si="17"/>
        <v>164.66</v>
      </c>
      <c r="K128" s="54">
        <f>IF(A128=0,VLOOKUP(D128,'03. Insumos'!A:F,4,0),"")</f>
        <v>164.66</v>
      </c>
      <c r="L128" s="70">
        <f t="shared" si="18"/>
        <v>0</v>
      </c>
      <c r="M128" s="153">
        <f t="shared" ca="1" si="0"/>
        <v>0</v>
      </c>
      <c r="O128" s="148">
        <f t="shared" si="16"/>
        <v>0</v>
      </c>
      <c r="R128" s="12">
        <f>IF(J128&lt;&gt;0,J128/1.03-K128,0)</f>
        <v>-4.7959223300970848</v>
      </c>
    </row>
    <row r="129" spans="1:18" s="51" customFormat="1" ht="13.5" hidden="1" customHeight="1" x14ac:dyDescent="0.3">
      <c r="A129" s="290">
        <f t="shared" si="1"/>
        <v>0</v>
      </c>
      <c r="B129" s="49"/>
      <c r="C129" s="49"/>
      <c r="D129" s="140" t="s">
        <v>2266</v>
      </c>
      <c r="E129" s="67" t="str">
        <f>VLOOKUP(D129,'03. Insumos'!A:D,2,0)</f>
        <v>Locação de escoras metálicas para até 750 Kg</v>
      </c>
      <c r="F129" s="68"/>
      <c r="G129" s="68" t="str">
        <f>VLOOKUP(D129,'03. Insumos'!A:F,3,0)</f>
        <v>Unid/mês</v>
      </c>
      <c r="H129" s="69">
        <v>1</v>
      </c>
      <c r="I129" s="141"/>
      <c r="J129" s="70">
        <f t="shared" si="17"/>
        <v>13</v>
      </c>
      <c r="K129" s="54">
        <f>IF(A129=0,VLOOKUP(D129,'03. Insumos'!A:F,4,0),"")</f>
        <v>13</v>
      </c>
      <c r="L129" s="70">
        <f t="shared" si="18"/>
        <v>0</v>
      </c>
      <c r="M129" s="153">
        <f t="shared" ca="1" si="0"/>
        <v>0</v>
      </c>
      <c r="O129" s="148"/>
      <c r="R129" s="12"/>
    </row>
    <row r="130" spans="1:18" s="51" customFormat="1" ht="13.5" hidden="1" customHeight="1" x14ac:dyDescent="0.3">
      <c r="A130" s="290">
        <f t="shared" si="1"/>
        <v>0</v>
      </c>
      <c r="B130" s="49"/>
      <c r="C130" s="49"/>
      <c r="D130" s="140" t="s">
        <v>1923</v>
      </c>
      <c r="E130" s="67" t="str">
        <f>VLOOKUP(D130,'03. Insumos'!A:D,2,0)</f>
        <v xml:space="preserve">Locação conjunto de cadeira suspensa </v>
      </c>
      <c r="F130" s="68"/>
      <c r="G130" s="68" t="str">
        <f>VLOOKUP(D130,'03. Insumos'!A:F,3,0)</f>
        <v>unid</v>
      </c>
      <c r="H130" s="69">
        <v>1</v>
      </c>
      <c r="I130" s="141"/>
      <c r="J130" s="70">
        <f t="shared" si="17"/>
        <v>190</v>
      </c>
      <c r="K130" s="54">
        <f>IF(A130=0,VLOOKUP(D130,'03. Insumos'!A:F,4,0),"")</f>
        <v>190</v>
      </c>
      <c r="L130" s="70">
        <f t="shared" si="18"/>
        <v>0</v>
      </c>
      <c r="M130" s="153">
        <f t="shared" ca="1" si="0"/>
        <v>0</v>
      </c>
      <c r="O130" s="148">
        <f t="shared" si="16"/>
        <v>0</v>
      </c>
      <c r="R130" s="12">
        <f>IF(J130&lt;&gt;0,J130/1.03-K130,0)</f>
        <v>-5.5339805825242649</v>
      </c>
    </row>
    <row r="131" spans="1:18" s="51" customFormat="1" ht="13.5" hidden="1" customHeight="1" x14ac:dyDescent="0.3">
      <c r="A131" s="290">
        <f t="shared" si="1"/>
        <v>0</v>
      </c>
      <c r="B131" s="49"/>
      <c r="C131" s="49"/>
      <c r="D131" s="140" t="s">
        <v>1925</v>
      </c>
      <c r="E131" s="67" t="str">
        <f>VLOOKUP(D131,'03. Insumos'!A:D,2,0)</f>
        <v>Montagem e desmontagem conjunto cadeira suspensa</v>
      </c>
      <c r="F131" s="68"/>
      <c r="G131" s="68" t="str">
        <f>VLOOKUP(D131,'03. Insumos'!A:F,3,0)</f>
        <v>unid</v>
      </c>
      <c r="H131" s="69">
        <v>1</v>
      </c>
      <c r="I131" s="141"/>
      <c r="J131" s="70">
        <f t="shared" si="17"/>
        <v>950</v>
      </c>
      <c r="K131" s="54">
        <f>IF(A131=0,VLOOKUP(D131,'03. Insumos'!A:F,4,0),"")</f>
        <v>950</v>
      </c>
      <c r="L131" s="70">
        <f t="shared" si="18"/>
        <v>0</v>
      </c>
      <c r="M131" s="153">
        <f t="shared" ca="1" si="0"/>
        <v>0</v>
      </c>
      <c r="O131" s="148"/>
      <c r="R131" s="12"/>
    </row>
    <row r="132" spans="1:18" s="51" customFormat="1" ht="13.5" hidden="1" customHeight="1" x14ac:dyDescent="0.3">
      <c r="A132" s="290">
        <f t="shared" si="1"/>
        <v>0</v>
      </c>
      <c r="B132" s="49"/>
      <c r="C132" s="49"/>
      <c r="D132" s="140" t="s">
        <v>1948</v>
      </c>
      <c r="E132" s="67" t="str">
        <f>VLOOKUP(D132,'03. Insumos'!A:D,2,0)</f>
        <v>Locação andaime de 8 m extensão com balanço</v>
      </c>
      <c r="F132" s="68"/>
      <c r="G132" s="68" t="str">
        <f>VLOOKUP(D132,'03. Insumos'!A:F,3,0)</f>
        <v>unid</v>
      </c>
      <c r="H132" s="69">
        <v>1</v>
      </c>
      <c r="I132" s="141"/>
      <c r="J132" s="70">
        <f t="shared" si="17"/>
        <v>680</v>
      </c>
      <c r="K132" s="54">
        <f>IF(A132=0,VLOOKUP(D132,'03. Insumos'!A:F,4,0),"")</f>
        <v>680</v>
      </c>
      <c r="L132" s="70">
        <f>H132*J132*I132</f>
        <v>0</v>
      </c>
      <c r="M132" s="153">
        <f t="shared" ca="1" si="0"/>
        <v>0</v>
      </c>
      <c r="O132" s="148"/>
      <c r="R132" s="12"/>
    </row>
    <row r="133" spans="1:18" s="51" customFormat="1" ht="13.5" hidden="1" customHeight="1" x14ac:dyDescent="0.3">
      <c r="A133" s="290">
        <f t="shared" si="1"/>
        <v>0</v>
      </c>
      <c r="B133" s="49"/>
      <c r="C133" s="49"/>
      <c r="D133" s="140" t="s">
        <v>1950</v>
      </c>
      <c r="E133" s="67" t="str">
        <f>VLOOKUP(D133,'03. Insumos'!A:D,2,0)</f>
        <v>Montagem e desmontagem de andaime de 8 m de extensão com balanço</v>
      </c>
      <c r="F133" s="68"/>
      <c r="G133" s="68" t="str">
        <f>VLOOKUP(D133,'03. Insumos'!A:F,3,0)</f>
        <v>unid</v>
      </c>
      <c r="H133" s="69">
        <v>1</v>
      </c>
      <c r="I133" s="141"/>
      <c r="J133" s="70">
        <f t="shared" si="17"/>
        <v>9986.4</v>
      </c>
      <c r="K133" s="54">
        <f>IF(A133=0,VLOOKUP(D133,'03. Insumos'!A:F,4,0),"")</f>
        <v>9986.4</v>
      </c>
      <c r="L133" s="70">
        <f>H133*J133*I133</f>
        <v>0</v>
      </c>
      <c r="M133" s="153">
        <f t="shared" ca="1" si="0"/>
        <v>0</v>
      </c>
      <c r="O133" s="148"/>
      <c r="R133" s="12"/>
    </row>
    <row r="134" spans="1:18" s="51" customFormat="1" ht="13.5" hidden="1" customHeight="1" x14ac:dyDescent="0.3">
      <c r="A134" s="290">
        <f t="shared" si="1"/>
        <v>0</v>
      </c>
      <c r="B134" s="49"/>
      <c r="C134" s="49"/>
      <c r="D134" s="140" t="s">
        <v>1926</v>
      </c>
      <c r="E134" s="67" t="str">
        <f>VLOOKUP(D134,'03. Insumos'!A:D,2,0)</f>
        <v>Locação balancim elétrico de 8 m</v>
      </c>
      <c r="F134" s="68"/>
      <c r="G134" s="68" t="str">
        <f>VLOOKUP(D134,'03. Insumos'!A:F,3,0)</f>
        <v>unid</v>
      </c>
      <c r="H134" s="69">
        <v>1</v>
      </c>
      <c r="I134" s="141"/>
      <c r="J134" s="70">
        <f t="shared" si="17"/>
        <v>850</v>
      </c>
      <c r="K134" s="54">
        <f>IF(A134=0,VLOOKUP(D134,'03. Insumos'!A:F,4,0),"")</f>
        <v>850</v>
      </c>
      <c r="L134" s="70">
        <f t="shared" si="18"/>
        <v>0</v>
      </c>
      <c r="M134" s="153">
        <f t="shared" ca="1" si="0"/>
        <v>0</v>
      </c>
      <c r="O134" s="148"/>
      <c r="R134" s="12"/>
    </row>
    <row r="135" spans="1:18" s="51" customFormat="1" ht="13.5" hidden="1" customHeight="1" x14ac:dyDescent="0.3">
      <c r="A135" s="290">
        <f t="shared" si="1"/>
        <v>0</v>
      </c>
      <c r="B135" s="49"/>
      <c r="C135" s="49"/>
      <c r="D135" s="140" t="s">
        <v>1927</v>
      </c>
      <c r="E135" s="67" t="str">
        <f>VLOOKUP(D135,'03. Insumos'!A:D,2,0)</f>
        <v>Locação torre auxiliar para fixação balancim elétrico  com contrapeso</v>
      </c>
      <c r="F135" s="68"/>
      <c r="G135" s="68" t="str">
        <f>VLOOKUP(D135,'03. Insumos'!A:F,3,0)</f>
        <v>unid</v>
      </c>
      <c r="H135" s="69">
        <v>1</v>
      </c>
      <c r="I135" s="141"/>
      <c r="J135" s="70">
        <f t="shared" si="17"/>
        <v>610</v>
      </c>
      <c r="K135" s="54">
        <f>IF(A135=0,VLOOKUP(D135,'03. Insumos'!A:F,4,0),"")</f>
        <v>610</v>
      </c>
      <c r="L135" s="70">
        <f>H135*J135*I135</f>
        <v>0</v>
      </c>
      <c r="M135" s="153">
        <f t="shared" ca="1" si="0"/>
        <v>0</v>
      </c>
      <c r="O135" s="148"/>
      <c r="R135" s="12"/>
    </row>
    <row r="136" spans="1:18" s="51" customFormat="1" ht="13.5" hidden="1" customHeight="1" x14ac:dyDescent="0.3">
      <c r="A136" s="290">
        <f t="shared" si="1"/>
        <v>0</v>
      </c>
      <c r="B136" s="49"/>
      <c r="C136" s="49"/>
      <c r="D136" s="140" t="s">
        <v>1931</v>
      </c>
      <c r="E136" s="67" t="str">
        <f>VLOOKUP(D136,'03. Insumos'!A:D,2,0)</f>
        <v>Montagem e desmontagem de balancim elétrico fixado em torre auxiliar com contrapeso</v>
      </c>
      <c r="F136" s="68"/>
      <c r="G136" s="68" t="str">
        <f>VLOOKUP(D136,'03. Insumos'!A:F,3,0)</f>
        <v>unid</v>
      </c>
      <c r="H136" s="69">
        <v>1</v>
      </c>
      <c r="I136" s="141"/>
      <c r="J136" s="70">
        <f t="shared" si="17"/>
        <v>2700</v>
      </c>
      <c r="K136" s="54">
        <f>IF(A136=0,VLOOKUP(D136,'03. Insumos'!A:F,4,0),"")</f>
        <v>2700</v>
      </c>
      <c r="L136" s="70">
        <f t="shared" si="18"/>
        <v>0</v>
      </c>
      <c r="M136" s="153">
        <f t="shared" ca="1" si="0"/>
        <v>0</v>
      </c>
      <c r="O136" s="148"/>
      <c r="R136" s="12"/>
    </row>
    <row r="137" spans="1:18" s="51" customFormat="1" ht="13.5" customHeight="1" x14ac:dyDescent="0.3">
      <c r="A137" s="290">
        <f t="shared" si="1"/>
        <v>0</v>
      </c>
      <c r="B137" s="49"/>
      <c r="C137" s="49"/>
      <c r="D137" s="140" t="s">
        <v>1933</v>
      </c>
      <c r="E137" s="67" t="str">
        <f>VLOOKUP(D137,'03. Insumos'!A:D,2,0)</f>
        <v>Frete equipamentos de acesso</v>
      </c>
      <c r="F137" s="68" t="s">
        <v>2612</v>
      </c>
      <c r="G137" s="68" t="str">
        <f>VLOOKUP(D137,'03. Insumos'!A:F,3,0)</f>
        <v>vb</v>
      </c>
      <c r="H137" s="69">
        <v>1</v>
      </c>
      <c r="I137" s="141">
        <v>2</v>
      </c>
      <c r="J137" s="70">
        <f t="shared" si="17"/>
        <v>100</v>
      </c>
      <c r="K137" s="54">
        <f>IF(A137=0,VLOOKUP(D137,'03. Insumos'!A:F,4,0),"")</f>
        <v>100</v>
      </c>
      <c r="L137" s="70">
        <f>H137*J137*I137</f>
        <v>200</v>
      </c>
      <c r="M137" s="153">
        <f t="shared" ca="1" si="0"/>
        <v>3.4537440991094553E-6</v>
      </c>
      <c r="O137" s="148">
        <f t="shared" si="16"/>
        <v>200</v>
      </c>
      <c r="R137" s="12">
        <f t="shared" ref="R137:R148" si="19">IF(J137&lt;&gt;0,J137/1.03-K137,0)</f>
        <v>-2.9126213592233086</v>
      </c>
    </row>
    <row r="138" spans="1:18" s="18" customFormat="1" ht="13.5" customHeight="1" x14ac:dyDescent="0.3">
      <c r="A138" s="290">
        <f t="shared" si="1"/>
        <v>3</v>
      </c>
      <c r="B138" s="35"/>
      <c r="C138" s="35" t="s">
        <v>357</v>
      </c>
      <c r="D138" s="35" t="s">
        <v>993</v>
      </c>
      <c r="E138" s="35"/>
      <c r="F138" s="323"/>
      <c r="G138" s="323"/>
      <c r="H138" s="324"/>
      <c r="I138" s="37"/>
      <c r="J138" s="333"/>
      <c r="K138" s="38"/>
      <c r="L138" s="333">
        <f>SUMIF(A139:A151,4,L139:L151)</f>
        <v>126504</v>
      </c>
      <c r="M138" s="153">
        <f t="shared" ca="1" si="0"/>
        <v>2.1845622175687127E-3</v>
      </c>
      <c r="O138" s="148">
        <f t="shared" si="16"/>
        <v>0</v>
      </c>
      <c r="R138" s="12">
        <f t="shared" si="19"/>
        <v>0</v>
      </c>
    </row>
    <row r="139" spans="1:18" s="18" customFormat="1" ht="5.25" customHeight="1" x14ac:dyDescent="0.3">
      <c r="A139" s="290">
        <f t="shared" si="1"/>
        <v>0</v>
      </c>
      <c r="B139" s="63"/>
      <c r="C139" s="63"/>
      <c r="D139" s="63"/>
      <c r="E139" s="63"/>
      <c r="F139" s="325"/>
      <c r="G139" s="325"/>
      <c r="H139" s="326"/>
      <c r="I139" s="65"/>
      <c r="J139" s="334">
        <f>IFERROR(IF(K139&lt;&gt;0,K139*$K$5,0),0)</f>
        <v>0</v>
      </c>
      <c r="K139" s="66" t="e">
        <f>IF(A139=0,VLOOKUP(D139,'03. Insumos'!A:F,4,0),"")</f>
        <v>#N/A</v>
      </c>
      <c r="L139" s="334"/>
      <c r="M139" s="153">
        <f t="shared" ca="1" si="0"/>
        <v>0</v>
      </c>
      <c r="O139" s="148">
        <f t="shared" si="16"/>
        <v>0</v>
      </c>
      <c r="R139" s="12">
        <f t="shared" si="19"/>
        <v>0</v>
      </c>
    </row>
    <row r="140" spans="1:18" s="18" customFormat="1" ht="13.5" customHeight="1" x14ac:dyDescent="0.3">
      <c r="A140" s="290">
        <f t="shared" si="1"/>
        <v>4</v>
      </c>
      <c r="B140" s="45"/>
      <c r="C140" s="45" t="s">
        <v>381</v>
      </c>
      <c r="D140" s="45" t="s">
        <v>994</v>
      </c>
      <c r="E140" s="347"/>
      <c r="F140" s="327"/>
      <c r="G140" s="329"/>
      <c r="H140" s="330"/>
      <c r="I140" s="47"/>
      <c r="J140" s="336"/>
      <c r="K140" s="48" t="str">
        <f>IF(A140=0,VLOOKUP(D140,'03. Insumos'!A:F,4,0),"")</f>
        <v/>
      </c>
      <c r="L140" s="335">
        <f>SUMIF(A141:A142,6,L141:L142)</f>
        <v>118650</v>
      </c>
      <c r="M140" s="153">
        <f t="shared" ca="1" si="0"/>
        <v>2.0489336867966844E-3</v>
      </c>
      <c r="O140" s="148">
        <f t="shared" si="16"/>
        <v>0</v>
      </c>
      <c r="R140" s="12">
        <f t="shared" si="19"/>
        <v>0</v>
      </c>
    </row>
    <row r="141" spans="1:18" ht="13.5" customHeight="1" x14ac:dyDescent="0.3">
      <c r="A141" s="290">
        <f t="shared" si="1"/>
        <v>6</v>
      </c>
      <c r="B141" s="4"/>
      <c r="C141" s="4" t="s">
        <v>922</v>
      </c>
      <c r="D141" s="4" t="s">
        <v>994</v>
      </c>
      <c r="E141" s="4"/>
      <c r="F141" s="56"/>
      <c r="G141" s="56"/>
      <c r="H141" s="57"/>
      <c r="I141" s="29"/>
      <c r="J141" s="58"/>
      <c r="K141" s="27" t="str">
        <f>IF(A141=0,VLOOKUP(D141,'03. Insumos'!A:F,4,0),"")</f>
        <v/>
      </c>
      <c r="L141" s="58">
        <f>SUM(L142)</f>
        <v>118650</v>
      </c>
      <c r="M141" s="153">
        <f t="shared" ca="1" si="0"/>
        <v>2.0489336867966844E-3</v>
      </c>
      <c r="O141" s="148">
        <f t="shared" si="16"/>
        <v>0</v>
      </c>
      <c r="R141" s="12">
        <f t="shared" si="19"/>
        <v>0</v>
      </c>
    </row>
    <row r="142" spans="1:18" s="51" customFormat="1" ht="13.5" customHeight="1" x14ac:dyDescent="0.3">
      <c r="A142" s="290">
        <f t="shared" si="1"/>
        <v>0</v>
      </c>
      <c r="B142" s="49"/>
      <c r="C142" s="49"/>
      <c r="D142" s="49"/>
      <c r="E142" s="67" t="s">
        <v>992</v>
      </c>
      <c r="F142" s="68" t="s">
        <v>2607</v>
      </c>
      <c r="G142" s="68" t="s">
        <v>29</v>
      </c>
      <c r="H142" s="69">
        <v>1</v>
      </c>
      <c r="I142" s="141">
        <v>1</v>
      </c>
      <c r="J142" s="70">
        <f>IFERROR(IF(K142&lt;&gt;0,K142*$K$5,0),0)</f>
        <v>118650</v>
      </c>
      <c r="K142" s="54">
        <f>('05. Histograma MO'!J21)</f>
        <v>118650</v>
      </c>
      <c r="L142" s="70">
        <f>H142*J142*I142</f>
        <v>118650</v>
      </c>
      <c r="M142" s="153">
        <f t="shared" ca="1" si="0"/>
        <v>2.0489336867966844E-3</v>
      </c>
      <c r="O142" s="148">
        <f t="shared" si="16"/>
        <v>118650</v>
      </c>
      <c r="R142" s="12">
        <f t="shared" si="19"/>
        <v>-3455.8252427184489</v>
      </c>
    </row>
    <row r="143" spans="1:18" s="18" customFormat="1" ht="13.5" customHeight="1" x14ac:dyDescent="0.3">
      <c r="A143" s="290">
        <f t="shared" si="1"/>
        <v>4</v>
      </c>
      <c r="B143" s="45"/>
      <c r="C143" s="45" t="s">
        <v>54</v>
      </c>
      <c r="D143" s="45" t="s">
        <v>55</v>
      </c>
      <c r="E143" s="45"/>
      <c r="F143" s="327"/>
      <c r="G143" s="329"/>
      <c r="H143" s="330"/>
      <c r="I143" s="47"/>
      <c r="J143" s="336"/>
      <c r="K143" s="48"/>
      <c r="L143" s="335">
        <f>SUMIF(A144:A145,6,L144:L145)</f>
        <v>7854</v>
      </c>
      <c r="M143" s="153">
        <f t="shared" ca="1" si="0"/>
        <v>1.3562853077202832E-4</v>
      </c>
      <c r="O143" s="148">
        <f t="shared" si="16"/>
        <v>0</v>
      </c>
      <c r="R143" s="12">
        <f t="shared" si="19"/>
        <v>0</v>
      </c>
    </row>
    <row r="144" spans="1:18" ht="13.5" customHeight="1" x14ac:dyDescent="0.3">
      <c r="A144" s="290">
        <f t="shared" si="1"/>
        <v>6</v>
      </c>
      <c r="B144" s="4"/>
      <c r="C144" s="4" t="s">
        <v>923</v>
      </c>
      <c r="D144" s="4" t="s">
        <v>56</v>
      </c>
      <c r="E144" s="4"/>
      <c r="F144" s="56"/>
      <c r="G144" s="56"/>
      <c r="H144" s="57"/>
      <c r="I144" s="29"/>
      <c r="J144" s="58"/>
      <c r="K144" s="27"/>
      <c r="L144" s="58">
        <f>SUM(L145)</f>
        <v>7854</v>
      </c>
      <c r="M144" s="153">
        <f t="shared" ref="M144:M216" ca="1" si="20">L144/$L$7</f>
        <v>1.3562853077202832E-4</v>
      </c>
      <c r="O144" s="148">
        <f t="shared" si="16"/>
        <v>0</v>
      </c>
      <c r="R144" s="12">
        <f t="shared" si="19"/>
        <v>0</v>
      </c>
    </row>
    <row r="145" spans="1:18" s="51" customFormat="1" ht="13.5" customHeight="1" x14ac:dyDescent="0.3">
      <c r="A145" s="290">
        <f t="shared" si="1"/>
        <v>0</v>
      </c>
      <c r="B145" s="49"/>
      <c r="C145" s="49"/>
      <c r="D145" s="49"/>
      <c r="E145" s="67" t="s">
        <v>56</v>
      </c>
      <c r="F145" s="68" t="s">
        <v>2612</v>
      </c>
      <c r="G145" s="68" t="s">
        <v>29</v>
      </c>
      <c r="H145" s="69">
        <v>1</v>
      </c>
      <c r="I145" s="141">
        <v>1</v>
      </c>
      <c r="J145" s="70">
        <f>IFERROR(IF(K145&lt;&gt;0,K145*$K$5,0),0)</f>
        <v>7854</v>
      </c>
      <c r="K145" s="54">
        <f>'05. Histograma MO'!G22</f>
        <v>7854</v>
      </c>
      <c r="L145" s="70">
        <f>H145*J145*I145</f>
        <v>7854</v>
      </c>
      <c r="M145" s="153">
        <f t="shared" ca="1" si="20"/>
        <v>1.3562853077202832E-4</v>
      </c>
      <c r="O145" s="148">
        <f t="shared" si="16"/>
        <v>7854</v>
      </c>
      <c r="R145" s="12">
        <f t="shared" si="19"/>
        <v>-228.75728155339857</v>
      </c>
    </row>
    <row r="146" spans="1:18" s="18" customFormat="1" ht="13.5" hidden="1" customHeight="1" x14ac:dyDescent="0.3">
      <c r="A146" s="290">
        <f t="shared" ref="A146:A218" si="21">LEN(C146)</f>
        <v>4</v>
      </c>
      <c r="B146" s="45"/>
      <c r="C146" s="45" t="s">
        <v>57</v>
      </c>
      <c r="D146" s="45" t="s">
        <v>58</v>
      </c>
      <c r="E146" s="45"/>
      <c r="F146" s="327"/>
      <c r="G146" s="329"/>
      <c r="H146" s="330"/>
      <c r="I146" s="47"/>
      <c r="J146" s="336"/>
      <c r="K146" s="48"/>
      <c r="L146" s="335">
        <f>SUMIF(A147:A148,6,L147:L148)</f>
        <v>0</v>
      </c>
      <c r="M146" s="153">
        <f t="shared" ca="1" si="20"/>
        <v>0</v>
      </c>
      <c r="O146" s="148">
        <f t="shared" si="16"/>
        <v>0</v>
      </c>
      <c r="R146" s="12">
        <f t="shared" si="19"/>
        <v>0</v>
      </c>
    </row>
    <row r="147" spans="1:18" ht="13.5" hidden="1" customHeight="1" x14ac:dyDescent="0.3">
      <c r="A147" s="290">
        <f t="shared" si="21"/>
        <v>6</v>
      </c>
      <c r="B147" s="4"/>
      <c r="C147" s="4" t="s">
        <v>924</v>
      </c>
      <c r="D147" s="4" t="s">
        <v>58</v>
      </c>
      <c r="E147" s="4"/>
      <c r="F147" s="56"/>
      <c r="G147" s="56"/>
      <c r="H147" s="57"/>
      <c r="I147" s="197"/>
      <c r="J147" s="58"/>
      <c r="K147" s="27"/>
      <c r="L147" s="58">
        <f>SUM(L148)</f>
        <v>0</v>
      </c>
      <c r="M147" s="153">
        <f t="shared" ca="1" si="20"/>
        <v>0</v>
      </c>
      <c r="O147" s="148"/>
      <c r="R147" s="12">
        <f t="shared" si="19"/>
        <v>0</v>
      </c>
    </row>
    <row r="148" spans="1:18" s="51" customFormat="1" ht="13.5" hidden="1" customHeight="1" x14ac:dyDescent="0.3">
      <c r="A148" s="290">
        <f t="shared" si="21"/>
        <v>0</v>
      </c>
      <c r="B148" s="49"/>
      <c r="C148" s="49"/>
      <c r="D148" s="140" t="s">
        <v>438</v>
      </c>
      <c r="E148" s="49" t="str">
        <f>VLOOKUP(D148,'03. Insumos'!A:D,2,0)</f>
        <v>Segurança Patrimonial (Posto 24hs)</v>
      </c>
      <c r="F148" s="68"/>
      <c r="G148" s="68" t="str">
        <f>VLOOKUP(D148,'03. Insumos'!A:F,3,0)</f>
        <v>uni</v>
      </c>
      <c r="H148" s="69">
        <v>1</v>
      </c>
      <c r="I148" s="141"/>
      <c r="J148" s="70">
        <f>IFERROR(IF(K148&lt;&gt;0,K148*$K$5,0),0)</f>
        <v>12960</v>
      </c>
      <c r="K148" s="54">
        <f>IF(A148=0,VLOOKUP(D148,'03. Insumos'!A:F,4,0),"")</f>
        <v>12960</v>
      </c>
      <c r="L148" s="338">
        <f>H148*J148*I148</f>
        <v>0</v>
      </c>
      <c r="M148" s="153">
        <f t="shared" ca="1" si="20"/>
        <v>0</v>
      </c>
      <c r="O148" s="148">
        <f t="shared" ref="O148:O170" si="22">IF(I148&lt;&gt;0,I148*H148*K148,)</f>
        <v>0</v>
      </c>
      <c r="R148" s="12">
        <f t="shared" si="19"/>
        <v>-377.47572815533931</v>
      </c>
    </row>
    <row r="149" spans="1:18" s="51" customFormat="1" ht="13.5" hidden="1" customHeight="1" x14ac:dyDescent="0.3">
      <c r="A149" s="290">
        <f t="shared" si="21"/>
        <v>4</v>
      </c>
      <c r="B149" s="45"/>
      <c r="C149" s="45" t="s">
        <v>2028</v>
      </c>
      <c r="D149" s="45" t="s">
        <v>2029</v>
      </c>
      <c r="E149" s="45"/>
      <c r="F149" s="327"/>
      <c r="G149" s="329"/>
      <c r="H149" s="330"/>
      <c r="I149" s="47"/>
      <c r="J149" s="336"/>
      <c r="K149" s="48"/>
      <c r="L149" s="335">
        <f>SUMIF(A150:A151,6,L150:L151)</f>
        <v>0</v>
      </c>
      <c r="M149" s="153">
        <f t="shared" ca="1" si="20"/>
        <v>0</v>
      </c>
      <c r="O149" s="148"/>
      <c r="R149" s="12"/>
    </row>
    <row r="150" spans="1:18" s="51" customFormat="1" ht="13.5" hidden="1" customHeight="1" x14ac:dyDescent="0.3">
      <c r="A150" s="290">
        <f t="shared" si="21"/>
        <v>6</v>
      </c>
      <c r="B150" s="4"/>
      <c r="C150" s="4" t="s">
        <v>924</v>
      </c>
      <c r="D150" s="4" t="s">
        <v>2029</v>
      </c>
      <c r="E150" s="4"/>
      <c r="F150" s="56"/>
      <c r="G150" s="56"/>
      <c r="H150" s="57"/>
      <c r="I150" s="197"/>
      <c r="J150" s="58"/>
      <c r="K150" s="27"/>
      <c r="L150" s="58">
        <f>SUM(L151)</f>
        <v>0</v>
      </c>
      <c r="M150" s="153">
        <f t="shared" ca="1" si="20"/>
        <v>0</v>
      </c>
      <c r="O150" s="148"/>
      <c r="R150" s="12"/>
    </row>
    <row r="151" spans="1:18" s="51" customFormat="1" ht="13.5" hidden="1" customHeight="1" x14ac:dyDescent="0.3">
      <c r="A151" s="290">
        <f t="shared" si="21"/>
        <v>0</v>
      </c>
      <c r="B151" s="49"/>
      <c r="C151" s="49"/>
      <c r="D151" s="140" t="s">
        <v>2032</v>
      </c>
      <c r="E151" s="49" t="str">
        <f>VLOOKUP(D151,'03. Insumos'!A:D,2,0)</f>
        <v>Topógrafo</v>
      </c>
      <c r="F151" s="68"/>
      <c r="G151" s="68" t="str">
        <f>VLOOKUP(D151,'03. Insumos'!A:F,3,0)</f>
        <v>diária</v>
      </c>
      <c r="H151" s="69">
        <v>1</v>
      </c>
      <c r="I151" s="141"/>
      <c r="J151" s="70">
        <f>IFERROR(IF(K151&lt;&gt;0,K151*$K$5,0),0)</f>
        <v>1720.9599999999998</v>
      </c>
      <c r="K151" s="54">
        <f>IF(A151=0,VLOOKUP(D151,'03. Insumos'!A:F,4,0),"")</f>
        <v>1720.9599999999998</v>
      </c>
      <c r="L151" s="338">
        <f>H151*J151*I151</f>
        <v>0</v>
      </c>
      <c r="M151" s="153">
        <f t="shared" ca="1" si="20"/>
        <v>0</v>
      </c>
      <c r="O151" s="148"/>
      <c r="R151" s="12"/>
    </row>
    <row r="152" spans="1:18" s="18" customFormat="1" ht="13.5" customHeight="1" x14ac:dyDescent="0.3">
      <c r="A152" s="290">
        <f t="shared" si="21"/>
        <v>3</v>
      </c>
      <c r="B152" s="35"/>
      <c r="C152" s="35" t="s">
        <v>358</v>
      </c>
      <c r="D152" s="35" t="s">
        <v>79</v>
      </c>
      <c r="E152" s="35"/>
      <c r="F152" s="323"/>
      <c r="G152" s="323"/>
      <c r="H152" s="324"/>
      <c r="I152" s="37"/>
      <c r="J152" s="333"/>
      <c r="K152" s="38"/>
      <c r="L152" s="333">
        <f>SUMIF(A153:A176,4,L153:L176)</f>
        <v>17350</v>
      </c>
      <c r="M152" s="153">
        <f t="shared" ca="1" si="20"/>
        <v>2.9961230059774525E-4</v>
      </c>
      <c r="O152" s="148">
        <f t="shared" si="22"/>
        <v>0</v>
      </c>
      <c r="R152" s="12">
        <f>IF(J152&lt;&gt;0,J152/1.03-K152,0)</f>
        <v>0</v>
      </c>
    </row>
    <row r="153" spans="1:18" s="18" customFormat="1" ht="5.25" customHeight="1" x14ac:dyDescent="0.3">
      <c r="A153" s="290">
        <f t="shared" si="21"/>
        <v>0</v>
      </c>
      <c r="B153" s="63"/>
      <c r="C153" s="63"/>
      <c r="D153" s="63"/>
      <c r="E153" s="63"/>
      <c r="F153" s="325"/>
      <c r="G153" s="325"/>
      <c r="H153" s="326"/>
      <c r="I153" s="65"/>
      <c r="J153" s="334">
        <f>IFERROR(IF(K153&lt;&gt;0,K153*$K$5,0),0)</f>
        <v>0</v>
      </c>
      <c r="K153" s="66" t="e">
        <f>IF(A153=0,VLOOKUP(D153,'03. Insumos'!A:F,4,0),"")</f>
        <v>#N/A</v>
      </c>
      <c r="L153" s="334"/>
      <c r="M153" s="153">
        <f t="shared" ca="1" si="20"/>
        <v>0</v>
      </c>
      <c r="O153" s="148">
        <f t="shared" si="22"/>
        <v>0</v>
      </c>
      <c r="R153" s="12">
        <f>IF(J153&lt;&gt;0,J153/1.03-K153,0)</f>
        <v>0</v>
      </c>
    </row>
    <row r="154" spans="1:18" s="18" customFormat="1" ht="13.5" customHeight="1" x14ac:dyDescent="0.3">
      <c r="A154" s="290">
        <f t="shared" si="21"/>
        <v>4</v>
      </c>
      <c r="B154" s="45"/>
      <c r="C154" s="45" t="s">
        <v>380</v>
      </c>
      <c r="D154" s="45" t="s">
        <v>59</v>
      </c>
      <c r="E154" s="45"/>
      <c r="F154" s="327"/>
      <c r="G154" s="329"/>
      <c r="H154" s="330"/>
      <c r="I154" s="47"/>
      <c r="J154" s="336"/>
      <c r="K154" s="48" t="str">
        <f>IF(A154=0,VLOOKUP(D154,'03. Insumos'!A:F,4,0),"")</f>
        <v/>
      </c>
      <c r="L154" s="335">
        <f>SUMIF(A155:A161,6,L155:L161)</f>
        <v>2550</v>
      </c>
      <c r="M154" s="153">
        <f t="shared" ca="1" si="20"/>
        <v>4.403523726364556E-5</v>
      </c>
      <c r="O154" s="148">
        <f t="shared" si="22"/>
        <v>0</v>
      </c>
      <c r="R154" s="12">
        <f t="shared" ref="R154:R223" si="23">IF(J154&lt;&gt;0,J154/1.03-K154,0)</f>
        <v>0</v>
      </c>
    </row>
    <row r="155" spans="1:18" ht="13.5" customHeight="1" x14ac:dyDescent="0.3">
      <c r="A155" s="290">
        <f t="shared" si="21"/>
        <v>6</v>
      </c>
      <c r="B155" s="4"/>
      <c r="C155" s="4" t="s">
        <v>926</v>
      </c>
      <c r="D155" s="4" t="s">
        <v>59</v>
      </c>
      <c r="E155" s="4"/>
      <c r="F155" s="56"/>
      <c r="G155" s="56"/>
      <c r="H155" s="57"/>
      <c r="I155" s="29"/>
      <c r="J155" s="58"/>
      <c r="K155" s="27" t="str">
        <f>IF(A155=0,VLOOKUP(D155,'03. Insumos'!A:F,4,0),"")</f>
        <v/>
      </c>
      <c r="L155" s="58">
        <f>SUM(L156:L161)</f>
        <v>2550</v>
      </c>
      <c r="M155" s="153">
        <f t="shared" ca="1" si="20"/>
        <v>4.403523726364556E-5</v>
      </c>
      <c r="O155" s="148">
        <f t="shared" si="22"/>
        <v>0</v>
      </c>
      <c r="R155" s="12">
        <f t="shared" si="23"/>
        <v>0</v>
      </c>
    </row>
    <row r="156" spans="1:18" s="51" customFormat="1" ht="13.5" hidden="1" customHeight="1" x14ac:dyDescent="0.3">
      <c r="A156" s="290">
        <f t="shared" si="21"/>
        <v>0</v>
      </c>
      <c r="B156" s="49"/>
      <c r="C156" s="49"/>
      <c r="D156" s="140" t="s">
        <v>166</v>
      </c>
      <c r="E156" s="49" t="str">
        <f>VLOOKUP(D156,'03. Insumos'!A:D,2,0)</f>
        <v>Material de escritório</v>
      </c>
      <c r="F156" s="68"/>
      <c r="G156" s="68" t="str">
        <f>VLOOKUP(D156,'03. Insumos'!A:F,3,0)</f>
        <v>mês</v>
      </c>
      <c r="H156" s="69"/>
      <c r="I156" s="193">
        <f t="shared" ref="I156:I161" si="24">$L$2</f>
        <v>5</v>
      </c>
      <c r="J156" s="70">
        <f t="shared" ref="J156:J161" si="25">IFERROR(IF(K156&lt;&gt;0,K156*$K$5,0),0)</f>
        <v>550</v>
      </c>
      <c r="K156" s="54">
        <f>IF(A156=0,VLOOKUP(D156,'03. Insumos'!A:F,4,0),"")</f>
        <v>550</v>
      </c>
      <c r="L156" s="338">
        <f t="shared" ref="L156:L161" si="26">H156*J156*I156</f>
        <v>0</v>
      </c>
      <c r="M156" s="153">
        <f t="shared" ca="1" si="20"/>
        <v>0</v>
      </c>
      <c r="O156" s="148">
        <f t="shared" si="22"/>
        <v>0</v>
      </c>
      <c r="R156" s="12">
        <f t="shared" si="23"/>
        <v>-16.019417475728119</v>
      </c>
    </row>
    <row r="157" spans="1:18" s="51" customFormat="1" ht="13.5" hidden="1" customHeight="1" x14ac:dyDescent="0.3">
      <c r="A157" s="290">
        <f t="shared" si="21"/>
        <v>0</v>
      </c>
      <c r="B157" s="49"/>
      <c r="C157" s="49"/>
      <c r="D157" s="140" t="s">
        <v>167</v>
      </c>
      <c r="E157" s="49" t="str">
        <f>VLOOKUP(D157,'03. Insumos'!A:D,2,0)</f>
        <v>Material de limpeza e higiene</v>
      </c>
      <c r="F157" s="68"/>
      <c r="G157" s="68" t="str">
        <f>VLOOKUP(D157,'03. Insumos'!A:F,3,0)</f>
        <v>mês</v>
      </c>
      <c r="H157" s="69"/>
      <c r="I157" s="193">
        <f t="shared" si="24"/>
        <v>5</v>
      </c>
      <c r="J157" s="70">
        <f t="shared" si="25"/>
        <v>600</v>
      </c>
      <c r="K157" s="54">
        <f>IF(A157=0,VLOOKUP(D157,'03. Insumos'!A:F,4,0),"")</f>
        <v>600</v>
      </c>
      <c r="L157" s="338">
        <f t="shared" si="26"/>
        <v>0</v>
      </c>
      <c r="M157" s="153">
        <f t="shared" ca="1" si="20"/>
        <v>0</v>
      </c>
      <c r="O157" s="148">
        <f t="shared" si="22"/>
        <v>0</v>
      </c>
      <c r="R157" s="12">
        <f t="shared" si="23"/>
        <v>-17.475728155339766</v>
      </c>
    </row>
    <row r="158" spans="1:18" s="51" customFormat="1" ht="13.5" customHeight="1" x14ac:dyDescent="0.3">
      <c r="A158" s="290">
        <f t="shared" si="21"/>
        <v>0</v>
      </c>
      <c r="B158" s="49"/>
      <c r="C158" s="49"/>
      <c r="D158" s="140" t="s">
        <v>168</v>
      </c>
      <c r="E158" s="67" t="str">
        <f>VLOOKUP(D158,'03. Insumos'!A:D,2,0)</f>
        <v>Material de higiene</v>
      </c>
      <c r="F158" s="68" t="s">
        <v>2612</v>
      </c>
      <c r="G158" s="68" t="str">
        <f>VLOOKUP(D158,'03. Insumos'!A:F,3,0)</f>
        <v>mês</v>
      </c>
      <c r="H158" s="69">
        <v>1</v>
      </c>
      <c r="I158" s="317">
        <f t="shared" si="24"/>
        <v>5</v>
      </c>
      <c r="J158" s="70">
        <f t="shared" si="25"/>
        <v>60</v>
      </c>
      <c r="K158" s="54">
        <f>IF(A158=0,VLOOKUP(D158,'03. Insumos'!A:F,4,0),"")</f>
        <v>60</v>
      </c>
      <c r="L158" s="70">
        <f t="shared" si="26"/>
        <v>300</v>
      </c>
      <c r="M158" s="153">
        <f t="shared" ca="1" si="20"/>
        <v>5.1806161486641837E-6</v>
      </c>
      <c r="O158" s="148">
        <f t="shared" si="22"/>
        <v>300</v>
      </c>
      <c r="R158" s="12">
        <f t="shared" si="23"/>
        <v>-1.7475728155339851</v>
      </c>
    </row>
    <row r="159" spans="1:18" s="51" customFormat="1" ht="13.5" hidden="1" customHeight="1" x14ac:dyDescent="0.3">
      <c r="A159" s="290">
        <f t="shared" si="21"/>
        <v>0</v>
      </c>
      <c r="B159" s="49"/>
      <c r="C159" s="49"/>
      <c r="D159" s="140" t="s">
        <v>169</v>
      </c>
      <c r="E159" s="67" t="str">
        <f>VLOOKUP(D159,'03. Insumos'!A:D,2,0)</f>
        <v>Motoboy</v>
      </c>
      <c r="F159" s="68"/>
      <c r="G159" s="68" t="str">
        <f>VLOOKUP(D159,'03. Insumos'!A:F,3,0)</f>
        <v>mês</v>
      </c>
      <c r="H159" s="69"/>
      <c r="I159" s="193">
        <f t="shared" si="24"/>
        <v>5</v>
      </c>
      <c r="J159" s="70">
        <f t="shared" si="25"/>
        <v>100</v>
      </c>
      <c r="K159" s="54">
        <f>IF(A159=0,VLOOKUP(D159,'03. Insumos'!A:F,4,0),"")</f>
        <v>100</v>
      </c>
      <c r="L159" s="70">
        <f t="shared" si="26"/>
        <v>0</v>
      </c>
      <c r="M159" s="153">
        <f t="shared" ca="1" si="20"/>
        <v>0</v>
      </c>
      <c r="O159" s="148">
        <f t="shared" si="22"/>
        <v>0</v>
      </c>
      <c r="R159" s="12">
        <f t="shared" si="23"/>
        <v>-2.9126213592233086</v>
      </c>
    </row>
    <row r="160" spans="1:18" s="51" customFormat="1" ht="13.5" customHeight="1" x14ac:dyDescent="0.3">
      <c r="A160" s="290">
        <f t="shared" si="21"/>
        <v>0</v>
      </c>
      <c r="B160" s="49"/>
      <c r="C160" s="49"/>
      <c r="D160" s="140" t="s">
        <v>170</v>
      </c>
      <c r="E160" s="67" t="str">
        <f>VLOOKUP(D160,'03. Insumos'!A:D,2,0)</f>
        <v>Cópias e plotagens</v>
      </c>
      <c r="F160" s="68" t="s">
        <v>2612</v>
      </c>
      <c r="G160" s="68" t="str">
        <f>VLOOKUP(D160,'03. Insumos'!A:F,3,0)</f>
        <v>mês</v>
      </c>
      <c r="H160" s="69">
        <v>1</v>
      </c>
      <c r="I160" s="317">
        <f t="shared" si="24"/>
        <v>5</v>
      </c>
      <c r="J160" s="70">
        <f t="shared" si="25"/>
        <v>450</v>
      </c>
      <c r="K160" s="54">
        <f>IF(A160=0,VLOOKUP(D160,'03. Insumos'!A:F,4,0),"")</f>
        <v>450</v>
      </c>
      <c r="L160" s="70">
        <f t="shared" si="26"/>
        <v>2250</v>
      </c>
      <c r="M160" s="153">
        <f t="shared" ca="1" si="20"/>
        <v>3.8854621114981378E-5</v>
      </c>
      <c r="O160" s="148">
        <f t="shared" si="22"/>
        <v>2250</v>
      </c>
      <c r="R160" s="12">
        <f t="shared" si="23"/>
        <v>-13.106796116504881</v>
      </c>
    </row>
    <row r="161" spans="1:18" s="51" customFormat="1" ht="13.5" hidden="1" customHeight="1" x14ac:dyDescent="0.3">
      <c r="A161" s="290">
        <f t="shared" si="21"/>
        <v>0</v>
      </c>
      <c r="B161" s="49"/>
      <c r="C161" s="49"/>
      <c r="D161" s="140" t="s">
        <v>171</v>
      </c>
      <c r="E161" s="49" t="str">
        <f>VLOOKUP(D161,'03. Insumos'!A:D,2,0)</f>
        <v>Telefonia e Internet</v>
      </c>
      <c r="F161" s="68"/>
      <c r="G161" s="68" t="str">
        <f>VLOOKUP(D161,'03. Insumos'!A:F,3,0)</f>
        <v>mês</v>
      </c>
      <c r="H161" s="69"/>
      <c r="I161" s="193">
        <f t="shared" si="24"/>
        <v>5</v>
      </c>
      <c r="J161" s="70">
        <f t="shared" si="25"/>
        <v>100</v>
      </c>
      <c r="K161" s="54">
        <f>IF(A161=0,VLOOKUP(D161,'03. Insumos'!A:F,4,0),"")</f>
        <v>100</v>
      </c>
      <c r="L161" s="338">
        <f t="shared" si="26"/>
        <v>0</v>
      </c>
      <c r="M161" s="153">
        <f t="shared" ca="1" si="20"/>
        <v>0</v>
      </c>
      <c r="O161" s="148">
        <f t="shared" si="22"/>
        <v>0</v>
      </c>
      <c r="R161" s="12">
        <f t="shared" si="23"/>
        <v>-2.9126213592233086</v>
      </c>
    </row>
    <row r="162" spans="1:18" s="18" customFormat="1" ht="13.5" customHeight="1" x14ac:dyDescent="0.3">
      <c r="A162" s="290">
        <f t="shared" si="21"/>
        <v>4</v>
      </c>
      <c r="B162" s="45"/>
      <c r="C162" s="45" t="s">
        <v>64</v>
      </c>
      <c r="D162" s="45" t="s">
        <v>65</v>
      </c>
      <c r="E162" s="45"/>
      <c r="F162" s="327"/>
      <c r="G162" s="329"/>
      <c r="H162" s="330"/>
      <c r="I162" s="47"/>
      <c r="J162" s="336"/>
      <c r="K162" s="48" t="str">
        <f>IF(A162=0,VLOOKUP(D162,'03. Insumos'!A:F,4,0),"")</f>
        <v/>
      </c>
      <c r="L162" s="335">
        <f>SUMIF(A163:A165,6,L163:L165)</f>
        <v>12800</v>
      </c>
      <c r="M162" s="153">
        <f t="shared" ca="1" si="20"/>
        <v>2.2103962234300514E-4</v>
      </c>
      <c r="O162" s="148">
        <f t="shared" si="22"/>
        <v>0</v>
      </c>
      <c r="R162" s="12">
        <f t="shared" si="23"/>
        <v>0</v>
      </c>
    </row>
    <row r="163" spans="1:18" ht="13.5" customHeight="1" x14ac:dyDescent="0.3">
      <c r="A163" s="290">
        <f t="shared" si="21"/>
        <v>6</v>
      </c>
      <c r="B163" s="4"/>
      <c r="C163" s="4" t="s">
        <v>927</v>
      </c>
      <c r="D163" s="4" t="s">
        <v>66</v>
      </c>
      <c r="E163" s="4"/>
      <c r="F163" s="56"/>
      <c r="G163" s="56"/>
      <c r="H163" s="57"/>
      <c r="I163" s="29"/>
      <c r="J163" s="58"/>
      <c r="K163" s="27" t="str">
        <f>IF(A163=0,VLOOKUP(D163,'03. Insumos'!A:F,4,0),"")</f>
        <v/>
      </c>
      <c r="L163" s="58">
        <f>SUM(L164:L165)</f>
        <v>12800</v>
      </c>
      <c r="M163" s="153">
        <f t="shared" ca="1" si="20"/>
        <v>2.2103962234300514E-4</v>
      </c>
      <c r="O163" s="148">
        <f t="shared" si="22"/>
        <v>0</v>
      </c>
      <c r="R163" s="12">
        <f t="shared" si="23"/>
        <v>0</v>
      </c>
    </row>
    <row r="164" spans="1:18" s="51" customFormat="1" ht="13.5" customHeight="1" x14ac:dyDescent="0.3">
      <c r="A164" s="290">
        <f t="shared" si="21"/>
        <v>0</v>
      </c>
      <c r="B164" s="49"/>
      <c r="C164" s="49"/>
      <c r="D164" s="140" t="s">
        <v>172</v>
      </c>
      <c r="E164" s="67" t="str">
        <f>VLOOKUP(D164,'03. Insumos'!A:D,2,0)</f>
        <v>Caçamba para entulho</v>
      </c>
      <c r="F164" s="68" t="s">
        <v>2612</v>
      </c>
      <c r="G164" s="68" t="str">
        <f>VLOOKUP(D164,'03. Insumos'!A:F,3,0)</f>
        <v>uni</v>
      </c>
      <c r="H164" s="69">
        <v>1</v>
      </c>
      <c r="I164" s="141">
        <f>(2*4*3)+(1*4*2)</f>
        <v>32</v>
      </c>
      <c r="J164" s="70">
        <f>IFERROR(IF(K164&lt;&gt;0,K164*$K$5,0),0)</f>
        <v>400</v>
      </c>
      <c r="K164" s="54">
        <f>IF(A164=0,VLOOKUP(D164,'03. Insumos'!A:F,4,0),"")</f>
        <v>400</v>
      </c>
      <c r="L164" s="70">
        <f>H164*J164*I164</f>
        <v>12800</v>
      </c>
      <c r="M164" s="153">
        <f t="shared" ca="1" si="20"/>
        <v>2.2103962234300514E-4</v>
      </c>
      <c r="O164" s="148">
        <f t="shared" si="22"/>
        <v>12800</v>
      </c>
      <c r="R164" s="12">
        <f t="shared" si="23"/>
        <v>-11.650485436893234</v>
      </c>
    </row>
    <row r="165" spans="1:18" s="51" customFormat="1" ht="13.5" hidden="1" customHeight="1" x14ac:dyDescent="0.3">
      <c r="A165" s="290">
        <f t="shared" si="21"/>
        <v>0</v>
      </c>
      <c r="B165" s="49"/>
      <c r="C165" s="49"/>
      <c r="D165" s="140" t="s">
        <v>173</v>
      </c>
      <c r="E165" s="49" t="str">
        <f>VLOOKUP(D165,'03. Insumos'!A:D,2,0)</f>
        <v>Caçamba Classe D</v>
      </c>
      <c r="F165" s="68"/>
      <c r="G165" s="68" t="str">
        <f>VLOOKUP(D165,'03. Insumos'!A:F,3,0)</f>
        <v>uni</v>
      </c>
      <c r="H165" s="69">
        <v>1</v>
      </c>
      <c r="I165" s="141"/>
      <c r="J165" s="70">
        <f>IFERROR(IF(K165&lt;&gt;0,K165*$K$5,0),0)</f>
        <v>700</v>
      </c>
      <c r="K165" s="54">
        <f>IF(A165=0,VLOOKUP(D165,'03. Insumos'!A:F,4,0),"")</f>
        <v>700</v>
      </c>
      <c r="L165" s="338">
        <f>H165*J165*I165</f>
        <v>0</v>
      </c>
      <c r="M165" s="153">
        <f t="shared" ca="1" si="20"/>
        <v>0</v>
      </c>
      <c r="O165" s="148">
        <f t="shared" si="22"/>
        <v>0</v>
      </c>
      <c r="R165" s="12">
        <f t="shared" si="23"/>
        <v>-20.388349514563174</v>
      </c>
    </row>
    <row r="166" spans="1:18" s="18" customFormat="1" ht="13.5" customHeight="1" x14ac:dyDescent="0.3">
      <c r="A166" s="290">
        <f t="shared" si="21"/>
        <v>4</v>
      </c>
      <c r="B166" s="45"/>
      <c r="C166" s="45" t="s">
        <v>68</v>
      </c>
      <c r="D166" s="45" t="s">
        <v>69</v>
      </c>
      <c r="E166" s="45"/>
      <c r="F166" s="327"/>
      <c r="G166" s="329"/>
      <c r="H166" s="330"/>
      <c r="I166" s="47"/>
      <c r="J166" s="336"/>
      <c r="K166" s="48" t="str">
        <f>IF(A166=0,VLOOKUP(D166,'03. Insumos'!A:F,4,0),"")</f>
        <v/>
      </c>
      <c r="L166" s="335">
        <f>SUMIF(A167:A172,6,L167:L172)</f>
        <v>2000</v>
      </c>
      <c r="M166" s="153">
        <f t="shared" ca="1" si="20"/>
        <v>3.4537440991094558E-5</v>
      </c>
      <c r="O166" s="148">
        <f t="shared" si="22"/>
        <v>0</v>
      </c>
      <c r="R166" s="12">
        <f t="shared" si="23"/>
        <v>0</v>
      </c>
    </row>
    <row r="167" spans="1:18" ht="13.5" hidden="1" customHeight="1" x14ac:dyDescent="0.3">
      <c r="A167" s="290">
        <f t="shared" si="21"/>
        <v>6</v>
      </c>
      <c r="B167" s="4"/>
      <c r="C167" s="4" t="s">
        <v>928</v>
      </c>
      <c r="D167" s="4" t="s">
        <v>70</v>
      </c>
      <c r="E167" s="4"/>
      <c r="F167" s="56"/>
      <c r="G167" s="56"/>
      <c r="H167" s="57"/>
      <c r="I167" s="29"/>
      <c r="J167" s="58"/>
      <c r="K167" s="27" t="str">
        <f>IF(A167=0,VLOOKUP(D167,'03. Insumos'!A:F,4,0),"")</f>
        <v/>
      </c>
      <c r="L167" s="58">
        <f>SUM(L168)</f>
        <v>0</v>
      </c>
      <c r="M167" s="153">
        <f t="shared" ca="1" si="20"/>
        <v>0</v>
      </c>
      <c r="O167" s="148">
        <f t="shared" si="22"/>
        <v>0</v>
      </c>
      <c r="R167" s="12">
        <f t="shared" si="23"/>
        <v>0</v>
      </c>
    </row>
    <row r="168" spans="1:18" s="51" customFormat="1" ht="13.5" hidden="1" customHeight="1" x14ac:dyDescent="0.3">
      <c r="A168" s="290">
        <f t="shared" si="21"/>
        <v>0</v>
      </c>
      <c r="B168" s="49"/>
      <c r="C168" s="49"/>
      <c r="D168" s="140" t="s">
        <v>174</v>
      </c>
      <c r="E168" s="49" t="str">
        <f>VLOOKUP(D168,'03. Insumos'!A:D,2,0)</f>
        <v>Caixinha de Obra</v>
      </c>
      <c r="F168" s="68"/>
      <c r="G168" s="68" t="str">
        <f>VLOOKUP(D168,'03. Insumos'!A:F,3,0)</f>
        <v>mês</v>
      </c>
      <c r="H168" s="69"/>
      <c r="I168" s="193">
        <f>L2</f>
        <v>5</v>
      </c>
      <c r="J168" s="70">
        <f>IFERROR(IF(K168&lt;&gt;0,K168*$K$5,0),0)</f>
        <v>1000</v>
      </c>
      <c r="K168" s="54">
        <f>IF(A168=0,VLOOKUP(D168,'03. Insumos'!A:F,4,0),"")</f>
        <v>1000</v>
      </c>
      <c r="L168" s="338">
        <f>H168*J168*I168</f>
        <v>0</v>
      </c>
      <c r="M168" s="153">
        <f t="shared" ca="1" si="20"/>
        <v>0</v>
      </c>
      <c r="O168" s="148">
        <f t="shared" si="22"/>
        <v>0</v>
      </c>
      <c r="R168" s="12">
        <f t="shared" si="23"/>
        <v>-29.126213592233057</v>
      </c>
    </row>
    <row r="169" spans="1:18" ht="13.5" hidden="1" customHeight="1" x14ac:dyDescent="0.3">
      <c r="A169" s="290">
        <f t="shared" si="21"/>
        <v>6</v>
      </c>
      <c r="B169" s="4"/>
      <c r="C169" s="4" t="s">
        <v>987</v>
      </c>
      <c r="D169" s="4" t="s">
        <v>988</v>
      </c>
      <c r="E169" s="4"/>
      <c r="F169" s="56"/>
      <c r="G169" s="56"/>
      <c r="H169" s="57"/>
      <c r="I169" s="29"/>
      <c r="J169" s="58"/>
      <c r="K169" s="27" t="str">
        <f>IF(A169=0,VLOOKUP(D169,'03. Insumos'!A:F,4,0),"")</f>
        <v/>
      </c>
      <c r="L169" s="58">
        <f>SUM(L170)</f>
        <v>0</v>
      </c>
      <c r="M169" s="153">
        <f t="shared" ca="1" si="20"/>
        <v>0</v>
      </c>
      <c r="O169" s="148">
        <f t="shared" si="22"/>
        <v>0</v>
      </c>
      <c r="R169" s="12">
        <f t="shared" si="23"/>
        <v>0</v>
      </c>
    </row>
    <row r="170" spans="1:18" s="51" customFormat="1" ht="13.5" hidden="1" customHeight="1" x14ac:dyDescent="0.3">
      <c r="A170" s="290">
        <f t="shared" si="21"/>
        <v>0</v>
      </c>
      <c r="B170" s="49"/>
      <c r="C170" s="49"/>
      <c r="D170" s="140"/>
      <c r="E170" s="49" t="s">
        <v>988</v>
      </c>
      <c r="F170" s="68"/>
      <c r="G170" s="68" t="s">
        <v>29</v>
      </c>
      <c r="H170" s="69"/>
      <c r="I170" s="193">
        <f>L2</f>
        <v>5</v>
      </c>
      <c r="J170" s="70">
        <f>IFERROR(IF(K170&lt;&gt;0,K170*$K$5,0),0)</f>
        <v>200</v>
      </c>
      <c r="K170" s="54">
        <f>200</f>
        <v>200</v>
      </c>
      <c r="L170" s="338">
        <f>H170*J170*I170</f>
        <v>0</v>
      </c>
      <c r="M170" s="153">
        <f t="shared" ca="1" si="20"/>
        <v>0</v>
      </c>
      <c r="O170" s="148">
        <f t="shared" si="22"/>
        <v>0</v>
      </c>
      <c r="R170" s="12">
        <f t="shared" si="23"/>
        <v>-5.8252427184466171</v>
      </c>
    </row>
    <row r="171" spans="1:18" ht="13.5" customHeight="1" x14ac:dyDescent="0.3">
      <c r="A171" s="290">
        <f t="shared" si="21"/>
        <v>6</v>
      </c>
      <c r="B171" s="4"/>
      <c r="C171" s="4" t="s">
        <v>989</v>
      </c>
      <c r="D171" s="4" t="s">
        <v>990</v>
      </c>
      <c r="E171" s="4"/>
      <c r="F171" s="56"/>
      <c r="G171" s="56"/>
      <c r="H171" s="57"/>
      <c r="I171" s="197"/>
      <c r="J171" s="58"/>
      <c r="K171" s="27" t="str">
        <f>IF(A171=0,VLOOKUP(D171,'03. Insumos'!A:F,4,0),"")</f>
        <v/>
      </c>
      <c r="L171" s="58">
        <f>SUM(L172:L172)</f>
        <v>2000</v>
      </c>
      <c r="M171" s="153">
        <f t="shared" ca="1" si="20"/>
        <v>3.4537440991094558E-5</v>
      </c>
      <c r="O171" s="148"/>
      <c r="R171" s="12">
        <f t="shared" si="23"/>
        <v>0</v>
      </c>
    </row>
    <row r="172" spans="1:18" s="51" customFormat="1" ht="13.5" customHeight="1" x14ac:dyDescent="0.3">
      <c r="A172" s="290">
        <f t="shared" si="21"/>
        <v>0</v>
      </c>
      <c r="B172" s="49"/>
      <c r="C172" s="49"/>
      <c r="D172" s="140"/>
      <c r="E172" s="67" t="s">
        <v>991</v>
      </c>
      <c r="F172" s="68" t="s">
        <v>2612</v>
      </c>
      <c r="G172" s="68" t="s">
        <v>37</v>
      </c>
      <c r="H172" s="69">
        <v>1</v>
      </c>
      <c r="I172" s="317">
        <f>L2</f>
        <v>5</v>
      </c>
      <c r="J172" s="70">
        <f>IFERROR(IF(K172&lt;&gt;0,K172*$K$5,0),0)</f>
        <v>400</v>
      </c>
      <c r="K172" s="54">
        <v>400</v>
      </c>
      <c r="L172" s="70">
        <f>H172*J172*I172</f>
        <v>2000</v>
      </c>
      <c r="M172" s="153">
        <f t="shared" ca="1" si="20"/>
        <v>3.4537440991094558E-5</v>
      </c>
      <c r="O172" s="148">
        <f t="shared" ref="O172:O235" si="27">IF(I172&lt;&gt;0,I172*H172*K172,)</f>
        <v>2000</v>
      </c>
      <c r="R172" s="12">
        <f t="shared" si="23"/>
        <v>-11.650485436893234</v>
      </c>
    </row>
    <row r="173" spans="1:18" s="18" customFormat="1" ht="13.5" hidden="1" customHeight="1" x14ac:dyDescent="0.3">
      <c r="A173" s="290">
        <f t="shared" si="21"/>
        <v>4</v>
      </c>
      <c r="B173" s="45"/>
      <c r="C173" s="45" t="s">
        <v>1362</v>
      </c>
      <c r="D173" s="45" t="s">
        <v>1363</v>
      </c>
      <c r="E173" s="45"/>
      <c r="F173" s="327"/>
      <c r="G173" s="329"/>
      <c r="H173" s="330"/>
      <c r="I173" s="47"/>
      <c r="J173" s="336"/>
      <c r="K173" s="48" t="str">
        <f>IF(A173=0,VLOOKUP(D173,'03. Insumos'!A:F,4,0),"")</f>
        <v/>
      </c>
      <c r="L173" s="335">
        <f>SUMIF(A174:A176,6,L174:L176)</f>
        <v>0</v>
      </c>
      <c r="M173" s="153">
        <f t="shared" ca="1" si="20"/>
        <v>0</v>
      </c>
      <c r="O173" s="148">
        <f t="shared" si="27"/>
        <v>0</v>
      </c>
      <c r="R173" s="12">
        <f t="shared" si="23"/>
        <v>0</v>
      </c>
    </row>
    <row r="174" spans="1:18" ht="13.5" hidden="1" customHeight="1" x14ac:dyDescent="0.3">
      <c r="A174" s="290">
        <f t="shared" si="21"/>
        <v>6</v>
      </c>
      <c r="B174" s="4"/>
      <c r="C174" s="4" t="s">
        <v>928</v>
      </c>
      <c r="D174" s="4" t="s">
        <v>1363</v>
      </c>
      <c r="E174" s="4"/>
      <c r="F174" s="56"/>
      <c r="G174" s="56"/>
      <c r="H174" s="57"/>
      <c r="I174" s="29"/>
      <c r="J174" s="58"/>
      <c r="K174" s="27" t="str">
        <f>IF(A174=0,VLOOKUP(D174,'03. Insumos'!A:F,4,0),"")</f>
        <v/>
      </c>
      <c r="L174" s="58">
        <f>SUM(L175:L176)</f>
        <v>0</v>
      </c>
      <c r="M174" s="153">
        <f t="shared" ca="1" si="20"/>
        <v>0</v>
      </c>
      <c r="O174" s="148">
        <f t="shared" si="27"/>
        <v>0</v>
      </c>
      <c r="R174" s="12">
        <f t="shared" si="23"/>
        <v>0</v>
      </c>
    </row>
    <row r="175" spans="1:18" s="51" customFormat="1" ht="13.5" hidden="1" customHeight="1" x14ac:dyDescent="0.3">
      <c r="A175" s="290">
        <f t="shared" si="21"/>
        <v>0</v>
      </c>
      <c r="B175" s="49"/>
      <c r="C175" s="49"/>
      <c r="D175" s="140"/>
      <c r="E175" s="49" t="s">
        <v>1364</v>
      </c>
      <c r="F175" s="68"/>
      <c r="G175" s="68" t="s">
        <v>37</v>
      </c>
      <c r="H175" s="69"/>
      <c r="I175" s="193">
        <f>L2</f>
        <v>5</v>
      </c>
      <c r="J175" s="70">
        <f>IFERROR(IF(K175&lt;&gt;0,K175*$K$5,0),0)</f>
        <v>2000</v>
      </c>
      <c r="K175" s="54">
        <f>2000</f>
        <v>2000</v>
      </c>
      <c r="L175" s="338">
        <f>H175*J175*I175</f>
        <v>0</v>
      </c>
      <c r="M175" s="153">
        <f t="shared" ca="1" si="20"/>
        <v>0</v>
      </c>
      <c r="O175" s="148">
        <f t="shared" si="27"/>
        <v>0</v>
      </c>
      <c r="R175" s="12">
        <f t="shared" si="23"/>
        <v>-58.252427184466114</v>
      </c>
    </row>
    <row r="176" spans="1:18" s="51" customFormat="1" ht="13.5" hidden="1" customHeight="1" x14ac:dyDescent="0.3">
      <c r="A176" s="290">
        <f t="shared" si="21"/>
        <v>0</v>
      </c>
      <c r="B176" s="49"/>
      <c r="C176" s="49"/>
      <c r="D176" s="140"/>
      <c r="E176" s="49" t="s">
        <v>1365</v>
      </c>
      <c r="F176" s="68"/>
      <c r="G176" s="68" t="s">
        <v>37</v>
      </c>
      <c r="H176" s="69"/>
      <c r="I176" s="193">
        <f>L2</f>
        <v>5</v>
      </c>
      <c r="J176" s="70">
        <f>IFERROR(IF(K176&lt;&gt;0,K176*$K$5,0),0)</f>
        <v>3000</v>
      </c>
      <c r="K176" s="54">
        <f>3000</f>
        <v>3000</v>
      </c>
      <c r="L176" s="338">
        <f>H176*J176*I176</f>
        <v>0</v>
      </c>
      <c r="M176" s="153">
        <f t="shared" ca="1" si="20"/>
        <v>0</v>
      </c>
      <c r="O176" s="148">
        <f t="shared" si="27"/>
        <v>0</v>
      </c>
      <c r="R176" s="12">
        <f t="shared" si="23"/>
        <v>-87.378640776699285</v>
      </c>
    </row>
    <row r="177" spans="1:18" ht="13.5" customHeight="1" x14ac:dyDescent="0.3">
      <c r="A177" s="290">
        <f t="shared" si="21"/>
        <v>1</v>
      </c>
      <c r="B177" s="20"/>
      <c r="C177" s="20" t="s">
        <v>353</v>
      </c>
      <c r="D177" s="20" t="s">
        <v>260</v>
      </c>
      <c r="E177" s="21"/>
      <c r="F177" s="331"/>
      <c r="G177" s="331"/>
      <c r="H177" s="332"/>
      <c r="I177" s="28"/>
      <c r="J177" s="337"/>
      <c r="K177" s="26"/>
      <c r="L177" s="26">
        <f ca="1">SUMIF(A178:A904,4,L178:L904)</f>
        <v>57734645.696155503</v>
      </c>
      <c r="M177" s="153">
        <f t="shared" ca="1" si="20"/>
        <v>0.99700345943636093</v>
      </c>
      <c r="O177" s="148">
        <f t="shared" si="27"/>
        <v>0</v>
      </c>
      <c r="R177" s="12">
        <f t="shared" si="23"/>
        <v>0</v>
      </c>
    </row>
    <row r="178" spans="1:18" s="18" customFormat="1" ht="13.5" customHeight="1" x14ac:dyDescent="0.3">
      <c r="A178" s="290">
        <f t="shared" si="21"/>
        <v>3</v>
      </c>
      <c r="B178" s="35"/>
      <c r="C178" s="35" t="s">
        <v>343</v>
      </c>
      <c r="D178" s="35" t="s">
        <v>340</v>
      </c>
      <c r="E178" s="35"/>
      <c r="F178" s="323"/>
      <c r="G178" s="323"/>
      <c r="H178" s="324"/>
      <c r="I178" s="37"/>
      <c r="J178" s="333"/>
      <c r="K178" s="38"/>
      <c r="L178" s="333">
        <f>SUMIF(A179:A182,4,L179:L182)</f>
        <v>0</v>
      </c>
      <c r="M178" s="153">
        <f t="shared" ca="1" si="20"/>
        <v>0</v>
      </c>
      <c r="O178" s="148">
        <f t="shared" si="27"/>
        <v>0</v>
      </c>
      <c r="R178" s="12">
        <f t="shared" si="23"/>
        <v>0</v>
      </c>
    </row>
    <row r="179" spans="1:18" s="18" customFormat="1" ht="5.4" hidden="1" customHeight="1" outlineLevel="1" x14ac:dyDescent="0.3">
      <c r="A179" s="290">
        <f t="shared" si="21"/>
        <v>0</v>
      </c>
      <c r="B179" s="63"/>
      <c r="C179" s="63"/>
      <c r="D179" s="63"/>
      <c r="E179" s="63"/>
      <c r="F179" s="325"/>
      <c r="G179" s="325"/>
      <c r="H179" s="326"/>
      <c r="I179" s="65"/>
      <c r="J179" s="334">
        <f>IFERROR(IF(K179&lt;&gt;0,K179*$K$5,0),0)</f>
        <v>0</v>
      </c>
      <c r="K179" s="66" t="e">
        <f>IF(A179=0,VLOOKUP(D179,'03. Insumos'!A:F,4,0),"")</f>
        <v>#N/A</v>
      </c>
      <c r="L179" s="334"/>
      <c r="M179" s="153">
        <f t="shared" ca="1" si="20"/>
        <v>0</v>
      </c>
      <c r="O179" s="148">
        <f t="shared" si="27"/>
        <v>0</v>
      </c>
      <c r="R179" s="12">
        <f t="shared" si="23"/>
        <v>0</v>
      </c>
    </row>
    <row r="180" spans="1:18" s="18" customFormat="1" ht="13.5" hidden="1" customHeight="1" outlineLevel="1" x14ac:dyDescent="0.3">
      <c r="A180" s="290">
        <f t="shared" si="21"/>
        <v>4</v>
      </c>
      <c r="B180" s="45"/>
      <c r="C180" s="45" t="s">
        <v>378</v>
      </c>
      <c r="D180" s="45" t="s">
        <v>1592</v>
      </c>
      <c r="E180" s="45"/>
      <c r="F180" s="327"/>
      <c r="G180" s="329"/>
      <c r="H180" s="330"/>
      <c r="I180" s="47"/>
      <c r="J180" s="336">
        <f>IFERROR(IF(K180&lt;&gt;0,K180*$K$5,0),0)</f>
        <v>0</v>
      </c>
      <c r="K180" s="48" t="str">
        <f>IF(A180=0,VLOOKUP(D180,'03. Insumos'!A:F,4,0),"")</f>
        <v/>
      </c>
      <c r="L180" s="335">
        <f>SUMIF(A181:A182,6,L181:L182)</f>
        <v>0</v>
      </c>
      <c r="M180" s="153">
        <f t="shared" ca="1" si="20"/>
        <v>0</v>
      </c>
      <c r="O180" s="148">
        <f t="shared" si="27"/>
        <v>0</v>
      </c>
      <c r="R180" s="12">
        <f t="shared" si="23"/>
        <v>0</v>
      </c>
    </row>
    <row r="181" spans="1:18" ht="13.5" hidden="1" customHeight="1" outlineLevel="1" x14ac:dyDescent="0.3">
      <c r="A181" s="290">
        <f t="shared" si="21"/>
        <v>6</v>
      </c>
      <c r="B181" s="4"/>
      <c r="C181" s="4" t="s">
        <v>929</v>
      </c>
      <c r="D181" s="4" t="s">
        <v>1592</v>
      </c>
      <c r="E181" s="4"/>
      <c r="F181" s="56"/>
      <c r="G181" s="56" t="s">
        <v>29</v>
      </c>
      <c r="H181" s="57">
        <v>1</v>
      </c>
      <c r="I181" s="29"/>
      <c r="J181" s="58">
        <f>IFERROR(IF(K181&lt;&gt;0,K181*$K$5,0),0)</f>
        <v>0</v>
      </c>
      <c r="K181" s="27" t="str">
        <f>IF(A181=0,VLOOKUP(D181,'03. Insumos'!A:F,4,0),"")</f>
        <v/>
      </c>
      <c r="L181" s="58">
        <f>SUM(L182:L182)</f>
        <v>0</v>
      </c>
      <c r="M181" s="153">
        <f t="shared" ca="1" si="20"/>
        <v>0</v>
      </c>
      <c r="O181" s="148">
        <f t="shared" si="27"/>
        <v>0</v>
      </c>
      <c r="R181" s="12">
        <f t="shared" si="23"/>
        <v>0</v>
      </c>
    </row>
    <row r="182" spans="1:18" s="51" customFormat="1" ht="13.5" hidden="1" customHeight="1" outlineLevel="1" x14ac:dyDescent="0.3">
      <c r="A182" s="290">
        <f t="shared" si="21"/>
        <v>0</v>
      </c>
      <c r="B182" s="49"/>
      <c r="C182" s="49"/>
      <c r="D182" s="140"/>
      <c r="E182" s="49"/>
      <c r="F182" s="68"/>
      <c r="G182" s="68" t="s">
        <v>29</v>
      </c>
      <c r="H182" s="69">
        <v>1</v>
      </c>
      <c r="I182" s="141"/>
      <c r="J182" s="70"/>
      <c r="K182" s="54"/>
      <c r="L182" s="338">
        <f>H182*J182*I182</f>
        <v>0</v>
      </c>
      <c r="M182" s="153">
        <f t="shared" ca="1" si="20"/>
        <v>0</v>
      </c>
      <c r="O182" s="148">
        <f t="shared" si="27"/>
        <v>0</v>
      </c>
      <c r="R182" s="12">
        <f t="shared" si="23"/>
        <v>0</v>
      </c>
    </row>
    <row r="183" spans="1:18" s="18" customFormat="1" ht="13.5" customHeight="1" collapsed="1" x14ac:dyDescent="0.3">
      <c r="A183" s="290">
        <f t="shared" si="21"/>
        <v>3</v>
      </c>
      <c r="B183" s="35"/>
      <c r="C183" s="35" t="s">
        <v>344</v>
      </c>
      <c r="D183" s="35" t="s">
        <v>114</v>
      </c>
      <c r="E183" s="35"/>
      <c r="F183" s="323"/>
      <c r="G183" s="323"/>
      <c r="H183" s="324"/>
      <c r="I183" s="37"/>
      <c r="J183" s="333"/>
      <c r="K183" s="38"/>
      <c r="L183" s="333">
        <f>SUMIF(A184:A213,4,L184:L213)</f>
        <v>0</v>
      </c>
      <c r="M183" s="153">
        <f t="shared" ca="1" si="20"/>
        <v>0</v>
      </c>
      <c r="O183" s="148">
        <f t="shared" si="27"/>
        <v>0</v>
      </c>
      <c r="R183" s="12">
        <f t="shared" si="23"/>
        <v>0</v>
      </c>
    </row>
    <row r="184" spans="1:18" s="18" customFormat="1" ht="5.4" hidden="1" customHeight="1" outlineLevel="1" x14ac:dyDescent="0.3">
      <c r="A184" s="290">
        <f t="shared" si="21"/>
        <v>0</v>
      </c>
      <c r="B184" s="63"/>
      <c r="C184" s="63"/>
      <c r="D184" s="63"/>
      <c r="E184" s="63"/>
      <c r="F184" s="325"/>
      <c r="G184" s="325"/>
      <c r="H184" s="326"/>
      <c r="I184" s="65"/>
      <c r="J184" s="334">
        <f>IFERROR(IF(K184&lt;&gt;0,K184*$K$5,0),0)</f>
        <v>0</v>
      </c>
      <c r="K184" s="66" t="e">
        <f>IF(A184=0,VLOOKUP(D184,'03. Insumos'!A:F,4,0),"")</f>
        <v>#N/A</v>
      </c>
      <c r="L184" s="334"/>
      <c r="M184" s="153">
        <f t="shared" ca="1" si="20"/>
        <v>0</v>
      </c>
      <c r="O184" s="148">
        <f t="shared" si="27"/>
        <v>0</v>
      </c>
      <c r="R184" s="12">
        <f t="shared" si="23"/>
        <v>0</v>
      </c>
    </row>
    <row r="185" spans="1:18" s="18" customFormat="1" ht="13.5" hidden="1" customHeight="1" outlineLevel="1" x14ac:dyDescent="0.3">
      <c r="A185" s="290">
        <f t="shared" si="21"/>
        <v>4</v>
      </c>
      <c r="B185" s="45"/>
      <c r="C185" s="45" t="s">
        <v>377</v>
      </c>
      <c r="D185" s="45" t="s">
        <v>107</v>
      </c>
      <c r="E185" s="45"/>
      <c r="F185" s="327"/>
      <c r="G185" s="329"/>
      <c r="H185" s="330"/>
      <c r="I185" s="47"/>
      <c r="J185" s="336"/>
      <c r="K185" s="48" t="str">
        <f>IF(A185=0,VLOOKUP(D185,'03. Insumos'!A:F,4,0),"")</f>
        <v/>
      </c>
      <c r="L185" s="335">
        <f>SUMIF(A186:A213,6,L186:L213)</f>
        <v>0</v>
      </c>
      <c r="M185" s="153">
        <f t="shared" ca="1" si="20"/>
        <v>0</v>
      </c>
      <c r="O185" s="148">
        <f t="shared" si="27"/>
        <v>0</v>
      </c>
      <c r="R185" s="12">
        <f t="shared" si="23"/>
        <v>0</v>
      </c>
    </row>
    <row r="186" spans="1:18" ht="13.5" hidden="1" customHeight="1" outlineLevel="1" x14ac:dyDescent="0.3">
      <c r="A186" s="290">
        <f t="shared" si="21"/>
        <v>6</v>
      </c>
      <c r="B186" s="4"/>
      <c r="C186" s="4" t="s">
        <v>930</v>
      </c>
      <c r="D186" s="4" t="s">
        <v>2278</v>
      </c>
      <c r="E186" s="4"/>
      <c r="F186" s="56"/>
      <c r="G186" s="56"/>
      <c r="H186" s="57"/>
      <c r="I186" s="29"/>
      <c r="J186" s="58"/>
      <c r="K186" s="27" t="str">
        <f>IF(A186=0,VLOOKUP(D186,'03. Insumos'!A:F,4,0),"")</f>
        <v/>
      </c>
      <c r="L186" s="58">
        <f>SUM(L187:L200)</f>
        <v>0</v>
      </c>
      <c r="M186" s="153">
        <f t="shared" ca="1" si="20"/>
        <v>0</v>
      </c>
      <c r="O186" s="148">
        <f t="shared" si="27"/>
        <v>0</v>
      </c>
      <c r="R186" s="12">
        <f t="shared" si="23"/>
        <v>0</v>
      </c>
    </row>
    <row r="187" spans="1:18" ht="13.5" hidden="1" customHeight="1" outlineLevel="1" x14ac:dyDescent="0.3">
      <c r="A187" s="290">
        <f t="shared" si="21"/>
        <v>0</v>
      </c>
      <c r="B187" s="4"/>
      <c r="C187" s="4"/>
      <c r="D187" s="140" t="s">
        <v>2257</v>
      </c>
      <c r="E187" s="49" t="str">
        <f>VLOOKUP(D187,'03. Insumos'!A:D,2,0)</f>
        <v>Mobilização equipamento sondagem</v>
      </c>
      <c r="F187" s="68"/>
      <c r="G187" s="68" t="str">
        <f>VLOOKUP(D187,'03. Insumos'!A:F,3,0)</f>
        <v>vb</v>
      </c>
      <c r="H187" s="69">
        <v>1</v>
      </c>
      <c r="I187" s="141"/>
      <c r="J187" s="70">
        <f t="shared" ref="J187:J213" si="28">IFERROR(IF(K187&lt;&gt;0,K187*$K$5,0),0)</f>
        <v>900</v>
      </c>
      <c r="K187" s="54">
        <f>IF(A187=0,VLOOKUP(D187,'03. Insumos'!A:F,4,0),"")</f>
        <v>900</v>
      </c>
      <c r="L187" s="338">
        <f>H187*J187*I187</f>
        <v>0</v>
      </c>
      <c r="M187" s="153">
        <f t="shared" ca="1" si="20"/>
        <v>0</v>
      </c>
      <c r="O187" s="148"/>
      <c r="R187" s="12"/>
    </row>
    <row r="188" spans="1:18" ht="13.5" hidden="1" customHeight="1" outlineLevel="1" x14ac:dyDescent="0.3">
      <c r="A188" s="290">
        <f t="shared" si="21"/>
        <v>0</v>
      </c>
      <c r="B188" s="4"/>
      <c r="C188" s="4"/>
      <c r="D188" s="140" t="s">
        <v>2258</v>
      </c>
      <c r="E188" s="49" t="str">
        <f>VLOOKUP(D188,'03. Insumos'!A:D,2,0)</f>
        <v>Execução sondagem</v>
      </c>
      <c r="F188" s="68"/>
      <c r="G188" s="68" t="str">
        <f>VLOOKUP(D188,'03. Insumos'!A:F,3,0)</f>
        <v>m</v>
      </c>
      <c r="H188" s="69">
        <v>1</v>
      </c>
      <c r="I188" s="141"/>
      <c r="J188" s="70">
        <f t="shared" si="28"/>
        <v>55</v>
      </c>
      <c r="K188" s="54">
        <f>IF(A188=0,VLOOKUP(D188,'03. Insumos'!A:F,4,0),"")</f>
        <v>55</v>
      </c>
      <c r="L188" s="338">
        <f>H188*J188*I188</f>
        <v>0</v>
      </c>
      <c r="M188" s="153">
        <f t="shared" ca="1" si="20"/>
        <v>0</v>
      </c>
      <c r="O188" s="148"/>
      <c r="R188" s="12"/>
    </row>
    <row r="189" spans="1:18" ht="13.5" hidden="1" customHeight="1" outlineLevel="1" x14ac:dyDescent="0.3">
      <c r="A189" s="290">
        <f t="shared" si="21"/>
        <v>0</v>
      </c>
      <c r="B189" s="4"/>
      <c r="C189" s="4"/>
      <c r="D189" s="140" t="s">
        <v>197</v>
      </c>
      <c r="E189" s="49" t="str">
        <f>VLOOKUP(D189,'03. Insumos'!A:D,2,0)</f>
        <v>Lastro de concreto 5cm</v>
      </c>
      <c r="F189" s="68"/>
      <c r="G189" s="68" t="str">
        <f>VLOOKUP(D189,'03. Insumos'!A:F,3,0)</f>
        <v>m³</v>
      </c>
      <c r="H189" s="69">
        <v>1</v>
      </c>
      <c r="I189" s="141"/>
      <c r="J189" s="70">
        <f t="shared" si="28"/>
        <v>225</v>
      </c>
      <c r="K189" s="54">
        <f>IF(A189=0,VLOOKUP(D189,'03. Insumos'!A:F,4,0),"")</f>
        <v>225</v>
      </c>
      <c r="L189" s="338">
        <f>H189*J189*I189</f>
        <v>0</v>
      </c>
      <c r="M189" s="153">
        <f t="shared" ca="1" si="20"/>
        <v>0</v>
      </c>
      <c r="O189" s="148"/>
      <c r="R189" s="12"/>
    </row>
    <row r="190" spans="1:18" ht="13.5" hidden="1" customHeight="1" outlineLevel="1" x14ac:dyDescent="0.3">
      <c r="A190" s="290">
        <f t="shared" si="21"/>
        <v>0</v>
      </c>
      <c r="B190" s="4"/>
      <c r="C190" s="4"/>
      <c r="D190" s="140" t="s">
        <v>184</v>
      </c>
      <c r="E190" s="49" t="str">
        <f>VLOOKUP(D190,'03. Insumos'!A:D,2,0)</f>
        <v>Brita 0</v>
      </c>
      <c r="F190" s="68" t="s">
        <v>2612</v>
      </c>
      <c r="G190" s="68" t="str">
        <f>VLOOKUP(D190,'03. Insumos'!A:F,3,0)</f>
        <v>m³</v>
      </c>
      <c r="H190" s="69">
        <v>1</v>
      </c>
      <c r="I190" s="141"/>
      <c r="J190" s="70">
        <f t="shared" si="28"/>
        <v>210</v>
      </c>
      <c r="K190" s="54">
        <f>IF(A190=0,VLOOKUP(D190,'03. Insumos'!A:F,4,0),"")</f>
        <v>210</v>
      </c>
      <c r="L190" s="70">
        <f>H190*J190*I190</f>
        <v>0</v>
      </c>
      <c r="M190" s="153">
        <f t="shared" ca="1" si="20"/>
        <v>0</v>
      </c>
      <c r="O190" s="148"/>
      <c r="R190" s="12"/>
    </row>
    <row r="191" spans="1:18" ht="13.5" hidden="1" customHeight="1" outlineLevel="1" x14ac:dyDescent="0.3">
      <c r="A191" s="290">
        <f t="shared" si="21"/>
        <v>0</v>
      </c>
      <c r="B191" s="4"/>
      <c r="C191" s="4"/>
      <c r="D191" s="140" t="s">
        <v>2573</v>
      </c>
      <c r="E191" s="49" t="str">
        <f>VLOOKUP(D191,'03. Insumos'!A:D,2,0)</f>
        <v>Pré - laje para sobrecarga de 300 Kg/m²</v>
      </c>
      <c r="F191" s="68" t="s">
        <v>2612</v>
      </c>
      <c r="G191" s="68" t="str">
        <f>VLOOKUP(D191,'03. Insumos'!A:F,3,0)</f>
        <v>m²</v>
      </c>
      <c r="H191" s="69">
        <v>1</v>
      </c>
      <c r="I191" s="141"/>
      <c r="J191" s="70">
        <f t="shared" si="28"/>
        <v>215</v>
      </c>
      <c r="K191" s="54">
        <f>IF(A191=0,VLOOKUP(D191,'03. Insumos'!A:F,4,0),"")</f>
        <v>215</v>
      </c>
      <c r="L191" s="70">
        <f>H191*J191*I191</f>
        <v>0</v>
      </c>
      <c r="M191" s="153">
        <f t="shared" ca="1" si="20"/>
        <v>0</v>
      </c>
      <c r="O191" s="148"/>
      <c r="R191" s="12"/>
    </row>
    <row r="192" spans="1:18" s="51" customFormat="1" ht="13.5" hidden="1" customHeight="1" outlineLevel="1" x14ac:dyDescent="0.3">
      <c r="A192" s="290">
        <f t="shared" si="21"/>
        <v>0</v>
      </c>
      <c r="B192" s="49"/>
      <c r="C192" s="49"/>
      <c r="D192" s="140" t="s">
        <v>133</v>
      </c>
      <c r="E192" s="49" t="str">
        <f>VLOOKUP(D192,'03. Insumos'!A:D,2,0)</f>
        <v>Projeto, Ampliação em Estrutura Metálica, Reforço de Paredes internas</v>
      </c>
      <c r="F192" s="68" t="s">
        <v>2612</v>
      </c>
      <c r="G192" s="68" t="str">
        <f>VLOOKUP(D192,'03. Insumos'!A:F,3,0)</f>
        <v>vb</v>
      </c>
      <c r="H192" s="69">
        <v>1</v>
      </c>
      <c r="I192" s="141"/>
      <c r="J192" s="70">
        <f t="shared" si="28"/>
        <v>107600</v>
      </c>
      <c r="K192" s="54">
        <f>IF(A192=0,VLOOKUP(D192,'03. Insumos'!A:F,4,0),"")</f>
        <v>107600</v>
      </c>
      <c r="L192" s="70">
        <f t="shared" ref="L192:L200" si="29">H192*J192*I192</f>
        <v>0</v>
      </c>
      <c r="M192" s="153">
        <f t="shared" ca="1" si="20"/>
        <v>0</v>
      </c>
      <c r="O192" s="148">
        <f t="shared" si="27"/>
        <v>0</v>
      </c>
      <c r="R192" s="12">
        <f t="shared" si="23"/>
        <v>-3133.9805825242802</v>
      </c>
    </row>
    <row r="193" spans="1:18" s="51" customFormat="1" ht="13.5" hidden="1" customHeight="1" outlineLevel="1" x14ac:dyDescent="0.3">
      <c r="A193" s="290">
        <f t="shared" si="21"/>
        <v>0</v>
      </c>
      <c r="B193" s="49"/>
      <c r="C193" s="49"/>
      <c r="D193" s="140" t="s">
        <v>134</v>
      </c>
      <c r="E193" s="49" t="str">
        <f>VLOOKUP(D193,'03. Insumos'!A:D,2,0)</f>
        <v>Bombeamento de concreto - até 40m³</v>
      </c>
      <c r="F193" s="68"/>
      <c r="G193" s="68" t="str">
        <f>VLOOKUP(D193,'03. Insumos'!A:F,3,0)</f>
        <v>dia</v>
      </c>
      <c r="H193" s="69">
        <v>1</v>
      </c>
      <c r="I193" s="141"/>
      <c r="J193" s="70">
        <f t="shared" si="28"/>
        <v>2400</v>
      </c>
      <c r="K193" s="54">
        <f>IF(A193=0,VLOOKUP(D193,'03. Insumos'!A:F,4,0),"")</f>
        <v>2400</v>
      </c>
      <c r="L193" s="70">
        <f t="shared" si="29"/>
        <v>0</v>
      </c>
      <c r="M193" s="153">
        <f t="shared" ca="1" si="20"/>
        <v>0</v>
      </c>
      <c r="O193" s="148">
        <f t="shared" si="27"/>
        <v>0</v>
      </c>
      <c r="R193" s="12">
        <f t="shared" si="23"/>
        <v>-69.902912621359064</v>
      </c>
    </row>
    <row r="194" spans="1:18" s="51" customFormat="1" ht="13.5" hidden="1" customHeight="1" outlineLevel="1" x14ac:dyDescent="0.3">
      <c r="A194" s="290">
        <f t="shared" si="21"/>
        <v>0</v>
      </c>
      <c r="B194" s="49"/>
      <c r="C194" s="49"/>
      <c r="D194" s="140" t="s">
        <v>442</v>
      </c>
      <c r="E194" s="49" t="str">
        <f>VLOOKUP(D194,'03. Insumos'!A:D,2,0)</f>
        <v>Compactação com Sapinho</v>
      </c>
      <c r="F194" s="68"/>
      <c r="G194" s="68" t="str">
        <f>VLOOKUP(D194,'03. Insumos'!A:F,3,0)</f>
        <v>mês</v>
      </c>
      <c r="H194" s="69">
        <v>1</v>
      </c>
      <c r="I194" s="141"/>
      <c r="J194" s="70">
        <f t="shared" si="28"/>
        <v>520</v>
      </c>
      <c r="K194" s="54">
        <f>IF(A194=0,VLOOKUP(D194,'03. Insumos'!A:F,4,0),"")</f>
        <v>520</v>
      </c>
      <c r="L194" s="70">
        <f t="shared" si="29"/>
        <v>0</v>
      </c>
      <c r="M194" s="153">
        <f t="shared" ca="1" si="20"/>
        <v>0</v>
      </c>
      <c r="O194" s="148">
        <f t="shared" si="27"/>
        <v>0</v>
      </c>
      <c r="R194" s="12">
        <f t="shared" si="23"/>
        <v>-15.145631067961176</v>
      </c>
    </row>
    <row r="195" spans="1:18" s="51" customFormat="1" ht="13.5" hidden="1" customHeight="1" outlineLevel="1" x14ac:dyDescent="0.3">
      <c r="A195" s="290">
        <f t="shared" si="21"/>
        <v>0</v>
      </c>
      <c r="B195" s="49"/>
      <c r="C195" s="49"/>
      <c r="D195" s="140" t="s">
        <v>179</v>
      </c>
      <c r="E195" s="49" t="str">
        <f>VLOOKUP(D195,'03. Insumos'!A:D,2,0)</f>
        <v>Ampliação em Estr. Metálica + Laje</v>
      </c>
      <c r="F195" s="68" t="s">
        <v>2612</v>
      </c>
      <c r="G195" s="68" t="str">
        <f>VLOOKUP(D195,'03. Insumos'!A:F,3,0)</f>
        <v>m²</v>
      </c>
      <c r="H195" s="69">
        <v>1</v>
      </c>
      <c r="I195" s="141"/>
      <c r="J195" s="70">
        <f t="shared" si="28"/>
        <v>628.23199999999997</v>
      </c>
      <c r="K195" s="54">
        <f>IF(A195=0,VLOOKUP(D195,'03. Insumos'!A:F,4,0),"")</f>
        <v>628.23199999999997</v>
      </c>
      <c r="L195" s="70">
        <f t="shared" si="29"/>
        <v>0</v>
      </c>
      <c r="M195" s="153">
        <f t="shared" ca="1" si="20"/>
        <v>0</v>
      </c>
      <c r="O195" s="148">
        <f t="shared" si="27"/>
        <v>0</v>
      </c>
      <c r="R195" s="12">
        <f t="shared" si="23"/>
        <v>-18.298019417475757</v>
      </c>
    </row>
    <row r="196" spans="1:18" s="51" customFormat="1" ht="13.5" hidden="1" customHeight="1" outlineLevel="1" x14ac:dyDescent="0.3">
      <c r="A196" s="290">
        <f t="shared" si="21"/>
        <v>0</v>
      </c>
      <c r="B196" s="49"/>
      <c r="C196" s="49"/>
      <c r="D196" s="140" t="s">
        <v>441</v>
      </c>
      <c r="E196" s="49" t="str">
        <f>VLOOKUP(D196,'03. Insumos'!A:D,2,0)</f>
        <v>Lançamento de Concreto - Mat</v>
      </c>
      <c r="F196" s="68"/>
      <c r="G196" s="68" t="str">
        <f>VLOOKUP(D196,'03. Insumos'!A:F,3,0)</f>
        <v>Kg</v>
      </c>
      <c r="H196" s="69"/>
      <c r="I196" s="141">
        <f>I195</f>
        <v>0</v>
      </c>
      <c r="J196" s="70">
        <f t="shared" si="28"/>
        <v>1.48</v>
      </c>
      <c r="K196" s="54">
        <f>IF(A196=0,VLOOKUP(D196,'03. Insumos'!A:F,4,0),"")</f>
        <v>1.48</v>
      </c>
      <c r="L196" s="338">
        <f t="shared" si="29"/>
        <v>0</v>
      </c>
      <c r="M196" s="153">
        <f t="shared" ca="1" si="20"/>
        <v>0</v>
      </c>
      <c r="O196" s="148">
        <f t="shared" si="27"/>
        <v>0</v>
      </c>
      <c r="R196" s="12">
        <f t="shared" si="23"/>
        <v>-4.3106796116504809E-2</v>
      </c>
    </row>
    <row r="197" spans="1:18" s="51" customFormat="1" ht="13.5" hidden="1" customHeight="1" outlineLevel="1" x14ac:dyDescent="0.3">
      <c r="A197" s="290">
        <f t="shared" si="21"/>
        <v>0</v>
      </c>
      <c r="B197" s="49"/>
      <c r="C197" s="49"/>
      <c r="D197" s="140" t="s">
        <v>2260</v>
      </c>
      <c r="E197" s="49" t="str">
        <f>VLOOKUP(D197,'03. Insumos'!A:D,2,0)</f>
        <v>Forma (Mat - Chapa plastificada 12 mm+ perna 3'+ tábua)</v>
      </c>
      <c r="F197" s="68"/>
      <c r="G197" s="68" t="str">
        <f>VLOOKUP(D197,'03. Insumos'!A:F,3,0)</f>
        <v>m²</v>
      </c>
      <c r="H197" s="69">
        <v>1</v>
      </c>
      <c r="I197" s="141"/>
      <c r="J197" s="70">
        <f t="shared" si="28"/>
        <v>27.42</v>
      </c>
      <c r="K197" s="54">
        <f>IF(A197=0,VLOOKUP(D197,'03. Insumos'!A:F,4,0),"")</f>
        <v>27.42</v>
      </c>
      <c r="L197" s="338">
        <f t="shared" si="29"/>
        <v>0</v>
      </c>
      <c r="M197" s="153">
        <f t="shared" ca="1" si="20"/>
        <v>0</v>
      </c>
      <c r="O197" s="148">
        <f t="shared" si="27"/>
        <v>0</v>
      </c>
      <c r="R197" s="12">
        <f t="shared" si="23"/>
        <v>-0.79864077669903111</v>
      </c>
    </row>
    <row r="198" spans="1:18" s="51" customFormat="1" ht="13.5" hidden="1" customHeight="1" outlineLevel="1" x14ac:dyDescent="0.3">
      <c r="A198" s="290">
        <f t="shared" si="21"/>
        <v>0</v>
      </c>
      <c r="B198" s="49"/>
      <c r="C198" s="49"/>
      <c r="D198" s="140" t="s">
        <v>454</v>
      </c>
      <c r="E198" s="49" t="str">
        <f>VLOOKUP(D198,'03. Insumos'!A:D,2,0)</f>
        <v>Escavação Manual</v>
      </c>
      <c r="F198" s="68"/>
      <c r="G198" s="68" t="str">
        <f>VLOOKUP(D198,'03. Insumos'!A:F,3,0)</f>
        <v>m³</v>
      </c>
      <c r="H198" s="69">
        <v>1</v>
      </c>
      <c r="I198" s="141"/>
      <c r="J198" s="70">
        <f t="shared" si="28"/>
        <v>150</v>
      </c>
      <c r="K198" s="54">
        <f>IF(A198=0,VLOOKUP(D198,'03. Insumos'!A:F,4,0),"")</f>
        <v>150</v>
      </c>
      <c r="L198" s="338">
        <f t="shared" si="29"/>
        <v>0</v>
      </c>
      <c r="M198" s="153">
        <f t="shared" ca="1" si="20"/>
        <v>0</v>
      </c>
      <c r="O198" s="148">
        <f t="shared" si="27"/>
        <v>0</v>
      </c>
      <c r="P198" s="194"/>
      <c r="Q198" s="194"/>
      <c r="R198" s="12">
        <f t="shared" si="23"/>
        <v>-4.3689320388349415</v>
      </c>
    </row>
    <row r="199" spans="1:18" s="51" customFormat="1" ht="13.5" hidden="1" customHeight="1" outlineLevel="1" x14ac:dyDescent="0.3">
      <c r="A199" s="290">
        <f t="shared" si="21"/>
        <v>0</v>
      </c>
      <c r="B199" s="49"/>
      <c r="C199" s="49"/>
      <c r="D199" s="140" t="s">
        <v>2240</v>
      </c>
      <c r="E199" s="49" t="str">
        <f>VLOOKUP(D199,'03. Insumos'!A:D,2,0)</f>
        <v>Reaterro manual</v>
      </c>
      <c r="F199" s="68"/>
      <c r="G199" s="68" t="str">
        <f>VLOOKUP(D199,'03. Insumos'!A:F,3,0)</f>
        <v>m³</v>
      </c>
      <c r="H199" s="69">
        <v>2</v>
      </c>
      <c r="I199" s="141"/>
      <c r="J199" s="70">
        <f t="shared" si="28"/>
        <v>80</v>
      </c>
      <c r="K199" s="54">
        <f>IF(A199=0,VLOOKUP(D199,'03. Insumos'!A:F,4,0),"")</f>
        <v>80</v>
      </c>
      <c r="L199" s="338">
        <f>H199*J199*I199</f>
        <v>0</v>
      </c>
      <c r="M199" s="153">
        <f t="shared" ca="1" si="20"/>
        <v>0</v>
      </c>
      <c r="O199" s="148"/>
      <c r="P199" s="194"/>
      <c r="Q199" s="194"/>
      <c r="R199" s="12"/>
    </row>
    <row r="200" spans="1:18" s="51" customFormat="1" ht="13.5" hidden="1" customHeight="1" outlineLevel="1" x14ac:dyDescent="0.3">
      <c r="A200" s="290">
        <f t="shared" si="21"/>
        <v>0</v>
      </c>
      <c r="B200" s="49"/>
      <c r="C200" s="49"/>
      <c r="D200" s="140" t="s">
        <v>455</v>
      </c>
      <c r="E200" s="49" t="str">
        <f>VLOOKUP(D200,'03. Insumos'!A:D,2,0)</f>
        <v>Acerto de Terreno MAT+MO</v>
      </c>
      <c r="F200" s="68"/>
      <c r="G200" s="68" t="str">
        <f>VLOOKUP(D200,'03. Insumos'!A:F,3,0)</f>
        <v>m²</v>
      </c>
      <c r="H200" s="69">
        <v>1</v>
      </c>
      <c r="I200" s="141"/>
      <c r="J200" s="70">
        <f t="shared" si="28"/>
        <v>20</v>
      </c>
      <c r="K200" s="54">
        <f>IF(A200=0,VLOOKUP(D200,'03. Insumos'!A:F,4,0),"")</f>
        <v>20</v>
      </c>
      <c r="L200" s="338">
        <f t="shared" si="29"/>
        <v>0</v>
      </c>
      <c r="M200" s="153">
        <f t="shared" ca="1" si="20"/>
        <v>0</v>
      </c>
      <c r="O200" s="148">
        <f t="shared" si="27"/>
        <v>0</v>
      </c>
      <c r="R200" s="12">
        <f t="shared" si="23"/>
        <v>-0.58252427184466171</v>
      </c>
    </row>
    <row r="201" spans="1:18" ht="13.5" hidden="1" customHeight="1" outlineLevel="1" x14ac:dyDescent="0.3">
      <c r="A201" s="290">
        <f t="shared" si="21"/>
        <v>6</v>
      </c>
      <c r="B201" s="4"/>
      <c r="C201" s="4" t="s">
        <v>931</v>
      </c>
      <c r="D201" s="4" t="s">
        <v>1345</v>
      </c>
      <c r="E201" s="4"/>
      <c r="F201" s="56"/>
      <c r="G201" s="56" t="s">
        <v>29</v>
      </c>
      <c r="H201" s="57">
        <v>1</v>
      </c>
      <c r="I201" s="29"/>
      <c r="J201" s="58">
        <f t="shared" si="28"/>
        <v>0</v>
      </c>
      <c r="K201" s="27" t="str">
        <f>IF(A201=0,VLOOKUP(D201,'03. Insumos'!A:F,4,0),"")</f>
        <v/>
      </c>
      <c r="L201" s="58">
        <f>SUM(L202:L202)</f>
        <v>0</v>
      </c>
      <c r="M201" s="153">
        <f t="shared" ca="1" si="20"/>
        <v>0</v>
      </c>
      <c r="O201" s="148">
        <f t="shared" si="27"/>
        <v>0</v>
      </c>
      <c r="R201" s="12">
        <f t="shared" si="23"/>
        <v>0</v>
      </c>
    </row>
    <row r="202" spans="1:18" s="51" customFormat="1" ht="13.5" hidden="1" customHeight="1" outlineLevel="1" x14ac:dyDescent="0.3">
      <c r="A202" s="290">
        <f t="shared" si="21"/>
        <v>0</v>
      </c>
      <c r="B202" s="49"/>
      <c r="C202" s="49"/>
      <c r="D202" s="140" t="s">
        <v>443</v>
      </c>
      <c r="E202" s="49" t="str">
        <f>VLOOKUP(D202,'03. Insumos'!A:D,2,0)</f>
        <v>Bota Fora</v>
      </c>
      <c r="F202" s="68"/>
      <c r="G202" s="68" t="str">
        <f>VLOOKUP(D202,'03. Insumos'!A:F,3,0)</f>
        <v>m³</v>
      </c>
      <c r="H202" s="69">
        <v>1</v>
      </c>
      <c r="I202" s="141"/>
      <c r="J202" s="70">
        <f t="shared" si="28"/>
        <v>57.142857142857146</v>
      </c>
      <c r="K202" s="54">
        <f>IF(A202=0,VLOOKUP(D202,'03. Insumos'!A:F,4,0),"")</f>
        <v>57.142857142857146</v>
      </c>
      <c r="L202" s="338">
        <f>H202*J202*I202</f>
        <v>0</v>
      </c>
      <c r="M202" s="153">
        <f t="shared" ca="1" si="20"/>
        <v>0</v>
      </c>
      <c r="O202" s="148">
        <f t="shared" si="27"/>
        <v>0</v>
      </c>
      <c r="R202" s="12">
        <f t="shared" si="23"/>
        <v>-1.6643550624133141</v>
      </c>
    </row>
    <row r="203" spans="1:18" ht="13.5" hidden="1" customHeight="1" outlineLevel="1" x14ac:dyDescent="0.3">
      <c r="A203" s="290">
        <f t="shared" si="21"/>
        <v>6</v>
      </c>
      <c r="B203" s="4"/>
      <c r="C203" s="4" t="s">
        <v>1346</v>
      </c>
      <c r="D203" s="4" t="s">
        <v>1330</v>
      </c>
      <c r="E203" s="4"/>
      <c r="F203" s="56"/>
      <c r="G203" s="56" t="s">
        <v>29</v>
      </c>
      <c r="H203" s="57">
        <v>1</v>
      </c>
      <c r="I203" s="29"/>
      <c r="J203" s="58">
        <f t="shared" si="28"/>
        <v>0</v>
      </c>
      <c r="K203" s="27" t="str">
        <f>IF(A203=0,VLOOKUP(D203,'03. Insumos'!A:F,4,0),"")</f>
        <v/>
      </c>
      <c r="L203" s="58">
        <f>SUM(L204:L211)</f>
        <v>0</v>
      </c>
      <c r="M203" s="153">
        <f t="shared" ca="1" si="20"/>
        <v>0</v>
      </c>
      <c r="O203" s="148">
        <f t="shared" si="27"/>
        <v>0</v>
      </c>
      <c r="R203" s="12">
        <f t="shared" si="23"/>
        <v>0</v>
      </c>
    </row>
    <row r="204" spans="1:18" s="51" customFormat="1" ht="13.5" hidden="1" customHeight="1" outlineLevel="1" x14ac:dyDescent="0.3">
      <c r="A204" s="290">
        <f t="shared" si="21"/>
        <v>0</v>
      </c>
      <c r="B204" s="49"/>
      <c r="C204" s="49"/>
      <c r="D204" s="140" t="s">
        <v>133</v>
      </c>
      <c r="E204" s="49" t="str">
        <f>VLOOKUP(D204,'03. Insumos'!A:D,2,0)</f>
        <v>Projeto, Ampliação em Estrutura Metálica, Reforço de Paredes internas</v>
      </c>
      <c r="F204" s="68"/>
      <c r="G204" s="68" t="str">
        <f>VLOOKUP(D204,'03. Insumos'!A:F,3,0)</f>
        <v>vb</v>
      </c>
      <c r="H204" s="69">
        <v>1</v>
      </c>
      <c r="I204" s="141"/>
      <c r="J204" s="70">
        <f t="shared" si="28"/>
        <v>107600</v>
      </c>
      <c r="K204" s="54">
        <f>IF(A204=0,VLOOKUP(D204,'03. Insumos'!A:F,4,0),"")</f>
        <v>107600</v>
      </c>
      <c r="L204" s="338">
        <f t="shared" ref="L204:L211" si="30">H204*J204*I204</f>
        <v>0</v>
      </c>
      <c r="M204" s="153">
        <f t="shared" ca="1" si="20"/>
        <v>0</v>
      </c>
      <c r="O204" s="148">
        <f t="shared" si="27"/>
        <v>0</v>
      </c>
      <c r="R204" s="12">
        <f t="shared" si="23"/>
        <v>-3133.9805825242802</v>
      </c>
    </row>
    <row r="205" spans="1:18" s="51" customFormat="1" ht="13.5" hidden="1" customHeight="1" outlineLevel="1" x14ac:dyDescent="0.3">
      <c r="A205" s="290">
        <f t="shared" si="21"/>
        <v>0</v>
      </c>
      <c r="B205" s="49"/>
      <c r="C205" s="49"/>
      <c r="D205" s="140" t="s">
        <v>134</v>
      </c>
      <c r="E205" s="49" t="str">
        <f>VLOOKUP(D205,'03. Insumos'!A:D,2,0)</f>
        <v>Bombeamento de concreto - até 40m³</v>
      </c>
      <c r="F205" s="68"/>
      <c r="G205" s="68" t="str">
        <f>VLOOKUP(D205,'03. Insumos'!A:F,3,0)</f>
        <v>dia</v>
      </c>
      <c r="H205" s="69">
        <v>1</v>
      </c>
      <c r="I205" s="141">
        <f>I204</f>
        <v>0</v>
      </c>
      <c r="J205" s="70">
        <f t="shared" si="28"/>
        <v>2400</v>
      </c>
      <c r="K205" s="54">
        <f>IF(A205=0,VLOOKUP(D205,'03. Insumos'!A:F,4,0),"")</f>
        <v>2400</v>
      </c>
      <c r="L205" s="338">
        <f t="shared" si="30"/>
        <v>0</v>
      </c>
      <c r="M205" s="153">
        <f t="shared" ca="1" si="20"/>
        <v>0</v>
      </c>
      <c r="O205" s="148">
        <f t="shared" si="27"/>
        <v>0</v>
      </c>
      <c r="R205" s="12">
        <f t="shared" si="23"/>
        <v>-69.902912621359064</v>
      </c>
    </row>
    <row r="206" spans="1:18" s="51" customFormat="1" ht="13.5" hidden="1" customHeight="1" outlineLevel="1" x14ac:dyDescent="0.3">
      <c r="A206" s="290">
        <f t="shared" si="21"/>
        <v>0</v>
      </c>
      <c r="B206" s="49"/>
      <c r="C206" s="49"/>
      <c r="D206" s="140" t="s">
        <v>442</v>
      </c>
      <c r="E206" s="49" t="str">
        <f>VLOOKUP(D206,'03. Insumos'!A:D,2,0)</f>
        <v>Compactação com Sapinho</v>
      </c>
      <c r="F206" s="68"/>
      <c r="G206" s="68" t="str">
        <f>VLOOKUP(D206,'03. Insumos'!A:F,3,0)</f>
        <v>mês</v>
      </c>
      <c r="H206" s="69">
        <v>1</v>
      </c>
      <c r="I206" s="141">
        <f>I204</f>
        <v>0</v>
      </c>
      <c r="J206" s="70">
        <f t="shared" si="28"/>
        <v>520</v>
      </c>
      <c r="K206" s="54">
        <f>IF(A206=0,VLOOKUP(D206,'03. Insumos'!A:F,4,0),"")</f>
        <v>520</v>
      </c>
      <c r="L206" s="338">
        <f t="shared" si="30"/>
        <v>0</v>
      </c>
      <c r="M206" s="153">
        <f t="shared" ca="1" si="20"/>
        <v>0</v>
      </c>
      <c r="O206" s="148">
        <f t="shared" si="27"/>
        <v>0</v>
      </c>
      <c r="R206" s="12">
        <f t="shared" si="23"/>
        <v>-15.145631067961176</v>
      </c>
    </row>
    <row r="207" spans="1:18" s="51" customFormat="1" ht="13.5" hidden="1" customHeight="1" outlineLevel="1" x14ac:dyDescent="0.3">
      <c r="A207" s="290">
        <f t="shared" si="21"/>
        <v>0</v>
      </c>
      <c r="B207" s="49"/>
      <c r="C207" s="49"/>
      <c r="D207" s="140" t="s">
        <v>179</v>
      </c>
      <c r="E207" s="49" t="str">
        <f>VLOOKUP(D207,'03. Insumos'!A:D,2,0)</f>
        <v>Ampliação em Estr. Metálica + Laje</v>
      </c>
      <c r="F207" s="68"/>
      <c r="G207" s="68" t="str">
        <f>VLOOKUP(D207,'03. Insumos'!A:F,3,0)</f>
        <v>m²</v>
      </c>
      <c r="H207" s="69">
        <v>1</v>
      </c>
      <c r="I207" s="141">
        <f>I204*80</f>
        <v>0</v>
      </c>
      <c r="J207" s="70">
        <f t="shared" si="28"/>
        <v>628.23199999999997</v>
      </c>
      <c r="K207" s="54">
        <f>IF(A207=0,VLOOKUP(D207,'03. Insumos'!A:F,4,0),"")</f>
        <v>628.23199999999997</v>
      </c>
      <c r="L207" s="338">
        <f t="shared" si="30"/>
        <v>0</v>
      </c>
      <c r="M207" s="153">
        <f t="shared" ca="1" si="20"/>
        <v>0</v>
      </c>
      <c r="O207" s="148">
        <f t="shared" si="27"/>
        <v>0</v>
      </c>
      <c r="R207" s="12">
        <f t="shared" si="23"/>
        <v>-18.298019417475757</v>
      </c>
    </row>
    <row r="208" spans="1:18" s="51" customFormat="1" ht="13.5" hidden="1" customHeight="1" outlineLevel="1" x14ac:dyDescent="0.3">
      <c r="A208" s="290">
        <f t="shared" si="21"/>
        <v>0</v>
      </c>
      <c r="B208" s="49"/>
      <c r="C208" s="49"/>
      <c r="D208" s="140" t="s">
        <v>441</v>
      </c>
      <c r="E208" s="49" t="str">
        <f>VLOOKUP(D208,'03. Insumos'!A:D,2,0)</f>
        <v>Lançamento de Concreto - Mat</v>
      </c>
      <c r="F208" s="68"/>
      <c r="G208" s="68" t="str">
        <f>VLOOKUP(D208,'03. Insumos'!A:F,3,0)</f>
        <v>Kg</v>
      </c>
      <c r="H208" s="69">
        <v>1</v>
      </c>
      <c r="I208" s="141">
        <f>I207</f>
        <v>0</v>
      </c>
      <c r="J208" s="70">
        <f t="shared" si="28"/>
        <v>1.48</v>
      </c>
      <c r="K208" s="54">
        <f>IF(A208=0,VLOOKUP(D208,'03. Insumos'!A:F,4,0),"")</f>
        <v>1.48</v>
      </c>
      <c r="L208" s="338">
        <f t="shared" si="30"/>
        <v>0</v>
      </c>
      <c r="M208" s="153">
        <f t="shared" ca="1" si="20"/>
        <v>0</v>
      </c>
      <c r="O208" s="148">
        <f t="shared" si="27"/>
        <v>0</v>
      </c>
      <c r="R208" s="12">
        <f t="shared" si="23"/>
        <v>-4.3106796116504809E-2</v>
      </c>
    </row>
    <row r="209" spans="1:18" s="51" customFormat="1" ht="13.5" hidden="1" customHeight="1" outlineLevel="1" x14ac:dyDescent="0.3">
      <c r="A209" s="290">
        <f t="shared" si="21"/>
        <v>0</v>
      </c>
      <c r="B209" s="49"/>
      <c r="C209" s="49"/>
      <c r="D209" s="140" t="s">
        <v>238</v>
      </c>
      <c r="E209" s="49" t="str">
        <f>VLOOKUP(D209,'03. Insumos'!A:D,2,0)</f>
        <v>Forma MAT+MO</v>
      </c>
      <c r="F209" s="68"/>
      <c r="G209" s="68" t="str">
        <f>VLOOKUP(D209,'03. Insumos'!A:F,3,0)</f>
        <v>m²</v>
      </c>
      <c r="H209" s="69">
        <v>1</v>
      </c>
      <c r="I209" s="141">
        <f>I204*5</f>
        <v>0</v>
      </c>
      <c r="J209" s="70">
        <f t="shared" si="28"/>
        <v>78</v>
      </c>
      <c r="K209" s="54">
        <f>IF(A209=0,VLOOKUP(D209,'03. Insumos'!A:F,4,0),"")</f>
        <v>78</v>
      </c>
      <c r="L209" s="338">
        <f t="shared" si="30"/>
        <v>0</v>
      </c>
      <c r="M209" s="153">
        <f t="shared" ca="1" si="20"/>
        <v>0</v>
      </c>
      <c r="O209" s="148">
        <f t="shared" si="27"/>
        <v>0</v>
      </c>
      <c r="R209" s="12">
        <f t="shared" si="23"/>
        <v>-2.2718446601941764</v>
      </c>
    </row>
    <row r="210" spans="1:18" s="51" customFormat="1" ht="13.5" hidden="1" customHeight="1" outlineLevel="1" x14ac:dyDescent="0.3">
      <c r="A210" s="290">
        <f t="shared" si="21"/>
        <v>0</v>
      </c>
      <c r="B210" s="49"/>
      <c r="C210" s="49"/>
      <c r="D210" s="140" t="s">
        <v>454</v>
      </c>
      <c r="E210" s="49" t="str">
        <f>VLOOKUP(D210,'03. Insumos'!A:D,2,0)</f>
        <v>Escavação Manual</v>
      </c>
      <c r="F210" s="68"/>
      <c r="G210" s="68" t="str">
        <f>VLOOKUP(D210,'03. Insumos'!A:F,3,0)</f>
        <v>m³</v>
      </c>
      <c r="H210" s="69">
        <v>1</v>
      </c>
      <c r="I210" s="141">
        <f>I204</f>
        <v>0</v>
      </c>
      <c r="J210" s="70">
        <f t="shared" si="28"/>
        <v>150</v>
      </c>
      <c r="K210" s="54">
        <f>IF(A210=0,VLOOKUP(D210,'03. Insumos'!A:F,4,0),"")</f>
        <v>150</v>
      </c>
      <c r="L210" s="338">
        <f t="shared" si="30"/>
        <v>0</v>
      </c>
      <c r="M210" s="153">
        <f t="shared" ca="1" si="20"/>
        <v>0</v>
      </c>
      <c r="O210" s="148">
        <f t="shared" si="27"/>
        <v>0</v>
      </c>
      <c r="P210" s="194"/>
      <c r="Q210" s="194"/>
      <c r="R210" s="12">
        <f t="shared" si="23"/>
        <v>-4.3689320388349415</v>
      </c>
    </row>
    <row r="211" spans="1:18" s="51" customFormat="1" ht="13.5" hidden="1" customHeight="1" outlineLevel="1" x14ac:dyDescent="0.3">
      <c r="A211" s="290">
        <f t="shared" si="21"/>
        <v>0</v>
      </c>
      <c r="B211" s="49"/>
      <c r="C211" s="49"/>
      <c r="D211" s="140" t="s">
        <v>455</v>
      </c>
      <c r="E211" s="49" t="str">
        <f>VLOOKUP(D211,'03. Insumos'!A:D,2,0)</f>
        <v>Acerto de Terreno MAT+MO</v>
      </c>
      <c r="F211" s="68"/>
      <c r="G211" s="68" t="str">
        <f>VLOOKUP(D211,'03. Insumos'!A:F,3,0)</f>
        <v>m²</v>
      </c>
      <c r="H211" s="69">
        <v>1</v>
      </c>
      <c r="I211" s="141"/>
      <c r="J211" s="70">
        <f t="shared" si="28"/>
        <v>20</v>
      </c>
      <c r="K211" s="54">
        <f>IF(A211=0,VLOOKUP(D211,'03. Insumos'!A:F,4,0),"")</f>
        <v>20</v>
      </c>
      <c r="L211" s="338">
        <f t="shared" si="30"/>
        <v>0</v>
      </c>
      <c r="M211" s="153">
        <f t="shared" ca="1" si="20"/>
        <v>0</v>
      </c>
      <c r="O211" s="148">
        <f t="shared" si="27"/>
        <v>0</v>
      </c>
      <c r="R211" s="12">
        <f t="shared" si="23"/>
        <v>-0.58252427184466171</v>
      </c>
    </row>
    <row r="212" spans="1:18" ht="13.5" hidden="1" customHeight="1" outlineLevel="1" x14ac:dyDescent="0.3">
      <c r="A212" s="290">
        <f t="shared" si="21"/>
        <v>6</v>
      </c>
      <c r="B212" s="4"/>
      <c r="C212" s="4" t="s">
        <v>1347</v>
      </c>
      <c r="D212" s="4" t="s">
        <v>1348</v>
      </c>
      <c r="E212" s="4"/>
      <c r="F212" s="56"/>
      <c r="G212" s="56" t="s">
        <v>29</v>
      </c>
      <c r="H212" s="57">
        <v>1</v>
      </c>
      <c r="I212" s="29"/>
      <c r="J212" s="58">
        <f t="shared" si="28"/>
        <v>0</v>
      </c>
      <c r="K212" s="27" t="str">
        <f>IF(A212=0,VLOOKUP(D212,'03. Insumos'!A:F,4,0),"")</f>
        <v/>
      </c>
      <c r="L212" s="58">
        <f>SUM(L213:L213)</f>
        <v>0</v>
      </c>
      <c r="M212" s="153">
        <f t="shared" ca="1" si="20"/>
        <v>0</v>
      </c>
      <c r="O212" s="148">
        <f t="shared" si="27"/>
        <v>0</v>
      </c>
      <c r="R212" s="12">
        <f t="shared" si="23"/>
        <v>0</v>
      </c>
    </row>
    <row r="213" spans="1:18" s="51" customFormat="1" ht="13.5" hidden="1" customHeight="1" outlineLevel="1" x14ac:dyDescent="0.3">
      <c r="A213" s="290">
        <f t="shared" si="21"/>
        <v>0</v>
      </c>
      <c r="B213" s="49"/>
      <c r="C213" s="49"/>
      <c r="D213" s="140" t="s">
        <v>443</v>
      </c>
      <c r="E213" s="49" t="str">
        <f>VLOOKUP(D213,'03. Insumos'!A:D,2,0)</f>
        <v>Bota Fora</v>
      </c>
      <c r="F213" s="68"/>
      <c r="G213" s="68" t="str">
        <f>VLOOKUP(D213,'03. Insumos'!A:F,3,0)</f>
        <v>m³</v>
      </c>
      <c r="H213" s="69">
        <v>1</v>
      </c>
      <c r="I213" s="141">
        <f>I204*1.3</f>
        <v>0</v>
      </c>
      <c r="J213" s="70">
        <f t="shared" si="28"/>
        <v>57.142857142857146</v>
      </c>
      <c r="K213" s="54">
        <f>IF(A213=0,VLOOKUP(D213,'03. Insumos'!A:F,4,0),"")</f>
        <v>57.142857142857146</v>
      </c>
      <c r="L213" s="338">
        <f>H213*J213*I213</f>
        <v>0</v>
      </c>
      <c r="M213" s="153">
        <f t="shared" ca="1" si="20"/>
        <v>0</v>
      </c>
      <c r="O213" s="148">
        <f t="shared" si="27"/>
        <v>0</v>
      </c>
      <c r="R213" s="12">
        <f t="shared" si="23"/>
        <v>-1.6643550624133141</v>
      </c>
    </row>
    <row r="214" spans="1:18" s="18" customFormat="1" ht="13.5" customHeight="1" collapsed="1" x14ac:dyDescent="0.3">
      <c r="A214" s="290">
        <f t="shared" si="21"/>
        <v>3</v>
      </c>
      <c r="B214" s="35"/>
      <c r="C214" s="35" t="s">
        <v>345</v>
      </c>
      <c r="D214" s="35" t="s">
        <v>942</v>
      </c>
      <c r="E214" s="35"/>
      <c r="F214" s="323"/>
      <c r="G214" s="323"/>
      <c r="H214" s="324"/>
      <c r="I214" s="37"/>
      <c r="J214" s="333"/>
      <c r="K214" s="38"/>
      <c r="L214" s="333">
        <f>SUMIF(A215:A255,4,L215:L255)</f>
        <v>1429454.2659840002</v>
      </c>
      <c r="M214" s="153">
        <f t="shared" ca="1" si="20"/>
        <v>2.4684846180445395E-2</v>
      </c>
      <c r="O214" s="148">
        <f t="shared" si="27"/>
        <v>0</v>
      </c>
      <c r="R214" s="12">
        <f t="shared" si="23"/>
        <v>0</v>
      </c>
    </row>
    <row r="215" spans="1:18" s="18" customFormat="1" ht="5.4" customHeight="1" outlineLevel="1" x14ac:dyDescent="0.3">
      <c r="A215" s="290">
        <f t="shared" si="21"/>
        <v>0</v>
      </c>
      <c r="B215" s="63"/>
      <c r="C215" s="63"/>
      <c r="D215" s="63"/>
      <c r="E215" s="63"/>
      <c r="F215" s="325"/>
      <c r="G215" s="325"/>
      <c r="H215" s="326"/>
      <c r="I215" s="65"/>
      <c r="J215" s="334"/>
      <c r="K215" s="66" t="e">
        <f>IF(A215=0,VLOOKUP(D215,'03. Insumos'!A:F,4,0),"")</f>
        <v>#N/A</v>
      </c>
      <c r="L215" s="334"/>
      <c r="M215" s="153">
        <f t="shared" ca="1" si="20"/>
        <v>0</v>
      </c>
      <c r="O215" s="148">
        <f t="shared" si="27"/>
        <v>0</v>
      </c>
      <c r="R215" s="12">
        <f t="shared" si="23"/>
        <v>0</v>
      </c>
    </row>
    <row r="216" spans="1:18" s="18" customFormat="1" ht="13.5" customHeight="1" outlineLevel="1" x14ac:dyDescent="0.3">
      <c r="A216" s="290">
        <f t="shared" si="21"/>
        <v>4</v>
      </c>
      <c r="B216" s="45"/>
      <c r="C216" s="45" t="s">
        <v>379</v>
      </c>
      <c r="D216" s="45" t="s">
        <v>979</v>
      </c>
      <c r="E216" s="45"/>
      <c r="F216" s="327"/>
      <c r="G216" s="329"/>
      <c r="H216" s="330"/>
      <c r="I216" s="47"/>
      <c r="J216" s="336"/>
      <c r="K216" s="48" t="str">
        <f>IF(A216=0,VLOOKUP(D216,'03. Insumos'!A:F,4,0),"")</f>
        <v/>
      </c>
      <c r="L216" s="335">
        <f>SUMIF(A217:A255,6,L217:L255)</f>
        <v>1429454.2659840002</v>
      </c>
      <c r="M216" s="153">
        <f t="shared" ca="1" si="20"/>
        <v>2.4684846180445395E-2</v>
      </c>
      <c r="O216" s="148">
        <f t="shared" si="27"/>
        <v>0</v>
      </c>
      <c r="R216" s="12">
        <f t="shared" si="23"/>
        <v>0</v>
      </c>
    </row>
    <row r="217" spans="1:18" ht="13.5" customHeight="1" outlineLevel="1" x14ac:dyDescent="0.3">
      <c r="A217" s="290">
        <f t="shared" si="21"/>
        <v>6</v>
      </c>
      <c r="B217" s="4"/>
      <c r="C217" s="4" t="s">
        <v>939</v>
      </c>
      <c r="D217" s="4" t="s">
        <v>2646</v>
      </c>
      <c r="E217" s="55"/>
      <c r="F217" s="56"/>
      <c r="G217" s="56"/>
      <c r="H217" s="57"/>
      <c r="I217" s="29"/>
      <c r="J217" s="58"/>
      <c r="K217" s="27" t="str">
        <f>IF(A217=0,VLOOKUP(D217,'03. Insumos'!A:F,4,0),"")</f>
        <v/>
      </c>
      <c r="L217" s="58">
        <f>SUM(L218:L223)</f>
        <v>478748.34086400003</v>
      </c>
      <c r="M217" s="153">
        <f t="shared" ref="M217:M328" ca="1" si="31">L217/$L$7</f>
        <v>8.2673712860874115E-3</v>
      </c>
      <c r="O217" s="148">
        <f t="shared" si="27"/>
        <v>0</v>
      </c>
      <c r="R217" s="12">
        <f t="shared" si="23"/>
        <v>0</v>
      </c>
    </row>
    <row r="218" spans="1:18" s="51" customFormat="1" ht="13.5" customHeight="1" outlineLevel="1" x14ac:dyDescent="0.3">
      <c r="A218" s="290">
        <f t="shared" si="21"/>
        <v>0</v>
      </c>
      <c r="B218" s="49"/>
      <c r="C218" s="49"/>
      <c r="D218" s="140" t="s">
        <v>133</v>
      </c>
      <c r="E218" s="67" t="str">
        <f>VLOOKUP(D218,'03. Insumos'!A:D,2,0)</f>
        <v>Projeto, Ampliação em Estrutura Metálica, Reforço de Paredes internas</v>
      </c>
      <c r="F218" s="68" t="s">
        <v>2612</v>
      </c>
      <c r="G218" s="68" t="str">
        <f>VLOOKUP(D218,'03. Insumos'!A:F,3,0)</f>
        <v>vb</v>
      </c>
      <c r="H218" s="69">
        <v>1</v>
      </c>
      <c r="I218" s="141">
        <f>((2*1.5*0.16)+(3.3*1*0.16)+(2*2.6*0.16*1.5))*1.2</f>
        <v>2.7072000000000003</v>
      </c>
      <c r="J218" s="70">
        <f t="shared" ref="J218:J223" si="32">IFERROR(IF(K218&lt;&gt;0,K218*$K$5,0),0)</f>
        <v>107600</v>
      </c>
      <c r="K218" s="54">
        <f>IF(A218=0,VLOOKUP(D218,'03. Insumos'!A:F,4,0),"")</f>
        <v>107600</v>
      </c>
      <c r="L218" s="70">
        <f t="shared" ref="L218:L223" si="33">H218*J218*I218</f>
        <v>291294.72000000003</v>
      </c>
      <c r="M218" s="153">
        <f t="shared" ca="1" si="31"/>
        <v>5.0302871015087064E-3</v>
      </c>
      <c r="O218" s="148">
        <f t="shared" si="27"/>
        <v>291294.72000000003</v>
      </c>
      <c r="R218" s="12">
        <f t="shared" si="23"/>
        <v>-3133.9805825242802</v>
      </c>
    </row>
    <row r="219" spans="1:18" s="51" customFormat="1" ht="13.5" hidden="1" customHeight="1" outlineLevel="1" x14ac:dyDescent="0.3">
      <c r="A219" s="290">
        <f t="shared" ref="A219:A330" si="34">LEN(C219)</f>
        <v>0</v>
      </c>
      <c r="B219" s="49"/>
      <c r="C219" s="49"/>
      <c r="D219" s="140" t="s">
        <v>2262</v>
      </c>
      <c r="E219" s="67" t="str">
        <f>VLOOKUP(D219,'03. Insumos'!A:D,2,0)</f>
        <v>Aterro com Areia</v>
      </c>
      <c r="F219" s="68"/>
      <c r="G219" s="68" t="str">
        <f>VLOOKUP(D219,'03. Insumos'!A:F,3,0)</f>
        <v>m³</v>
      </c>
      <c r="H219" s="69">
        <v>1</v>
      </c>
      <c r="I219" s="141"/>
      <c r="J219" s="70">
        <f t="shared" si="32"/>
        <v>400</v>
      </c>
      <c r="K219" s="54">
        <f>IF(A219=0,VLOOKUP(D219,'03. Insumos'!A:F,4,0),"")</f>
        <v>400</v>
      </c>
      <c r="L219" s="70">
        <f t="shared" si="33"/>
        <v>0</v>
      </c>
      <c r="M219" s="153">
        <f t="shared" ca="1" si="31"/>
        <v>0</v>
      </c>
      <c r="O219" s="148">
        <f t="shared" si="27"/>
        <v>0</v>
      </c>
      <c r="R219" s="12">
        <f t="shared" si="23"/>
        <v>-11.650485436893234</v>
      </c>
    </row>
    <row r="220" spans="1:18" s="51" customFormat="1" ht="13.5" hidden="1" customHeight="1" outlineLevel="1" x14ac:dyDescent="0.3">
      <c r="A220" s="290">
        <f t="shared" si="34"/>
        <v>0</v>
      </c>
      <c r="B220" s="49"/>
      <c r="C220" s="49"/>
      <c r="D220" s="140" t="s">
        <v>442</v>
      </c>
      <c r="E220" s="67" t="str">
        <f>VLOOKUP(D220,'03. Insumos'!A:D,2,0)</f>
        <v>Compactação com Sapinho</v>
      </c>
      <c r="F220" s="68"/>
      <c r="G220" s="68" t="str">
        <f>VLOOKUP(D220,'03. Insumos'!A:F,3,0)</f>
        <v>mês</v>
      </c>
      <c r="H220" s="69">
        <v>1</v>
      </c>
      <c r="I220" s="141"/>
      <c r="J220" s="70">
        <f t="shared" si="32"/>
        <v>520</v>
      </c>
      <c r="K220" s="54">
        <f>IF(A220=0,VLOOKUP(D220,'03. Insumos'!A:F,4,0),"")</f>
        <v>520</v>
      </c>
      <c r="L220" s="70">
        <f t="shared" si="33"/>
        <v>0</v>
      </c>
      <c r="M220" s="153">
        <f t="shared" ca="1" si="31"/>
        <v>0</v>
      </c>
      <c r="O220" s="148">
        <f t="shared" si="27"/>
        <v>0</v>
      </c>
      <c r="R220" s="12">
        <f t="shared" si="23"/>
        <v>-15.145631067961176</v>
      </c>
    </row>
    <row r="221" spans="1:18" s="51" customFormat="1" ht="13.5" customHeight="1" outlineLevel="1" x14ac:dyDescent="0.3">
      <c r="A221" s="290">
        <f t="shared" si="34"/>
        <v>0</v>
      </c>
      <c r="B221" s="49"/>
      <c r="C221" s="49"/>
      <c r="D221" s="140" t="s">
        <v>179</v>
      </c>
      <c r="E221" s="67" t="str">
        <f>VLOOKUP(D221,'03. Insumos'!A:D,2,0)</f>
        <v>Ampliação em Estr. Metálica + Laje</v>
      </c>
      <c r="F221" s="68" t="s">
        <v>2612</v>
      </c>
      <c r="G221" s="68" t="str">
        <f>VLOOKUP(D221,'03. Insumos'!A:F,3,0)</f>
        <v>m²</v>
      </c>
      <c r="H221" s="69">
        <v>1</v>
      </c>
      <c r="I221" s="141">
        <f>I218*110</f>
        <v>297.79200000000003</v>
      </c>
      <c r="J221" s="70">
        <f t="shared" si="32"/>
        <v>628.23199999999997</v>
      </c>
      <c r="K221" s="54">
        <f>IF(A221=0,VLOOKUP(D221,'03. Insumos'!A:F,4,0),"")</f>
        <v>628.23199999999997</v>
      </c>
      <c r="L221" s="70">
        <f t="shared" si="33"/>
        <v>187082.46374400001</v>
      </c>
      <c r="M221" s="153">
        <f t="shared" ca="1" si="31"/>
        <v>3.2306747760134933E-3</v>
      </c>
      <c r="O221" s="148">
        <f t="shared" si="27"/>
        <v>187082.46374400001</v>
      </c>
      <c r="R221" s="12">
        <f t="shared" si="23"/>
        <v>-18.298019417475757</v>
      </c>
    </row>
    <row r="222" spans="1:18" s="51" customFormat="1" ht="13.5" hidden="1" customHeight="1" outlineLevel="1" x14ac:dyDescent="0.3">
      <c r="A222" s="290">
        <f t="shared" si="34"/>
        <v>0</v>
      </c>
      <c r="B222" s="49"/>
      <c r="C222" s="49"/>
      <c r="D222" s="140" t="s">
        <v>441</v>
      </c>
      <c r="E222" s="67" t="str">
        <f>VLOOKUP(D222,'03. Insumos'!A:D,2,0)</f>
        <v>Lançamento de Concreto - Mat</v>
      </c>
      <c r="F222" s="68"/>
      <c r="G222" s="68" t="str">
        <f>VLOOKUP(D222,'03. Insumos'!A:F,3,0)</f>
        <v>Kg</v>
      </c>
      <c r="H222" s="69">
        <v>1</v>
      </c>
      <c r="I222" s="141"/>
      <c r="J222" s="70">
        <f t="shared" si="32"/>
        <v>1.48</v>
      </c>
      <c r="K222" s="54">
        <f>IF(A222=0,VLOOKUP(D222,'03. Insumos'!A:F,4,0),"")</f>
        <v>1.48</v>
      </c>
      <c r="L222" s="70">
        <f t="shared" si="33"/>
        <v>0</v>
      </c>
      <c r="M222" s="153">
        <f t="shared" ca="1" si="31"/>
        <v>0</v>
      </c>
      <c r="O222" s="148">
        <f t="shared" si="27"/>
        <v>0</v>
      </c>
      <c r="R222" s="12">
        <f t="shared" si="23"/>
        <v>-4.3106796116504809E-2</v>
      </c>
    </row>
    <row r="223" spans="1:18" s="51" customFormat="1" ht="13.5" customHeight="1" outlineLevel="1" x14ac:dyDescent="0.3">
      <c r="A223" s="290">
        <f t="shared" si="34"/>
        <v>0</v>
      </c>
      <c r="B223" s="49"/>
      <c r="C223" s="49"/>
      <c r="D223" s="140" t="s">
        <v>2260</v>
      </c>
      <c r="E223" s="67" t="str">
        <f>VLOOKUP(D223,'03. Insumos'!A:D,2,0)</f>
        <v>Forma (Mat - Chapa plastificada 12 mm+ perna 3'+ tábua)</v>
      </c>
      <c r="F223" s="68" t="s">
        <v>2612</v>
      </c>
      <c r="G223" s="68" t="str">
        <f>VLOOKUP(D223,'03. Insumos'!A:F,3,0)</f>
        <v>m²</v>
      </c>
      <c r="H223" s="69">
        <v>1</v>
      </c>
      <c r="I223" s="141">
        <f>I218/0.2</f>
        <v>13.536000000000001</v>
      </c>
      <c r="J223" s="70">
        <f t="shared" si="32"/>
        <v>27.42</v>
      </c>
      <c r="K223" s="54">
        <f>IF(A223=0,VLOOKUP(D223,'03. Insumos'!A:F,4,0),"")</f>
        <v>27.42</v>
      </c>
      <c r="L223" s="70">
        <f t="shared" si="33"/>
        <v>371.15712000000008</v>
      </c>
      <c r="M223" s="153">
        <f t="shared" ca="1" si="31"/>
        <v>6.4094085652123016E-6</v>
      </c>
      <c r="O223" s="148">
        <f t="shared" si="27"/>
        <v>371.15712000000008</v>
      </c>
      <c r="R223" s="12">
        <f t="shared" si="23"/>
        <v>-0.79864077669903111</v>
      </c>
    </row>
    <row r="224" spans="1:18" ht="13.5" customHeight="1" outlineLevel="1" x14ac:dyDescent="0.3">
      <c r="A224" s="290">
        <f t="shared" si="34"/>
        <v>6</v>
      </c>
      <c r="B224" s="4"/>
      <c r="C224" s="4" t="s">
        <v>1331</v>
      </c>
      <c r="D224" s="4" t="s">
        <v>2645</v>
      </c>
      <c r="E224" s="55"/>
      <c r="F224" s="56"/>
      <c r="G224" s="56"/>
      <c r="H224" s="57"/>
      <c r="I224" s="29"/>
      <c r="J224" s="58"/>
      <c r="K224" s="27" t="str">
        <f>IF(A224=0,VLOOKUP(D224,'03. Insumos'!A:F,4,0),"")</f>
        <v/>
      </c>
      <c r="L224" s="58">
        <f>SUM(L225:L230)</f>
        <v>950705.92512000003</v>
      </c>
      <c r="M224" s="153">
        <f t="shared" ca="1" si="31"/>
        <v>1.6417474894357981E-2</v>
      </c>
      <c r="O224" s="148">
        <f t="shared" si="27"/>
        <v>0</v>
      </c>
      <c r="R224" s="12">
        <f t="shared" ref="R224:R230" si="35">IF(J224&lt;&gt;0,J224/1.03-K224,0)</f>
        <v>0</v>
      </c>
    </row>
    <row r="225" spans="1:18" s="51" customFormat="1" ht="13.5" customHeight="1" outlineLevel="1" x14ac:dyDescent="0.3">
      <c r="A225" s="290">
        <f t="shared" si="34"/>
        <v>0</v>
      </c>
      <c r="B225" s="49"/>
      <c r="C225" s="49"/>
      <c r="D225" s="140" t="s">
        <v>133</v>
      </c>
      <c r="E225" s="67" t="str">
        <f>VLOOKUP(D225,'03. Insumos'!A:D,2,0)</f>
        <v>Projeto, Ampliação em Estrutura Metálica, Reforço de Paredes internas</v>
      </c>
      <c r="F225" s="68" t="s">
        <v>2612</v>
      </c>
      <c r="G225" s="68" t="str">
        <f>VLOOKUP(D225,'03. Insumos'!A:F,3,0)</f>
        <v>vb</v>
      </c>
      <c r="H225" s="69">
        <v>1</v>
      </c>
      <c r="I225" s="141">
        <f>(7*2*0.16*2)*1.2</f>
        <v>5.3760000000000003</v>
      </c>
      <c r="J225" s="70">
        <f t="shared" ref="J225:J230" si="36">IFERROR(IF(K225&lt;&gt;0,K225*$K$5,0),0)</f>
        <v>107600</v>
      </c>
      <c r="K225" s="54">
        <f>IF(A225=0,VLOOKUP(D225,'03. Insumos'!A:F,4,0),"")</f>
        <v>107600</v>
      </c>
      <c r="L225" s="70">
        <f t="shared" ref="L225:L230" si="37">H225*J225*I225</f>
        <v>578457.60000000009</v>
      </c>
      <c r="M225" s="153">
        <f t="shared" ca="1" si="31"/>
        <v>9.9892226129250899E-3</v>
      </c>
      <c r="O225" s="148">
        <f t="shared" si="27"/>
        <v>578457.60000000009</v>
      </c>
      <c r="R225" s="12">
        <f t="shared" si="35"/>
        <v>-3133.9805825242802</v>
      </c>
    </row>
    <row r="226" spans="1:18" s="51" customFormat="1" ht="13.5" hidden="1" customHeight="1" outlineLevel="1" x14ac:dyDescent="0.3">
      <c r="A226" s="290">
        <f>LEN(C226)</f>
        <v>0</v>
      </c>
      <c r="B226" s="49"/>
      <c r="C226" s="49"/>
      <c r="D226" s="140" t="s">
        <v>2262</v>
      </c>
      <c r="E226" s="67" t="str">
        <f>VLOOKUP(D226,'03. Insumos'!A:D,2,0)</f>
        <v>Aterro com Areia</v>
      </c>
      <c r="F226" s="68"/>
      <c r="G226" s="68" t="str">
        <f>VLOOKUP(D226,'03. Insumos'!A:F,3,0)</f>
        <v>m³</v>
      </c>
      <c r="H226" s="69">
        <v>1</v>
      </c>
      <c r="I226" s="141"/>
      <c r="J226" s="70">
        <f t="shared" si="36"/>
        <v>400</v>
      </c>
      <c r="K226" s="54">
        <f>IF(A226=0,VLOOKUP(D226,'03. Insumos'!A:F,4,0),"")</f>
        <v>400</v>
      </c>
      <c r="L226" s="70">
        <f t="shared" si="37"/>
        <v>0</v>
      </c>
      <c r="M226" s="153">
        <f t="shared" ca="1" si="31"/>
        <v>0</v>
      </c>
      <c r="O226" s="148">
        <f t="shared" si="27"/>
        <v>0</v>
      </c>
      <c r="R226" s="12">
        <f t="shared" si="35"/>
        <v>-11.650485436893234</v>
      </c>
    </row>
    <row r="227" spans="1:18" s="51" customFormat="1" ht="13.5" hidden="1" customHeight="1" outlineLevel="1" x14ac:dyDescent="0.3">
      <c r="A227" s="290">
        <f>LEN(C227)</f>
        <v>0</v>
      </c>
      <c r="B227" s="49"/>
      <c r="C227" s="49"/>
      <c r="D227" s="140" t="s">
        <v>442</v>
      </c>
      <c r="E227" s="67" t="str">
        <f>VLOOKUP(D227,'03. Insumos'!A:D,2,0)</f>
        <v>Compactação com Sapinho</v>
      </c>
      <c r="F227" s="68"/>
      <c r="G227" s="68" t="str">
        <f>VLOOKUP(D227,'03. Insumos'!A:F,3,0)</f>
        <v>mês</v>
      </c>
      <c r="H227" s="69">
        <v>1</v>
      </c>
      <c r="I227" s="141"/>
      <c r="J227" s="70">
        <f t="shared" si="36"/>
        <v>520</v>
      </c>
      <c r="K227" s="54">
        <f>IF(A227=0,VLOOKUP(D227,'03. Insumos'!A:F,4,0),"")</f>
        <v>520</v>
      </c>
      <c r="L227" s="70">
        <f t="shared" si="37"/>
        <v>0</v>
      </c>
      <c r="M227" s="153">
        <f t="shared" ca="1" si="31"/>
        <v>0</v>
      </c>
      <c r="O227" s="148">
        <f t="shared" si="27"/>
        <v>0</v>
      </c>
      <c r="R227" s="12">
        <f t="shared" si="35"/>
        <v>-15.145631067961176</v>
      </c>
    </row>
    <row r="228" spans="1:18" s="51" customFormat="1" ht="13.5" customHeight="1" outlineLevel="1" x14ac:dyDescent="0.3">
      <c r="A228" s="290">
        <f>LEN(C228)</f>
        <v>0</v>
      </c>
      <c r="B228" s="49"/>
      <c r="C228" s="49"/>
      <c r="D228" s="140" t="s">
        <v>179</v>
      </c>
      <c r="E228" s="67" t="str">
        <f>VLOOKUP(D228,'03. Insumos'!A:D,2,0)</f>
        <v>Ampliação em Estr. Metálica + Laje</v>
      </c>
      <c r="F228" s="68" t="s">
        <v>2612</v>
      </c>
      <c r="G228" s="68" t="str">
        <f>VLOOKUP(D228,'03. Insumos'!A:F,3,0)</f>
        <v>m²</v>
      </c>
      <c r="H228" s="69">
        <v>1</v>
      </c>
      <c r="I228" s="141">
        <f>I225*110</f>
        <v>591.36</v>
      </c>
      <c r="J228" s="70">
        <f t="shared" si="36"/>
        <v>628.23199999999997</v>
      </c>
      <c r="K228" s="54">
        <f>IF(A228=0,VLOOKUP(D228,'03. Insumos'!A:F,4,0),"")</f>
        <v>628.23199999999997</v>
      </c>
      <c r="L228" s="70">
        <f t="shared" si="37"/>
        <v>371511.27551999997</v>
      </c>
      <c r="M228" s="153">
        <f t="shared" ca="1" si="31"/>
        <v>6.4155243778991353E-3</v>
      </c>
      <c r="O228" s="148">
        <f t="shared" si="27"/>
        <v>371511.27551999997</v>
      </c>
      <c r="R228" s="12">
        <f t="shared" si="35"/>
        <v>-18.298019417475757</v>
      </c>
    </row>
    <row r="229" spans="1:18" s="51" customFormat="1" ht="13.5" hidden="1" customHeight="1" outlineLevel="1" x14ac:dyDescent="0.3">
      <c r="A229" s="290">
        <f>LEN(C229)</f>
        <v>0</v>
      </c>
      <c r="B229" s="49"/>
      <c r="C229" s="49"/>
      <c r="D229" s="140" t="s">
        <v>441</v>
      </c>
      <c r="E229" s="67" t="str">
        <f>VLOOKUP(D229,'03. Insumos'!A:D,2,0)</f>
        <v>Lançamento de Concreto - Mat</v>
      </c>
      <c r="F229" s="68"/>
      <c r="G229" s="68" t="str">
        <f>VLOOKUP(D229,'03. Insumos'!A:F,3,0)</f>
        <v>Kg</v>
      </c>
      <c r="H229" s="69">
        <v>1</v>
      </c>
      <c r="I229" s="141"/>
      <c r="J229" s="70">
        <f t="shared" si="36"/>
        <v>1.48</v>
      </c>
      <c r="K229" s="54">
        <f>IF(A229=0,VLOOKUP(D229,'03. Insumos'!A:F,4,0),"")</f>
        <v>1.48</v>
      </c>
      <c r="L229" s="70">
        <f t="shared" si="37"/>
        <v>0</v>
      </c>
      <c r="M229" s="153">
        <f t="shared" ca="1" si="31"/>
        <v>0</v>
      </c>
      <c r="O229" s="148">
        <f t="shared" si="27"/>
        <v>0</v>
      </c>
      <c r="R229" s="12">
        <f t="shared" si="35"/>
        <v>-4.3106796116504809E-2</v>
      </c>
    </row>
    <row r="230" spans="1:18" s="51" customFormat="1" ht="13.5" customHeight="1" outlineLevel="1" x14ac:dyDescent="0.3">
      <c r="A230" s="290">
        <f>LEN(C230)</f>
        <v>0</v>
      </c>
      <c r="B230" s="49"/>
      <c r="C230" s="49"/>
      <c r="D230" s="140" t="s">
        <v>2260</v>
      </c>
      <c r="E230" s="67" t="str">
        <f>VLOOKUP(D230,'03. Insumos'!A:D,2,0)</f>
        <v>Forma (Mat - Chapa plastificada 12 mm+ perna 3'+ tábua)</v>
      </c>
      <c r="F230" s="68" t="s">
        <v>2612</v>
      </c>
      <c r="G230" s="68" t="str">
        <f>VLOOKUP(D230,'03. Insumos'!A:F,3,0)</f>
        <v>m²</v>
      </c>
      <c r="H230" s="69">
        <v>1</v>
      </c>
      <c r="I230" s="141">
        <f>I225/0.2</f>
        <v>26.88</v>
      </c>
      <c r="J230" s="70">
        <f t="shared" si="36"/>
        <v>27.42</v>
      </c>
      <c r="K230" s="54">
        <f>IF(A230=0,VLOOKUP(D230,'03. Insumos'!A:F,4,0),"")</f>
        <v>27.42</v>
      </c>
      <c r="L230" s="70">
        <f t="shared" si="37"/>
        <v>737.04960000000005</v>
      </c>
      <c r="M230" s="153">
        <f t="shared" ca="1" si="31"/>
        <v>1.2727903533754924E-5</v>
      </c>
      <c r="O230" s="148">
        <f t="shared" si="27"/>
        <v>737.04960000000005</v>
      </c>
      <c r="R230" s="12">
        <f t="shared" si="35"/>
        <v>-0.79864077669903111</v>
      </c>
    </row>
    <row r="231" spans="1:18" ht="13.5" hidden="1" customHeight="1" outlineLevel="1" x14ac:dyDescent="0.3">
      <c r="A231" s="290">
        <f t="shared" si="34"/>
        <v>6</v>
      </c>
      <c r="B231" s="4"/>
      <c r="C231" s="4" t="s">
        <v>1332</v>
      </c>
      <c r="D231" s="4" t="s">
        <v>2528</v>
      </c>
      <c r="E231" s="4"/>
      <c r="F231" s="56"/>
      <c r="G231" s="56"/>
      <c r="H231" s="57"/>
      <c r="I231" s="29"/>
      <c r="J231" s="58"/>
      <c r="K231" s="27" t="str">
        <f>IF(A231=0,VLOOKUP(D231,'03. Insumos'!A:F,4,0),"")</f>
        <v/>
      </c>
      <c r="L231" s="58">
        <f>SUM(L232:L238)</f>
        <v>0</v>
      </c>
      <c r="M231" s="153">
        <f t="shared" ca="1" si="31"/>
        <v>0</v>
      </c>
      <c r="O231" s="148">
        <f t="shared" si="27"/>
        <v>0</v>
      </c>
      <c r="R231" s="12">
        <f>IF(J231&lt;&gt;0,J231/1.03-K231,0)</f>
        <v>0</v>
      </c>
    </row>
    <row r="232" spans="1:18" ht="13.5" hidden="1" customHeight="1" outlineLevel="1" x14ac:dyDescent="0.3">
      <c r="A232" s="290">
        <f t="shared" si="34"/>
        <v>0</v>
      </c>
      <c r="B232" s="4"/>
      <c r="C232" s="4"/>
      <c r="D232" s="140" t="s">
        <v>184</v>
      </c>
      <c r="E232" s="49" t="str">
        <f>VLOOKUP(D232,'03. Insumos'!A:D,2,0)</f>
        <v>Brita 0</v>
      </c>
      <c r="F232" s="68" t="s">
        <v>2612</v>
      </c>
      <c r="G232" s="68" t="str">
        <f>VLOOKUP(D232,'03. Insumos'!A:F,3,0)</f>
        <v>m³</v>
      </c>
      <c r="H232" s="69">
        <v>1</v>
      </c>
      <c r="I232" s="141"/>
      <c r="J232" s="70">
        <f t="shared" ref="J232:J238" si="38">IFERROR(IF(K232&lt;&gt;0,K232*$K$5,0),0)</f>
        <v>210</v>
      </c>
      <c r="K232" s="54">
        <f>IF(A232=0,VLOOKUP(D232,'03. Insumos'!A:F,4,0),"")</f>
        <v>210</v>
      </c>
      <c r="L232" s="70">
        <f>H232*J232*I232</f>
        <v>0</v>
      </c>
      <c r="M232" s="153">
        <f t="shared" ca="1" si="31"/>
        <v>0</v>
      </c>
      <c r="O232" s="148"/>
      <c r="R232" s="12"/>
    </row>
    <row r="233" spans="1:18" s="51" customFormat="1" ht="13.5" hidden="1" customHeight="1" outlineLevel="1" x14ac:dyDescent="0.3">
      <c r="A233" s="290">
        <f t="shared" si="34"/>
        <v>0</v>
      </c>
      <c r="B233" s="49"/>
      <c r="C233" s="49"/>
      <c r="D233" s="140" t="s">
        <v>133</v>
      </c>
      <c r="E233" s="49" t="str">
        <f>VLOOKUP(D233,'03. Insumos'!A:D,2,0)</f>
        <v>Projeto, Ampliação em Estrutura Metálica, Reforço de Paredes internas</v>
      </c>
      <c r="F233" s="68" t="s">
        <v>2612</v>
      </c>
      <c r="G233" s="68" t="str">
        <f>VLOOKUP(D233,'03. Insumos'!A:F,3,0)</f>
        <v>vb</v>
      </c>
      <c r="H233" s="69">
        <v>1</v>
      </c>
      <c r="I233" s="141"/>
      <c r="J233" s="70">
        <f t="shared" si="38"/>
        <v>107600</v>
      </c>
      <c r="K233" s="54">
        <f>IF(A233=0,VLOOKUP(D233,'03. Insumos'!A:F,4,0),"")</f>
        <v>107600</v>
      </c>
      <c r="L233" s="70">
        <f t="shared" ref="L233:L238" si="39">H233*J233*I233</f>
        <v>0</v>
      </c>
      <c r="M233" s="153">
        <f t="shared" ca="1" si="31"/>
        <v>0</v>
      </c>
      <c r="O233" s="148">
        <f t="shared" si="27"/>
        <v>0</v>
      </c>
      <c r="R233" s="12">
        <f t="shared" ref="R233:R239" si="40">IF(J233&lt;&gt;0,J233/1.03-K233,0)</f>
        <v>-3133.9805825242802</v>
      </c>
    </row>
    <row r="234" spans="1:18" s="51" customFormat="1" ht="13.5" hidden="1" customHeight="1" outlineLevel="1" x14ac:dyDescent="0.3">
      <c r="A234" s="290">
        <f t="shared" si="34"/>
        <v>0</v>
      </c>
      <c r="B234" s="49"/>
      <c r="C234" s="49"/>
      <c r="D234" s="140" t="s">
        <v>2262</v>
      </c>
      <c r="E234" s="49" t="str">
        <f>VLOOKUP(D234,'03. Insumos'!A:D,2,0)</f>
        <v>Aterro com Areia</v>
      </c>
      <c r="F234" s="68" t="s">
        <v>2612</v>
      </c>
      <c r="G234" s="68" t="str">
        <f>VLOOKUP(D234,'03. Insumos'!A:F,3,0)</f>
        <v>m³</v>
      </c>
      <c r="H234" s="69">
        <v>1</v>
      </c>
      <c r="I234" s="141"/>
      <c r="J234" s="70">
        <f t="shared" si="38"/>
        <v>400</v>
      </c>
      <c r="K234" s="54">
        <f>IF(A234=0,VLOOKUP(D234,'03. Insumos'!A:F,4,0),"")</f>
        <v>400</v>
      </c>
      <c r="L234" s="70">
        <f t="shared" si="39"/>
        <v>0</v>
      </c>
      <c r="M234" s="153">
        <f t="shared" ca="1" si="31"/>
        <v>0</v>
      </c>
      <c r="O234" s="148">
        <f t="shared" si="27"/>
        <v>0</v>
      </c>
      <c r="R234" s="12">
        <f t="shared" si="40"/>
        <v>-11.650485436893234</v>
      </c>
    </row>
    <row r="235" spans="1:18" s="51" customFormat="1" ht="13.5" hidden="1" customHeight="1" outlineLevel="1" x14ac:dyDescent="0.3">
      <c r="A235" s="290">
        <f t="shared" si="34"/>
        <v>0</v>
      </c>
      <c r="B235" s="49"/>
      <c r="C235" s="49"/>
      <c r="D235" s="140" t="s">
        <v>442</v>
      </c>
      <c r="E235" s="49" t="str">
        <f>VLOOKUP(D235,'03. Insumos'!A:D,2,0)</f>
        <v>Compactação com Sapinho</v>
      </c>
      <c r="F235" s="68"/>
      <c r="G235" s="68" t="str">
        <f>VLOOKUP(D235,'03. Insumos'!A:F,3,0)</f>
        <v>mês</v>
      </c>
      <c r="H235" s="69"/>
      <c r="I235" s="141"/>
      <c r="J235" s="70">
        <f t="shared" si="38"/>
        <v>520</v>
      </c>
      <c r="K235" s="54">
        <f>IF(A235=0,VLOOKUP(D235,'03. Insumos'!A:F,4,0),"")</f>
        <v>520</v>
      </c>
      <c r="L235" s="70">
        <f t="shared" si="39"/>
        <v>0</v>
      </c>
      <c r="M235" s="153">
        <f t="shared" ca="1" si="31"/>
        <v>0</v>
      </c>
      <c r="O235" s="148">
        <f t="shared" si="27"/>
        <v>0</v>
      </c>
      <c r="R235" s="12">
        <f t="shared" si="40"/>
        <v>-15.145631067961176</v>
      </c>
    </row>
    <row r="236" spans="1:18" s="51" customFormat="1" ht="13.5" hidden="1" customHeight="1" outlineLevel="1" x14ac:dyDescent="0.3">
      <c r="A236" s="290">
        <f t="shared" si="34"/>
        <v>0</v>
      </c>
      <c r="B236" s="49"/>
      <c r="C236" s="49"/>
      <c r="D236" s="140" t="s">
        <v>2281</v>
      </c>
      <c r="E236" s="49" t="str">
        <f>VLOOKUP(D236,'03. Insumos'!A:D,2,0)</f>
        <v>Fornecimento de tela Q138 (4.2 mm)</v>
      </c>
      <c r="F236" s="68" t="s">
        <v>2612</v>
      </c>
      <c r="G236" s="68" t="str">
        <f>VLOOKUP(D236,'03. Insumos'!A:F,3,0)</f>
        <v>Painel</v>
      </c>
      <c r="H236" s="69">
        <v>1</v>
      </c>
      <c r="I236" s="141"/>
      <c r="J236" s="70">
        <f t="shared" si="38"/>
        <v>145</v>
      </c>
      <c r="K236" s="54">
        <f>IF(A236=0,VLOOKUP(D236,'03. Insumos'!A:F,4,0),"")</f>
        <v>145</v>
      </c>
      <c r="L236" s="70">
        <f t="shared" si="39"/>
        <v>0</v>
      </c>
      <c r="M236" s="153">
        <f t="shared" ca="1" si="31"/>
        <v>0</v>
      </c>
      <c r="O236" s="148">
        <f t="shared" ref="O236:O298" si="41">IF(I236&lt;&gt;0,I236*H236*K236,)</f>
        <v>0</v>
      </c>
      <c r="R236" s="12">
        <f t="shared" si="40"/>
        <v>-4.2233009708737939</v>
      </c>
    </row>
    <row r="237" spans="1:18" s="51" customFormat="1" ht="13.5" hidden="1" customHeight="1" outlineLevel="1" x14ac:dyDescent="0.3">
      <c r="A237" s="290">
        <f t="shared" si="34"/>
        <v>0</v>
      </c>
      <c r="B237" s="49"/>
      <c r="C237" s="49"/>
      <c r="D237" s="140" t="s">
        <v>441</v>
      </c>
      <c r="E237" s="49" t="str">
        <f>VLOOKUP(D237,'03. Insumos'!A:D,2,0)</f>
        <v>Lançamento de Concreto - Mat</v>
      </c>
      <c r="F237" s="68"/>
      <c r="G237" s="68" t="str">
        <f>VLOOKUP(D237,'03. Insumos'!A:F,3,0)</f>
        <v>Kg</v>
      </c>
      <c r="H237" s="69"/>
      <c r="I237" s="141"/>
      <c r="J237" s="70">
        <f t="shared" si="38"/>
        <v>1.48</v>
      </c>
      <c r="K237" s="54">
        <f>IF(A237=0,VLOOKUP(D237,'03. Insumos'!A:F,4,0),"")</f>
        <v>1.48</v>
      </c>
      <c r="L237" s="338">
        <f t="shared" si="39"/>
        <v>0</v>
      </c>
      <c r="M237" s="153">
        <f t="shared" ca="1" si="31"/>
        <v>0</v>
      </c>
      <c r="O237" s="148">
        <f t="shared" si="41"/>
        <v>0</v>
      </c>
      <c r="R237" s="12">
        <f t="shared" si="40"/>
        <v>-4.3106796116504809E-2</v>
      </c>
    </row>
    <row r="238" spans="1:18" s="51" customFormat="1" ht="13.5" hidden="1" customHeight="1" outlineLevel="1" x14ac:dyDescent="0.3">
      <c r="A238" s="290">
        <f t="shared" si="34"/>
        <v>0</v>
      </c>
      <c r="B238" s="49"/>
      <c r="C238" s="49"/>
      <c r="D238" s="140" t="s">
        <v>238</v>
      </c>
      <c r="E238" s="49" t="str">
        <f>VLOOKUP(D238,'03. Insumos'!A:D,2,0)</f>
        <v>Forma MAT+MO</v>
      </c>
      <c r="F238" s="68"/>
      <c r="G238" s="68" t="str">
        <f>VLOOKUP(D238,'03. Insumos'!A:F,3,0)</f>
        <v>m²</v>
      </c>
      <c r="H238" s="69"/>
      <c r="I238" s="141"/>
      <c r="J238" s="70">
        <f t="shared" si="38"/>
        <v>78</v>
      </c>
      <c r="K238" s="54">
        <f>IF(A238=0,VLOOKUP(D238,'03. Insumos'!A:F,4,0),"")</f>
        <v>78</v>
      </c>
      <c r="L238" s="338">
        <f t="shared" si="39"/>
        <v>0</v>
      </c>
      <c r="M238" s="153">
        <f t="shared" ca="1" si="31"/>
        <v>0</v>
      </c>
      <c r="O238" s="148">
        <f t="shared" si="41"/>
        <v>0</v>
      </c>
      <c r="R238" s="12">
        <f t="shared" si="40"/>
        <v>-2.2718446601941764</v>
      </c>
    </row>
    <row r="239" spans="1:18" ht="13.5" hidden="1" customHeight="1" outlineLevel="1" x14ac:dyDescent="0.3">
      <c r="A239" s="290">
        <f t="shared" si="34"/>
        <v>6</v>
      </c>
      <c r="B239" s="4"/>
      <c r="C239" s="4" t="s">
        <v>1332</v>
      </c>
      <c r="D239" s="4" t="s">
        <v>2111</v>
      </c>
      <c r="E239" s="4"/>
      <c r="F239" s="56"/>
      <c r="G239" s="56" t="s">
        <v>73</v>
      </c>
      <c r="H239" s="57"/>
      <c r="I239" s="29"/>
      <c r="J239" s="58"/>
      <c r="K239" s="27" t="str">
        <f>IF(A239=0,VLOOKUP(D239,'03. Insumos'!A:F,4,0),"")</f>
        <v/>
      </c>
      <c r="L239" s="58">
        <f>SUM(L240:L248)</f>
        <v>0</v>
      </c>
      <c r="M239" s="153">
        <f t="shared" ca="1" si="31"/>
        <v>0</v>
      </c>
      <c r="O239" s="148">
        <f>IF(I239&lt;&gt;0,I239*H239*K239,)</f>
        <v>0</v>
      </c>
      <c r="R239" s="12">
        <f t="shared" si="40"/>
        <v>0</v>
      </c>
    </row>
    <row r="240" spans="1:18" ht="13.5" hidden="1" customHeight="1" outlineLevel="1" x14ac:dyDescent="0.3">
      <c r="A240" s="290">
        <f t="shared" si="34"/>
        <v>0</v>
      </c>
      <c r="B240" s="4"/>
      <c r="C240" s="4"/>
      <c r="D240" s="140" t="s">
        <v>2109</v>
      </c>
      <c r="E240" s="49" t="str">
        <f>VLOOKUP(D240,'03. Insumos'!A:D,2,0)</f>
        <v>Escada Tipo Caracol</v>
      </c>
      <c r="F240" s="68"/>
      <c r="G240" s="68" t="str">
        <f>VLOOKUP(D240,'03. Insumos'!A:F,3,0)</f>
        <v>unid</v>
      </c>
      <c r="H240" s="69">
        <v>1</v>
      </c>
      <c r="I240" s="141">
        <f>H239</f>
        <v>0</v>
      </c>
      <c r="J240" s="70">
        <f t="shared" ref="J240:J248" si="42">IFERROR(IF(K240&lt;&gt;0,K240*$K$5,0),0)</f>
        <v>4280</v>
      </c>
      <c r="K240" s="54">
        <f>IF(A240=0,VLOOKUP(D240,'03. Insumos'!A:F,4,0),"")</f>
        <v>4280</v>
      </c>
      <c r="L240" s="338">
        <f t="shared" ref="L240:L248" si="43">H240*J240*I240</f>
        <v>0</v>
      </c>
      <c r="M240" s="153">
        <f t="shared" ca="1" si="31"/>
        <v>0</v>
      </c>
      <c r="O240" s="148"/>
      <c r="R240" s="12"/>
    </row>
    <row r="241" spans="1:18" ht="13.5" hidden="1" customHeight="1" outlineLevel="1" x14ac:dyDescent="0.3">
      <c r="A241" s="290">
        <f t="shared" si="34"/>
        <v>0</v>
      </c>
      <c r="B241" s="4"/>
      <c r="C241" s="4"/>
      <c r="D241" s="140" t="s">
        <v>2153</v>
      </c>
      <c r="E241" s="49" t="str">
        <f>VLOOKUP(D241,'03. Insumos'!A:D,2,0)</f>
        <v>Escada tipo reta</v>
      </c>
      <c r="F241" s="68"/>
      <c r="G241" s="68" t="str">
        <f>VLOOKUP(D241,'03. Insumos'!A:F,3,0)</f>
        <v>unid</v>
      </c>
      <c r="H241" s="69">
        <v>1</v>
      </c>
      <c r="I241" s="141">
        <f>ROUNDUP((H239/(2.45*6)),0)</f>
        <v>0</v>
      </c>
      <c r="J241" s="70">
        <f t="shared" si="42"/>
        <v>7350</v>
      </c>
      <c r="K241" s="54">
        <f>IF(A241=0,VLOOKUP(D241,'03. Insumos'!A:F,4,0),"")</f>
        <v>7350</v>
      </c>
      <c r="L241" s="338">
        <f>H241*J241*I241</f>
        <v>0</v>
      </c>
      <c r="M241" s="153">
        <f t="shared" ca="1" si="31"/>
        <v>0</v>
      </c>
      <c r="O241" s="148"/>
      <c r="R241" s="12"/>
    </row>
    <row r="242" spans="1:18" ht="13.5" hidden="1" customHeight="1" outlineLevel="1" x14ac:dyDescent="0.3">
      <c r="A242" s="290">
        <f t="shared" si="34"/>
        <v>0</v>
      </c>
      <c r="B242" s="4"/>
      <c r="C242" s="4"/>
      <c r="D242" s="140" t="s">
        <v>2154</v>
      </c>
      <c r="E242" s="49" t="str">
        <f>VLOOKUP(D242,'03. Insumos'!A:D,2,0)</f>
        <v>Aterro com Brita</v>
      </c>
      <c r="F242" s="68"/>
      <c r="G242" s="68" t="str">
        <f>VLOOKUP(D242,'03. Insumos'!A:F,3,0)</f>
        <v>m³</v>
      </c>
      <c r="H242" s="69">
        <v>1</v>
      </c>
      <c r="I242" s="141">
        <f>H239*0.06</f>
        <v>0</v>
      </c>
      <c r="J242" s="70">
        <f t="shared" si="42"/>
        <v>266</v>
      </c>
      <c r="K242" s="54">
        <f>IF(A242=0,VLOOKUP(D242,'03. Insumos'!A:F,4,0),"")</f>
        <v>266</v>
      </c>
      <c r="L242" s="338">
        <f>H242*J242*I242</f>
        <v>0</v>
      </c>
      <c r="M242" s="153">
        <f t="shared" ca="1" si="31"/>
        <v>0</v>
      </c>
      <c r="O242" s="148"/>
      <c r="R242" s="12"/>
    </row>
    <row r="243" spans="1:18" s="51" customFormat="1" ht="13.5" hidden="1" customHeight="1" outlineLevel="1" x14ac:dyDescent="0.3">
      <c r="A243" s="290">
        <f t="shared" si="34"/>
        <v>0</v>
      </c>
      <c r="B243" s="49"/>
      <c r="C243" s="49"/>
      <c r="D243" s="140" t="s">
        <v>133</v>
      </c>
      <c r="E243" s="49" t="str">
        <f>VLOOKUP(D243,'03. Insumos'!A:D,2,0)</f>
        <v>Projeto, Ampliação em Estrutura Metálica, Reforço de Paredes internas</v>
      </c>
      <c r="F243" s="68"/>
      <c r="G243" s="68" t="str">
        <f>VLOOKUP(D243,'03. Insumos'!A:F,3,0)</f>
        <v>vb</v>
      </c>
      <c r="H243" s="69">
        <v>1</v>
      </c>
      <c r="I243" s="141"/>
      <c r="J243" s="70">
        <f t="shared" si="42"/>
        <v>107600</v>
      </c>
      <c r="K243" s="54">
        <f>IF(A243=0,VLOOKUP(D243,'03. Insumos'!A:F,4,0),"")</f>
        <v>107600</v>
      </c>
      <c r="L243" s="338">
        <f t="shared" si="43"/>
        <v>0</v>
      </c>
      <c r="M243" s="153">
        <f t="shared" ca="1" si="31"/>
        <v>0</v>
      </c>
      <c r="O243" s="148">
        <f t="shared" ref="O243:O248" si="44">IF(I243&lt;&gt;0,I243*H243*K243,)</f>
        <v>0</v>
      </c>
      <c r="R243" s="12">
        <f t="shared" ref="R243:R260" si="45">IF(J243&lt;&gt;0,J243/1.03-K243,0)</f>
        <v>-3133.9805825242802</v>
      </c>
    </row>
    <row r="244" spans="1:18" s="51" customFormat="1" ht="13.5" hidden="1" customHeight="1" outlineLevel="1" x14ac:dyDescent="0.3">
      <c r="A244" s="290">
        <f t="shared" si="34"/>
        <v>0</v>
      </c>
      <c r="B244" s="49"/>
      <c r="C244" s="49"/>
      <c r="D244" s="140" t="s">
        <v>134</v>
      </c>
      <c r="E244" s="49" t="str">
        <f>VLOOKUP(D244,'03. Insumos'!A:D,2,0)</f>
        <v>Bombeamento de concreto - até 40m³</v>
      </c>
      <c r="F244" s="68"/>
      <c r="G244" s="68" t="str">
        <f>VLOOKUP(D244,'03. Insumos'!A:F,3,0)</f>
        <v>dia</v>
      </c>
      <c r="H244" s="69">
        <v>1</v>
      </c>
      <c r="I244" s="141"/>
      <c r="J244" s="70">
        <f t="shared" si="42"/>
        <v>2400</v>
      </c>
      <c r="K244" s="54">
        <f>IF(A244=0,VLOOKUP(D244,'03. Insumos'!A:F,4,0),"")</f>
        <v>2400</v>
      </c>
      <c r="L244" s="338">
        <f t="shared" si="43"/>
        <v>0</v>
      </c>
      <c r="M244" s="153">
        <f t="shared" ca="1" si="31"/>
        <v>0</v>
      </c>
      <c r="O244" s="148">
        <f t="shared" si="44"/>
        <v>0</v>
      </c>
      <c r="R244" s="12">
        <f t="shared" si="45"/>
        <v>-69.902912621359064</v>
      </c>
    </row>
    <row r="245" spans="1:18" s="51" customFormat="1" ht="13.5" hidden="1" customHeight="1" outlineLevel="1" x14ac:dyDescent="0.3">
      <c r="A245" s="290">
        <f t="shared" si="34"/>
        <v>0</v>
      </c>
      <c r="B245" s="49"/>
      <c r="C245" s="49"/>
      <c r="D245" s="140" t="s">
        <v>442</v>
      </c>
      <c r="E245" s="49" t="str">
        <f>VLOOKUP(D245,'03. Insumos'!A:D,2,0)</f>
        <v>Compactação com Sapinho</v>
      </c>
      <c r="F245" s="68"/>
      <c r="G245" s="68" t="str">
        <f>VLOOKUP(D245,'03. Insumos'!A:F,3,0)</f>
        <v>mês</v>
      </c>
      <c r="H245" s="69">
        <v>1</v>
      </c>
      <c r="I245" s="141"/>
      <c r="J245" s="70">
        <f t="shared" si="42"/>
        <v>520</v>
      </c>
      <c r="K245" s="54">
        <f>IF(A245=0,VLOOKUP(D245,'03. Insumos'!A:F,4,0),"")</f>
        <v>520</v>
      </c>
      <c r="L245" s="338">
        <f t="shared" si="43"/>
        <v>0</v>
      </c>
      <c r="M245" s="153">
        <f t="shared" ca="1" si="31"/>
        <v>0</v>
      </c>
      <c r="O245" s="148">
        <f t="shared" si="44"/>
        <v>0</v>
      </c>
      <c r="R245" s="12">
        <f t="shared" si="45"/>
        <v>-15.145631067961176</v>
      </c>
    </row>
    <row r="246" spans="1:18" s="51" customFormat="1" ht="13.5" hidden="1" customHeight="1" outlineLevel="1" x14ac:dyDescent="0.3">
      <c r="A246" s="290">
        <f t="shared" si="34"/>
        <v>0</v>
      </c>
      <c r="B246" s="49"/>
      <c r="C246" s="49"/>
      <c r="D246" s="140" t="s">
        <v>179</v>
      </c>
      <c r="E246" s="49" t="str">
        <f>VLOOKUP(D246,'03. Insumos'!A:D,2,0)</f>
        <v>Ampliação em Estr. Metálica + Laje</v>
      </c>
      <c r="F246" s="68"/>
      <c r="G246" s="68" t="str">
        <f>VLOOKUP(D246,'03. Insumos'!A:F,3,0)</f>
        <v>m²</v>
      </c>
      <c r="H246" s="69">
        <v>1</v>
      </c>
      <c r="I246" s="141"/>
      <c r="J246" s="70">
        <f t="shared" si="42"/>
        <v>628.23199999999997</v>
      </c>
      <c r="K246" s="54">
        <f>IF(A246=0,VLOOKUP(D246,'03. Insumos'!A:F,4,0),"")</f>
        <v>628.23199999999997</v>
      </c>
      <c r="L246" s="338">
        <f t="shared" si="43"/>
        <v>0</v>
      </c>
      <c r="M246" s="153">
        <f t="shared" ca="1" si="31"/>
        <v>0</v>
      </c>
      <c r="O246" s="148">
        <f t="shared" si="44"/>
        <v>0</v>
      </c>
      <c r="R246" s="12">
        <f t="shared" si="45"/>
        <v>-18.298019417475757</v>
      </c>
    </row>
    <row r="247" spans="1:18" s="51" customFormat="1" ht="13.5" hidden="1" customHeight="1" outlineLevel="1" x14ac:dyDescent="0.3">
      <c r="A247" s="290">
        <f t="shared" si="34"/>
        <v>0</v>
      </c>
      <c r="B247" s="49"/>
      <c r="C247" s="49"/>
      <c r="D247" s="140" t="s">
        <v>441</v>
      </c>
      <c r="E247" s="49" t="str">
        <f>VLOOKUP(D247,'03. Insumos'!A:D,2,0)</f>
        <v>Lançamento de Concreto - Mat</v>
      </c>
      <c r="F247" s="68"/>
      <c r="G247" s="68" t="str">
        <f>VLOOKUP(D247,'03. Insumos'!A:F,3,0)</f>
        <v>Kg</v>
      </c>
      <c r="H247" s="69">
        <v>1</v>
      </c>
      <c r="I247" s="141">
        <f>I243*100</f>
        <v>0</v>
      </c>
      <c r="J247" s="70">
        <f t="shared" si="42"/>
        <v>1.48</v>
      </c>
      <c r="K247" s="54">
        <f>IF(A247=0,VLOOKUP(D247,'03. Insumos'!A:F,4,0),"")</f>
        <v>1.48</v>
      </c>
      <c r="L247" s="338">
        <f t="shared" si="43"/>
        <v>0</v>
      </c>
      <c r="M247" s="153">
        <f t="shared" ca="1" si="31"/>
        <v>0</v>
      </c>
      <c r="O247" s="148">
        <f t="shared" si="44"/>
        <v>0</v>
      </c>
      <c r="R247" s="12">
        <f t="shared" si="45"/>
        <v>-4.3106796116504809E-2</v>
      </c>
    </row>
    <row r="248" spans="1:18" s="51" customFormat="1" ht="13.5" hidden="1" customHeight="1" outlineLevel="1" x14ac:dyDescent="0.3">
      <c r="A248" s="290">
        <f t="shared" si="34"/>
        <v>0</v>
      </c>
      <c r="B248" s="49"/>
      <c r="C248" s="49"/>
      <c r="D248" s="140" t="s">
        <v>238</v>
      </c>
      <c r="E248" s="49" t="str">
        <f>VLOOKUP(D248,'03. Insumos'!A:D,2,0)</f>
        <v>Forma MAT+MO</v>
      </c>
      <c r="F248" s="68"/>
      <c r="G248" s="68" t="str">
        <f>VLOOKUP(D248,'03. Insumos'!A:F,3,0)</f>
        <v>m²</v>
      </c>
      <c r="H248" s="69">
        <v>1</v>
      </c>
      <c r="I248" s="141"/>
      <c r="J248" s="70">
        <f t="shared" si="42"/>
        <v>78</v>
      </c>
      <c r="K248" s="54">
        <f>IF(A248=0,VLOOKUP(D248,'03. Insumos'!A:F,4,0),"")</f>
        <v>78</v>
      </c>
      <c r="L248" s="338">
        <f t="shared" si="43"/>
        <v>0</v>
      </c>
      <c r="M248" s="153">
        <f t="shared" ca="1" si="31"/>
        <v>0</v>
      </c>
      <c r="O248" s="148">
        <f t="shared" si="44"/>
        <v>0</v>
      </c>
      <c r="R248" s="12">
        <f t="shared" si="45"/>
        <v>-2.2718446601941764</v>
      </c>
    </row>
    <row r="249" spans="1:18" ht="13.5" hidden="1" customHeight="1" outlineLevel="1" x14ac:dyDescent="0.3">
      <c r="A249" s="290">
        <f t="shared" si="34"/>
        <v>6</v>
      </c>
      <c r="B249" s="4"/>
      <c r="C249" s="4" t="s">
        <v>2110</v>
      </c>
      <c r="D249" s="4" t="s">
        <v>2241</v>
      </c>
      <c r="E249" s="4"/>
      <c r="F249" s="56"/>
      <c r="G249" s="56" t="s">
        <v>72</v>
      </c>
      <c r="H249" s="57"/>
      <c r="I249" s="29"/>
      <c r="J249" s="58"/>
      <c r="K249" s="27" t="str">
        <f>IF(A249=0,VLOOKUP(D249,'03. Insumos'!A:F,4,0),"")</f>
        <v/>
      </c>
      <c r="L249" s="58">
        <f>SUM(L250:L251)</f>
        <v>0</v>
      </c>
      <c r="M249" s="153">
        <f t="shared" ca="1" si="31"/>
        <v>0</v>
      </c>
      <c r="O249" s="148">
        <f t="shared" si="41"/>
        <v>0</v>
      </c>
      <c r="R249" s="12">
        <f t="shared" si="45"/>
        <v>0</v>
      </c>
    </row>
    <row r="250" spans="1:18" s="51" customFormat="1" ht="13.5" hidden="1" customHeight="1" outlineLevel="1" x14ac:dyDescent="0.3">
      <c r="A250" s="290">
        <f t="shared" si="34"/>
        <v>0</v>
      </c>
      <c r="B250" s="49"/>
      <c r="C250" s="49"/>
      <c r="D250" s="140" t="s">
        <v>2242</v>
      </c>
      <c r="E250" s="49" t="str">
        <f>VLOOKUP(D250,'03. Insumos'!A:D,2,0)</f>
        <v>Execução de Light Steel frame</v>
      </c>
      <c r="F250" s="68"/>
      <c r="G250" s="68" t="str">
        <f>VLOOKUP(D250,'03. Insumos'!A:F,3,0)</f>
        <v>vb</v>
      </c>
      <c r="H250" s="69">
        <v>1</v>
      </c>
      <c r="I250" s="141"/>
      <c r="J250" s="70">
        <f t="shared" ref="J250:J255" si="46">IFERROR(IF(K250&lt;&gt;0,K250*$K$5,0),0)</f>
        <v>68550.52</v>
      </c>
      <c r="K250" s="54">
        <f>IF(A250=0,VLOOKUP(D250,'03. Insumos'!A:F,4,0),"")</f>
        <v>68550.52</v>
      </c>
      <c r="L250" s="338">
        <f t="shared" ref="L250:L255" si="47">H250*J250*I250</f>
        <v>0</v>
      </c>
      <c r="M250" s="153">
        <f t="shared" ca="1" si="31"/>
        <v>0</v>
      </c>
      <c r="O250" s="148">
        <f t="shared" si="41"/>
        <v>0</v>
      </c>
      <c r="R250" s="12">
        <f t="shared" si="45"/>
        <v>-1996.6170873786468</v>
      </c>
    </row>
    <row r="251" spans="1:18" s="51" customFormat="1" ht="13.5" hidden="1" customHeight="1" outlineLevel="1" x14ac:dyDescent="0.3">
      <c r="A251" s="290">
        <f t="shared" si="34"/>
        <v>0</v>
      </c>
      <c r="B251" s="49"/>
      <c r="C251" s="49"/>
      <c r="D251" s="140" t="s">
        <v>2245</v>
      </c>
      <c r="E251" s="49" t="str">
        <f>VLOOKUP(D251,'03. Insumos'!A:D,2,0)</f>
        <v>Projeto de Light Steel Frame</v>
      </c>
      <c r="F251" s="68"/>
      <c r="G251" s="68" t="str">
        <f>VLOOKUP(D251,'03. Insumos'!A:F,3,0)</f>
        <v>vb</v>
      </c>
      <c r="H251" s="69">
        <v>1</v>
      </c>
      <c r="I251" s="141"/>
      <c r="J251" s="70">
        <f t="shared" si="46"/>
        <v>2000</v>
      </c>
      <c r="K251" s="54">
        <f>IF(A251=0,VLOOKUP(D251,'03. Insumos'!A:F,4,0),"")</f>
        <v>2000</v>
      </c>
      <c r="L251" s="338">
        <f t="shared" si="47"/>
        <v>0</v>
      </c>
      <c r="M251" s="153">
        <f t="shared" ca="1" si="31"/>
        <v>0</v>
      </c>
      <c r="O251" s="148">
        <f t="shared" si="41"/>
        <v>0</v>
      </c>
      <c r="R251" s="12">
        <f t="shared" si="45"/>
        <v>-58.252427184466114</v>
      </c>
    </row>
    <row r="252" spans="1:18" s="51" customFormat="1" ht="13.5" hidden="1" customHeight="1" outlineLevel="1" x14ac:dyDescent="0.3">
      <c r="A252" s="290">
        <f t="shared" si="34"/>
        <v>0</v>
      </c>
      <c r="B252" s="49"/>
      <c r="C252" s="49"/>
      <c r="D252" s="140"/>
      <c r="E252" s="49" t="e">
        <f>VLOOKUP(D252,'03. Insumos'!A:D,2,0)</f>
        <v>#N/A</v>
      </c>
      <c r="F252" s="68"/>
      <c r="G252" s="68" t="e">
        <f>VLOOKUP(D252,'03. Insumos'!A:F,3,0)</f>
        <v>#N/A</v>
      </c>
      <c r="H252" s="69">
        <v>1</v>
      </c>
      <c r="I252" s="141"/>
      <c r="J252" s="70">
        <f t="shared" si="46"/>
        <v>0</v>
      </c>
      <c r="K252" s="54" t="e">
        <f>IF(A252=0,VLOOKUP(D252,'03. Insumos'!A:F,4,0),"")</f>
        <v>#N/A</v>
      </c>
      <c r="L252" s="338">
        <f t="shared" si="47"/>
        <v>0</v>
      </c>
      <c r="M252" s="153">
        <f t="shared" ca="1" si="31"/>
        <v>0</v>
      </c>
      <c r="O252" s="148">
        <f t="shared" si="41"/>
        <v>0</v>
      </c>
      <c r="R252" s="12">
        <f t="shared" si="45"/>
        <v>0</v>
      </c>
    </row>
    <row r="253" spans="1:18" s="51" customFormat="1" ht="13.5" hidden="1" customHeight="1" outlineLevel="1" x14ac:dyDescent="0.3">
      <c r="A253" s="290">
        <f t="shared" si="34"/>
        <v>0</v>
      </c>
      <c r="B253" s="49"/>
      <c r="C253" s="49"/>
      <c r="D253" s="140"/>
      <c r="E253" s="49" t="e">
        <f>VLOOKUP(D253,'03. Insumos'!A:D,2,0)</f>
        <v>#N/A</v>
      </c>
      <c r="F253" s="68"/>
      <c r="G253" s="68" t="e">
        <f>VLOOKUP(D253,'03. Insumos'!A:F,3,0)</f>
        <v>#N/A</v>
      </c>
      <c r="H253" s="69">
        <v>1</v>
      </c>
      <c r="I253" s="141"/>
      <c r="J253" s="70">
        <f t="shared" si="46"/>
        <v>0</v>
      </c>
      <c r="K253" s="54" t="e">
        <f>IF(A253=0,VLOOKUP(D253,'03. Insumos'!A:F,4,0),"")</f>
        <v>#N/A</v>
      </c>
      <c r="L253" s="338">
        <f t="shared" si="47"/>
        <v>0</v>
      </c>
      <c r="M253" s="153">
        <f t="shared" ca="1" si="31"/>
        <v>0</v>
      </c>
      <c r="O253" s="148">
        <f t="shared" si="41"/>
        <v>0</v>
      </c>
      <c r="R253" s="12">
        <f t="shared" si="45"/>
        <v>0</v>
      </c>
    </row>
    <row r="254" spans="1:18" s="51" customFormat="1" ht="13.5" hidden="1" customHeight="1" outlineLevel="1" x14ac:dyDescent="0.3">
      <c r="A254" s="290">
        <f t="shared" si="34"/>
        <v>0</v>
      </c>
      <c r="B254" s="49"/>
      <c r="C254" s="49"/>
      <c r="D254" s="140"/>
      <c r="E254" s="49" t="e">
        <f>VLOOKUP(D254,'03. Insumos'!A:D,2,0)</f>
        <v>#N/A</v>
      </c>
      <c r="F254" s="68"/>
      <c r="G254" s="68" t="e">
        <f>VLOOKUP(D254,'03. Insumos'!A:F,3,0)</f>
        <v>#N/A</v>
      </c>
      <c r="H254" s="69">
        <v>1</v>
      </c>
      <c r="I254" s="141">
        <f>I250*100</f>
        <v>0</v>
      </c>
      <c r="J254" s="70">
        <f t="shared" si="46"/>
        <v>0</v>
      </c>
      <c r="K254" s="54" t="e">
        <f>IF(A254=0,VLOOKUP(D254,'03. Insumos'!A:F,4,0),"")</f>
        <v>#N/A</v>
      </c>
      <c r="L254" s="338">
        <f t="shared" si="47"/>
        <v>0</v>
      </c>
      <c r="M254" s="153">
        <f t="shared" ca="1" si="31"/>
        <v>0</v>
      </c>
      <c r="O254" s="148">
        <f t="shared" si="41"/>
        <v>0</v>
      </c>
      <c r="R254" s="12">
        <f t="shared" si="45"/>
        <v>0</v>
      </c>
    </row>
    <row r="255" spans="1:18" s="51" customFormat="1" ht="13.5" hidden="1" customHeight="1" outlineLevel="1" x14ac:dyDescent="0.3">
      <c r="A255" s="290">
        <f t="shared" si="34"/>
        <v>0</v>
      </c>
      <c r="B255" s="49"/>
      <c r="C255" s="49"/>
      <c r="D255" s="140"/>
      <c r="E255" s="49" t="e">
        <f>VLOOKUP(D255,'03. Insumos'!A:D,2,0)</f>
        <v>#N/A</v>
      </c>
      <c r="F255" s="68"/>
      <c r="G255" s="68" t="e">
        <f>VLOOKUP(D255,'03. Insumos'!A:F,3,0)</f>
        <v>#N/A</v>
      </c>
      <c r="H255" s="69">
        <v>1</v>
      </c>
      <c r="I255" s="141"/>
      <c r="J255" s="70">
        <f t="shared" si="46"/>
        <v>0</v>
      </c>
      <c r="K255" s="54" t="e">
        <f>IF(A255=0,VLOOKUP(D255,'03. Insumos'!A:F,4,0),"")</f>
        <v>#N/A</v>
      </c>
      <c r="L255" s="338">
        <f t="shared" si="47"/>
        <v>0</v>
      </c>
      <c r="M255" s="153">
        <f t="shared" ca="1" si="31"/>
        <v>0</v>
      </c>
      <c r="O255" s="148">
        <f t="shared" si="41"/>
        <v>0</v>
      </c>
      <c r="R255" s="12">
        <f t="shared" si="45"/>
        <v>0</v>
      </c>
    </row>
    <row r="256" spans="1:18" s="18" customFormat="1" ht="13.5" customHeight="1" x14ac:dyDescent="0.3">
      <c r="A256" s="290">
        <f t="shared" si="34"/>
        <v>3</v>
      </c>
      <c r="B256" s="35"/>
      <c r="C256" s="35" t="s">
        <v>80</v>
      </c>
      <c r="D256" s="35" t="s">
        <v>261</v>
      </c>
      <c r="E256" s="35"/>
      <c r="F256" s="323"/>
      <c r="G256" s="323"/>
      <c r="H256" s="324"/>
      <c r="I256" s="37"/>
      <c r="J256" s="333"/>
      <c r="K256" s="38"/>
      <c r="L256" s="333">
        <f>SUMIF(A257:A264,4,L257:L264)</f>
        <v>2008</v>
      </c>
      <c r="M256" s="153">
        <f t="shared" ca="1" si="31"/>
        <v>3.4675590755058935E-5</v>
      </c>
      <c r="O256" s="148">
        <f t="shared" si="41"/>
        <v>0</v>
      </c>
      <c r="R256" s="12">
        <f t="shared" si="45"/>
        <v>0</v>
      </c>
    </row>
    <row r="257" spans="1:18" s="18" customFormat="1" ht="5.25" customHeight="1" outlineLevel="1" x14ac:dyDescent="0.3">
      <c r="A257" s="290">
        <f t="shared" si="34"/>
        <v>0</v>
      </c>
      <c r="B257" s="63"/>
      <c r="C257" s="63"/>
      <c r="D257" s="63"/>
      <c r="E257" s="63"/>
      <c r="F257" s="325"/>
      <c r="G257" s="325"/>
      <c r="H257" s="326"/>
      <c r="I257" s="65"/>
      <c r="J257" s="334">
        <f>IFERROR(IF(K257&lt;&gt;0,K257*$K$5,0),0)</f>
        <v>0</v>
      </c>
      <c r="K257" s="66" t="e">
        <f>IF(A257=0,VLOOKUP(D257,'03. Insumos'!A:F,4,0),"")</f>
        <v>#N/A</v>
      </c>
      <c r="L257" s="334"/>
      <c r="M257" s="153">
        <f t="shared" ca="1" si="31"/>
        <v>0</v>
      </c>
      <c r="O257" s="148">
        <f t="shared" si="41"/>
        <v>0</v>
      </c>
      <c r="R257" s="12">
        <f t="shared" si="45"/>
        <v>0</v>
      </c>
    </row>
    <row r="258" spans="1:18" s="18" customFormat="1" ht="13.5" customHeight="1" outlineLevel="1" x14ac:dyDescent="0.3">
      <c r="A258" s="290">
        <f t="shared" si="34"/>
        <v>4</v>
      </c>
      <c r="B258" s="45"/>
      <c r="C258" s="45" t="s">
        <v>262</v>
      </c>
      <c r="D258" s="45" t="s">
        <v>1877</v>
      </c>
      <c r="E258" s="45"/>
      <c r="F258" s="327"/>
      <c r="G258" s="327"/>
      <c r="H258" s="328"/>
      <c r="I258" s="61"/>
      <c r="J258" s="335"/>
      <c r="K258" s="62" t="str">
        <f>IF(A258=0,VLOOKUP(D258,'03. Insumos'!A:F,4,0),"")</f>
        <v/>
      </c>
      <c r="L258" s="335">
        <f>SUMIF(A259:A266,6,L259:L266)</f>
        <v>2008</v>
      </c>
      <c r="M258" s="153">
        <f t="shared" ca="1" si="31"/>
        <v>3.4675590755058935E-5</v>
      </c>
      <c r="O258" s="148">
        <f t="shared" si="41"/>
        <v>0</v>
      </c>
      <c r="R258" s="12">
        <f t="shared" si="45"/>
        <v>0</v>
      </c>
    </row>
    <row r="259" spans="1:18" s="59" customFormat="1" ht="13.5" customHeight="1" outlineLevel="1" x14ac:dyDescent="0.3">
      <c r="A259" s="290">
        <f t="shared" si="34"/>
        <v>6</v>
      </c>
      <c r="B259" s="55"/>
      <c r="C259" s="55" t="s">
        <v>263</v>
      </c>
      <c r="D259" s="55" t="s">
        <v>1159</v>
      </c>
      <c r="E259" s="55"/>
      <c r="F259" s="56"/>
      <c r="G259" s="68" t="s">
        <v>73</v>
      </c>
      <c r="H259" s="69">
        <f>179.7+(8*2*0.5)+(3*2)</f>
        <v>193.7</v>
      </c>
      <c r="I259" s="57"/>
      <c r="J259" s="58"/>
      <c r="K259" s="58" t="str">
        <f>IF(A259=0,VLOOKUP(D259,'03. Insumos'!A:F,4,0),"")</f>
        <v/>
      </c>
      <c r="L259" s="58">
        <f>SUM(L260:L264)</f>
        <v>2008</v>
      </c>
      <c r="M259" s="153">
        <f t="shared" ca="1" si="31"/>
        <v>3.4675590755058935E-5</v>
      </c>
      <c r="O259" s="148">
        <f t="shared" si="41"/>
        <v>0</v>
      </c>
      <c r="R259" s="12">
        <f t="shared" si="45"/>
        <v>0</v>
      </c>
    </row>
    <row r="260" spans="1:18" s="51" customFormat="1" ht="13.5" customHeight="1" outlineLevel="1" x14ac:dyDescent="0.3">
      <c r="A260" s="290">
        <f t="shared" si="34"/>
        <v>0</v>
      </c>
      <c r="B260" s="49"/>
      <c r="C260" s="49"/>
      <c r="D260" s="140" t="s">
        <v>2269</v>
      </c>
      <c r="E260" s="67">
        <f>VLOOKUP(D260,'03. Insumos'!A:D,2,0)</f>
        <v>0</v>
      </c>
      <c r="F260" s="68" t="s">
        <v>2612</v>
      </c>
      <c r="G260" s="68">
        <f>VLOOKUP(D260,'03. Insumos'!A:F,3,0)</f>
        <v>0</v>
      </c>
      <c r="H260" s="69">
        <v>1</v>
      </c>
      <c r="I260" s="141">
        <f>ROUND((H259*14*1.1),0)</f>
        <v>2983</v>
      </c>
      <c r="J260" s="70">
        <f>IFERROR(IF(K260&lt;&gt;0,K260*$K$5,0),0)</f>
        <v>0</v>
      </c>
      <c r="K260" s="54">
        <f>IF(A260=0,VLOOKUP(D260,'03. Insumos'!A:F,4,0),"")</f>
        <v>0</v>
      </c>
      <c r="L260" s="70">
        <f>H260*J260*I260</f>
        <v>0</v>
      </c>
      <c r="M260" s="153">
        <f t="shared" ca="1" si="31"/>
        <v>0</v>
      </c>
      <c r="O260" s="148">
        <f t="shared" si="41"/>
        <v>0</v>
      </c>
      <c r="R260" s="12">
        <f t="shared" si="45"/>
        <v>0</v>
      </c>
    </row>
    <row r="261" spans="1:18" s="51" customFormat="1" ht="13.5" hidden="1" customHeight="1" outlineLevel="1" x14ac:dyDescent="0.3">
      <c r="A261" s="290">
        <f t="shared" si="34"/>
        <v>0</v>
      </c>
      <c r="B261" s="49"/>
      <c r="C261" s="49"/>
      <c r="D261" s="140" t="s">
        <v>2080</v>
      </c>
      <c r="E261" s="67" t="str">
        <f>VLOOKUP(D261,'03. Insumos'!A:D,2,0)</f>
        <v>Aditivo compensador de retração 3kg - Vedacit</v>
      </c>
      <c r="F261" s="68"/>
      <c r="G261" s="68" t="str">
        <f>VLOOKUP(D261,'03. Insumos'!A:F,3,0)</f>
        <v>gl</v>
      </c>
      <c r="H261" s="69">
        <v>1</v>
      </c>
      <c r="I261" s="141"/>
      <c r="J261" s="70">
        <f>IFERROR(IF(K261&lt;&gt;0,K261*$K$5,0),0)</f>
        <v>141.33000000000001</v>
      </c>
      <c r="K261" s="54">
        <f>IF(A261=0,VLOOKUP(D261,'03. Insumos'!A:F,4,0),"")</f>
        <v>141.33000000000001</v>
      </c>
      <c r="L261" s="70">
        <f>H261*J261*I261</f>
        <v>0</v>
      </c>
      <c r="M261" s="153">
        <f t="shared" ca="1" si="31"/>
        <v>0</v>
      </c>
      <c r="O261" s="148"/>
      <c r="R261" s="12"/>
    </row>
    <row r="262" spans="1:18" s="51" customFormat="1" ht="13.5" customHeight="1" outlineLevel="1" x14ac:dyDescent="0.3">
      <c r="A262" s="290">
        <f t="shared" si="34"/>
        <v>0</v>
      </c>
      <c r="B262" s="49"/>
      <c r="C262" s="49"/>
      <c r="D262" s="140" t="s">
        <v>2272</v>
      </c>
      <c r="E262" s="67" t="str">
        <f>VLOOKUP(D262,'03. Insumos'!A:D,2,0)</f>
        <v>Argamassa multiuso 50kg (grandes Qtde, acima de 240)</v>
      </c>
      <c r="F262" s="68" t="s">
        <v>2612</v>
      </c>
      <c r="G262" s="68" t="str">
        <f>VLOOKUP(D262,'03. Insumos'!A:F,3,0)</f>
        <v>sc</v>
      </c>
      <c r="H262" s="69">
        <v>1</v>
      </c>
      <c r="I262" s="141">
        <f>ROUND(I260/45,0)</f>
        <v>66</v>
      </c>
      <c r="J262" s="70">
        <f>IFERROR(IF(K262&lt;&gt;0,K262*$K$5,0),0)</f>
        <v>23</v>
      </c>
      <c r="K262" s="54">
        <f>IF(A262=0,VLOOKUP(D262,'03. Insumos'!A:F,4,0),"")</f>
        <v>23</v>
      </c>
      <c r="L262" s="70">
        <f>H262*J262*I262</f>
        <v>1518</v>
      </c>
      <c r="M262" s="153">
        <f t="shared" ca="1" si="31"/>
        <v>2.6213917712240769E-5</v>
      </c>
      <c r="O262" s="148">
        <f t="shared" si="41"/>
        <v>1518</v>
      </c>
      <c r="R262" s="12">
        <f>IF(J262&lt;&gt;0,J262/1.03-K262,0)</f>
        <v>-0.66990291262136026</v>
      </c>
    </row>
    <row r="263" spans="1:18" s="51" customFormat="1" ht="13.5" customHeight="1" outlineLevel="1" x14ac:dyDescent="0.3">
      <c r="A263" s="290">
        <f t="shared" si="34"/>
        <v>0</v>
      </c>
      <c r="B263" s="49"/>
      <c r="C263" s="49"/>
      <c r="D263" s="140" t="s">
        <v>192</v>
      </c>
      <c r="E263" s="67" t="str">
        <f>VLOOKUP(D263,'03. Insumos'!A:D,2,0)</f>
        <v>Tela galvanizada</v>
      </c>
      <c r="F263" s="68" t="s">
        <v>2612</v>
      </c>
      <c r="G263" s="68" t="str">
        <f>VLOOKUP(D263,'03. Insumos'!A:F,3,0)</f>
        <v>Cx</v>
      </c>
      <c r="H263" s="69">
        <v>1</v>
      </c>
      <c r="I263" s="141">
        <v>2</v>
      </c>
      <c r="J263" s="70">
        <f>IFERROR(IF(K263&lt;&gt;0,K263*$K$5,0),0)</f>
        <v>245</v>
      </c>
      <c r="K263" s="54">
        <f>IF(A263=0,VLOOKUP(D263,'03. Insumos'!A:F,4,0),"")</f>
        <v>245</v>
      </c>
      <c r="L263" s="70">
        <f>H263*J263*I263</f>
        <v>490</v>
      </c>
      <c r="M263" s="153">
        <f t="shared" ca="1" si="31"/>
        <v>8.4616730428181661E-6</v>
      </c>
      <c r="O263" s="148">
        <f t="shared" si="41"/>
        <v>490</v>
      </c>
      <c r="R263" s="12">
        <f>IF(J263&lt;&gt;0,J263/1.03-K263,0)</f>
        <v>-7.1359223300970882</v>
      </c>
    </row>
    <row r="264" spans="1:18" s="51" customFormat="1" ht="13.5" hidden="1" customHeight="1" outlineLevel="1" x14ac:dyDescent="0.3">
      <c r="A264" s="290">
        <f t="shared" si="34"/>
        <v>0</v>
      </c>
      <c r="B264" s="49"/>
      <c r="C264" s="49"/>
      <c r="D264" s="140" t="s">
        <v>457</v>
      </c>
      <c r="E264" s="49" t="str">
        <f>VLOOKUP(D264,'03. Insumos'!A:D,2,0)</f>
        <v>Execução Alvenaria  - Bloco Concreto</v>
      </c>
      <c r="F264" s="68"/>
      <c r="G264" s="68" t="str">
        <f>VLOOKUP(D264,'03. Insumos'!A:F,3,0)</f>
        <v>m²</v>
      </c>
      <c r="H264" s="69">
        <v>1</v>
      </c>
      <c r="I264" s="141"/>
      <c r="J264" s="70">
        <f>IFERROR(IF(K264&lt;&gt;0,K264*$K$5,0),0)</f>
        <v>66</v>
      </c>
      <c r="K264" s="54">
        <f>IF(A264=0,VLOOKUP(D264,'03. Insumos'!A:F,4,0),"")</f>
        <v>66</v>
      </c>
      <c r="L264" s="338">
        <f>H264*J264*I264</f>
        <v>0</v>
      </c>
      <c r="M264" s="153">
        <f t="shared" ca="1" si="31"/>
        <v>0</v>
      </c>
      <c r="O264" s="148">
        <f t="shared" si="41"/>
        <v>0</v>
      </c>
      <c r="R264" s="12">
        <f>IF(J264&lt;&gt;0,J264/1.03-K264,0)</f>
        <v>-1.9223300970873822</v>
      </c>
    </row>
    <row r="265" spans="1:18" s="59" customFormat="1" ht="13.5" hidden="1" customHeight="1" outlineLevel="1" x14ac:dyDescent="0.3">
      <c r="A265" s="290">
        <f t="shared" si="34"/>
        <v>6</v>
      </c>
      <c r="B265" s="55"/>
      <c r="C265" s="55" t="s">
        <v>263</v>
      </c>
      <c r="D265" s="55" t="s">
        <v>1808</v>
      </c>
      <c r="E265" s="55"/>
      <c r="F265" s="56"/>
      <c r="G265" s="56" t="s">
        <v>73</v>
      </c>
      <c r="H265" s="57"/>
      <c r="I265" s="57"/>
      <c r="J265" s="58"/>
      <c r="K265" s="58" t="str">
        <f>IF(A265=0,VLOOKUP(D265,'03. Insumos'!A:F,4,0),"")</f>
        <v/>
      </c>
      <c r="L265" s="58">
        <f>SUM(L266:L267)</f>
        <v>0</v>
      </c>
      <c r="M265" s="153">
        <f t="shared" ca="1" si="31"/>
        <v>0</v>
      </c>
      <c r="O265" s="148">
        <f t="shared" si="41"/>
        <v>0</v>
      </c>
      <c r="R265" s="12">
        <f>IF(J265&lt;&gt;0,J265/1.03-K265,0)</f>
        <v>0</v>
      </c>
    </row>
    <row r="266" spans="1:18" s="51" customFormat="1" ht="13.5" hidden="1" customHeight="1" outlineLevel="1" x14ac:dyDescent="0.3">
      <c r="A266" s="290">
        <f t="shared" si="34"/>
        <v>0</v>
      </c>
      <c r="B266" s="49"/>
      <c r="C266" s="49"/>
      <c r="D266" s="140" t="s">
        <v>1975</v>
      </c>
      <c r="E266" s="49" t="str">
        <f>VLOOKUP(D266,'03. Insumos'!A:D,2,0)</f>
        <v>Material - Dry wall parede e forro</v>
      </c>
      <c r="F266" s="68"/>
      <c r="G266" s="68" t="str">
        <f>VLOOKUP(D266,'03. Insumos'!A:F,3,0)</f>
        <v>m²</v>
      </c>
      <c r="H266" s="69">
        <v>1</v>
      </c>
      <c r="I266" s="141">
        <f>H265</f>
        <v>0</v>
      </c>
      <c r="J266" s="70">
        <f>IFERROR(IF(K266&lt;&gt;0,K266*$K$5,0),0)</f>
        <v>36.799999999999997</v>
      </c>
      <c r="K266" s="54">
        <f>IF(A266=0,VLOOKUP(D266,'03. Insumos'!A:F,4,0),"")</f>
        <v>36.799999999999997</v>
      </c>
      <c r="L266" s="338">
        <f>H266*J266*I266</f>
        <v>0</v>
      </c>
      <c r="M266" s="153">
        <f t="shared" ca="1" si="31"/>
        <v>0</v>
      </c>
      <c r="O266" s="148">
        <f t="shared" si="41"/>
        <v>0</v>
      </c>
      <c r="R266" s="12">
        <f>IF(J266&lt;&gt;0,J266/1.03-K266,0)</f>
        <v>-1.0718446601941736</v>
      </c>
    </row>
    <row r="267" spans="1:18" s="51" customFormat="1" ht="13.5" hidden="1" customHeight="1" outlineLevel="1" x14ac:dyDescent="0.3">
      <c r="A267" s="290">
        <f t="shared" si="34"/>
        <v>0</v>
      </c>
      <c r="B267" s="49"/>
      <c r="C267" s="49"/>
      <c r="D267" s="140" t="s">
        <v>1976</v>
      </c>
      <c r="E267" s="49" t="str">
        <f>VLOOKUP(D267,'03. Insumos'!A:D,2,0)</f>
        <v>Mão de obra - Dry wall parede e forro (encarregado+ 8 profissionais + 16 ajudantes)</v>
      </c>
      <c r="F267" s="68"/>
      <c r="G267" s="68" t="str">
        <f>VLOOKUP(D267,'03. Insumos'!A:F,3,0)</f>
        <v>vb</v>
      </c>
      <c r="H267" s="69">
        <v>1</v>
      </c>
      <c r="I267" s="141"/>
      <c r="J267" s="70">
        <f>IFERROR(IF(K267&lt;&gt;0,K267*$K$5,0),0)</f>
        <v>336814.19999999995</v>
      </c>
      <c r="K267" s="54">
        <f>IF(A267=0,VLOOKUP(D267,'03. Insumos'!A:F,4,0),"")</f>
        <v>336814.19999999995</v>
      </c>
      <c r="L267" s="338">
        <f>H267*J267*I267</f>
        <v>0</v>
      </c>
      <c r="M267" s="153">
        <f t="shared" ca="1" si="31"/>
        <v>0</v>
      </c>
      <c r="O267" s="148"/>
      <c r="R267" s="12"/>
    </row>
    <row r="268" spans="1:18" s="18" customFormat="1" ht="13.5" customHeight="1" x14ac:dyDescent="0.3">
      <c r="A268" s="290">
        <f t="shared" si="34"/>
        <v>3</v>
      </c>
      <c r="B268" s="35"/>
      <c r="C268" s="35" t="s">
        <v>81</v>
      </c>
      <c r="D268" s="35" t="s">
        <v>86</v>
      </c>
      <c r="E268" s="35"/>
      <c r="F268" s="323"/>
      <c r="G268" s="323"/>
      <c r="H268" s="324"/>
      <c r="I268" s="37"/>
      <c r="J268" s="333"/>
      <c r="K268" s="38"/>
      <c r="L268" s="333">
        <f ca="1">SUMIF(A269:A294,4,L269:L294)</f>
        <v>1238178.2799999998</v>
      </c>
      <c r="M268" s="153">
        <f t="shared" ca="1" si="31"/>
        <v>2.1381754640977472E-2</v>
      </c>
      <c r="O268" s="148">
        <f t="shared" si="41"/>
        <v>0</v>
      </c>
      <c r="R268" s="12">
        <f>IF(J268&lt;&gt;0,J268/1.03-K268,0)</f>
        <v>0</v>
      </c>
    </row>
    <row r="269" spans="1:18" s="18" customFormat="1" ht="5.25" customHeight="1" outlineLevel="1" x14ac:dyDescent="0.3">
      <c r="A269" s="290">
        <f t="shared" si="34"/>
        <v>0</v>
      </c>
      <c r="B269" s="63"/>
      <c r="C269" s="63"/>
      <c r="D269" s="63"/>
      <c r="E269" s="63"/>
      <c r="F269" s="325"/>
      <c r="G269" s="325"/>
      <c r="H269" s="326"/>
      <c r="I269" s="65"/>
      <c r="J269" s="334">
        <f>IFERROR(IF(K269&lt;&gt;0,K269*$K$5,0),0)</f>
        <v>0</v>
      </c>
      <c r="K269" s="66" t="e">
        <f>IF(A269=0,VLOOKUP(D269,'03. Insumos'!A:F,4,0),"")</f>
        <v>#N/A</v>
      </c>
      <c r="L269" s="334"/>
      <c r="M269" s="153">
        <f t="shared" ca="1" si="31"/>
        <v>0</v>
      </c>
      <c r="O269" s="148">
        <f t="shared" si="41"/>
        <v>0</v>
      </c>
      <c r="R269" s="12">
        <f>IF(J269&lt;&gt;0,J269/1.03-K269,0)</f>
        <v>0</v>
      </c>
    </row>
    <row r="270" spans="1:18" s="18" customFormat="1" ht="13.5" customHeight="1" outlineLevel="1" x14ac:dyDescent="0.3">
      <c r="A270" s="290">
        <f t="shared" si="34"/>
        <v>4</v>
      </c>
      <c r="B270" s="45"/>
      <c r="C270" s="45" t="s">
        <v>361</v>
      </c>
      <c r="D270" s="45" t="s">
        <v>1160</v>
      </c>
      <c r="E270" s="45"/>
      <c r="F270" s="327"/>
      <c r="G270" s="327"/>
      <c r="H270" s="328"/>
      <c r="I270" s="61"/>
      <c r="J270" s="335"/>
      <c r="K270" s="62" t="str">
        <f>IF(A270=0,VLOOKUP(D270,'03. Insumos'!A:F,4,0),"")</f>
        <v/>
      </c>
      <c r="L270" s="335">
        <f>SUMIF(A271:A276,6,L271:L276)</f>
        <v>52801.000000000007</v>
      </c>
      <c r="M270" s="153">
        <f t="shared" ca="1" si="31"/>
        <v>9.1180571088539191E-4</v>
      </c>
      <c r="O270" s="148">
        <f t="shared" si="41"/>
        <v>0</v>
      </c>
      <c r="R270" s="12">
        <f>IF(J270&lt;&gt;0,J270/1.03-K270,0)</f>
        <v>0</v>
      </c>
    </row>
    <row r="271" spans="1:18" s="59" customFormat="1" ht="13.5" customHeight="1" outlineLevel="1" x14ac:dyDescent="0.3">
      <c r="A271" s="290">
        <f t="shared" si="34"/>
        <v>6</v>
      </c>
      <c r="B271" s="55"/>
      <c r="C271" s="55" t="s">
        <v>266</v>
      </c>
      <c r="D271" s="55" t="s">
        <v>1160</v>
      </c>
      <c r="E271" s="55"/>
      <c r="F271" s="56"/>
      <c r="G271" s="56"/>
      <c r="H271" s="57"/>
      <c r="I271" s="57"/>
      <c r="J271" s="58"/>
      <c r="K271" s="58" t="str">
        <f>IF(A271=0,VLOOKUP(D271,'03. Insumos'!A:F,4,0),"")</f>
        <v/>
      </c>
      <c r="L271" s="58">
        <f>SUM(L272:L274)</f>
        <v>52801.000000000007</v>
      </c>
      <c r="M271" s="153">
        <f t="shared" ca="1" si="31"/>
        <v>9.1180571088539191E-4</v>
      </c>
      <c r="O271" s="148">
        <f t="shared" si="41"/>
        <v>0</v>
      </c>
      <c r="R271" s="12">
        <f>IF(J271&lt;&gt;0,J271/1.03-K271,0)</f>
        <v>0</v>
      </c>
    </row>
    <row r="272" spans="1:18" s="51" customFormat="1" ht="13.5" customHeight="1" outlineLevel="1" x14ac:dyDescent="0.3">
      <c r="A272" s="290">
        <f t="shared" si="34"/>
        <v>0</v>
      </c>
      <c r="B272" s="49"/>
      <c r="C272" s="49"/>
      <c r="D272" s="140" t="s">
        <v>1906</v>
      </c>
      <c r="E272" s="67" t="str">
        <f>VLOOKUP(D272,'03. Insumos'!A:D,2,0)</f>
        <v>Instalações Prediais: Trocas de Acabamento + Ampliações</v>
      </c>
      <c r="F272" s="68" t="s">
        <v>2599</v>
      </c>
      <c r="G272" s="68" t="str">
        <f>VLOOKUP(D272,'03. Insumos'!A:F,3,0)</f>
        <v>vb</v>
      </c>
      <c r="H272" s="69">
        <v>1</v>
      </c>
      <c r="I272" s="141">
        <v>1</v>
      </c>
      <c r="J272" s="70">
        <f>IFERROR(IF(K272&lt;&gt;0,K272*$K$5,0),0)</f>
        <v>52800.000000000007</v>
      </c>
      <c r="K272" s="54">
        <f>IF(A272=0,VLOOKUP(D272,'03. Insumos'!A:F,4,0),"")</f>
        <v>52800.000000000007</v>
      </c>
      <c r="L272" s="70">
        <f>H272*J272*I272</f>
        <v>52800.000000000007</v>
      </c>
      <c r="M272" s="153">
        <f t="shared" ca="1" si="31"/>
        <v>9.1178844216489635E-4</v>
      </c>
      <c r="O272" s="148">
        <f t="shared" si="41"/>
        <v>52800.000000000007</v>
      </c>
      <c r="R272" s="12">
        <f>IF(J272&lt;&gt;0,J272/1.03-K272,0)</f>
        <v>-1537.8640776699031</v>
      </c>
    </row>
    <row r="273" spans="1:18" s="51" customFormat="1" ht="13.5" hidden="1" customHeight="1" outlineLevel="1" x14ac:dyDescent="0.3">
      <c r="A273" s="290">
        <f t="shared" si="34"/>
        <v>0</v>
      </c>
      <c r="B273" s="49"/>
      <c r="C273" s="49"/>
      <c r="D273" s="140" t="s">
        <v>1823</v>
      </c>
      <c r="E273" s="67" t="str">
        <f>VLOOKUP(D273,'03. Insumos'!A:D,2,0)</f>
        <v>Material - tomadas e interruptores, Bticino - LivingLight bianco</v>
      </c>
      <c r="F273" s="68" t="s">
        <v>2612</v>
      </c>
      <c r="G273" s="68" t="str">
        <f>VLOOKUP(D273,'03. Insumos'!A:F,3,0)</f>
        <v>vb</v>
      </c>
      <c r="H273" s="69">
        <v>1</v>
      </c>
      <c r="I273" s="141"/>
      <c r="J273" s="70">
        <f>IFERROR(IF(K273&lt;&gt;0,K273*$K$5,0),0)</f>
        <v>10478.459999999999</v>
      </c>
      <c r="K273" s="54">
        <f>IF(A273=0,VLOOKUP(D273,'03. Insumos'!A:F,4,0),"")</f>
        <v>10478.459999999999</v>
      </c>
      <c r="L273" s="70">
        <f>H273*J273*I273</f>
        <v>0</v>
      </c>
      <c r="M273" s="153">
        <f t="shared" ca="1" si="31"/>
        <v>0</v>
      </c>
      <c r="O273" s="148"/>
      <c r="R273" s="12"/>
    </row>
    <row r="274" spans="1:18" s="51" customFormat="1" ht="13.5" customHeight="1" outlineLevel="1" x14ac:dyDescent="0.3">
      <c r="A274" s="290">
        <f t="shared" si="34"/>
        <v>0</v>
      </c>
      <c r="B274" s="49"/>
      <c r="C274" s="49"/>
      <c r="D274" s="140" t="s">
        <v>2785</v>
      </c>
      <c r="E274" s="67" t="str">
        <f>VLOOKUP(D274,'03. Insumos'!A:D,2,0)</f>
        <v>Eventuais de instalações (Bombas, Caixa D'água)</v>
      </c>
      <c r="F274" s="68" t="s">
        <v>2599</v>
      </c>
      <c r="G274" s="68" t="str">
        <f>VLOOKUP(D274,'03. Insumos'!A:F,3,0)</f>
        <v>vb</v>
      </c>
      <c r="H274" s="69">
        <v>1</v>
      </c>
      <c r="I274" s="141">
        <v>1</v>
      </c>
      <c r="J274" s="70">
        <f>IFERROR(IF(K274&lt;&gt;0,K274*$K$5,0),0)</f>
        <v>1</v>
      </c>
      <c r="K274" s="54">
        <f>IF(A274=0,VLOOKUP(D274,'03. Insumos'!A:F,4,0),"")</f>
        <v>1</v>
      </c>
      <c r="L274" s="70">
        <f>H274*J274*I274</f>
        <v>1</v>
      </c>
      <c r="M274" s="153">
        <f t="shared" ca="1" si="31"/>
        <v>1.7268720495547279E-8</v>
      </c>
      <c r="O274" s="148"/>
      <c r="R274" s="12"/>
    </row>
    <row r="275" spans="1:18" s="51" customFormat="1" ht="13.5" hidden="1" customHeight="1" outlineLevel="1" x14ac:dyDescent="0.3">
      <c r="A275" s="290">
        <f t="shared" si="34"/>
        <v>6</v>
      </c>
      <c r="B275" s="49"/>
      <c r="C275" s="55" t="s">
        <v>1679</v>
      </c>
      <c r="D275" s="55" t="s">
        <v>1680</v>
      </c>
      <c r="E275" s="49"/>
      <c r="F275" s="68"/>
      <c r="G275" s="68"/>
      <c r="H275" s="69"/>
      <c r="I275" s="141"/>
      <c r="J275" s="70"/>
      <c r="K275" s="54"/>
      <c r="L275" s="58">
        <f>SUM(L276:L276)</f>
        <v>0</v>
      </c>
      <c r="M275" s="153">
        <f t="shared" ca="1" si="31"/>
        <v>0</v>
      </c>
      <c r="O275" s="148"/>
      <c r="R275" s="12"/>
    </row>
    <row r="276" spans="1:18" s="51" customFormat="1" ht="13.5" hidden="1" customHeight="1" outlineLevel="1" x14ac:dyDescent="0.3">
      <c r="A276" s="290">
        <f t="shared" si="34"/>
        <v>0</v>
      </c>
      <c r="B276" s="49"/>
      <c r="C276" s="49"/>
      <c r="D276" s="140" t="s">
        <v>1822</v>
      </c>
      <c r="E276" s="49" t="str">
        <f>VLOOKUP(D276,'03. Insumos'!A:D,2,0)</f>
        <v>Execução das instalações hidrosanitárias (mat + mo)</v>
      </c>
      <c r="F276" s="68"/>
      <c r="G276" s="68" t="str">
        <f>VLOOKUP(D276,'03. Insumos'!A:F,3,0)</f>
        <v>vb</v>
      </c>
      <c r="H276" s="69">
        <v>1</v>
      </c>
      <c r="I276" s="141"/>
      <c r="J276" s="70">
        <f>IFERROR(IF(K276&lt;&gt;0,K276*$K$5,0),0)</f>
        <v>2000</v>
      </c>
      <c r="K276" s="54">
        <v>2000</v>
      </c>
      <c r="L276" s="338">
        <f>H276*J276*I276</f>
        <v>0</v>
      </c>
      <c r="M276" s="153">
        <f t="shared" ca="1" si="31"/>
        <v>0</v>
      </c>
      <c r="O276" s="148"/>
      <c r="R276" s="12"/>
    </row>
    <row r="277" spans="1:18" s="18" customFormat="1" ht="13.5" customHeight="1" outlineLevel="1" x14ac:dyDescent="0.3">
      <c r="A277" s="290">
        <f t="shared" si="34"/>
        <v>4</v>
      </c>
      <c r="B277" s="45"/>
      <c r="C277" s="45" t="s">
        <v>1352</v>
      </c>
      <c r="D277" s="45" t="s">
        <v>1350</v>
      </c>
      <c r="E277" s="45"/>
      <c r="F277" s="327"/>
      <c r="G277" s="327"/>
      <c r="H277" s="328"/>
      <c r="I277" s="61"/>
      <c r="J277" s="335"/>
      <c r="K277" s="62"/>
      <c r="L277" s="335">
        <f>SUMIF(A278:A284,6,L278:L284)</f>
        <v>1147339.3999999999</v>
      </c>
      <c r="M277" s="153">
        <f t="shared" ca="1" si="31"/>
        <v>1.9813083412128913E-2</v>
      </c>
      <c r="O277" s="148">
        <f t="shared" si="41"/>
        <v>0</v>
      </c>
      <c r="R277" s="12">
        <f>IF(J277&lt;&gt;0,J277/1.03-K277,0)</f>
        <v>0</v>
      </c>
    </row>
    <row r="278" spans="1:18" s="59" customFormat="1" ht="13.5" customHeight="1" outlineLevel="1" x14ac:dyDescent="0.3">
      <c r="A278" s="290">
        <f t="shared" si="34"/>
        <v>6</v>
      </c>
      <c r="B278" s="55"/>
      <c r="C278" s="55" t="s">
        <v>1353</v>
      </c>
      <c r="D278" s="55" t="s">
        <v>1350</v>
      </c>
      <c r="E278" s="55"/>
      <c r="F278" s="56"/>
      <c r="G278" s="56"/>
      <c r="H278" s="57"/>
      <c r="I278" s="57"/>
      <c r="J278" s="58"/>
      <c r="K278" s="58"/>
      <c r="L278" s="58">
        <f>SUM(L279:L285)</f>
        <v>1147339.3999999999</v>
      </c>
      <c r="M278" s="153">
        <f t="shared" ca="1" si="31"/>
        <v>1.9813083412128913E-2</v>
      </c>
      <c r="O278" s="148">
        <f t="shared" si="41"/>
        <v>0</v>
      </c>
      <c r="R278" s="12">
        <f>IF(J278&lt;&gt;0,J278/1.03-K278,0)</f>
        <v>0</v>
      </c>
    </row>
    <row r="279" spans="1:18" s="59" customFormat="1" ht="13.5" customHeight="1" outlineLevel="1" x14ac:dyDescent="0.3">
      <c r="A279" s="290">
        <f t="shared" si="34"/>
        <v>0</v>
      </c>
      <c r="B279" s="55"/>
      <c r="C279" s="55"/>
      <c r="D279" s="140" t="s">
        <v>2657</v>
      </c>
      <c r="E279" s="67" t="str">
        <f>VLOOKUP(D279,'03. Insumos'!A:D,2,0)</f>
        <v>Suíte Master - Ar condicionado split hi-wall 24.000 BTU's (equipamento)</v>
      </c>
      <c r="F279" s="68" t="s">
        <v>2599</v>
      </c>
      <c r="G279" s="68" t="str">
        <f>VLOOKUP(D279,'03. Insumos'!A:F,3,0)</f>
        <v>unid</v>
      </c>
      <c r="H279" s="69">
        <v>1</v>
      </c>
      <c r="I279" s="141">
        <v>1</v>
      </c>
      <c r="J279" s="70">
        <f t="shared" ref="J279:J285" si="48">IFERROR(IF(K279&lt;&gt;0,K279*$K$5,0),0)</f>
        <v>3490</v>
      </c>
      <c r="K279" s="54">
        <f>IF(A279=0,VLOOKUP(D279,'03. Insumos'!A:F,4,0),"")</f>
        <v>3490</v>
      </c>
      <c r="L279" s="70">
        <f t="shared" ref="L279:L285" si="49">H279*J279*I279</f>
        <v>3490</v>
      </c>
      <c r="M279" s="153">
        <f t="shared" ca="1" si="31"/>
        <v>6.0267834529459999E-5</v>
      </c>
      <c r="O279" s="148"/>
      <c r="R279" s="12"/>
    </row>
    <row r="280" spans="1:18" s="59" customFormat="1" ht="13.5" customHeight="1" outlineLevel="1" x14ac:dyDescent="0.3">
      <c r="A280" s="290">
        <f t="shared" si="34"/>
        <v>0</v>
      </c>
      <c r="B280" s="55"/>
      <c r="C280" s="55"/>
      <c r="D280" s="140" t="s">
        <v>2658</v>
      </c>
      <c r="E280" s="67" t="str">
        <f>VLOOKUP(D280,'03. Insumos'!A:D,2,0)</f>
        <v xml:space="preserve"> Área Gourmet - Ar condicionado split hi-wall 33.000 BTU's (equipamento)</v>
      </c>
      <c r="F280" s="68" t="s">
        <v>2599</v>
      </c>
      <c r="G280" s="68" t="str">
        <f>VLOOKUP(D280,'03. Insumos'!A:F,3,0)</f>
        <v>unid</v>
      </c>
      <c r="H280" s="69">
        <v>1</v>
      </c>
      <c r="I280" s="141">
        <v>2</v>
      </c>
      <c r="J280" s="70">
        <f t="shared" si="48"/>
        <v>5250</v>
      </c>
      <c r="K280" s="54">
        <f>IF(A280=0,VLOOKUP(D280,'03. Insumos'!A:F,4,0),"")</f>
        <v>5250</v>
      </c>
      <c r="L280" s="70">
        <f t="shared" si="49"/>
        <v>10500</v>
      </c>
      <c r="M280" s="153">
        <f t="shared" ca="1" si="31"/>
        <v>1.8132156520324642E-4</v>
      </c>
      <c r="O280" s="148"/>
      <c r="R280" s="12"/>
    </row>
    <row r="281" spans="1:18" s="59" customFormat="1" ht="13.5" customHeight="1" outlineLevel="1" x14ac:dyDescent="0.3">
      <c r="A281" s="290">
        <f t="shared" si="34"/>
        <v>0</v>
      </c>
      <c r="B281" s="55"/>
      <c r="C281" s="55"/>
      <c r="D281" s="140" t="s">
        <v>2659</v>
      </c>
      <c r="E281" s="67" t="str">
        <f>VLOOKUP(D281,'03. Insumos'!A:D,2,0)</f>
        <v>Ar condicionado split hi-wall 12.000 BTU's (equipamento)</v>
      </c>
      <c r="F281" s="68" t="s">
        <v>2599</v>
      </c>
      <c r="G281" s="68" t="str">
        <f>VLOOKUP(D281,'03. Insumos'!A:F,3,0)</f>
        <v>unid</v>
      </c>
      <c r="H281" s="69">
        <v>1</v>
      </c>
      <c r="I281" s="141">
        <v>3</v>
      </c>
      <c r="J281" s="70">
        <f t="shared" si="48"/>
        <v>1493.1</v>
      </c>
      <c r="K281" s="54">
        <f>IF(A281=0,VLOOKUP(D281,'03. Insumos'!A:F,4,0),"")</f>
        <v>1493.1</v>
      </c>
      <c r="L281" s="70">
        <f t="shared" si="49"/>
        <v>4479.2999999999993</v>
      </c>
      <c r="M281" s="153">
        <f t="shared" ca="1" si="31"/>
        <v>7.735177971570491E-5</v>
      </c>
      <c r="O281" s="148"/>
      <c r="R281" s="12"/>
    </row>
    <row r="282" spans="1:18" s="59" customFormat="1" ht="13.5" customHeight="1" outlineLevel="1" x14ac:dyDescent="0.3">
      <c r="A282" s="290">
        <f>LEN(C282)</f>
        <v>0</v>
      </c>
      <c r="B282" s="55"/>
      <c r="C282" s="55"/>
      <c r="D282" s="140" t="s">
        <v>2663</v>
      </c>
      <c r="E282" s="67" t="str">
        <f>VLOOKUP(D282,'03. Insumos'!A:D,2,0)</f>
        <v>Ar condicionado split inverter hi-wall 12.000 BTU's (equipamento)</v>
      </c>
      <c r="F282" s="68" t="s">
        <v>2599</v>
      </c>
      <c r="G282" s="68" t="str">
        <f>VLOOKUP(D282,'03. Insumos'!A:F,3,0)</f>
        <v>unid</v>
      </c>
      <c r="H282" s="69">
        <v>1</v>
      </c>
      <c r="I282" s="141">
        <v>1</v>
      </c>
      <c r="J282" s="70">
        <f t="shared" si="48"/>
        <v>1979.1</v>
      </c>
      <c r="K282" s="54">
        <f>IF(A282=0,VLOOKUP(D282,'03. Insumos'!A:F,4,0),"")</f>
        <v>1979.1</v>
      </c>
      <c r="L282" s="70">
        <f t="shared" si="49"/>
        <v>1979.1</v>
      </c>
      <c r="M282" s="153">
        <f ca="1">L282/$L$7</f>
        <v>3.4176524732737614E-5</v>
      </c>
      <c r="O282" s="148"/>
      <c r="R282" s="12"/>
    </row>
    <row r="283" spans="1:18" s="59" customFormat="1" ht="13.5" customHeight="1" outlineLevel="1" x14ac:dyDescent="0.3">
      <c r="A283" s="290">
        <f>LEN(C283)</f>
        <v>0</v>
      </c>
      <c r="B283" s="55"/>
      <c r="C283" s="55"/>
      <c r="D283" s="140" t="s">
        <v>2664</v>
      </c>
      <c r="E283" s="67" t="str">
        <f>VLOOKUP(D283,'03. Insumos'!A:D,2,0)</f>
        <v>Closet Master - Ar condicionado split hi-wall 9.000 BTU's (equipamento)</v>
      </c>
      <c r="F283" s="68" t="s">
        <v>2599</v>
      </c>
      <c r="G283" s="68" t="str">
        <f>VLOOKUP(D283,'03. Insumos'!A:F,3,0)</f>
        <v>unid</v>
      </c>
      <c r="H283" s="69">
        <v>1</v>
      </c>
      <c r="I283" s="141">
        <v>2</v>
      </c>
      <c r="J283" s="70">
        <f t="shared" si="48"/>
        <v>1778</v>
      </c>
      <c r="K283" s="54">
        <f>IF(A283=0,VLOOKUP(D283,'03. Insumos'!A:F,4,0),"")</f>
        <v>1778</v>
      </c>
      <c r="L283" s="70">
        <f t="shared" si="49"/>
        <v>3556</v>
      </c>
      <c r="M283" s="153">
        <f ca="1">L283/$L$7</f>
        <v>6.1407570082166115E-5</v>
      </c>
      <c r="O283" s="148"/>
      <c r="R283" s="12"/>
    </row>
    <row r="284" spans="1:18" s="59" customFormat="1" ht="13.5" customHeight="1" outlineLevel="1" x14ac:dyDescent="0.3">
      <c r="A284" s="290">
        <f t="shared" si="34"/>
        <v>0</v>
      </c>
      <c r="B284" s="55"/>
      <c r="C284" s="55"/>
      <c r="D284" s="140" t="s">
        <v>2665</v>
      </c>
      <c r="E284" s="67" t="str">
        <f>VLOOKUP(D284,'03. Insumos'!A:D,2,0)</f>
        <v>Instalações Ar condicionado - Mão de Obra e Materiais complementares</v>
      </c>
      <c r="F284" s="68" t="s">
        <v>2599</v>
      </c>
      <c r="G284" s="68" t="str">
        <f>VLOOKUP(D284,'03. Insumos'!A:F,3,0)</f>
        <v>Vb</v>
      </c>
      <c r="H284" s="69">
        <v>1</v>
      </c>
      <c r="I284" s="141">
        <f>SUM(I279:I283)*15</f>
        <v>135</v>
      </c>
      <c r="J284" s="70">
        <f t="shared" si="48"/>
        <v>8321</v>
      </c>
      <c r="K284" s="54">
        <f>IF(A284=0,VLOOKUP(D284,'03. Insumos'!A:F,4,0),"")</f>
        <v>8321</v>
      </c>
      <c r="L284" s="70">
        <f t="shared" si="49"/>
        <v>1123335</v>
      </c>
      <c r="M284" s="153">
        <f t="shared" ca="1" si="31"/>
        <v>1.9398558137865601E-2</v>
      </c>
      <c r="O284" s="148"/>
      <c r="R284" s="12"/>
    </row>
    <row r="285" spans="1:18" s="51" customFormat="1" ht="13.5" hidden="1" customHeight="1" outlineLevel="1" x14ac:dyDescent="0.3">
      <c r="A285" s="290">
        <f t="shared" si="34"/>
        <v>0</v>
      </c>
      <c r="B285" s="49"/>
      <c r="C285" s="49"/>
      <c r="D285" s="140" t="s">
        <v>1907</v>
      </c>
      <c r="E285" s="67" t="str">
        <f>VLOOKUP(D285,'03. Insumos'!A:D,2,0)</f>
        <v>Instalações ar condicionado e exaustão (mat + mo)</v>
      </c>
      <c r="F285" s="68"/>
      <c r="G285" s="68" t="str">
        <f>VLOOKUP(D285,'03. Insumos'!A:F,3,0)</f>
        <v>vb</v>
      </c>
      <c r="H285" s="69">
        <v>1</v>
      </c>
      <c r="I285" s="141"/>
      <c r="J285" s="70">
        <f t="shared" si="48"/>
        <v>0</v>
      </c>
      <c r="K285" s="54">
        <f>IF(A285=0,VLOOKUP(D285,'03. Insumos'!A:F,4,0),"")</f>
        <v>0</v>
      </c>
      <c r="L285" s="338">
        <f t="shared" si="49"/>
        <v>0</v>
      </c>
      <c r="M285" s="153">
        <f t="shared" ca="1" si="31"/>
        <v>0</v>
      </c>
      <c r="O285" s="148">
        <f t="shared" si="41"/>
        <v>0</v>
      </c>
      <c r="R285" s="12">
        <f>IF(J285&lt;&gt;0,J285/1.03-K285,0)</f>
        <v>0</v>
      </c>
    </row>
    <row r="286" spans="1:18" s="18" customFormat="1" ht="13.5" customHeight="1" outlineLevel="1" x14ac:dyDescent="0.3">
      <c r="A286" s="290">
        <f t="shared" si="34"/>
        <v>4</v>
      </c>
      <c r="B286" s="45"/>
      <c r="C286" s="45" t="s">
        <v>1354</v>
      </c>
      <c r="D286" s="45" t="s">
        <v>341</v>
      </c>
      <c r="E286" s="347"/>
      <c r="F286" s="327"/>
      <c r="G286" s="327"/>
      <c r="H286" s="328"/>
      <c r="I286" s="61"/>
      <c r="J286" s="335"/>
      <c r="K286" s="62"/>
      <c r="L286" s="335">
        <f ca="1">SUMIF(A287:A294,6,L287:L289)</f>
        <v>38037.879999999997</v>
      </c>
      <c r="M286" s="153">
        <f t="shared" ca="1" si="31"/>
        <v>6.5686551796316787E-4</v>
      </c>
      <c r="O286" s="148">
        <f t="shared" si="41"/>
        <v>0</v>
      </c>
      <c r="R286" s="12">
        <f>IF(J286&lt;&gt;0,J286/1.03-K286,0)</f>
        <v>0</v>
      </c>
    </row>
    <row r="287" spans="1:18" s="59" customFormat="1" ht="13.5" customHeight="1" outlineLevel="1" x14ac:dyDescent="0.3">
      <c r="A287" s="290">
        <f t="shared" si="34"/>
        <v>6</v>
      </c>
      <c r="B287" s="55"/>
      <c r="C287" s="55" t="s">
        <v>1355</v>
      </c>
      <c r="D287" s="55" t="s">
        <v>2652</v>
      </c>
      <c r="E287" s="55"/>
      <c r="F287" s="56"/>
      <c r="G287" s="56"/>
      <c r="H287" s="57"/>
      <c r="I287" s="57"/>
      <c r="J287" s="58"/>
      <c r="K287" s="58"/>
      <c r="L287" s="58">
        <f>SUM(L288:L290)</f>
        <v>38037.879999999997</v>
      </c>
      <c r="M287" s="153">
        <f t="shared" ca="1" si="31"/>
        <v>6.5686551796316787E-4</v>
      </c>
      <c r="O287" s="148">
        <f t="shared" si="41"/>
        <v>0</v>
      </c>
      <c r="R287" s="12">
        <f>IF(J287&lt;&gt;0,J287/1.03-K287,0)</f>
        <v>0</v>
      </c>
    </row>
    <row r="288" spans="1:18" s="51" customFormat="1" ht="13.5" customHeight="1" outlineLevel="1" x14ac:dyDescent="0.3">
      <c r="A288" s="290">
        <f t="shared" si="34"/>
        <v>0</v>
      </c>
      <c r="B288" s="49"/>
      <c r="C288" s="49"/>
      <c r="D288" s="140" t="s">
        <v>2655</v>
      </c>
      <c r="E288" s="67" t="str">
        <f>VLOOKUP(D288,'03. Insumos'!A:D,2,0)</f>
        <v>Piscina Unlimited 2x2 com pastilha Atlas, bombas, frete e mão de obra</v>
      </c>
      <c r="F288" s="68" t="s">
        <v>2599</v>
      </c>
      <c r="G288" s="68" t="str">
        <f>VLOOKUP(D288,'03. Insumos'!A:F,3,0)</f>
        <v>vb</v>
      </c>
      <c r="H288" s="69">
        <v>1</v>
      </c>
      <c r="I288" s="141">
        <v>1</v>
      </c>
      <c r="J288" s="70">
        <f>IFERROR(IF(K288&lt;&gt;0,K288*$K$5,0),0)</f>
        <v>36037.879999999997</v>
      </c>
      <c r="K288" s="54">
        <f>IF(A288=0,VLOOKUP(D288,'03. Insumos'!A:F,4,0),"")</f>
        <v>36037.879999999997</v>
      </c>
      <c r="L288" s="70">
        <f>H288*J288*I288</f>
        <v>36037.879999999997</v>
      </c>
      <c r="M288" s="153">
        <f t="shared" ca="1" si="31"/>
        <v>6.2232807697207326E-4</v>
      </c>
      <c r="O288" s="148">
        <f t="shared" si="41"/>
        <v>36037.879999999997</v>
      </c>
      <c r="R288" s="12">
        <f>IF(J288&lt;&gt;0,J288/1.03-K288,0)</f>
        <v>-1049.646990291265</v>
      </c>
    </row>
    <row r="289" spans="1:18" s="51" customFormat="1" ht="13.5" customHeight="1" outlineLevel="1" x14ac:dyDescent="0.3">
      <c r="A289" s="290">
        <f t="shared" si="34"/>
        <v>0</v>
      </c>
      <c r="B289" s="49"/>
      <c r="C289" s="49"/>
      <c r="D289" s="140" t="s">
        <v>2656</v>
      </c>
      <c r="E289" s="67" t="str">
        <f>VLOOKUP(D289,'03. Insumos'!A:D,2,0)</f>
        <v>Içamento pisicina</v>
      </c>
      <c r="F289" s="68" t="s">
        <v>2599</v>
      </c>
      <c r="G289" s="68" t="str">
        <f>VLOOKUP(D289,'03. Insumos'!A:F,3,0)</f>
        <v>vb</v>
      </c>
      <c r="H289" s="69">
        <v>1</v>
      </c>
      <c r="I289" s="141">
        <v>1</v>
      </c>
      <c r="J289" s="70">
        <f>IFERROR(IF(K289&lt;&gt;0,K289*$K$5,0),0)</f>
        <v>2000</v>
      </c>
      <c r="K289" s="54">
        <f>IF(A289=0,VLOOKUP(D289,'03. Insumos'!A:F,4,0),"")</f>
        <v>2000</v>
      </c>
      <c r="L289" s="70">
        <f>H289*J289*I289</f>
        <v>2000</v>
      </c>
      <c r="M289" s="153">
        <f t="shared" ca="1" si="31"/>
        <v>3.4537440991094558E-5</v>
      </c>
      <c r="O289" s="148"/>
      <c r="R289" s="12"/>
    </row>
    <row r="290" spans="1:18" s="51" customFormat="1" ht="13.5" hidden="1" customHeight="1" outlineLevel="1" x14ac:dyDescent="0.3">
      <c r="A290" s="13">
        <f t="shared" si="34"/>
        <v>0</v>
      </c>
      <c r="B290" s="49"/>
      <c r="C290" s="49"/>
      <c r="D290" s="140"/>
      <c r="E290" s="49" t="e">
        <f>VLOOKUP(D290,'03. Insumos'!A:D,2,0)</f>
        <v>#N/A</v>
      </c>
      <c r="F290" s="68"/>
      <c r="G290" s="68" t="e">
        <f>VLOOKUP(D290,'03. Insumos'!A:F,3,0)</f>
        <v>#N/A</v>
      </c>
      <c r="H290" s="69">
        <v>1</v>
      </c>
      <c r="I290" s="141">
        <v>10.1</v>
      </c>
      <c r="J290" s="70">
        <f>IFERROR(IF(K290&lt;&gt;0,K290*$K$5,0),0)</f>
        <v>0</v>
      </c>
      <c r="K290" s="54" t="e">
        <f>IF(A290=0,VLOOKUP(D290,'03. Insumos'!A:F,4,0),"")</f>
        <v>#N/A</v>
      </c>
      <c r="L290" s="70">
        <f>H290*J290*I290</f>
        <v>0</v>
      </c>
      <c r="M290" s="355">
        <f t="shared" ca="1" si="31"/>
        <v>0</v>
      </c>
      <c r="O290" s="148" t="e">
        <f t="shared" si="41"/>
        <v>#N/A</v>
      </c>
      <c r="R290" s="356">
        <f t="shared" ref="R290:R298" si="50">IF(J290&lt;&gt;0,J290/1.03-K290,0)</f>
        <v>0</v>
      </c>
    </row>
    <row r="291" spans="1:18" s="18" customFormat="1" ht="13.5" hidden="1" customHeight="1" outlineLevel="1" x14ac:dyDescent="0.3">
      <c r="A291" s="290">
        <f t="shared" si="34"/>
        <v>4</v>
      </c>
      <c r="B291" s="45"/>
      <c r="C291" s="45" t="s">
        <v>1356</v>
      </c>
      <c r="D291" s="45" t="s">
        <v>1358</v>
      </c>
      <c r="E291" s="45"/>
      <c r="F291" s="327"/>
      <c r="G291" s="327"/>
      <c r="H291" s="328"/>
      <c r="I291" s="61"/>
      <c r="J291" s="335"/>
      <c r="K291" s="62"/>
      <c r="L291" s="335">
        <f>L292</f>
        <v>0</v>
      </c>
      <c r="M291" s="153">
        <f t="shared" ca="1" si="31"/>
        <v>0</v>
      </c>
      <c r="O291" s="148">
        <f t="shared" si="41"/>
        <v>0</v>
      </c>
      <c r="R291" s="12">
        <f t="shared" si="50"/>
        <v>0</v>
      </c>
    </row>
    <row r="292" spans="1:18" s="59" customFormat="1" ht="13.5" hidden="1" customHeight="1" outlineLevel="1" x14ac:dyDescent="0.3">
      <c r="A292" s="290">
        <f t="shared" si="34"/>
        <v>6</v>
      </c>
      <c r="B292" s="55"/>
      <c r="C292" s="55" t="s">
        <v>1357</v>
      </c>
      <c r="D292" s="55" t="s">
        <v>1358</v>
      </c>
      <c r="E292" s="55"/>
      <c r="F292" s="56"/>
      <c r="G292" s="56"/>
      <c r="H292" s="57"/>
      <c r="I292" s="57"/>
      <c r="J292" s="58"/>
      <c r="K292" s="58"/>
      <c r="L292" s="58">
        <f>SUM(L293:L294)</f>
        <v>0</v>
      </c>
      <c r="M292" s="153">
        <f t="shared" ca="1" si="31"/>
        <v>0</v>
      </c>
      <c r="O292" s="148">
        <f t="shared" si="41"/>
        <v>0</v>
      </c>
      <c r="R292" s="12">
        <f t="shared" si="50"/>
        <v>0</v>
      </c>
    </row>
    <row r="293" spans="1:18" s="51" customFormat="1" ht="13.5" hidden="1" customHeight="1" outlineLevel="1" x14ac:dyDescent="0.3">
      <c r="A293" s="290">
        <f t="shared" si="34"/>
        <v>0</v>
      </c>
      <c r="B293" s="49"/>
      <c r="C293" s="49"/>
      <c r="D293" s="140"/>
      <c r="E293" s="49" t="s">
        <v>1359</v>
      </c>
      <c r="F293" s="68"/>
      <c r="G293" s="68" t="s">
        <v>29</v>
      </c>
      <c r="H293" s="69">
        <v>1</v>
      </c>
      <c r="I293" s="141"/>
      <c r="J293" s="70">
        <f>IFERROR(IF(K293&lt;&gt;0,K293*$K$5,0),0)</f>
        <v>4000</v>
      </c>
      <c r="K293" s="54">
        <v>4000</v>
      </c>
      <c r="L293" s="338">
        <f>H293*J293*I293</f>
        <v>0</v>
      </c>
      <c r="M293" s="153">
        <f t="shared" ca="1" si="31"/>
        <v>0</v>
      </c>
      <c r="O293" s="148">
        <f t="shared" si="41"/>
        <v>0</v>
      </c>
      <c r="R293" s="12">
        <f t="shared" si="50"/>
        <v>-116.50485436893223</v>
      </c>
    </row>
    <row r="294" spans="1:18" s="51" customFormat="1" ht="13.5" hidden="1" customHeight="1" outlineLevel="1" x14ac:dyDescent="0.3">
      <c r="A294" s="290">
        <f t="shared" si="34"/>
        <v>0</v>
      </c>
      <c r="B294" s="49"/>
      <c r="C294" s="49"/>
      <c r="D294" s="140"/>
      <c r="E294" s="49" t="s">
        <v>1360</v>
      </c>
      <c r="F294" s="68"/>
      <c r="G294" s="68" t="s">
        <v>29</v>
      </c>
      <c r="H294" s="69">
        <v>1</v>
      </c>
      <c r="I294" s="141"/>
      <c r="J294" s="70">
        <f>IFERROR(IF(K294&lt;&gt;0,K294*$K$5,0),0)</f>
        <v>3000</v>
      </c>
      <c r="K294" s="54">
        <v>3000</v>
      </c>
      <c r="L294" s="338">
        <f>H294*J294*I294</f>
        <v>0</v>
      </c>
      <c r="M294" s="153">
        <f t="shared" ca="1" si="31"/>
        <v>0</v>
      </c>
      <c r="O294" s="148">
        <f t="shared" si="41"/>
        <v>0</v>
      </c>
      <c r="R294" s="12">
        <f t="shared" si="50"/>
        <v>-87.378640776699285</v>
      </c>
    </row>
    <row r="295" spans="1:18" s="18" customFormat="1" ht="13.5" customHeight="1" x14ac:dyDescent="0.3">
      <c r="A295" s="290">
        <f t="shared" si="34"/>
        <v>3</v>
      </c>
      <c r="B295" s="35"/>
      <c r="C295" s="35" t="s">
        <v>82</v>
      </c>
      <c r="D295" s="35" t="s">
        <v>1340</v>
      </c>
      <c r="E295" s="35"/>
      <c r="F295" s="323"/>
      <c r="G295" s="323"/>
      <c r="H295" s="324"/>
      <c r="I295" s="37"/>
      <c r="J295" s="333"/>
      <c r="K295" s="38"/>
      <c r="L295" s="333">
        <f>SUMIF(A296:A330,4,L296:L330)</f>
        <v>12512.976000000001</v>
      </c>
      <c r="M295" s="153">
        <f t="shared" ca="1" si="31"/>
        <v>2.160830851114912E-4</v>
      </c>
      <c r="O295" s="148">
        <f t="shared" si="41"/>
        <v>0</v>
      </c>
      <c r="R295" s="12">
        <f t="shared" si="50"/>
        <v>0</v>
      </c>
    </row>
    <row r="296" spans="1:18" s="18" customFormat="1" ht="5.25" customHeight="1" outlineLevel="1" x14ac:dyDescent="0.3">
      <c r="A296" s="290">
        <f t="shared" si="34"/>
        <v>0</v>
      </c>
      <c r="B296" s="63"/>
      <c r="C296" s="63"/>
      <c r="D296" s="63"/>
      <c r="E296" s="63"/>
      <c r="F296" s="325"/>
      <c r="G296" s="325"/>
      <c r="H296" s="326"/>
      <c r="I296" s="65"/>
      <c r="J296" s="334">
        <f>IFERROR(IF(K296&lt;&gt;0,K296*$K$5,0),0)</f>
        <v>0</v>
      </c>
      <c r="K296" s="66" t="e">
        <f>IF(A296=0,VLOOKUP(D296,'03. Insumos'!A:F,4,0),"")</f>
        <v>#N/A</v>
      </c>
      <c r="L296" s="334"/>
      <c r="M296" s="153">
        <f t="shared" ca="1" si="31"/>
        <v>0</v>
      </c>
      <c r="O296" s="148">
        <f t="shared" si="41"/>
        <v>0</v>
      </c>
      <c r="R296" s="12">
        <f t="shared" si="50"/>
        <v>0</v>
      </c>
    </row>
    <row r="297" spans="1:18" s="18" customFormat="1" ht="13.5" customHeight="1" outlineLevel="1" x14ac:dyDescent="0.3">
      <c r="A297" s="290">
        <f t="shared" si="34"/>
        <v>4</v>
      </c>
      <c r="B297" s="45"/>
      <c r="C297" s="45" t="s">
        <v>362</v>
      </c>
      <c r="D297" s="347" t="s">
        <v>1340</v>
      </c>
      <c r="E297" s="45"/>
      <c r="F297" s="327"/>
      <c r="G297" s="327"/>
      <c r="H297" s="328"/>
      <c r="I297" s="61"/>
      <c r="J297" s="335"/>
      <c r="K297" s="62" t="str">
        <f>IF(A297=0,VLOOKUP(D297,'03. Insumos'!A:F,4,0),"")</f>
        <v/>
      </c>
      <c r="L297" s="335">
        <f>SUMIF(A298:A330,6,L298:L330)</f>
        <v>12512.976000000001</v>
      </c>
      <c r="M297" s="153">
        <f t="shared" ca="1" si="31"/>
        <v>2.160830851114912E-4</v>
      </c>
      <c r="O297" s="148">
        <f t="shared" si="41"/>
        <v>0</v>
      </c>
      <c r="R297" s="12">
        <f t="shared" si="50"/>
        <v>0</v>
      </c>
    </row>
    <row r="298" spans="1:18" s="59" customFormat="1" ht="13.5" customHeight="1" outlineLevel="1" x14ac:dyDescent="0.3">
      <c r="A298" s="290">
        <f t="shared" si="34"/>
        <v>6</v>
      </c>
      <c r="B298" s="55"/>
      <c r="C298" s="55" t="s">
        <v>277</v>
      </c>
      <c r="D298" s="55" t="s">
        <v>1598</v>
      </c>
      <c r="E298" s="55"/>
      <c r="F298" s="56"/>
      <c r="G298" s="56" t="s">
        <v>73</v>
      </c>
      <c r="H298" s="57">
        <f>H304</f>
        <v>67.60799999999999</v>
      </c>
      <c r="I298" s="57"/>
      <c r="J298" s="58"/>
      <c r="K298" s="58" t="str">
        <f>IF(A298=0,VLOOKUP(D298,'03. Insumos'!A:F,4,0),"")</f>
        <v/>
      </c>
      <c r="L298" s="58">
        <f>SUM(L299:L303)</f>
        <v>2570.3759999999997</v>
      </c>
      <c r="M298" s="153">
        <f t="shared" ca="1" si="31"/>
        <v>4.4387104712462822E-5</v>
      </c>
      <c r="O298" s="148">
        <f t="shared" si="41"/>
        <v>0</v>
      </c>
      <c r="R298" s="12">
        <f t="shared" si="50"/>
        <v>0</v>
      </c>
    </row>
    <row r="299" spans="1:18" s="59" customFormat="1" ht="13.5" customHeight="1" outlineLevel="1" x14ac:dyDescent="0.3">
      <c r="A299" s="290">
        <f t="shared" si="34"/>
        <v>0</v>
      </c>
      <c r="B299" s="55"/>
      <c r="C299" s="55"/>
      <c r="D299" s="140" t="s">
        <v>2192</v>
      </c>
      <c r="E299" s="67" t="str">
        <f>VLOOKUP(D299,'03. Insumos'!A:D,2,0)</f>
        <v>Execução da argamassa de regularização</v>
      </c>
      <c r="F299" s="68" t="s">
        <v>2607</v>
      </c>
      <c r="G299" s="68" t="str">
        <f>VLOOKUP(D299,'03. Insumos'!A:F,3,0)</f>
        <v>m²</v>
      </c>
      <c r="H299" s="69">
        <v>1</v>
      </c>
      <c r="I299" s="141">
        <f>H298</f>
        <v>67.60799999999999</v>
      </c>
      <c r="J299" s="70">
        <f>IFERROR(IF(K299&lt;&gt;0,K299*$K$5,0),0)</f>
        <v>22</v>
      </c>
      <c r="K299" s="54">
        <f>IF(A299=0,VLOOKUP(D299,'03. Insumos'!A:F,4,0),"")</f>
        <v>22</v>
      </c>
      <c r="L299" s="70">
        <f>H299*J299*I299</f>
        <v>1487.3759999999997</v>
      </c>
      <c r="M299" s="153">
        <f t="shared" ca="1" si="31"/>
        <v>2.5685080415785124E-5</v>
      </c>
      <c r="O299" s="148"/>
      <c r="R299" s="12"/>
    </row>
    <row r="300" spans="1:18" s="51" customFormat="1" ht="13.5" hidden="1" customHeight="1" outlineLevel="1" x14ac:dyDescent="0.3">
      <c r="A300" s="290">
        <f t="shared" si="34"/>
        <v>0</v>
      </c>
      <c r="B300" s="49"/>
      <c r="C300" s="49"/>
      <c r="D300" s="140" t="s">
        <v>733</v>
      </c>
      <c r="E300" s="67" t="str">
        <f>VLOOKUP(D300,'03. Insumos'!A:D,2,0)</f>
        <v>Material - Execução argamassa de Regularização</v>
      </c>
      <c r="F300" s="68"/>
      <c r="G300" s="68" t="str">
        <f>VLOOKUP(D300,'03. Insumos'!A:F,3,0)</f>
        <v>m²</v>
      </c>
      <c r="H300" s="69"/>
      <c r="I300" s="141">
        <f>H298</f>
        <v>67.60799999999999</v>
      </c>
      <c r="J300" s="70">
        <f>IFERROR(IF(K300&lt;&gt;0,K300*$K$5,0),0)</f>
        <v>11.664</v>
      </c>
      <c r="K300" s="54">
        <f>IF(A300=0,VLOOKUP(D300,'03. Insumos'!A:F,4,0),"")</f>
        <v>11.664</v>
      </c>
      <c r="L300" s="70">
        <f>H300*J300*I300</f>
        <v>0</v>
      </c>
      <c r="M300" s="153">
        <f t="shared" ca="1" si="31"/>
        <v>0</v>
      </c>
      <c r="O300" s="148">
        <f>IF(I300&lt;&gt;0,I300*H300*K300,)</f>
        <v>0</v>
      </c>
      <c r="R300" s="12">
        <f>IF(J300&lt;&gt;0,J300/1.03-K300,0)</f>
        <v>-0.33972815533980594</v>
      </c>
    </row>
    <row r="301" spans="1:18" s="51" customFormat="1" ht="13.5" hidden="1" customHeight="1" outlineLevel="1" x14ac:dyDescent="0.3">
      <c r="A301" s="290">
        <f t="shared" si="34"/>
        <v>0</v>
      </c>
      <c r="B301" s="49"/>
      <c r="C301" s="49"/>
      <c r="D301" s="140" t="s">
        <v>734</v>
      </c>
      <c r="E301" s="67" t="str">
        <f>VLOOKUP(D301,'03. Insumos'!A:D,2,0)</f>
        <v xml:space="preserve">Mão de obra - Execução argamassa de Regularização </v>
      </c>
      <c r="F301" s="68"/>
      <c r="G301" s="68" t="str">
        <f>VLOOKUP(D301,'03. Insumos'!A:F,3,0)</f>
        <v>m²</v>
      </c>
      <c r="H301" s="69"/>
      <c r="I301" s="141">
        <f>H298</f>
        <v>67.60799999999999</v>
      </c>
      <c r="J301" s="70">
        <f>IFERROR(IF(K301&lt;&gt;0,K301*$K$5,0),0)</f>
        <v>7.7759999999999998</v>
      </c>
      <c r="K301" s="54">
        <f>IF(A301=0,VLOOKUP(D301,'03. Insumos'!A:F,4,0),"")</f>
        <v>7.7759999999999998</v>
      </c>
      <c r="L301" s="70">
        <f>H301*J301*I301</f>
        <v>0</v>
      </c>
      <c r="M301" s="153">
        <f t="shared" ca="1" si="31"/>
        <v>0</v>
      </c>
      <c r="O301" s="148"/>
      <c r="R301" s="12"/>
    </row>
    <row r="302" spans="1:18" s="51" customFormat="1" ht="13.5" customHeight="1" outlineLevel="1" x14ac:dyDescent="0.3">
      <c r="A302" s="290">
        <f t="shared" si="34"/>
        <v>0</v>
      </c>
      <c r="B302" s="49"/>
      <c r="C302" s="49"/>
      <c r="D302" s="140" t="s">
        <v>1591</v>
      </c>
      <c r="E302" s="67" t="str">
        <f>VLOOKUP(D302,'03. Insumos'!A:D,2,0)</f>
        <v>Areia (granel)</v>
      </c>
      <c r="F302" s="68" t="s">
        <v>2612</v>
      </c>
      <c r="G302" s="68" t="str">
        <f>VLOOKUP(D302,'03. Insumos'!A:F,3,0)</f>
        <v>m³</v>
      </c>
      <c r="H302" s="69">
        <v>1</v>
      </c>
      <c r="I302" s="141">
        <f>ROUNDUP((H298*0.04),0)</f>
        <v>3</v>
      </c>
      <c r="J302" s="70">
        <f>IFERROR(IF(K302&lt;&gt;0,K302*$K$5,0),0)</f>
        <v>65</v>
      </c>
      <c r="K302" s="54">
        <f>IF(A302=0,VLOOKUP(D302,'03. Insumos'!A:F,4,0),"")</f>
        <v>65</v>
      </c>
      <c r="L302" s="70">
        <f>H302*J302*I302</f>
        <v>195</v>
      </c>
      <c r="M302" s="153">
        <f t="shared" ca="1" si="31"/>
        <v>3.3674004966317191E-6</v>
      </c>
      <c r="O302" s="148"/>
      <c r="R302" s="12"/>
    </row>
    <row r="303" spans="1:18" s="51" customFormat="1" ht="13.5" customHeight="1" outlineLevel="1" x14ac:dyDescent="0.3">
      <c r="A303" s="290">
        <f t="shared" si="34"/>
        <v>0</v>
      </c>
      <c r="B303" s="49"/>
      <c r="C303" s="49"/>
      <c r="D303" s="140" t="s">
        <v>747</v>
      </c>
      <c r="E303" s="67" t="str">
        <f>VLOOKUP(D303,'03. Insumos'!A:D,2,0)</f>
        <v>Cimento (saco 50 Kg)</v>
      </c>
      <c r="F303" s="68" t="s">
        <v>2612</v>
      </c>
      <c r="G303" s="68" t="str">
        <f>VLOOKUP(D303,'03. Insumos'!A:F,3,0)</f>
        <v>unid</v>
      </c>
      <c r="H303" s="69">
        <v>1</v>
      </c>
      <c r="I303" s="141">
        <f>ROUNDUP((H298*0.04*8.6),0)</f>
        <v>24</v>
      </c>
      <c r="J303" s="70">
        <f>IFERROR(IF(K303&lt;&gt;0,K303*$K$5,0),0)</f>
        <v>37</v>
      </c>
      <c r="K303" s="54">
        <f>IF(A303=0,VLOOKUP(D303,'03. Insumos'!A:F,4,0),"")</f>
        <v>37</v>
      </c>
      <c r="L303" s="70">
        <f>H303*J303*I303</f>
        <v>888</v>
      </c>
      <c r="M303" s="153">
        <f t="shared" ca="1" si="31"/>
        <v>1.5334623800045983E-5</v>
      </c>
      <c r="O303" s="148"/>
      <c r="R303" s="12"/>
    </row>
    <row r="304" spans="1:18" s="59" customFormat="1" ht="13.5" customHeight="1" outlineLevel="1" x14ac:dyDescent="0.3">
      <c r="A304" s="290">
        <f t="shared" si="34"/>
        <v>6</v>
      </c>
      <c r="B304" s="55"/>
      <c r="C304" s="55" t="s">
        <v>363</v>
      </c>
      <c r="D304" s="55" t="s">
        <v>1397</v>
      </c>
      <c r="E304" s="55"/>
      <c r="F304" s="56"/>
      <c r="G304" s="56" t="s">
        <v>73</v>
      </c>
      <c r="H304" s="57">
        <v>67.60799999999999</v>
      </c>
      <c r="I304" s="142"/>
      <c r="J304" s="70"/>
      <c r="K304" s="54" t="str">
        <f>IF(A304=0,VLOOKUP(D304,'03. Insumos'!A:F,4,0),"")</f>
        <v/>
      </c>
      <c r="L304" s="58">
        <f>SUM(L305:L307)</f>
        <v>5949.503999999999</v>
      </c>
      <c r="M304" s="153">
        <f t="shared" ca="1" si="31"/>
        <v>1.027403216631405E-4</v>
      </c>
      <c r="O304" s="148">
        <f>IF(I304&lt;&gt;0,I304*H304*K304,)</f>
        <v>0</v>
      </c>
      <c r="R304" s="12">
        <f>IF(J304&lt;&gt;0,J304/1.03-K304,0)</f>
        <v>0</v>
      </c>
    </row>
    <row r="305" spans="1:18" s="59" customFormat="1" ht="13.5" customHeight="1" outlineLevel="1" x14ac:dyDescent="0.3">
      <c r="A305" s="290">
        <f t="shared" si="34"/>
        <v>0</v>
      </c>
      <c r="B305" s="55"/>
      <c r="C305" s="55"/>
      <c r="D305" s="140" t="s">
        <v>2193</v>
      </c>
      <c r="E305" s="67" t="str">
        <f>VLOOKUP(D305,'03. Insumos'!A:D,2,0)</f>
        <v>Impermeabilização com manta asfáltica</v>
      </c>
      <c r="F305" s="68" t="s">
        <v>2607</v>
      </c>
      <c r="G305" s="68" t="str">
        <f>VLOOKUP(D305,'03. Insumos'!A:F,3,0)</f>
        <v>m²</v>
      </c>
      <c r="H305" s="69">
        <v>1</v>
      </c>
      <c r="I305" s="141">
        <f>H304</f>
        <v>67.60799999999999</v>
      </c>
      <c r="J305" s="70">
        <f>IFERROR(IF(K305&lt;&gt;0,K305*$K$5,0),0)</f>
        <v>88</v>
      </c>
      <c r="K305" s="54">
        <f>IF(A305=0,VLOOKUP(D305,'03. Insumos'!A:F,4,0),"")</f>
        <v>88</v>
      </c>
      <c r="L305" s="70">
        <f>H305*J305*I305</f>
        <v>5949.503999999999</v>
      </c>
      <c r="M305" s="153">
        <f t="shared" ca="1" si="31"/>
        <v>1.027403216631405E-4</v>
      </c>
      <c r="O305" s="148"/>
      <c r="R305" s="12"/>
    </row>
    <row r="306" spans="1:18" s="51" customFormat="1" ht="13.5" hidden="1" customHeight="1" outlineLevel="1" x14ac:dyDescent="0.3">
      <c r="A306" s="290">
        <f t="shared" si="34"/>
        <v>0</v>
      </c>
      <c r="B306" s="49"/>
      <c r="C306" s="49"/>
      <c r="D306" s="140" t="s">
        <v>735</v>
      </c>
      <c r="E306" s="67" t="str">
        <f>VLOOKUP(D306,'03. Insumos'!A:D,2,0)</f>
        <v xml:space="preserve">Material - Execução Impermeabilização  manta asfáltica tipo III-4mm  </v>
      </c>
      <c r="F306" s="68"/>
      <c r="G306" s="68" t="str">
        <f>VLOOKUP(D306,'03. Insumos'!A:F,3,0)</f>
        <v>m²</v>
      </c>
      <c r="H306" s="69"/>
      <c r="I306" s="141">
        <f>H304</f>
        <v>67.60799999999999</v>
      </c>
      <c r="J306" s="70">
        <f>IFERROR(IF(K306&lt;&gt;0,K306*$K$5,0),0)</f>
        <v>46.181999999999995</v>
      </c>
      <c r="K306" s="54">
        <f>IF(A306=0,VLOOKUP(D306,'03. Insumos'!A:F,4,0),"")</f>
        <v>46.181999999999995</v>
      </c>
      <c r="L306" s="338">
        <f>H306*J306*I306</f>
        <v>0</v>
      </c>
      <c r="M306" s="153">
        <f t="shared" ca="1" si="31"/>
        <v>0</v>
      </c>
      <c r="O306" s="148">
        <f>IF(I306&lt;&gt;0,I306*H306*K306,)</f>
        <v>0</v>
      </c>
      <c r="R306" s="12">
        <f>IF(J306&lt;&gt;0,J306/1.03-K306,0)</f>
        <v>-1.3451067961165037</v>
      </c>
    </row>
    <row r="307" spans="1:18" s="51" customFormat="1" ht="13.5" hidden="1" customHeight="1" outlineLevel="1" x14ac:dyDescent="0.3">
      <c r="A307" s="290">
        <f t="shared" si="34"/>
        <v>0</v>
      </c>
      <c r="B307" s="49"/>
      <c r="C307" s="49"/>
      <c r="D307" s="140" t="s">
        <v>736</v>
      </c>
      <c r="E307" s="67" t="str">
        <f>VLOOKUP(D307,'03. Insumos'!A:D,2,0)</f>
        <v xml:space="preserve">Mão de obra - Execução Impermeabilização  manta asfáltica tipo III-4mm  </v>
      </c>
      <c r="F307" s="68"/>
      <c r="G307" s="68" t="str">
        <f>VLOOKUP(D307,'03. Insumos'!A:F,3,0)</f>
        <v>m²</v>
      </c>
      <c r="H307" s="69"/>
      <c r="I307" s="141">
        <f>H304</f>
        <v>67.60799999999999</v>
      </c>
      <c r="J307" s="70">
        <f>IFERROR(IF(K307&lt;&gt;0,K307*$K$5,0),0)</f>
        <v>30.788</v>
      </c>
      <c r="K307" s="54">
        <f>IF(A307=0,VLOOKUP(D307,'03. Insumos'!A:F,4,0),"")</f>
        <v>30.788</v>
      </c>
      <c r="L307" s="338">
        <f>H307*J307*I307</f>
        <v>0</v>
      </c>
      <c r="M307" s="153">
        <f t="shared" ca="1" si="31"/>
        <v>0</v>
      </c>
      <c r="O307" s="148">
        <f>IF(I307&lt;&gt;0,I307*H307*K307,)</f>
        <v>0</v>
      </c>
      <c r="R307" s="12"/>
    </row>
    <row r="308" spans="1:18" s="51" customFormat="1" ht="13.5" hidden="1" customHeight="1" outlineLevel="1" x14ac:dyDescent="0.3">
      <c r="A308" s="290">
        <f t="shared" si="34"/>
        <v>6</v>
      </c>
      <c r="B308" s="49"/>
      <c r="C308" s="55" t="s">
        <v>1341</v>
      </c>
      <c r="D308" s="55" t="s">
        <v>2199</v>
      </c>
      <c r="E308" s="67"/>
      <c r="F308" s="68"/>
      <c r="G308" s="56" t="s">
        <v>73</v>
      </c>
      <c r="H308" s="57"/>
      <c r="I308" s="141"/>
      <c r="J308" s="70"/>
      <c r="K308" s="54"/>
      <c r="L308" s="58">
        <f>SUM(L309)</f>
        <v>0</v>
      </c>
      <c r="M308" s="153">
        <f t="shared" ca="1" si="31"/>
        <v>0</v>
      </c>
      <c r="O308" s="148"/>
      <c r="R308" s="12"/>
    </row>
    <row r="309" spans="1:18" s="51" customFormat="1" ht="13.5" hidden="1" customHeight="1" outlineLevel="1" x14ac:dyDescent="0.3">
      <c r="A309" s="290">
        <f t="shared" si="34"/>
        <v>0</v>
      </c>
      <c r="B309" s="49"/>
      <c r="C309" s="49"/>
      <c r="D309" s="140" t="s">
        <v>2194</v>
      </c>
      <c r="E309" s="67" t="str">
        <f>VLOOKUP(D309,'03. Insumos'!A:D,2,0)</f>
        <v>Execução da impermeabilização com manta asfáltica tipo III - 4 mm protegida com grânulos de ardósia</v>
      </c>
      <c r="F309" s="68"/>
      <c r="G309" s="68" t="str">
        <f>VLOOKUP(D309,'03. Insumos'!A:F,3,0)</f>
        <v>m²</v>
      </c>
      <c r="H309" s="69">
        <v>1</v>
      </c>
      <c r="I309" s="141">
        <f>H308</f>
        <v>0</v>
      </c>
      <c r="J309" s="70">
        <f>IFERROR(IF(K309&lt;&gt;0,K309*$K$5,0),0)</f>
        <v>82.67</v>
      </c>
      <c r="K309" s="54">
        <f>IF(A309=0,VLOOKUP(D309,'03. Insumos'!A:F,4,0),"")</f>
        <v>82.67</v>
      </c>
      <c r="L309" s="338">
        <f>H309*J309*I309</f>
        <v>0</v>
      </c>
      <c r="M309" s="153">
        <f t="shared" ca="1" si="31"/>
        <v>0</v>
      </c>
      <c r="O309" s="148"/>
      <c r="R309" s="12"/>
    </row>
    <row r="310" spans="1:18" s="51" customFormat="1" ht="13.5" hidden="1" customHeight="1" outlineLevel="1" x14ac:dyDescent="0.3">
      <c r="A310" s="290">
        <f t="shared" si="34"/>
        <v>6</v>
      </c>
      <c r="B310" s="49"/>
      <c r="C310" s="55" t="s">
        <v>1398</v>
      </c>
      <c r="D310" s="55" t="s">
        <v>2184</v>
      </c>
      <c r="E310" s="67"/>
      <c r="F310" s="68"/>
      <c r="G310" s="56" t="s">
        <v>73</v>
      </c>
      <c r="H310" s="57"/>
      <c r="I310" s="141"/>
      <c r="J310" s="70"/>
      <c r="K310" s="54"/>
      <c r="L310" s="58">
        <f>SUM(L311:L314)</f>
        <v>0</v>
      </c>
      <c r="M310" s="153">
        <f t="shared" ca="1" si="31"/>
        <v>0</v>
      </c>
      <c r="O310" s="148"/>
      <c r="R310" s="12"/>
    </row>
    <row r="311" spans="1:18" s="51" customFormat="1" ht="13.5" hidden="1" customHeight="1" outlineLevel="1" x14ac:dyDescent="0.3">
      <c r="A311" s="290">
        <f t="shared" si="34"/>
        <v>0</v>
      </c>
      <c r="B311" s="49"/>
      <c r="C311" s="49"/>
      <c r="D311" s="140" t="s">
        <v>2180</v>
      </c>
      <c r="E311" s="67" t="str">
        <f>VLOOKUP(D311,'03. Insumos'!A:D,2,0)</f>
        <v>Fornecimento e aplicação de chapa XPS</v>
      </c>
      <c r="F311" s="68"/>
      <c r="G311" s="68" t="str">
        <f>VLOOKUP(D311,'03. Insumos'!A:F,3,0)</f>
        <v>m²</v>
      </c>
      <c r="H311" s="69"/>
      <c r="I311" s="141">
        <f>H310</f>
        <v>0</v>
      </c>
      <c r="J311" s="70">
        <f>IFERROR(IF(K311&lt;&gt;0,K311*$K$5,0),0)</f>
        <v>50.72</v>
      </c>
      <c r="K311" s="54">
        <f>IF(A311=0,VLOOKUP(D311,'03. Insumos'!A:F,4,0),"")</f>
        <v>50.72</v>
      </c>
      <c r="L311" s="338">
        <f>H311*J311*I311</f>
        <v>0</v>
      </c>
      <c r="M311" s="153">
        <f t="shared" ca="1" si="31"/>
        <v>0</v>
      </c>
      <c r="O311" s="148"/>
      <c r="R311" s="12"/>
    </row>
    <row r="312" spans="1:18" s="51" customFormat="1" ht="13.5" hidden="1" customHeight="1" outlineLevel="1" x14ac:dyDescent="0.3">
      <c r="A312" s="290">
        <f t="shared" si="34"/>
        <v>0</v>
      </c>
      <c r="B312" s="49"/>
      <c r="C312" s="49"/>
      <c r="D312" s="140" t="s">
        <v>2569</v>
      </c>
      <c r="E312" s="67" t="str">
        <f>VLOOKUP(D312,'03. Insumos'!A:D,2,0)</f>
        <v>Camada separadora: Papel Kraft</v>
      </c>
      <c r="F312" s="68" t="s">
        <v>2612</v>
      </c>
      <c r="G312" s="68" t="str">
        <f>VLOOKUP(D312,'03. Insumos'!A:F,3,0)</f>
        <v>m²</v>
      </c>
      <c r="H312" s="69">
        <v>1</v>
      </c>
      <c r="I312" s="141">
        <f>H310</f>
        <v>0</v>
      </c>
      <c r="J312" s="70">
        <f>IFERROR(IF(K312&lt;&gt;0,K312*$K$5,0),0)</f>
        <v>10.92</v>
      </c>
      <c r="K312" s="54">
        <f>IF(A312=0,VLOOKUP(D312,'03. Insumos'!A:F,4,0),"")</f>
        <v>10.92</v>
      </c>
      <c r="L312" s="70">
        <f>H312*J312*I312</f>
        <v>0</v>
      </c>
      <c r="M312" s="153">
        <f t="shared" ca="1" si="31"/>
        <v>0</v>
      </c>
      <c r="O312" s="148"/>
      <c r="R312" s="12"/>
    </row>
    <row r="313" spans="1:18" s="51" customFormat="1" ht="13.5" hidden="1" customHeight="1" outlineLevel="1" x14ac:dyDescent="0.3">
      <c r="A313" s="290">
        <f t="shared" si="34"/>
        <v>0</v>
      </c>
      <c r="B313" s="49"/>
      <c r="C313" s="49"/>
      <c r="D313" s="140" t="s">
        <v>2571</v>
      </c>
      <c r="E313" s="67" t="str">
        <f>VLOOKUP(D313,'03. Insumos'!A:D,2,0)</f>
        <v>Poliestireno extrudado esp=2,5 cm</v>
      </c>
      <c r="F313" s="68" t="s">
        <v>2612</v>
      </c>
      <c r="G313" s="68" t="str">
        <f>VLOOKUP(D313,'03. Insumos'!A:F,3,0)</f>
        <v>m²</v>
      </c>
      <c r="H313" s="69">
        <v>1</v>
      </c>
      <c r="I313" s="141">
        <f>H310</f>
        <v>0</v>
      </c>
      <c r="J313" s="70">
        <f>IFERROR(IF(K313&lt;&gt;0,K313*$K$5,0),0)</f>
        <v>37.4</v>
      </c>
      <c r="K313" s="54">
        <f>IF(A313=0,VLOOKUP(D313,'03. Insumos'!A:F,4,0),"")</f>
        <v>37.4</v>
      </c>
      <c r="L313" s="70">
        <f>H313*J313*I313</f>
        <v>0</v>
      </c>
      <c r="M313" s="153">
        <f t="shared" ca="1" si="31"/>
        <v>0</v>
      </c>
      <c r="O313" s="148"/>
      <c r="R313" s="12"/>
    </row>
    <row r="314" spans="1:18" s="51" customFormat="1" ht="13.5" hidden="1" customHeight="1" outlineLevel="1" x14ac:dyDescent="0.3">
      <c r="A314" s="290">
        <f t="shared" si="34"/>
        <v>0</v>
      </c>
      <c r="B314" s="49"/>
      <c r="C314" s="49"/>
      <c r="D314" s="140" t="s">
        <v>2181</v>
      </c>
      <c r="E314" s="67" t="str">
        <f>VLOOKUP(D314,'03. Insumos'!A:D,2,0)</f>
        <v>Cinasita</v>
      </c>
      <c r="F314" s="68"/>
      <c r="G314" s="68" t="str">
        <f>VLOOKUP(D314,'03. Insumos'!A:F,3,0)</f>
        <v>m³</v>
      </c>
      <c r="H314" s="69"/>
      <c r="I314" s="141">
        <f>H310*0.05</f>
        <v>0</v>
      </c>
      <c r="J314" s="70">
        <f>IFERROR(IF(K314&lt;&gt;0,K314*$K$5,0),0)</f>
        <v>600</v>
      </c>
      <c r="K314" s="54">
        <f>IF(A314=0,VLOOKUP(D314,'03. Insumos'!A:F,4,0),"")</f>
        <v>600</v>
      </c>
      <c r="L314" s="338">
        <f>H314*J314*I314</f>
        <v>0</v>
      </c>
      <c r="M314" s="153">
        <f t="shared" ca="1" si="31"/>
        <v>0</v>
      </c>
      <c r="O314" s="148"/>
      <c r="R314" s="12"/>
    </row>
    <row r="315" spans="1:18" s="51" customFormat="1" ht="13.5" customHeight="1" outlineLevel="1" x14ac:dyDescent="0.3">
      <c r="A315" s="290">
        <f t="shared" si="34"/>
        <v>6</v>
      </c>
      <c r="B315" s="49"/>
      <c r="C315" s="55" t="s">
        <v>2200</v>
      </c>
      <c r="D315" s="55" t="s">
        <v>1599</v>
      </c>
      <c r="E315" s="67"/>
      <c r="F315" s="68"/>
      <c r="G315" s="56" t="s">
        <v>73</v>
      </c>
      <c r="H315" s="57">
        <f>H304</f>
        <v>67.60799999999999</v>
      </c>
      <c r="I315" s="141"/>
      <c r="J315" s="70"/>
      <c r="K315" s="54"/>
      <c r="L315" s="58">
        <f>SUM(L316:L320)</f>
        <v>1390.002</v>
      </c>
      <c r="M315" s="153">
        <f t="shared" ca="1" si="31"/>
        <v>2.4003556026251707E-5</v>
      </c>
      <c r="O315" s="148"/>
      <c r="R315" s="12"/>
    </row>
    <row r="316" spans="1:18" s="51" customFormat="1" ht="13.5" customHeight="1" outlineLevel="1" x14ac:dyDescent="0.3">
      <c r="A316" s="290">
        <f t="shared" si="34"/>
        <v>0</v>
      </c>
      <c r="B316" s="49"/>
      <c r="C316" s="55"/>
      <c r="D316" s="140" t="s">
        <v>2195</v>
      </c>
      <c r="E316" s="67" t="str">
        <f>VLOOKUP(D316,'03. Insumos'!A:D,2,0)</f>
        <v>Execução da proteção primária do piso</v>
      </c>
      <c r="F316" s="68" t="s">
        <v>2607</v>
      </c>
      <c r="G316" s="68" t="str">
        <f>VLOOKUP(D316,'03. Insumos'!A:F,3,0)</f>
        <v>m²</v>
      </c>
      <c r="H316" s="69">
        <v>1</v>
      </c>
      <c r="I316" s="141">
        <f>H315</f>
        <v>67.60799999999999</v>
      </c>
      <c r="J316" s="70">
        <f>IFERROR(IF(K316&lt;&gt;0,K316*$K$5,0),0)</f>
        <v>12.75</v>
      </c>
      <c r="K316" s="54">
        <f>IF(A316=0,VLOOKUP(D316,'03. Insumos'!A:F,4,0),"")</f>
        <v>12.75</v>
      </c>
      <c r="L316" s="70">
        <f>H316*J316*I316</f>
        <v>862.00199999999984</v>
      </c>
      <c r="M316" s="153">
        <f t="shared" ca="1" si="31"/>
        <v>1.4885671604602742E-5</v>
      </c>
      <c r="O316" s="148"/>
      <c r="R316" s="12"/>
    </row>
    <row r="317" spans="1:18" s="51" customFormat="1" ht="13.5" hidden="1" customHeight="1" outlineLevel="1" x14ac:dyDescent="0.3">
      <c r="A317" s="290">
        <f t="shared" si="34"/>
        <v>0</v>
      </c>
      <c r="B317" s="49"/>
      <c r="C317" s="49"/>
      <c r="D317" s="140" t="s">
        <v>737</v>
      </c>
      <c r="E317" s="67" t="str">
        <f>VLOOKUP(D317,'03. Insumos'!A:D,2,0)</f>
        <v>Material - Execução proteção primária do piso</v>
      </c>
      <c r="F317" s="68"/>
      <c r="G317" s="68" t="str">
        <f>VLOOKUP(D317,'03. Insumos'!A:F,3,0)</f>
        <v>m²</v>
      </c>
      <c r="H317" s="69"/>
      <c r="I317" s="141">
        <f>H315</f>
        <v>67.60799999999999</v>
      </c>
      <c r="J317" s="70">
        <f>IFERROR(IF(K317&lt;&gt;0,K317*$K$5,0),0)</f>
        <v>7.8000000000000007</v>
      </c>
      <c r="K317" s="54">
        <f>IF(A317=0,VLOOKUP(D317,'03. Insumos'!A:F,4,0),"")</f>
        <v>7.8000000000000007</v>
      </c>
      <c r="L317" s="70">
        <f>H317*J317*I317</f>
        <v>0</v>
      </c>
      <c r="M317" s="153">
        <f t="shared" ca="1" si="31"/>
        <v>0</v>
      </c>
      <c r="O317" s="148"/>
      <c r="R317" s="12"/>
    </row>
    <row r="318" spans="1:18" s="51" customFormat="1" ht="13.5" hidden="1" customHeight="1" outlineLevel="1" x14ac:dyDescent="0.3">
      <c r="A318" s="290">
        <f t="shared" si="34"/>
        <v>0</v>
      </c>
      <c r="B318" s="49"/>
      <c r="C318" s="49"/>
      <c r="D318" s="140" t="s">
        <v>738</v>
      </c>
      <c r="E318" s="67" t="str">
        <f>VLOOKUP(D318,'03. Insumos'!A:D,2,0)</f>
        <v xml:space="preserve">Mão de obra - Execução proteção primária do piso </v>
      </c>
      <c r="F318" s="68"/>
      <c r="G318" s="68" t="str">
        <f>VLOOKUP(D318,'03. Insumos'!A:F,3,0)</f>
        <v>m²</v>
      </c>
      <c r="H318" s="69"/>
      <c r="I318" s="141">
        <f>H315</f>
        <v>67.60799999999999</v>
      </c>
      <c r="J318" s="70">
        <f>IFERROR(IF(K318&lt;&gt;0,K318*$K$5,0),0)</f>
        <v>5.2</v>
      </c>
      <c r="K318" s="54">
        <f>IF(A318=0,VLOOKUP(D318,'03. Insumos'!A:F,4,0),"")</f>
        <v>5.2</v>
      </c>
      <c r="L318" s="70">
        <f>H318*J318*I318</f>
        <v>0</v>
      </c>
      <c r="M318" s="153">
        <f t="shared" ca="1" si="31"/>
        <v>0</v>
      </c>
      <c r="O318" s="148"/>
      <c r="R318" s="12"/>
    </row>
    <row r="319" spans="1:18" s="51" customFormat="1" ht="13.5" customHeight="1" outlineLevel="1" x14ac:dyDescent="0.3">
      <c r="A319" s="290">
        <f t="shared" si="34"/>
        <v>0</v>
      </c>
      <c r="B319" s="49"/>
      <c r="C319" s="49"/>
      <c r="D319" s="140" t="s">
        <v>1591</v>
      </c>
      <c r="E319" s="67" t="str">
        <f>VLOOKUP(D319,'03. Insumos'!A:D,2,0)</f>
        <v>Areia (granel)</v>
      </c>
      <c r="F319" s="68" t="s">
        <v>2612</v>
      </c>
      <c r="G319" s="68" t="str">
        <f>VLOOKUP(D319,'03. Insumos'!A:F,3,0)</f>
        <v>m³</v>
      </c>
      <c r="H319" s="69">
        <v>1</v>
      </c>
      <c r="I319" s="141">
        <f>ROUNDUP((H315*0.03*1.2),0)</f>
        <v>3</v>
      </c>
      <c r="J319" s="70">
        <f>IFERROR(IF(K319&lt;&gt;0,K319*$K$5,0),0)</f>
        <v>65</v>
      </c>
      <c r="K319" s="54">
        <f>IF(A319=0,VLOOKUP(D319,'03. Insumos'!A:F,4,0),"")</f>
        <v>65</v>
      </c>
      <c r="L319" s="70">
        <f>H319*J319*I319</f>
        <v>195</v>
      </c>
      <c r="M319" s="153">
        <f t="shared" ca="1" si="31"/>
        <v>3.3674004966317191E-6</v>
      </c>
      <c r="O319" s="148"/>
      <c r="R319" s="12"/>
    </row>
    <row r="320" spans="1:18" s="51" customFormat="1" ht="13.5" customHeight="1" outlineLevel="1" x14ac:dyDescent="0.3">
      <c r="A320" s="290">
        <f t="shared" si="34"/>
        <v>0</v>
      </c>
      <c r="B320" s="49"/>
      <c r="C320" s="49"/>
      <c r="D320" s="140" t="s">
        <v>747</v>
      </c>
      <c r="E320" s="67" t="str">
        <f>VLOOKUP(D320,'03. Insumos'!A:D,2,0)</f>
        <v>Cimento (saco 50 Kg)</v>
      </c>
      <c r="F320" s="68" t="s">
        <v>2612</v>
      </c>
      <c r="G320" s="68" t="str">
        <f>VLOOKUP(D320,'03. Insumos'!A:F,3,0)</f>
        <v>unid</v>
      </c>
      <c r="H320" s="69">
        <v>1</v>
      </c>
      <c r="I320" s="141">
        <f>ROUNDUP((H315*0.03*4.35),0)</f>
        <v>9</v>
      </c>
      <c r="J320" s="70">
        <f>IFERROR(IF(K320&lt;&gt;0,K320*$K$5,0),0)</f>
        <v>37</v>
      </c>
      <c r="K320" s="54">
        <f>IF(A320=0,VLOOKUP(D320,'03. Insumos'!A:F,4,0),"")</f>
        <v>37</v>
      </c>
      <c r="L320" s="70">
        <f>H320*J320*I320</f>
        <v>333</v>
      </c>
      <c r="M320" s="153">
        <f t="shared" ca="1" si="31"/>
        <v>5.7504839250172433E-6</v>
      </c>
      <c r="O320" s="148"/>
      <c r="R320" s="12"/>
    </row>
    <row r="321" spans="1:18" s="51" customFormat="1" ht="13.5" hidden="1" customHeight="1" outlineLevel="1" x14ac:dyDescent="0.3">
      <c r="A321" s="290">
        <f t="shared" si="34"/>
        <v>6</v>
      </c>
      <c r="B321" s="49"/>
      <c r="C321" s="55" t="s">
        <v>2201</v>
      </c>
      <c r="D321" s="55" t="s">
        <v>2202</v>
      </c>
      <c r="E321" s="67"/>
      <c r="F321" s="68"/>
      <c r="G321" s="56" t="s">
        <v>73</v>
      </c>
      <c r="H321" s="69"/>
      <c r="I321" s="141"/>
      <c r="J321" s="70"/>
      <c r="K321" s="54"/>
      <c r="L321" s="58">
        <f>SUM(L322)</f>
        <v>0</v>
      </c>
      <c r="M321" s="153">
        <f t="shared" ca="1" si="31"/>
        <v>0</v>
      </c>
      <c r="O321" s="148"/>
      <c r="R321" s="12"/>
    </row>
    <row r="322" spans="1:18" s="51" customFormat="1" ht="13.5" hidden="1" customHeight="1" outlineLevel="1" x14ac:dyDescent="0.3">
      <c r="A322" s="290">
        <f t="shared" si="34"/>
        <v>0</v>
      </c>
      <c r="B322" s="49"/>
      <c r="C322" s="49"/>
      <c r="D322" s="140" t="s">
        <v>2196</v>
      </c>
      <c r="E322" s="67" t="str">
        <f>VLOOKUP(D322,'03. Insumos'!A:D,2,0)</f>
        <v>Execução da impermeabilização com poliuretano bicomponente</v>
      </c>
      <c r="F322" s="68"/>
      <c r="G322" s="68" t="str">
        <f>VLOOKUP(D322,'03. Insumos'!A:F,3,0)</f>
        <v>m²</v>
      </c>
      <c r="H322" s="69">
        <v>1</v>
      </c>
      <c r="I322" s="141">
        <f>H321</f>
        <v>0</v>
      </c>
      <c r="J322" s="70">
        <f>IFERROR(IF(K322&lt;&gt;0,K322*$K$5,0),0)</f>
        <v>124.50000000000001</v>
      </c>
      <c r="K322" s="54">
        <f>IF(A322=0,VLOOKUP(D322,'03. Insumos'!A:F,4,0),"")</f>
        <v>124.50000000000001</v>
      </c>
      <c r="L322" s="338">
        <f>H322*J322*I322</f>
        <v>0</v>
      </c>
      <c r="M322" s="153">
        <f t="shared" ca="1" si="31"/>
        <v>0</v>
      </c>
      <c r="O322" s="148"/>
      <c r="R322" s="12"/>
    </row>
    <row r="323" spans="1:18" s="51" customFormat="1" ht="13.5" hidden="1" customHeight="1" outlineLevel="1" x14ac:dyDescent="0.3">
      <c r="A323" s="290">
        <f>LEN(C323)</f>
        <v>6</v>
      </c>
      <c r="B323" s="49"/>
      <c r="C323" s="55" t="s">
        <v>2205</v>
      </c>
      <c r="D323" s="55" t="s">
        <v>2203</v>
      </c>
      <c r="E323" s="67"/>
      <c r="F323" s="68"/>
      <c r="G323" s="56" t="s">
        <v>73</v>
      </c>
      <c r="H323" s="69"/>
      <c r="I323" s="141"/>
      <c r="J323" s="70"/>
      <c r="K323" s="54"/>
      <c r="L323" s="58">
        <f>SUM(L324)</f>
        <v>0</v>
      </c>
      <c r="M323" s="153">
        <f ca="1">L323/$L$7</f>
        <v>0</v>
      </c>
      <c r="O323" s="148"/>
      <c r="R323" s="12"/>
    </row>
    <row r="324" spans="1:18" s="51" customFormat="1" ht="13.5" hidden="1" customHeight="1" outlineLevel="1" x14ac:dyDescent="0.3">
      <c r="A324" s="290">
        <f>LEN(C324)</f>
        <v>0</v>
      </c>
      <c r="B324" s="49"/>
      <c r="C324" s="49"/>
      <c r="D324" s="140" t="s">
        <v>2197</v>
      </c>
      <c r="E324" s="67" t="str">
        <f>VLOOKUP(D324,'03. Insumos'!A:D,2,0)</f>
        <v>Execução da impermeabilização com epóxi</v>
      </c>
      <c r="F324" s="68"/>
      <c r="G324" s="68" t="str">
        <f>VLOOKUP(D324,'03. Insumos'!A:F,3,0)</f>
        <v>m²</v>
      </c>
      <c r="H324" s="69">
        <v>1</v>
      </c>
      <c r="I324" s="141">
        <f>H323</f>
        <v>0</v>
      </c>
      <c r="J324" s="70">
        <f>IFERROR(IF(K324&lt;&gt;0,K324*$K$5,0),0)</f>
        <v>55.72</v>
      </c>
      <c r="K324" s="54">
        <f>IF(A324=0,VLOOKUP(D324,'03. Insumos'!A:F,4,0),"")</f>
        <v>55.72</v>
      </c>
      <c r="L324" s="338">
        <f>H324*J324*I324</f>
        <v>0</v>
      </c>
      <c r="M324" s="153">
        <f ca="1">L324/$L$7</f>
        <v>0</v>
      </c>
      <c r="O324" s="148"/>
      <c r="R324" s="12"/>
    </row>
    <row r="325" spans="1:18" s="51" customFormat="1" ht="13.5" hidden="1" customHeight="1" outlineLevel="1" x14ac:dyDescent="0.3">
      <c r="A325" s="290">
        <f>LEN(C325)</f>
        <v>6</v>
      </c>
      <c r="B325" s="49"/>
      <c r="C325" s="55" t="s">
        <v>2206</v>
      </c>
      <c r="D325" s="55" t="s">
        <v>2204</v>
      </c>
      <c r="E325" s="67"/>
      <c r="F325" s="68"/>
      <c r="G325" s="56" t="s">
        <v>73</v>
      </c>
      <c r="H325" s="69"/>
      <c r="I325" s="141"/>
      <c r="J325" s="70"/>
      <c r="K325" s="54"/>
      <c r="L325" s="58">
        <f>SUM(L326)</f>
        <v>0</v>
      </c>
      <c r="M325" s="153">
        <f ca="1">L325/$L$7</f>
        <v>0</v>
      </c>
      <c r="O325" s="148"/>
      <c r="R325" s="12"/>
    </row>
    <row r="326" spans="1:18" s="51" customFormat="1" ht="13.5" hidden="1" customHeight="1" outlineLevel="1" x14ac:dyDescent="0.3">
      <c r="A326" s="290">
        <f>LEN(C326)</f>
        <v>0</v>
      </c>
      <c r="B326" s="49"/>
      <c r="C326" s="49"/>
      <c r="D326" s="140" t="s">
        <v>2198</v>
      </c>
      <c r="E326" s="67" t="str">
        <f>VLOOKUP(D326,'03. Insumos'!A:D,2,0)</f>
        <v>Execução da impermeabilização pelo sistema de manta líquida à base de copolímero acrílico</v>
      </c>
      <c r="F326" s="68"/>
      <c r="G326" s="68" t="str">
        <f>VLOOKUP(D326,'03. Insumos'!A:F,3,0)</f>
        <v>m²</v>
      </c>
      <c r="H326" s="69">
        <v>1</v>
      </c>
      <c r="I326" s="141">
        <f>H325</f>
        <v>0</v>
      </c>
      <c r="J326" s="70">
        <f>IFERROR(IF(K326&lt;&gt;0,K326*$K$5,0),0)</f>
        <v>48</v>
      </c>
      <c r="K326" s="54">
        <f>IF(A326=0,VLOOKUP(D326,'03. Insumos'!A:F,4,0),"")</f>
        <v>48</v>
      </c>
      <c r="L326" s="338">
        <f>H326*J326*I326</f>
        <v>0</v>
      </c>
      <c r="M326" s="153">
        <f ca="1">L326/$L$7</f>
        <v>0</v>
      </c>
      <c r="O326" s="148"/>
      <c r="R326" s="12"/>
    </row>
    <row r="327" spans="1:18" s="51" customFormat="1" ht="13.5" customHeight="1" outlineLevel="1" x14ac:dyDescent="0.3">
      <c r="A327" s="290">
        <f t="shared" si="34"/>
        <v>6</v>
      </c>
      <c r="B327" s="49"/>
      <c r="C327" s="55" t="s">
        <v>2207</v>
      </c>
      <c r="D327" s="55" t="s">
        <v>2081</v>
      </c>
      <c r="E327" s="67"/>
      <c r="F327" s="68"/>
      <c r="G327" s="56" t="s">
        <v>73</v>
      </c>
      <c r="H327" s="57">
        <v>66.746000000000009</v>
      </c>
      <c r="I327" s="141"/>
      <c r="J327" s="70"/>
      <c r="K327" s="54"/>
      <c r="L327" s="58">
        <f>SUM(L328:L330)</f>
        <v>2603.0940000000005</v>
      </c>
      <c r="M327" s="153">
        <f t="shared" ca="1" si="31"/>
        <v>4.4952102709636151E-5</v>
      </c>
      <c r="O327" s="148"/>
      <c r="R327" s="12"/>
    </row>
    <row r="328" spans="1:18" s="51" customFormat="1" ht="13.5" hidden="1" customHeight="1" outlineLevel="1" x14ac:dyDescent="0.3">
      <c r="A328" s="290">
        <f t="shared" si="34"/>
        <v>0</v>
      </c>
      <c r="B328" s="49"/>
      <c r="C328" s="55"/>
      <c r="D328" s="140" t="s">
        <v>2083</v>
      </c>
      <c r="E328" s="67" t="str">
        <f>VLOOKUP(D328,'03. Insumos'!A:D,2,0)</f>
        <v>Preparo da superfície</v>
      </c>
      <c r="F328" s="68"/>
      <c r="G328" s="68" t="str">
        <f>VLOOKUP(D328,'03. Insumos'!A:F,3,0)</f>
        <v>m²</v>
      </c>
      <c r="H328" s="69"/>
      <c r="I328" s="141">
        <f>H327</f>
        <v>66.746000000000009</v>
      </c>
      <c r="J328" s="70">
        <f>IFERROR(IF(K328&lt;&gt;0,K328*$K$5,0),0)</f>
        <v>13</v>
      </c>
      <c r="K328" s="54">
        <f>IF(A328=0,VLOOKUP(D328,'03. Insumos'!A:F,4,0),"")</f>
        <v>13</v>
      </c>
      <c r="L328" s="338">
        <f>H328*J328*I328</f>
        <v>0</v>
      </c>
      <c r="M328" s="153">
        <f t="shared" ca="1" si="31"/>
        <v>0</v>
      </c>
      <c r="O328" s="148"/>
      <c r="R328" s="12"/>
    </row>
    <row r="329" spans="1:18" s="51" customFormat="1" ht="13.5" hidden="1" customHeight="1" outlineLevel="1" x14ac:dyDescent="0.3">
      <c r="A329" s="290">
        <f t="shared" si="34"/>
        <v>0</v>
      </c>
      <c r="B329" s="49"/>
      <c r="C329" s="55"/>
      <c r="D329" s="140" t="s">
        <v>2582</v>
      </c>
      <c r="E329" s="67" t="str">
        <f>VLOOKUP(D329,'03. Insumos'!A:D,2,0)</f>
        <v>Sikatop100 (saco 18 Kg)</v>
      </c>
      <c r="F329" s="68" t="s">
        <v>2612</v>
      </c>
      <c r="G329" s="68" t="str">
        <f>VLOOKUP(D329,'03. Insumos'!A:F,3,0)</f>
        <v>Unid</v>
      </c>
      <c r="H329" s="69">
        <v>1</v>
      </c>
      <c r="I329" s="141"/>
      <c r="J329" s="70">
        <f>IFERROR(IF(K329&lt;&gt;0,K329*$K$5,0),0)</f>
        <v>44.9</v>
      </c>
      <c r="K329" s="54">
        <f>IF(A329=0,VLOOKUP(D329,'03. Insumos'!A:F,4,0),"")</f>
        <v>44.9</v>
      </c>
      <c r="L329" s="70">
        <f>H329*J329*I329</f>
        <v>0</v>
      </c>
      <c r="M329" s="153">
        <f ca="1">L329/$L$7</f>
        <v>0</v>
      </c>
      <c r="O329" s="148"/>
      <c r="R329" s="12"/>
    </row>
    <row r="330" spans="1:18" s="51" customFormat="1" ht="13.5" customHeight="1" outlineLevel="1" x14ac:dyDescent="0.3">
      <c r="A330" s="290">
        <f t="shared" si="34"/>
        <v>0</v>
      </c>
      <c r="B330" s="49"/>
      <c r="C330" s="55"/>
      <c r="D330" s="140" t="s">
        <v>2084</v>
      </c>
      <c r="E330" s="67" t="str">
        <f>VLOOKUP(D330,'03. Insumos'!A:D,2,0)</f>
        <v>Mat + MO - Impermeabilização com argamassa polimérica</v>
      </c>
      <c r="F330" s="68" t="s">
        <v>2612</v>
      </c>
      <c r="G330" s="68" t="str">
        <f>VLOOKUP(D330,'03. Insumos'!A:F,3,0)</f>
        <v>m²</v>
      </c>
      <c r="H330" s="69">
        <v>1</v>
      </c>
      <c r="I330" s="141">
        <f>H327</f>
        <v>66.746000000000009</v>
      </c>
      <c r="J330" s="70">
        <f>IFERROR(IF(K330&lt;&gt;0,K330*$K$5,0),0)</f>
        <v>39</v>
      </c>
      <c r="K330" s="54">
        <f>IF(A330=0,VLOOKUP(D330,'03. Insumos'!A:F,4,0),"")</f>
        <v>39</v>
      </c>
      <c r="L330" s="70">
        <f>H330*J330*I330</f>
        <v>2603.0940000000005</v>
      </c>
      <c r="M330" s="153">
        <f t="shared" ref="M330:M420" ca="1" si="51">L330/$L$7</f>
        <v>4.4952102709636151E-5</v>
      </c>
      <c r="O330" s="148"/>
      <c r="R330" s="12"/>
    </row>
    <row r="331" spans="1:18" s="18" customFormat="1" ht="13.5" customHeight="1" x14ac:dyDescent="0.3">
      <c r="A331" s="290">
        <f t="shared" ref="A331:A422" si="52">LEN(C331)</f>
        <v>3</v>
      </c>
      <c r="B331" s="35"/>
      <c r="C331" s="35" t="s">
        <v>275</v>
      </c>
      <c r="D331" s="35" t="s">
        <v>265</v>
      </c>
      <c r="E331" s="35"/>
      <c r="F331" s="323"/>
      <c r="G331" s="323"/>
      <c r="H331" s="324"/>
      <c r="I331" s="37"/>
      <c r="J331" s="333"/>
      <c r="K331" s="38"/>
      <c r="L331" s="333">
        <f>SUMIF(A332:A356,4,L332:L357)</f>
        <v>18771.599999999999</v>
      </c>
      <c r="M331" s="153">
        <f t="shared" ca="1" si="51"/>
        <v>3.2416151365421525E-4</v>
      </c>
      <c r="O331" s="148">
        <f t="shared" ref="O331:O336" si="53">IF(I331&lt;&gt;0,I331*H331*K331,)</f>
        <v>0</v>
      </c>
      <c r="R331" s="12">
        <f t="shared" ref="R331:R336" si="54">IF(J331&lt;&gt;0,J331/1.03-K331,0)</f>
        <v>0</v>
      </c>
    </row>
    <row r="332" spans="1:18" s="18" customFormat="1" ht="5.25" customHeight="1" outlineLevel="1" x14ac:dyDescent="0.3">
      <c r="A332" s="290">
        <f t="shared" si="52"/>
        <v>0</v>
      </c>
      <c r="B332" s="63"/>
      <c r="C332" s="63"/>
      <c r="D332" s="63"/>
      <c r="E332" s="63"/>
      <c r="F332" s="325"/>
      <c r="G332" s="325"/>
      <c r="H332" s="326"/>
      <c r="I332" s="65"/>
      <c r="J332" s="334">
        <f>IFERROR(IF(K332&lt;&gt;0,K332*$K$5,0),0)</f>
        <v>0</v>
      </c>
      <c r="K332" s="66" t="e">
        <f>IF(A332=0,VLOOKUP(D332,'03. Insumos'!A:F,4,0),"")</f>
        <v>#N/A</v>
      </c>
      <c r="L332" s="334"/>
      <c r="M332" s="153">
        <f t="shared" ca="1" si="51"/>
        <v>0</v>
      </c>
      <c r="O332" s="148">
        <f t="shared" si="53"/>
        <v>0</v>
      </c>
      <c r="R332" s="12">
        <f t="shared" si="54"/>
        <v>0</v>
      </c>
    </row>
    <row r="333" spans="1:18" s="18" customFormat="1" ht="13.5" customHeight="1" outlineLevel="1" x14ac:dyDescent="0.3">
      <c r="A333" s="290">
        <f t="shared" si="52"/>
        <v>4</v>
      </c>
      <c r="B333" s="45"/>
      <c r="C333" s="45" t="s">
        <v>364</v>
      </c>
      <c r="D333" s="45" t="s">
        <v>265</v>
      </c>
      <c r="E333" s="45"/>
      <c r="F333" s="327"/>
      <c r="G333" s="327"/>
      <c r="H333" s="328"/>
      <c r="I333" s="61"/>
      <c r="J333" s="335"/>
      <c r="K333" s="62" t="str">
        <f>IF(A333=0,VLOOKUP(D333,'03. Insumos'!A:F,4,0),"")</f>
        <v/>
      </c>
      <c r="L333" s="335">
        <f>SUMIF(A334:A357,6,L334:L357)</f>
        <v>18771.599999999999</v>
      </c>
      <c r="M333" s="153">
        <f t="shared" ca="1" si="51"/>
        <v>3.2416151365421525E-4</v>
      </c>
      <c r="O333" s="148">
        <f t="shared" si="53"/>
        <v>0</v>
      </c>
      <c r="R333" s="12">
        <f t="shared" si="54"/>
        <v>0</v>
      </c>
    </row>
    <row r="334" spans="1:18" s="59" customFormat="1" ht="13.5" customHeight="1" outlineLevel="1" x14ac:dyDescent="0.3">
      <c r="A334" s="290">
        <f t="shared" si="52"/>
        <v>6</v>
      </c>
      <c r="B334" s="55"/>
      <c r="C334" s="55" t="s">
        <v>278</v>
      </c>
      <c r="D334" s="55" t="s">
        <v>92</v>
      </c>
      <c r="E334" s="55"/>
      <c r="F334" s="56"/>
      <c r="G334" s="56" t="s">
        <v>73</v>
      </c>
      <c r="H334" s="57">
        <f>50%*329.98</f>
        <v>164.99</v>
      </c>
      <c r="I334" s="57"/>
      <c r="J334" s="58"/>
      <c r="K334" s="58" t="str">
        <f>IF(A334=0,VLOOKUP(D334,'03. Insumos'!A:F,4,0),"")</f>
        <v/>
      </c>
      <c r="L334" s="58">
        <f>SUM(L335:L338)</f>
        <v>7570.6</v>
      </c>
      <c r="M334" s="153">
        <f t="shared" ca="1" si="51"/>
        <v>1.3073457538359022E-4</v>
      </c>
      <c r="O334" s="148">
        <f t="shared" si="53"/>
        <v>0</v>
      </c>
      <c r="R334" s="12">
        <f t="shared" si="54"/>
        <v>0</v>
      </c>
    </row>
    <row r="335" spans="1:18" s="51" customFormat="1" ht="13.5" hidden="1" customHeight="1" outlineLevel="1" x14ac:dyDescent="0.3">
      <c r="A335" s="290">
        <f t="shared" si="52"/>
        <v>0</v>
      </c>
      <c r="B335" s="49"/>
      <c r="C335" s="49"/>
      <c r="D335" s="140" t="s">
        <v>746</v>
      </c>
      <c r="E335" s="67" t="str">
        <f>VLOOKUP(D335,'03. Insumos'!A:D,2,0)</f>
        <v>Mão de obra - Execução de Contrapiso</v>
      </c>
      <c r="F335" s="68"/>
      <c r="G335" s="68" t="str">
        <f>VLOOKUP(D335,'03. Insumos'!A:F,3,0)</f>
        <v>m²</v>
      </c>
      <c r="H335" s="69">
        <v>1</v>
      </c>
      <c r="I335" s="141"/>
      <c r="J335" s="70">
        <f>IFERROR(IF(K335&lt;&gt;0,K335*$K$5,0),0)</f>
        <v>20</v>
      </c>
      <c r="K335" s="54">
        <f>IF(A335=0,VLOOKUP(D335,'03. Insumos'!A:F,4,0),"")</f>
        <v>20</v>
      </c>
      <c r="L335" s="338">
        <f>H335*J335*I335</f>
        <v>0</v>
      </c>
      <c r="M335" s="153">
        <f t="shared" ca="1" si="51"/>
        <v>0</v>
      </c>
      <c r="O335" s="148">
        <f t="shared" si="53"/>
        <v>0</v>
      </c>
      <c r="R335" s="12">
        <f t="shared" si="54"/>
        <v>-0.58252427184466171</v>
      </c>
    </row>
    <row r="336" spans="1:18" s="51" customFormat="1" ht="13.5" customHeight="1" outlineLevel="1" x14ac:dyDescent="0.3">
      <c r="A336" s="290">
        <f t="shared" si="52"/>
        <v>0</v>
      </c>
      <c r="B336" s="49"/>
      <c r="C336" s="49"/>
      <c r="D336" s="140" t="s">
        <v>2272</v>
      </c>
      <c r="E336" s="67" t="str">
        <f>VLOOKUP(D336,'03. Insumos'!A:D,2,0)</f>
        <v>Argamassa multiuso 50kg (grandes Qtde, acima de 240)</v>
      </c>
      <c r="F336" s="68" t="s">
        <v>2612</v>
      </c>
      <c r="G336" s="68" t="str">
        <f>VLOOKUP(D336,'03. Insumos'!A:F,3,0)</f>
        <v>sc</v>
      </c>
      <c r="H336" s="69">
        <v>1</v>
      </c>
      <c r="I336" s="141">
        <f>ROUND((H334/(2.7/4)),0)</f>
        <v>244</v>
      </c>
      <c r="J336" s="70">
        <f>IFERROR(IF(K336&lt;&gt;0,K336*$K$5,0),0)</f>
        <v>23</v>
      </c>
      <c r="K336" s="54">
        <f>IF(A336=0,VLOOKUP(D336,'03. Insumos'!A:F,4,0),"")</f>
        <v>23</v>
      </c>
      <c r="L336" s="70">
        <f>H336*J336*I336</f>
        <v>5612</v>
      </c>
      <c r="M336" s="153">
        <f t="shared" ca="1" si="51"/>
        <v>9.6912059421011321E-5</v>
      </c>
      <c r="O336" s="148">
        <f t="shared" si="53"/>
        <v>5612</v>
      </c>
      <c r="R336" s="12">
        <f t="shared" si="54"/>
        <v>-0.66990291262136026</v>
      </c>
    </row>
    <row r="337" spans="1:18" s="51" customFormat="1" ht="13.5" customHeight="1" outlineLevel="1" x14ac:dyDescent="0.3">
      <c r="A337" s="290">
        <f t="shared" si="52"/>
        <v>0</v>
      </c>
      <c r="B337" s="49"/>
      <c r="C337" s="49"/>
      <c r="D337" s="140" t="s">
        <v>747</v>
      </c>
      <c r="E337" s="67" t="str">
        <f>VLOOKUP(D337,'03. Insumos'!A:D,2,0)</f>
        <v>Cimento (saco 50 Kg)</v>
      </c>
      <c r="F337" s="68" t="s">
        <v>2612</v>
      </c>
      <c r="G337" s="68" t="str">
        <f>VLOOKUP(D337,'03. Insumos'!A:F,3,0)</f>
        <v>unid</v>
      </c>
      <c r="H337" s="69">
        <v>1</v>
      </c>
      <c r="I337" s="141">
        <f>ROUND((I336/12),0)+ROUND((H334/25),0)</f>
        <v>27</v>
      </c>
      <c r="J337" s="70">
        <f>IFERROR(IF(K337&lt;&gt;0,K337*$K$5,0),0)</f>
        <v>37</v>
      </c>
      <c r="K337" s="54">
        <f>IF(A337=0,VLOOKUP(D337,'03. Insumos'!A:F,4,0),"")</f>
        <v>37</v>
      </c>
      <c r="L337" s="70">
        <f>H337*J337*I337</f>
        <v>999</v>
      </c>
      <c r="M337" s="153">
        <f t="shared" ca="1" si="51"/>
        <v>1.725145177505173E-5</v>
      </c>
      <c r="O337" s="148"/>
      <c r="R337" s="12"/>
    </row>
    <row r="338" spans="1:18" s="51" customFormat="1" ht="13.5" customHeight="1" outlineLevel="1" x14ac:dyDescent="0.3">
      <c r="A338" s="290">
        <f t="shared" si="52"/>
        <v>0</v>
      </c>
      <c r="B338" s="49"/>
      <c r="C338" s="49"/>
      <c r="D338" s="140" t="s">
        <v>1915</v>
      </c>
      <c r="E338" s="67" t="str">
        <f>VLOOKUP(D338,'03. Insumos'!A:D,2,0)</f>
        <v>Bianco Vedacit</v>
      </c>
      <c r="F338" s="68" t="s">
        <v>2612</v>
      </c>
      <c r="G338" s="68" t="str">
        <f>VLOOKUP(D338,'03. Insumos'!A:F,3,0)</f>
        <v>Balde 18 L</v>
      </c>
      <c r="H338" s="69">
        <v>1</v>
      </c>
      <c r="I338" s="141">
        <f>ROUNDUP(((H334*0.4)/18),0)</f>
        <v>4</v>
      </c>
      <c r="J338" s="70">
        <f>IFERROR(IF(K338&lt;&gt;0,K338*$K$5,0),0)</f>
        <v>239.9</v>
      </c>
      <c r="K338" s="54">
        <f>IF(A338=0,VLOOKUP(D338,'03. Insumos'!A:F,4,0),"")</f>
        <v>239.9</v>
      </c>
      <c r="L338" s="70">
        <f>H338*J338*I338</f>
        <v>959.6</v>
      </c>
      <c r="M338" s="153">
        <f t="shared" ca="1" si="51"/>
        <v>1.6571064187527168E-5</v>
      </c>
      <c r="O338" s="148"/>
      <c r="R338" s="12"/>
    </row>
    <row r="339" spans="1:18" s="59" customFormat="1" ht="13.5" customHeight="1" outlineLevel="1" x14ac:dyDescent="0.3">
      <c r="A339" s="290">
        <f t="shared" si="52"/>
        <v>6</v>
      </c>
      <c r="B339" s="55"/>
      <c r="C339" s="55" t="s">
        <v>1897</v>
      </c>
      <c r="D339" s="55" t="s">
        <v>1399</v>
      </c>
      <c r="E339" s="55"/>
      <c r="F339" s="56"/>
      <c r="G339" s="56" t="s">
        <v>73</v>
      </c>
      <c r="H339" s="57">
        <f>(H259*2)+((914.71-375.4)*50%)</f>
        <v>657.05500000000006</v>
      </c>
      <c r="I339" s="57"/>
      <c r="J339" s="58"/>
      <c r="K339" s="58" t="str">
        <f>IF(A339=0,VLOOKUP(D339,'03. Insumos'!A:F,4,0),"")</f>
        <v/>
      </c>
      <c r="L339" s="58">
        <f>SUM(L340:L341)</f>
        <v>11201</v>
      </c>
      <c r="M339" s="153">
        <f t="shared" ca="1" si="51"/>
        <v>1.9342693827062506E-4</v>
      </c>
      <c r="O339" s="148">
        <f>IF(I339&lt;&gt;0,I339*H339*K339,)</f>
        <v>0</v>
      </c>
      <c r="R339" s="12">
        <f>IF(J339&lt;&gt;0,J339/1.03-K339,0)</f>
        <v>0</v>
      </c>
    </row>
    <row r="340" spans="1:18" s="51" customFormat="1" ht="13.5" hidden="1" customHeight="1" outlineLevel="1" x14ac:dyDescent="0.3">
      <c r="A340" s="290">
        <f t="shared" si="52"/>
        <v>0</v>
      </c>
      <c r="B340" s="49"/>
      <c r="C340" s="49"/>
      <c r="D340" s="140" t="s">
        <v>742</v>
      </c>
      <c r="E340" s="67" t="str">
        <f>VLOOKUP(D340,'03. Insumos'!A:D,2,0)</f>
        <v>Mão de obra - Execução de emboço interno</v>
      </c>
      <c r="F340" s="68"/>
      <c r="G340" s="68" t="str">
        <f>VLOOKUP(D340,'03. Insumos'!A:F,3,0)</f>
        <v>m²</v>
      </c>
      <c r="H340" s="69">
        <v>1</v>
      </c>
      <c r="I340" s="141"/>
      <c r="J340" s="70">
        <f>IFERROR(IF(K340&lt;&gt;0,K340*$K$5,0),0)</f>
        <v>25</v>
      </c>
      <c r="K340" s="54">
        <f>IF(A340=0,VLOOKUP(D340,'03. Insumos'!A:F,4,0),"")</f>
        <v>25</v>
      </c>
      <c r="L340" s="338">
        <f>H340*J340*I340</f>
        <v>0</v>
      </c>
      <c r="M340" s="153">
        <f t="shared" ca="1" si="51"/>
        <v>0</v>
      </c>
      <c r="O340" s="148">
        <f>IF(I340&lt;&gt;0,I340*H340*K340,)</f>
        <v>0</v>
      </c>
      <c r="R340" s="12">
        <f>IF(J340&lt;&gt;0,J340/1.03-K340,0)</f>
        <v>-0.72815533980582714</v>
      </c>
    </row>
    <row r="341" spans="1:18" s="51" customFormat="1" ht="13.5" customHeight="1" outlineLevel="1" x14ac:dyDescent="0.3">
      <c r="A341" s="290">
        <f t="shared" si="52"/>
        <v>0</v>
      </c>
      <c r="B341" s="49"/>
      <c r="C341" s="49"/>
      <c r="D341" s="140" t="s">
        <v>2272</v>
      </c>
      <c r="E341" s="67" t="str">
        <f>VLOOKUP(D341,'03. Insumos'!A:D,2,0)</f>
        <v>Argamassa multiuso 50kg (grandes Qtde, acima de 240)</v>
      </c>
      <c r="F341" s="68" t="s">
        <v>2612</v>
      </c>
      <c r="G341" s="68" t="str">
        <f>VLOOKUP(D341,'03. Insumos'!A:F,3,0)</f>
        <v>sc</v>
      </c>
      <c r="H341" s="69">
        <v>1</v>
      </c>
      <c r="I341" s="141">
        <f>ROUND(((H339/(2.7/2))),0)</f>
        <v>487</v>
      </c>
      <c r="J341" s="70">
        <f>IFERROR(IF(K341&lt;&gt;0,K341*$K$5,0),0)</f>
        <v>23</v>
      </c>
      <c r="K341" s="54">
        <f>IF(A341=0,VLOOKUP(D341,'03. Insumos'!A:F,4,0),"")</f>
        <v>23</v>
      </c>
      <c r="L341" s="70">
        <f>H341*J341*I341</f>
        <v>11201</v>
      </c>
      <c r="M341" s="153">
        <f t="shared" ca="1" si="51"/>
        <v>1.9342693827062506E-4</v>
      </c>
      <c r="O341" s="148">
        <f>IF(I341&lt;&gt;0,I341*H341*K341,)</f>
        <v>11201</v>
      </c>
      <c r="R341" s="12">
        <f>IF(J341&lt;&gt;0,J341/1.03-K341,0)</f>
        <v>-0.66990291262136026</v>
      </c>
    </row>
    <row r="342" spans="1:18" s="59" customFormat="1" ht="13.5" hidden="1" customHeight="1" outlineLevel="1" x14ac:dyDescent="0.3">
      <c r="A342" s="290">
        <f t="shared" si="52"/>
        <v>6</v>
      </c>
      <c r="B342" s="55"/>
      <c r="C342" s="55" t="s">
        <v>1421</v>
      </c>
      <c r="D342" s="55" t="s">
        <v>1400</v>
      </c>
      <c r="E342" s="55"/>
      <c r="F342" s="56"/>
      <c r="G342" s="56" t="s">
        <v>73</v>
      </c>
      <c r="H342" s="57"/>
      <c r="I342" s="57"/>
      <c r="J342" s="58"/>
      <c r="K342" s="58" t="str">
        <f>IF(A342=0,VLOOKUP(D342,'03. Insumos'!A:F,4,0),"")</f>
        <v/>
      </c>
      <c r="L342" s="58">
        <f>SUM(L343:L344)</f>
        <v>0</v>
      </c>
      <c r="M342" s="153">
        <f t="shared" ca="1" si="51"/>
        <v>0</v>
      </c>
      <c r="O342" s="148">
        <f>IF(I342&lt;&gt;0,I342*H342*K342,)</f>
        <v>0</v>
      </c>
      <c r="R342" s="12">
        <f>IF(J342&lt;&gt;0,J342/1.03-K342,0)</f>
        <v>0</v>
      </c>
    </row>
    <row r="343" spans="1:18" s="51" customFormat="1" ht="13.5" hidden="1" customHeight="1" outlineLevel="1" x14ac:dyDescent="0.3">
      <c r="A343" s="290">
        <f t="shared" si="52"/>
        <v>0</v>
      </c>
      <c r="B343" s="49"/>
      <c r="C343" s="49"/>
      <c r="D343" s="140" t="s">
        <v>743</v>
      </c>
      <c r="E343" s="49" t="str">
        <f>VLOOKUP(D343,'03. Insumos'!A:D,2,0)</f>
        <v>Mão de obra - Execução de emboço externo</v>
      </c>
      <c r="F343" s="68"/>
      <c r="G343" s="68" t="str">
        <f>VLOOKUP(D343,'03. Insumos'!A:F,3,0)</f>
        <v>m²</v>
      </c>
      <c r="H343" s="69">
        <v>1</v>
      </c>
      <c r="I343" s="141"/>
      <c r="J343" s="70">
        <f>IFERROR(IF(K343&lt;&gt;0,K343*$K$5,0),0)</f>
        <v>30</v>
      </c>
      <c r="K343" s="54">
        <f>IF(A343=0,VLOOKUP(D343,'03. Insumos'!A:F,4,0),"")</f>
        <v>30</v>
      </c>
      <c r="L343" s="338">
        <f>H343*J343*I343</f>
        <v>0</v>
      </c>
      <c r="M343" s="153">
        <f t="shared" ca="1" si="51"/>
        <v>0</v>
      </c>
      <c r="O343" s="148">
        <f>IF(I343&lt;&gt;0,I343*H343*K343,)</f>
        <v>0</v>
      </c>
      <c r="R343" s="12">
        <f>IF(J343&lt;&gt;0,J343/1.03-K343,0)</f>
        <v>-0.87378640776699257</v>
      </c>
    </row>
    <row r="344" spans="1:18" s="51" customFormat="1" ht="13.5" hidden="1" customHeight="1" outlineLevel="1" x14ac:dyDescent="0.3">
      <c r="A344" s="290">
        <f t="shared" si="52"/>
        <v>0</v>
      </c>
      <c r="B344" s="49"/>
      <c r="C344" s="49"/>
      <c r="D344" s="140" t="s">
        <v>191</v>
      </c>
      <c r="E344" s="49" t="str">
        <f>VLOOKUP(D344,'03. Insumos'!A:D,2,0)</f>
        <v>Argamassa multiuso 50kg (pequenas Qtde)</v>
      </c>
      <c r="F344" s="68"/>
      <c r="G344" s="68" t="str">
        <f>VLOOKUP(D344,'03. Insumos'!A:F,3,0)</f>
        <v>uni</v>
      </c>
      <c r="H344" s="69">
        <v>1</v>
      </c>
      <c r="I344" s="141"/>
      <c r="J344" s="70">
        <f>IFERROR(IF(K344&lt;&gt;0,K344*$K$5,0),0)</f>
        <v>21.5</v>
      </c>
      <c r="K344" s="54">
        <f>IF(A344=0,VLOOKUP(D344,'03. Insumos'!A:F,4,0),"")</f>
        <v>21.5</v>
      </c>
      <c r="L344" s="338">
        <f>H344*J344*I344</f>
        <v>0</v>
      </c>
      <c r="M344" s="153">
        <f t="shared" ca="1" si="51"/>
        <v>0</v>
      </c>
      <c r="O344" s="148"/>
      <c r="R344" s="12"/>
    </row>
    <row r="345" spans="1:18" s="51" customFormat="1" ht="13.5" hidden="1" customHeight="1" outlineLevel="1" x14ac:dyDescent="0.3">
      <c r="A345" s="290">
        <f t="shared" si="52"/>
        <v>6</v>
      </c>
      <c r="B345" s="49"/>
      <c r="C345" s="55" t="s">
        <v>1422</v>
      </c>
      <c r="D345" s="55" t="s">
        <v>1401</v>
      </c>
      <c r="E345" s="55"/>
      <c r="F345" s="56"/>
      <c r="G345" s="68"/>
      <c r="H345" s="57"/>
      <c r="I345" s="141"/>
      <c r="J345" s="70"/>
      <c r="K345" s="54"/>
      <c r="L345" s="58">
        <f>SUM(L346:L347)</f>
        <v>0</v>
      </c>
      <c r="M345" s="153">
        <f t="shared" ca="1" si="51"/>
        <v>0</v>
      </c>
      <c r="O345" s="148"/>
      <c r="R345" s="12"/>
    </row>
    <row r="346" spans="1:18" s="51" customFormat="1" ht="13.5" hidden="1" customHeight="1" outlineLevel="1" x14ac:dyDescent="0.3">
      <c r="A346" s="290">
        <f t="shared" si="52"/>
        <v>0</v>
      </c>
      <c r="B346" s="49"/>
      <c r="C346" s="49"/>
      <c r="D346" s="140" t="s">
        <v>744</v>
      </c>
      <c r="E346" s="49" t="str">
        <f>VLOOKUP(D346,'03. Insumos'!A:D,2,0)</f>
        <v>Mão de obra - Execução de emboço externo paulista</v>
      </c>
      <c r="F346" s="68"/>
      <c r="G346" s="68" t="str">
        <f>VLOOKUP(D346,'03. Insumos'!A:F,3,0)</f>
        <v>m²</v>
      </c>
      <c r="H346" s="69">
        <v>1</v>
      </c>
      <c r="I346" s="141">
        <f>H345</f>
        <v>0</v>
      </c>
      <c r="J346" s="70">
        <f>IFERROR(IF(K346&lt;&gt;0,K346*$K$5,0),0)</f>
        <v>35</v>
      </c>
      <c r="K346" s="54">
        <f>IF(A346=0,VLOOKUP(D346,'03. Insumos'!A:F,4,0),"")</f>
        <v>35</v>
      </c>
      <c r="L346" s="338">
        <f>H346*J346*I346</f>
        <v>0</v>
      </c>
      <c r="M346" s="153">
        <f t="shared" ca="1" si="51"/>
        <v>0</v>
      </c>
      <c r="O346" s="148"/>
      <c r="R346" s="12"/>
    </row>
    <row r="347" spans="1:18" s="51" customFormat="1" ht="13.5" hidden="1" customHeight="1" outlineLevel="1" x14ac:dyDescent="0.3">
      <c r="A347" s="290">
        <f t="shared" si="52"/>
        <v>0</v>
      </c>
      <c r="B347" s="49"/>
      <c r="C347" s="49"/>
      <c r="D347" s="140" t="s">
        <v>191</v>
      </c>
      <c r="E347" s="49" t="str">
        <f>VLOOKUP(D347,'03. Insumos'!A:D,2,0)</f>
        <v>Argamassa multiuso 50kg (pequenas Qtde)</v>
      </c>
      <c r="F347" s="68"/>
      <c r="G347" s="68" t="str">
        <f>VLOOKUP(D347,'03. Insumos'!A:F,3,0)</f>
        <v>uni</v>
      </c>
      <c r="H347" s="69">
        <v>1</v>
      </c>
      <c r="I347" s="141">
        <f>ROUND(H345/1.35,0)</f>
        <v>0</v>
      </c>
      <c r="J347" s="70">
        <f>IFERROR(IF(K347&lt;&gt;0,K347*$K$5,0),0)</f>
        <v>21.5</v>
      </c>
      <c r="K347" s="54">
        <f>IF(A347=0,VLOOKUP(D347,'03. Insumos'!A:F,4,0),"")</f>
        <v>21.5</v>
      </c>
      <c r="L347" s="338">
        <f>H347*J347*I347</f>
        <v>0</v>
      </c>
      <c r="M347" s="153">
        <f t="shared" ca="1" si="51"/>
        <v>0</v>
      </c>
      <c r="O347" s="148"/>
      <c r="R347" s="12"/>
    </row>
    <row r="348" spans="1:18" s="51" customFormat="1" ht="13.5" hidden="1" customHeight="1" outlineLevel="1" x14ac:dyDescent="0.3">
      <c r="A348" s="290">
        <f t="shared" si="52"/>
        <v>6</v>
      </c>
      <c r="B348" s="49"/>
      <c r="C348" s="55" t="s">
        <v>1423</v>
      </c>
      <c r="D348" s="55" t="s">
        <v>1402</v>
      </c>
      <c r="E348" s="55"/>
      <c r="F348" s="56"/>
      <c r="G348" s="68"/>
      <c r="H348" s="57"/>
      <c r="I348" s="141"/>
      <c r="J348" s="70"/>
      <c r="K348" s="54"/>
      <c r="L348" s="58">
        <f>SUM(L349:L350)</f>
        <v>0</v>
      </c>
      <c r="M348" s="153">
        <f t="shared" ca="1" si="51"/>
        <v>0</v>
      </c>
      <c r="O348" s="148"/>
      <c r="R348" s="12"/>
    </row>
    <row r="349" spans="1:18" s="51" customFormat="1" ht="13.5" hidden="1" customHeight="1" outlineLevel="1" x14ac:dyDescent="0.3">
      <c r="A349" s="290">
        <f t="shared" si="52"/>
        <v>0</v>
      </c>
      <c r="B349" s="49"/>
      <c r="C349" s="49"/>
      <c r="D349" s="140" t="s">
        <v>745</v>
      </c>
      <c r="E349" s="49" t="str">
        <f>VLOOKUP(D349,'03. Insumos'!A:D,2,0)</f>
        <v>Mão de obra - Execução de emboço externo sarrafeado</v>
      </c>
      <c r="F349" s="68"/>
      <c r="G349" s="68" t="str">
        <f>VLOOKUP(D349,'03. Insumos'!A:F,3,0)</f>
        <v>m²</v>
      </c>
      <c r="H349" s="69">
        <v>1</v>
      </c>
      <c r="I349" s="141">
        <f>H348</f>
        <v>0</v>
      </c>
      <c r="J349" s="70">
        <f>IFERROR(IF(K349&lt;&gt;0,K349*$K$5,0),0)</f>
        <v>30</v>
      </c>
      <c r="K349" s="54">
        <f>IF(A349=0,VLOOKUP(D349,'03. Insumos'!A:F,4,0),"")</f>
        <v>30</v>
      </c>
      <c r="L349" s="338">
        <f>H349*J349*I349</f>
        <v>0</v>
      </c>
      <c r="M349" s="153">
        <f t="shared" ca="1" si="51"/>
        <v>0</v>
      </c>
      <c r="O349" s="148"/>
      <c r="R349" s="12"/>
    </row>
    <row r="350" spans="1:18" s="51" customFormat="1" ht="13.5" hidden="1" customHeight="1" outlineLevel="1" x14ac:dyDescent="0.3">
      <c r="A350" s="290">
        <f t="shared" si="52"/>
        <v>0</v>
      </c>
      <c r="B350" s="49"/>
      <c r="C350" s="49"/>
      <c r="D350" s="140" t="s">
        <v>191</v>
      </c>
      <c r="E350" s="49" t="str">
        <f>VLOOKUP(D350,'03. Insumos'!A:D,2,0)</f>
        <v>Argamassa multiuso 50kg (pequenas Qtde)</v>
      </c>
      <c r="F350" s="68"/>
      <c r="G350" s="68" t="str">
        <f>VLOOKUP(D350,'03. Insumos'!A:F,3,0)</f>
        <v>uni</v>
      </c>
      <c r="H350" s="69">
        <v>1</v>
      </c>
      <c r="I350" s="141">
        <f>ROUND(H348/1.35,0)</f>
        <v>0</v>
      </c>
      <c r="J350" s="70">
        <f>IFERROR(IF(K350&lt;&gt;0,K350*$K$5,0),0)</f>
        <v>21.5</v>
      </c>
      <c r="K350" s="54">
        <f>IF(A350=0,VLOOKUP(D350,'03. Insumos'!A:F,4,0),"")</f>
        <v>21.5</v>
      </c>
      <c r="L350" s="338">
        <f>H350*J350*I350</f>
        <v>0</v>
      </c>
      <c r="M350" s="153">
        <f t="shared" ca="1" si="51"/>
        <v>0</v>
      </c>
      <c r="O350" s="148">
        <f>IF(I350&lt;&gt;0,I350*H350*K350,)</f>
        <v>0</v>
      </c>
      <c r="R350" s="12">
        <f>IF(J350&lt;&gt;0,J350/1.03-K350,0)</f>
        <v>-0.62621359223301098</v>
      </c>
    </row>
    <row r="351" spans="1:18" s="51" customFormat="1" ht="13.5" hidden="1" customHeight="1" outlineLevel="1" x14ac:dyDescent="0.3">
      <c r="A351" s="290">
        <f t="shared" si="52"/>
        <v>6</v>
      </c>
      <c r="B351" s="49"/>
      <c r="C351" s="55" t="s">
        <v>300</v>
      </c>
      <c r="D351" s="55" t="s">
        <v>1898</v>
      </c>
      <c r="E351" s="49"/>
      <c r="F351" s="68"/>
      <c r="G351" s="56" t="s">
        <v>72</v>
      </c>
      <c r="H351" s="57"/>
      <c r="I351" s="141"/>
      <c r="J351" s="70"/>
      <c r="K351" s="54"/>
      <c r="L351" s="58">
        <f>SUM(L352:L354)</f>
        <v>0</v>
      </c>
      <c r="M351" s="153">
        <f t="shared" ca="1" si="51"/>
        <v>0</v>
      </c>
      <c r="O351" s="148"/>
      <c r="R351" s="12"/>
    </row>
    <row r="352" spans="1:18" s="51" customFormat="1" ht="13.5" hidden="1" customHeight="1" outlineLevel="1" x14ac:dyDescent="0.3">
      <c r="A352" s="290">
        <f t="shared" si="52"/>
        <v>0</v>
      </c>
      <c r="B352" s="49"/>
      <c r="C352" s="49"/>
      <c r="D352" s="140" t="s">
        <v>1591</v>
      </c>
      <c r="E352" s="49" t="str">
        <f>VLOOKUP(D352,'03. Insumos'!A:D,2,0)</f>
        <v>Areia (granel)</v>
      </c>
      <c r="F352" s="68"/>
      <c r="G352" s="68" t="str">
        <f>VLOOKUP(D352,'03. Insumos'!A:F,3,0)</f>
        <v>m³</v>
      </c>
      <c r="H352" s="69">
        <v>1</v>
      </c>
      <c r="I352" s="141">
        <f>ROUND((H351*0.822),0)</f>
        <v>0</v>
      </c>
      <c r="J352" s="70">
        <f>IFERROR(IF(K352&lt;&gt;0,K352*$K$5,0),0)</f>
        <v>65</v>
      </c>
      <c r="K352" s="54">
        <f>IF(A352=0,VLOOKUP(D352,'03. Insumos'!A:F,4,0),"")</f>
        <v>65</v>
      </c>
      <c r="L352" s="338">
        <f>H352*J352*I352</f>
        <v>0</v>
      </c>
      <c r="M352" s="153">
        <f t="shared" ca="1" si="51"/>
        <v>0</v>
      </c>
      <c r="O352" s="148"/>
      <c r="R352" s="12"/>
    </row>
    <row r="353" spans="1:18" s="51" customFormat="1" ht="13.5" hidden="1" customHeight="1" outlineLevel="1" x14ac:dyDescent="0.3">
      <c r="A353" s="290">
        <f t="shared" si="52"/>
        <v>0</v>
      </c>
      <c r="B353" s="49"/>
      <c r="C353" s="49"/>
      <c r="D353" s="140" t="s">
        <v>747</v>
      </c>
      <c r="E353" s="49" t="str">
        <f>VLOOKUP(D353,'03. Insumos'!A:D,2,0)</f>
        <v>Cimento (saco 50 Kg)</v>
      </c>
      <c r="F353" s="68"/>
      <c r="G353" s="68" t="str">
        <f>VLOOKUP(D353,'03. Insumos'!A:F,3,0)</f>
        <v>unid</v>
      </c>
      <c r="H353" s="69">
        <v>1</v>
      </c>
      <c r="I353" s="141">
        <f>ROUND((H351*6.9),0)</f>
        <v>0</v>
      </c>
      <c r="J353" s="70">
        <f>IFERROR(IF(K353&lt;&gt;0,K353*$K$5,0),0)</f>
        <v>37</v>
      </c>
      <c r="K353" s="54">
        <f>IF(A353=0,VLOOKUP(D353,'03. Insumos'!A:F,4,0),"")</f>
        <v>37</v>
      </c>
      <c r="L353" s="338">
        <f>H353*J353*I353</f>
        <v>0</v>
      </c>
      <c r="M353" s="153">
        <f t="shared" ca="1" si="51"/>
        <v>0</v>
      </c>
      <c r="O353" s="148"/>
      <c r="R353" s="12"/>
    </row>
    <row r="354" spans="1:18" s="51" customFormat="1" ht="13.5" hidden="1" customHeight="1" outlineLevel="1" x14ac:dyDescent="0.3">
      <c r="A354" s="290">
        <f t="shared" si="52"/>
        <v>0</v>
      </c>
      <c r="B354" s="49"/>
      <c r="C354" s="49"/>
      <c r="D354" s="140" t="s">
        <v>1901</v>
      </c>
      <c r="E354" s="49" t="str">
        <f>VLOOKUP(D354,'03. Insumos'!A:D,2,0)</f>
        <v>Brita ensacada (saco de 20 Kg)</v>
      </c>
      <c r="F354" s="68"/>
      <c r="G354" s="68" t="str">
        <f>VLOOKUP(D354,'03. Insumos'!A:F,3,0)</f>
        <v>m³</v>
      </c>
      <c r="H354" s="69">
        <v>1</v>
      </c>
      <c r="I354" s="141">
        <f>ROUND((H351*0.764),0)</f>
        <v>0</v>
      </c>
      <c r="J354" s="70">
        <f>IFERROR(IF(K354&lt;&gt;0,K354*$K$5,0),0)</f>
        <v>342</v>
      </c>
      <c r="K354" s="54">
        <f>IF(A354=0,VLOOKUP(D354,'03. Insumos'!A:F,4,0),"")</f>
        <v>342</v>
      </c>
      <c r="L354" s="338">
        <f>H354*J354*I354</f>
        <v>0</v>
      </c>
      <c r="M354" s="153">
        <f t="shared" ca="1" si="51"/>
        <v>0</v>
      </c>
      <c r="O354" s="148"/>
      <c r="R354" s="12"/>
    </row>
    <row r="355" spans="1:18" s="51" customFormat="1" ht="13.5" hidden="1" customHeight="1" outlineLevel="1" x14ac:dyDescent="0.3">
      <c r="A355" s="290">
        <f t="shared" si="52"/>
        <v>6</v>
      </c>
      <c r="B355" s="49"/>
      <c r="C355" s="55" t="s">
        <v>1424</v>
      </c>
      <c r="D355" s="55" t="s">
        <v>1425</v>
      </c>
      <c r="E355" s="49"/>
      <c r="F355" s="68"/>
      <c r="G355" s="56" t="s">
        <v>73</v>
      </c>
      <c r="H355" s="57"/>
      <c r="I355" s="141"/>
      <c r="J355" s="70"/>
      <c r="K355" s="54"/>
      <c r="L355" s="58">
        <f>SUM(L356:L357)</f>
        <v>0</v>
      </c>
      <c r="M355" s="153">
        <f t="shared" ca="1" si="51"/>
        <v>0</v>
      </c>
      <c r="O355" s="148"/>
      <c r="R355" s="12"/>
    </row>
    <row r="356" spans="1:18" s="51" customFormat="1" ht="13.5" hidden="1" customHeight="1" outlineLevel="1" x14ac:dyDescent="0.3">
      <c r="A356" s="290">
        <f t="shared" si="52"/>
        <v>0</v>
      </c>
      <c r="B356" s="49"/>
      <c r="C356" s="49"/>
      <c r="D356" s="140" t="s">
        <v>752</v>
      </c>
      <c r="E356" s="49" t="str">
        <f>VLOOKUP(D356,'03. Insumos'!A:D,2,0)</f>
        <v>Moldura em volta do vão das esquadrias</v>
      </c>
      <c r="F356" s="68"/>
      <c r="G356" s="68" t="str">
        <f>VLOOKUP(D356,'03. Insumos'!A:F,3,0)</f>
        <v>vb</v>
      </c>
      <c r="H356" s="69">
        <v>1</v>
      </c>
      <c r="I356" s="141">
        <f>H355</f>
        <v>0</v>
      </c>
      <c r="J356" s="70">
        <f>IFERROR(IF(K356&lt;&gt;0,K356*$K$5,0),0)</f>
        <v>6000</v>
      </c>
      <c r="K356" s="54">
        <f>IF(A356=0,VLOOKUP(D356,'03. Insumos'!A:F,4,0),"")</f>
        <v>6000</v>
      </c>
      <c r="L356" s="338">
        <f>H356*J356*I356</f>
        <v>0</v>
      </c>
      <c r="M356" s="153">
        <f t="shared" ca="1" si="51"/>
        <v>0</v>
      </c>
      <c r="O356" s="148"/>
      <c r="R356" s="12"/>
    </row>
    <row r="357" spans="1:18" s="51" customFormat="1" ht="13.5" hidden="1" customHeight="1" outlineLevel="1" x14ac:dyDescent="0.3">
      <c r="A357" s="290">
        <f t="shared" si="52"/>
        <v>0</v>
      </c>
      <c r="B357" s="49"/>
      <c r="C357" s="49"/>
      <c r="D357" s="140" t="s">
        <v>753</v>
      </c>
      <c r="E357" s="49" t="str">
        <f>VLOOKUP(D357,'03. Insumos'!A:D,2,0)</f>
        <v>Mão de obra - Execução gesso estuque</v>
      </c>
      <c r="F357" s="68"/>
      <c r="G357" s="68" t="str">
        <f>VLOOKUP(D357,'03. Insumos'!A:F,3,0)</f>
        <v>m²</v>
      </c>
      <c r="H357" s="69">
        <v>1</v>
      </c>
      <c r="I357" s="141"/>
      <c r="J357" s="70">
        <f>IFERROR(IF(K357&lt;&gt;0,K357*$K$5,0),0)</f>
        <v>20</v>
      </c>
      <c r="K357" s="54">
        <f>IF(A357=0,VLOOKUP(D357,'03. Insumos'!A:F,4,0),"")</f>
        <v>20</v>
      </c>
      <c r="L357" s="338">
        <f>H357*J357*I357</f>
        <v>0</v>
      </c>
      <c r="M357" s="153">
        <f t="shared" ca="1" si="51"/>
        <v>0</v>
      </c>
      <c r="O357" s="148"/>
      <c r="R357" s="12"/>
    </row>
    <row r="358" spans="1:18" s="18" customFormat="1" ht="13.5" customHeight="1" x14ac:dyDescent="0.3">
      <c r="A358" s="290">
        <f t="shared" si="52"/>
        <v>3</v>
      </c>
      <c r="B358" s="35"/>
      <c r="C358" s="35" t="s">
        <v>301</v>
      </c>
      <c r="D358" s="35" t="s">
        <v>267</v>
      </c>
      <c r="E358" s="35"/>
      <c r="F358" s="323"/>
      <c r="G358" s="323"/>
      <c r="H358" s="324"/>
      <c r="I358" s="37"/>
      <c r="J358" s="333"/>
      <c r="K358" s="38"/>
      <c r="L358" s="333">
        <f ca="1">SUMIF(A359:A371,4,L359:L371)</f>
        <v>34171.116999999998</v>
      </c>
      <c r="M358" s="153">
        <f t="shared" ca="1" si="51"/>
        <v>5.90091468493644E-4</v>
      </c>
      <c r="O358" s="148">
        <f>IF(I358&lt;&gt;0,I358*H358*K358,)</f>
        <v>0</v>
      </c>
      <c r="R358" s="12">
        <f>IF(J358&lt;&gt;0,J358/1.03-K358,0)</f>
        <v>0</v>
      </c>
    </row>
    <row r="359" spans="1:18" s="18" customFormat="1" ht="5.25" customHeight="1" outlineLevel="1" x14ac:dyDescent="0.3">
      <c r="A359" s="290">
        <f t="shared" si="52"/>
        <v>0</v>
      </c>
      <c r="B359" s="63"/>
      <c r="C359" s="63"/>
      <c r="D359" s="63"/>
      <c r="E359" s="63"/>
      <c r="F359" s="325"/>
      <c r="G359" s="325"/>
      <c r="H359" s="326"/>
      <c r="I359" s="65"/>
      <c r="J359" s="334">
        <f>IFERROR(IF(K359&lt;&gt;0,K359*$K$5,0),0)</f>
        <v>0</v>
      </c>
      <c r="K359" s="66" t="e">
        <f>IF(A359=0,VLOOKUP(D359,'03. Insumos'!A:F,4,0),"")</f>
        <v>#N/A</v>
      </c>
      <c r="L359" s="334"/>
      <c r="M359" s="153">
        <f t="shared" ca="1" si="51"/>
        <v>0</v>
      </c>
      <c r="O359" s="148">
        <f>IF(I359&lt;&gt;0,I359*H359*K359,)</f>
        <v>0</v>
      </c>
      <c r="R359" s="12">
        <f>IF(J359&lt;&gt;0,J359/1.03-K359,0)</f>
        <v>0</v>
      </c>
    </row>
    <row r="360" spans="1:18" s="18" customFormat="1" outlineLevel="1" x14ac:dyDescent="0.3">
      <c r="A360" s="290">
        <f t="shared" si="52"/>
        <v>4</v>
      </c>
      <c r="B360" s="45"/>
      <c r="C360" s="45" t="s">
        <v>302</v>
      </c>
      <c r="D360" s="45" t="s">
        <v>267</v>
      </c>
      <c r="E360" s="45"/>
      <c r="F360" s="327"/>
      <c r="G360" s="327"/>
      <c r="H360" s="328"/>
      <c r="I360" s="61"/>
      <c r="J360" s="335"/>
      <c r="K360" s="62" t="str">
        <f>IF(A360=0,VLOOKUP(D360,'03. Insumos'!A:F,4,0),"")</f>
        <v/>
      </c>
      <c r="L360" s="335">
        <f ca="1">SUMIF(A361:B371,6,L361:L371)</f>
        <v>34171.116999999998</v>
      </c>
      <c r="M360" s="153">
        <f t="shared" ca="1" si="51"/>
        <v>5.90091468493644E-4</v>
      </c>
      <c r="O360" s="148">
        <f>IF(I360&lt;&gt;0,I360*H360*K360,)</f>
        <v>0</v>
      </c>
      <c r="R360" s="12">
        <f>IF(J360&lt;&gt;0,J360/1.03-K360,0)</f>
        <v>0</v>
      </c>
    </row>
    <row r="361" spans="1:18" s="59" customFormat="1" outlineLevel="1" x14ac:dyDescent="0.3">
      <c r="A361" s="290">
        <f t="shared" si="52"/>
        <v>6</v>
      </c>
      <c r="B361" s="55"/>
      <c r="C361" s="55" t="s">
        <v>303</v>
      </c>
      <c r="D361" s="55" t="s">
        <v>1843</v>
      </c>
      <c r="E361" s="55"/>
      <c r="F361" s="56"/>
      <c r="G361" s="56" t="s">
        <v>73</v>
      </c>
      <c r="H361" s="57">
        <v>277.70999999999998</v>
      </c>
      <c r="I361" s="57"/>
      <c r="J361" s="58"/>
      <c r="K361" s="58" t="str">
        <f>IF(A361=0,VLOOKUP(D361,'03. Insumos'!A:F,4,0),"")</f>
        <v/>
      </c>
      <c r="L361" s="58">
        <f>SUM(L362:L366)</f>
        <v>34171.116999999998</v>
      </c>
      <c r="M361" s="153">
        <f t="shared" ca="1" si="51"/>
        <v>5.90091468493644E-4</v>
      </c>
      <c r="O361" s="148">
        <f>IF(I361&lt;&gt;0,I361*H361*K361,)</f>
        <v>0</v>
      </c>
      <c r="R361" s="12">
        <f>IF(J361&lt;&gt;0,J361/1.03-K361,0)</f>
        <v>0</v>
      </c>
    </row>
    <row r="362" spans="1:18" s="59" customFormat="1" hidden="1" outlineLevel="1" x14ac:dyDescent="0.3">
      <c r="A362" s="290">
        <f t="shared" si="52"/>
        <v>0</v>
      </c>
      <c r="B362" s="55"/>
      <c r="C362" s="55"/>
      <c r="D362" s="140" t="s">
        <v>2609</v>
      </c>
      <c r="E362" s="49" t="str">
        <f>VLOOKUP(D362,'03. Insumos'!A:D,2,0)</f>
        <v>Material - Execução forro liso em dry wall</v>
      </c>
      <c r="F362" s="68" t="s">
        <v>2598</v>
      </c>
      <c r="G362" s="68" t="str">
        <f>VLOOKUP(D362,'03. Insumos'!A:F,3,0)</f>
        <v>m²</v>
      </c>
      <c r="H362" s="69">
        <v>1</v>
      </c>
      <c r="I362" s="141">
        <f>H361</f>
        <v>277.70999999999998</v>
      </c>
      <c r="J362" s="70">
        <f>IFERROR(IF(K362&lt;&gt;0,K362*$K$5,0),0)</f>
        <v>0</v>
      </c>
      <c r="K362" s="54">
        <f>IF(A362=0,VLOOKUP(D362,'03. Insumos'!A:F,4,0),"")</f>
        <v>0</v>
      </c>
      <c r="L362" s="338">
        <f>H362*J362*I362</f>
        <v>0</v>
      </c>
      <c r="M362" s="153">
        <f t="shared" ca="1" si="51"/>
        <v>0</v>
      </c>
      <c r="O362" s="148"/>
      <c r="R362" s="12"/>
    </row>
    <row r="363" spans="1:18" s="59" customFormat="1" outlineLevel="1" x14ac:dyDescent="0.3">
      <c r="A363" s="290">
        <f t="shared" si="52"/>
        <v>0</v>
      </c>
      <c r="B363" s="55"/>
      <c r="C363" s="55"/>
      <c r="D363" s="140" t="s">
        <v>2210</v>
      </c>
      <c r="E363" s="67" t="str">
        <f>VLOOKUP(D363,'03. Insumos'!A:D,2,0)</f>
        <v>Execução forro liso em dry wall</v>
      </c>
      <c r="F363" s="68" t="s">
        <v>2599</v>
      </c>
      <c r="G363" s="68" t="str">
        <f>VLOOKUP(D363,'03. Insumos'!A:F,3,0)</f>
        <v>m²</v>
      </c>
      <c r="H363" s="69">
        <v>1</v>
      </c>
      <c r="I363" s="141">
        <f>H361</f>
        <v>277.70999999999998</v>
      </c>
      <c r="J363" s="70">
        <f>IFERROR(IF(K363&lt;&gt;0,K363*$K$5,0),0)</f>
        <v>56.9</v>
      </c>
      <c r="K363" s="54">
        <f>IF(A363=0,VLOOKUP(D363,'03. Insumos'!A:F,4,0),"")</f>
        <v>56.9</v>
      </c>
      <c r="L363" s="70">
        <f>H363*J363*I363</f>
        <v>15801.698999999999</v>
      </c>
      <c r="M363" s="153">
        <f t="shared" ca="1" si="51"/>
        <v>2.7287512338576889E-4</v>
      </c>
      <c r="O363" s="148"/>
      <c r="R363" s="12"/>
    </row>
    <row r="364" spans="1:18" s="59" customFormat="1" outlineLevel="1" x14ac:dyDescent="0.3">
      <c r="A364" s="290">
        <f t="shared" si="52"/>
        <v>0</v>
      </c>
      <c r="B364" s="55"/>
      <c r="C364" s="55"/>
      <c r="D364" s="140" t="s">
        <v>2540</v>
      </c>
      <c r="E364" s="67" t="str">
        <f>VLOOKUP(D364,'03. Insumos'!A:D,2,0)</f>
        <v>Execução de sanca em dry wall</v>
      </c>
      <c r="F364" s="68" t="s">
        <v>2599</v>
      </c>
      <c r="G364" s="68" t="str">
        <f>VLOOKUP(D364,'03. Insumos'!A:F,3,0)</f>
        <v>m</v>
      </c>
      <c r="H364" s="69">
        <v>1</v>
      </c>
      <c r="I364" s="141">
        <f>317.81*2</f>
        <v>635.62</v>
      </c>
      <c r="J364" s="70">
        <f>IFERROR(IF(K364&lt;&gt;0,K364*$K$5,0),0)</f>
        <v>28.9</v>
      </c>
      <c r="K364" s="54">
        <f>IF(A364=0,VLOOKUP(D364,'03. Insumos'!A:F,4,0),"")</f>
        <v>28.9</v>
      </c>
      <c r="L364" s="70">
        <f>H364*J364*I364</f>
        <v>18369.417999999998</v>
      </c>
      <c r="M364" s="153">
        <f t="shared" ca="1" si="51"/>
        <v>3.1721634510787505E-4</v>
      </c>
      <c r="O364" s="148"/>
      <c r="R364" s="12"/>
    </row>
    <row r="365" spans="1:18" s="51" customFormat="1" hidden="1" outlineLevel="1" x14ac:dyDescent="0.3">
      <c r="A365" s="290">
        <f t="shared" si="52"/>
        <v>0</v>
      </c>
      <c r="B365" s="49"/>
      <c r="C365" s="49"/>
      <c r="D365" s="140" t="s">
        <v>748</v>
      </c>
      <c r="E365" s="49" t="str">
        <f>VLOOKUP(D365,'03. Insumos'!A:D,2,0)</f>
        <v>Montagem de Forro Liso em Drywall estruturado ST - MAT + MO</v>
      </c>
      <c r="F365" s="68"/>
      <c r="G365" s="68" t="str">
        <f>VLOOKUP(D365,'03. Insumos'!A:F,3,0)</f>
        <v>m²</v>
      </c>
      <c r="H365" s="69"/>
      <c r="I365" s="141">
        <f>H361</f>
        <v>277.70999999999998</v>
      </c>
      <c r="J365" s="70">
        <f>IFERROR(IF(K365&lt;&gt;0,K365*$K$5,0),0)</f>
        <v>65</v>
      </c>
      <c r="K365" s="54">
        <f>IF(A365=0,VLOOKUP(D365,'03. Insumos'!A:F,4,0),"")</f>
        <v>65</v>
      </c>
      <c r="L365" s="338">
        <f>H365*J365*I365</f>
        <v>0</v>
      </c>
      <c r="M365" s="153">
        <f t="shared" ca="1" si="51"/>
        <v>0</v>
      </c>
      <c r="O365" s="148">
        <f>IF(I365&lt;&gt;0,I365*H365*K365,)</f>
        <v>0</v>
      </c>
      <c r="R365" s="12">
        <f>IF(J365&lt;&gt;0,J365/1.03-K365,0)</f>
        <v>-1.893203883495147</v>
      </c>
    </row>
    <row r="366" spans="1:18" s="51" customFormat="1" hidden="1" outlineLevel="1" x14ac:dyDescent="0.3">
      <c r="A366" s="290">
        <f t="shared" si="52"/>
        <v>0</v>
      </c>
      <c r="B366" s="49"/>
      <c r="C366" s="49"/>
      <c r="D366" s="140" t="s">
        <v>749</v>
      </c>
      <c r="E366" s="49" t="str">
        <f>VLOOKUP(D366,'03. Insumos'!A:D,2,0)</f>
        <v xml:space="preserve">Mão de obra - Execução forro de gesso drywall ST </v>
      </c>
      <c r="F366" s="68"/>
      <c r="G366" s="68" t="str">
        <f>VLOOKUP(D366,'03. Insumos'!A:F,3,0)</f>
        <v>m²</v>
      </c>
      <c r="H366" s="69"/>
      <c r="I366" s="141">
        <f>H361</f>
        <v>277.70999999999998</v>
      </c>
      <c r="J366" s="70">
        <f>IFERROR(IF(K366&lt;&gt;0,K366*$K$5,0),0)</f>
        <v>28.5</v>
      </c>
      <c r="K366" s="54">
        <f>IF(A366=0,VLOOKUP(D366,'03. Insumos'!A:F,4,0),"")</f>
        <v>28.5</v>
      </c>
      <c r="L366" s="338">
        <f>H366*J366*I366</f>
        <v>0</v>
      </c>
      <c r="M366" s="153">
        <f t="shared" ca="1" si="51"/>
        <v>0</v>
      </c>
      <c r="O366" s="148"/>
      <c r="R366" s="12"/>
    </row>
    <row r="367" spans="1:18" s="59" customFormat="1" hidden="1" outlineLevel="1" x14ac:dyDescent="0.3">
      <c r="A367" s="290">
        <f t="shared" si="52"/>
        <v>6</v>
      </c>
      <c r="B367" s="55"/>
      <c r="C367" s="55" t="s">
        <v>303</v>
      </c>
      <c r="D367" s="55" t="s">
        <v>1803</v>
      </c>
      <c r="E367" s="55"/>
      <c r="F367" s="56"/>
      <c r="G367" s="56" t="s">
        <v>73</v>
      </c>
      <c r="H367" s="57"/>
      <c r="I367" s="57"/>
      <c r="J367" s="58"/>
      <c r="K367" s="58" t="str">
        <f>IF(A367=0,VLOOKUP(D367,'03. Insumos'!A:F,4,0),"")</f>
        <v/>
      </c>
      <c r="L367" s="58">
        <f>SUM(L368:L369)</f>
        <v>0</v>
      </c>
      <c r="M367" s="153">
        <f t="shared" ca="1" si="51"/>
        <v>0</v>
      </c>
      <c r="O367" s="148">
        <f>IF(I367&lt;&gt;0,I367*H367*K367,)</f>
        <v>0</v>
      </c>
      <c r="R367" s="12">
        <f>IF(J367&lt;&gt;0,J367/1.03-K367,0)</f>
        <v>0</v>
      </c>
    </row>
    <row r="368" spans="1:18" s="51" customFormat="1" hidden="1" outlineLevel="1" x14ac:dyDescent="0.3">
      <c r="A368" s="290">
        <f t="shared" si="52"/>
        <v>0</v>
      </c>
      <c r="B368" s="49"/>
      <c r="C368" s="49"/>
      <c r="D368" s="140" t="s">
        <v>1801</v>
      </c>
      <c r="E368" s="49" t="str">
        <f>VLOOKUP(D368,'03. Insumos'!A:D,2,0)</f>
        <v>Material - Fornecimento e instalação de forro removível</v>
      </c>
      <c r="F368" s="68"/>
      <c r="G368" s="68" t="str">
        <f>VLOOKUP(D368,'03. Insumos'!A:F,3,0)</f>
        <v>m²</v>
      </c>
      <c r="H368" s="69">
        <v>1</v>
      </c>
      <c r="I368" s="141"/>
      <c r="J368" s="70">
        <f>IFERROR(IF(K368&lt;&gt;0,K368*$K$5,0),0)</f>
        <v>45</v>
      </c>
      <c r="K368" s="54">
        <f>IF(A368=0,VLOOKUP(D368,'03. Insumos'!A:F,4,0),"")</f>
        <v>45</v>
      </c>
      <c r="L368" s="338">
        <f>H368*J368*I368</f>
        <v>0</v>
      </c>
      <c r="M368" s="153">
        <f t="shared" ca="1" si="51"/>
        <v>0</v>
      </c>
      <c r="O368" s="148">
        <f>IF(I368&lt;&gt;0,I368*H368*K368,)</f>
        <v>0</v>
      </c>
      <c r="R368" s="12">
        <f>IF(J368&lt;&gt;0,J368/1.03-K368,0)</f>
        <v>-1.3106796116504853</v>
      </c>
    </row>
    <row r="369" spans="1:18" s="51" customFormat="1" hidden="1" outlineLevel="1" x14ac:dyDescent="0.3">
      <c r="A369" s="290">
        <f t="shared" si="52"/>
        <v>0</v>
      </c>
      <c r="B369" s="49"/>
      <c r="C369" s="49"/>
      <c r="D369" s="140" t="s">
        <v>1802</v>
      </c>
      <c r="E369" s="49" t="str">
        <f>VLOOKUP(D369,'03. Insumos'!A:D,2,0)</f>
        <v>Mão de obra - Fornecimento e instalação de forro removível</v>
      </c>
      <c r="F369" s="68"/>
      <c r="G369" s="68" t="str">
        <f>VLOOKUP(D369,'03. Insumos'!A:F,3,0)</f>
        <v>m²</v>
      </c>
      <c r="H369" s="69">
        <v>1</v>
      </c>
      <c r="I369" s="141"/>
      <c r="J369" s="70">
        <f>IFERROR(IF(K369&lt;&gt;0,K369*$K$5,0),0)</f>
        <v>32</v>
      </c>
      <c r="K369" s="54">
        <f>IF(A369=0,VLOOKUP(D369,'03. Insumos'!A:F,4,0),"")</f>
        <v>32</v>
      </c>
      <c r="L369" s="338">
        <f>H369*J369*I369</f>
        <v>0</v>
      </c>
      <c r="M369" s="153">
        <f t="shared" ca="1" si="51"/>
        <v>0</v>
      </c>
      <c r="O369" s="148"/>
      <c r="R369" s="12"/>
    </row>
    <row r="370" spans="1:18" s="59" customFormat="1" hidden="1" outlineLevel="1" x14ac:dyDescent="0.3">
      <c r="A370" s="290">
        <f t="shared" si="52"/>
        <v>6</v>
      </c>
      <c r="B370" s="55"/>
      <c r="C370" s="55" t="s">
        <v>1297</v>
      </c>
      <c r="D370" s="55" t="s">
        <v>1296</v>
      </c>
      <c r="E370" s="55"/>
      <c r="F370" s="56"/>
      <c r="G370" s="56" t="s">
        <v>73</v>
      </c>
      <c r="H370" s="57"/>
      <c r="I370" s="57"/>
      <c r="J370" s="58">
        <f>IFERROR(IF(K370&lt;&gt;0,K370*$K$5,0),0)</f>
        <v>0</v>
      </c>
      <c r="K370" s="58" t="str">
        <f>IF(A370=0,VLOOKUP(D370,'03. Insumos'!A:F,4,0),"")</f>
        <v/>
      </c>
      <c r="L370" s="58">
        <f>SUM(L371:L371)</f>
        <v>0</v>
      </c>
      <c r="M370" s="153">
        <f t="shared" ca="1" si="51"/>
        <v>0</v>
      </c>
      <c r="O370" s="148">
        <f>IF(I370&lt;&gt;0,I370*H370*K370,)</f>
        <v>0</v>
      </c>
      <c r="R370" s="12">
        <f>IF(J370&lt;&gt;0,J370/1.03-K370,0)</f>
        <v>0</v>
      </c>
    </row>
    <row r="371" spans="1:18" s="51" customFormat="1" hidden="1" outlineLevel="1" x14ac:dyDescent="0.3">
      <c r="A371" s="290">
        <f t="shared" si="52"/>
        <v>0</v>
      </c>
      <c r="B371" s="49"/>
      <c r="C371" s="49"/>
      <c r="D371" s="140" t="s">
        <v>614</v>
      </c>
      <c r="E371" s="49" t="str">
        <f>VLOOKUP(D371,'03. Insumos'!A:D,2,0)</f>
        <v>Revestimento Acústico Sobre Laje Climatex Madeira Branco</v>
      </c>
      <c r="F371" s="68"/>
      <c r="G371" s="68" t="str">
        <f>VLOOKUP(D371,'03. Insumos'!A:F,3,0)</f>
        <v>m²</v>
      </c>
      <c r="H371" s="69">
        <v>1</v>
      </c>
      <c r="I371" s="141"/>
      <c r="J371" s="70">
        <f>IFERROR(IF(K371&lt;&gt;0,K371*$K$5,0),0)</f>
        <v>280</v>
      </c>
      <c r="K371" s="54">
        <f>IF(A371=0,VLOOKUP(D371,'03. Insumos'!A:F,4,0),"")</f>
        <v>280</v>
      </c>
      <c r="L371" s="338">
        <f>H371*J371*I371</f>
        <v>0</v>
      </c>
      <c r="M371" s="153">
        <f t="shared" ca="1" si="51"/>
        <v>0</v>
      </c>
      <c r="O371" s="148">
        <f>IF(I371&lt;&gt;0,I371*H371*K371,)</f>
        <v>0</v>
      </c>
      <c r="R371" s="12">
        <f>IF(J371&lt;&gt;0,J371/1.03-K371,0)</f>
        <v>-8.1553398058252355</v>
      </c>
    </row>
    <row r="372" spans="1:18" s="18" customFormat="1" x14ac:dyDescent="0.3">
      <c r="A372" s="290">
        <f t="shared" si="52"/>
        <v>3</v>
      </c>
      <c r="B372" s="35"/>
      <c r="C372" s="35" t="s">
        <v>319</v>
      </c>
      <c r="D372" s="35" t="s">
        <v>335</v>
      </c>
      <c r="E372" s="35"/>
      <c r="F372" s="323"/>
      <c r="G372" s="323"/>
      <c r="H372" s="324"/>
      <c r="I372" s="37"/>
      <c r="J372" s="333"/>
      <c r="K372" s="38"/>
      <c r="L372" s="333">
        <f>SUMIF(A373:A591,4,L373:L591)</f>
        <v>252296.52498499997</v>
      </c>
      <c r="M372" s="153">
        <f t="shared" ca="1" si="51"/>
        <v>4.3568381719638252E-3</v>
      </c>
      <c r="O372" s="148">
        <f>IF(I372&lt;&gt;0,I372*H372*K372,)</f>
        <v>0</v>
      </c>
      <c r="R372" s="12">
        <f>IF(J372&lt;&gt;0,J372/1.03-K372,0)</f>
        <v>0</v>
      </c>
    </row>
    <row r="373" spans="1:18" s="18" customFormat="1" ht="5.25" customHeight="1" outlineLevel="1" x14ac:dyDescent="0.3">
      <c r="A373" s="290">
        <f t="shared" si="52"/>
        <v>0</v>
      </c>
      <c r="B373" s="63"/>
      <c r="C373" s="63"/>
      <c r="D373" s="63"/>
      <c r="E373" s="63"/>
      <c r="F373" s="325"/>
      <c r="G373" s="325"/>
      <c r="H373" s="326"/>
      <c r="I373" s="65"/>
      <c r="J373" s="334">
        <f>IFERROR(IF(K373&lt;&gt;0,K373*$K$5,0),0)</f>
        <v>0</v>
      </c>
      <c r="K373" s="66" t="e">
        <f>IF(A373=0,VLOOKUP(D373,'03. Insumos'!A:F,4,0),"")</f>
        <v>#N/A</v>
      </c>
      <c r="L373" s="334"/>
      <c r="M373" s="153">
        <f t="shared" ca="1" si="51"/>
        <v>0</v>
      </c>
      <c r="O373" s="148">
        <f>IF(I373&lt;&gt;0,I373*H373*K373,)</f>
        <v>0</v>
      </c>
      <c r="R373" s="12">
        <f>IF(J373&lt;&gt;0,J373/1.03-K373,0)</f>
        <v>0</v>
      </c>
    </row>
    <row r="374" spans="1:18" s="18" customFormat="1" ht="13.5" customHeight="1" outlineLevel="1" x14ac:dyDescent="0.3">
      <c r="A374" s="290">
        <f t="shared" si="52"/>
        <v>4</v>
      </c>
      <c r="B374" s="45"/>
      <c r="C374" s="45" t="s">
        <v>320</v>
      </c>
      <c r="D374" s="45" t="s">
        <v>1507</v>
      </c>
      <c r="E374" s="45"/>
      <c r="F374" s="327"/>
      <c r="G374" s="327"/>
      <c r="H374" s="328"/>
      <c r="I374" s="61"/>
      <c r="J374" s="335"/>
      <c r="K374" s="62" t="str">
        <f>IF(A374=0,VLOOKUP(D374,'03. Insumos'!A:F,4,0),"")</f>
        <v/>
      </c>
      <c r="L374" s="335">
        <f>SUMIF(A374:A457,6,L374:L457)</f>
        <v>31643.027754999999</v>
      </c>
      <c r="M374" s="153">
        <f t="shared" ca="1" si="51"/>
        <v>5.4643460193393981E-4</v>
      </c>
      <c r="O374" s="148">
        <f>IF(I374&lt;&gt;0,I374*H374*K374,)</f>
        <v>0</v>
      </c>
      <c r="R374" s="12">
        <f>IF(J374&lt;&gt;0,J374/1.03-K374,0)</f>
        <v>0</v>
      </c>
    </row>
    <row r="375" spans="1:18" s="51" customFormat="1" ht="13.5" customHeight="1" outlineLevel="1" x14ac:dyDescent="0.3">
      <c r="A375" s="290">
        <f t="shared" si="52"/>
        <v>6</v>
      </c>
      <c r="B375" s="55"/>
      <c r="C375" s="55" t="s">
        <v>321</v>
      </c>
      <c r="D375" s="55" t="s">
        <v>2740</v>
      </c>
      <c r="E375" s="55"/>
      <c r="F375" s="56"/>
      <c r="G375" s="56" t="s">
        <v>73</v>
      </c>
      <c r="H375" s="57">
        <f>21.7</f>
        <v>21.7</v>
      </c>
      <c r="I375" s="57"/>
      <c r="J375" s="58"/>
      <c r="K375" s="58" t="str">
        <f>IF(A375=0,VLOOKUP(D375,'03. Insumos'!A:F,4,0),"")</f>
        <v/>
      </c>
      <c r="L375" s="58">
        <f>SUM(L376:L380)</f>
        <v>7510.3097499999994</v>
      </c>
      <c r="M375" s="153">
        <f t="shared" ca="1" si="51"/>
        <v>1.2969343990773354E-4</v>
      </c>
      <c r="O375" s="148"/>
      <c r="R375" s="12"/>
    </row>
    <row r="376" spans="1:18" s="51" customFormat="1" ht="13.5" customHeight="1" outlineLevel="1" x14ac:dyDescent="0.3">
      <c r="A376" s="13">
        <f t="shared" si="52"/>
        <v>0</v>
      </c>
      <c r="B376" s="49"/>
      <c r="C376" s="49"/>
      <c r="D376" s="140" t="s">
        <v>2763</v>
      </c>
      <c r="E376" s="67" t="str">
        <f>VLOOKUP(D376,'03. Insumos'!A:D,2,0)</f>
        <v>Material - Piso Porcelanato Margres Time T21- Snow Anti Slip 60x60cm</v>
      </c>
      <c r="F376" s="68" t="s">
        <v>2613</v>
      </c>
      <c r="G376" s="68" t="str">
        <f>VLOOKUP(D376,'03. Insumos'!A:F,3,0)</f>
        <v>m²</v>
      </c>
      <c r="H376" s="69">
        <v>1</v>
      </c>
      <c r="I376" s="141">
        <f>H375*1.15</f>
        <v>24.954999999999998</v>
      </c>
      <c r="J376" s="70">
        <f>IFERROR(IF(K376&lt;&gt;0,K376*$K$5,0),0)</f>
        <v>258.45</v>
      </c>
      <c r="K376" s="54">
        <f>IF(A376=0,VLOOKUP(D376,'03. Insumos'!A:F,4,0),"")</f>
        <v>258.45</v>
      </c>
      <c r="L376" s="70">
        <f>H376*J376*I376</f>
        <v>6449.6197499999989</v>
      </c>
      <c r="M376" s="355">
        <f t="shared" ca="1" si="51"/>
        <v>1.1137668076531149E-4</v>
      </c>
      <c r="O376" s="148">
        <f>IF(I376&lt;&gt;0,I376*H376*K376,)</f>
        <v>6449.6197499999989</v>
      </c>
      <c r="R376" s="356">
        <f>IF(J376&lt;&gt;0,J376/1.03-K376,0)</f>
        <v>-7.5276699029126348</v>
      </c>
    </row>
    <row r="377" spans="1:18" s="51" customFormat="1" ht="13.5" customHeight="1" outlineLevel="1" x14ac:dyDescent="0.3">
      <c r="A377" s="13">
        <f t="shared" si="52"/>
        <v>0</v>
      </c>
      <c r="B377" s="49"/>
      <c r="C377" s="49"/>
      <c r="D377" s="140" t="s">
        <v>2405</v>
      </c>
      <c r="E377" s="67" t="str">
        <f>VLOOKUP(D377,'03. Insumos'!A:D,2,0)</f>
        <v>Mão de obra - Assentamento até 60x60cm</v>
      </c>
      <c r="F377" s="68" t="s">
        <v>2607</v>
      </c>
      <c r="G377" s="68" t="str">
        <f>VLOOKUP(D377,'03. Insumos'!A:F,3,0)</f>
        <v>m²</v>
      </c>
      <c r="H377" s="69">
        <v>1</v>
      </c>
      <c r="I377" s="141">
        <f>H375</f>
        <v>21.7</v>
      </c>
      <c r="J377" s="70">
        <f>IFERROR(IF(K377&lt;&gt;0,K377*$K$5,0),0)</f>
        <v>35</v>
      </c>
      <c r="K377" s="54">
        <f>IF(A377=0,VLOOKUP(D377,'03. Insumos'!A:F,4,0),"")</f>
        <v>35</v>
      </c>
      <c r="L377" s="70">
        <f>H377*J377*I377</f>
        <v>759.5</v>
      </c>
      <c r="M377" s="355">
        <f t="shared" ca="1" si="51"/>
        <v>1.3115593216368157E-5</v>
      </c>
      <c r="O377" s="148"/>
      <c r="R377" s="356"/>
    </row>
    <row r="378" spans="1:18" s="59" customFormat="1" ht="13.5" customHeight="1" outlineLevel="1" x14ac:dyDescent="0.3">
      <c r="A378" s="13">
        <f t="shared" si="52"/>
        <v>0</v>
      </c>
      <c r="B378" s="55"/>
      <c r="C378" s="55"/>
      <c r="D378" s="140" t="s">
        <v>2775</v>
      </c>
      <c r="E378" s="67" t="str">
        <f>VLOOKUP(D378,'03. Insumos'!A:D,2,0)</f>
        <v>Celumassa Colante AC3 flexível 20Kg</v>
      </c>
      <c r="F378" s="68" t="s">
        <v>2612</v>
      </c>
      <c r="G378" s="68" t="str">
        <f>VLOOKUP(D378,'03. Insumos'!A:F,3,0)</f>
        <v>sc</v>
      </c>
      <c r="H378" s="69">
        <v>1</v>
      </c>
      <c r="I378" s="141">
        <f>ROUND((H375*8)/20,0)</f>
        <v>9</v>
      </c>
      <c r="J378" s="70">
        <f>IFERROR(IF(K378&lt;&gt;0,K378*$K$5,0),0)</f>
        <v>17.5</v>
      </c>
      <c r="K378" s="54">
        <f>IF(A378=0,VLOOKUP(D378,'03. Insumos'!A:F,4,0),"")</f>
        <v>17.5</v>
      </c>
      <c r="L378" s="70">
        <f>H378*J378*I378</f>
        <v>157.5</v>
      </c>
      <c r="M378" s="355">
        <f t="shared" ca="1" si="51"/>
        <v>2.7198234780486964E-6</v>
      </c>
      <c r="O378" s="148">
        <f>IF(I378&lt;&gt;0,I378*H378*K378,)</f>
        <v>157.5</v>
      </c>
      <c r="R378" s="356">
        <f>IF(J378&lt;&gt;0,J378/1.03-K378,0)</f>
        <v>-0.50970873786407722</v>
      </c>
    </row>
    <row r="379" spans="1:18" s="51" customFormat="1" ht="13.5" customHeight="1" outlineLevel="1" x14ac:dyDescent="0.3">
      <c r="A379" s="13">
        <f t="shared" si="52"/>
        <v>0</v>
      </c>
      <c r="B379" s="49"/>
      <c r="C379" s="49"/>
      <c r="D379" s="140" t="s">
        <v>772</v>
      </c>
      <c r="E379" s="67" t="str">
        <f>VLOOKUP(D379,'03. Insumos'!A:D,2,0)</f>
        <v xml:space="preserve">Rejunte acrílico Portokoll </v>
      </c>
      <c r="F379" s="68" t="s">
        <v>2612</v>
      </c>
      <c r="G379" s="68" t="str">
        <f>VLOOKUP(D379,'03. Insumos'!A:F,3,0)</f>
        <v>Kg</v>
      </c>
      <c r="H379" s="69">
        <v>1</v>
      </c>
      <c r="I379" s="141">
        <f>ROUNDUP((H375*0.2),0)</f>
        <v>5</v>
      </c>
      <c r="J379" s="70">
        <f>IFERROR(IF(K379&lt;&gt;0,K379*$K$5,0),0)</f>
        <v>19.87</v>
      </c>
      <c r="K379" s="54">
        <f>IF(A379=0,VLOOKUP(D379,'03. Insumos'!A:F,4,0),"")</f>
        <v>19.87</v>
      </c>
      <c r="L379" s="70">
        <f>H379*J379*I379</f>
        <v>99.350000000000009</v>
      </c>
      <c r="M379" s="355">
        <f t="shared" ca="1" si="51"/>
        <v>1.7156473812326221E-6</v>
      </c>
      <c r="O379" s="148">
        <f>IF(I379&lt;&gt;0,I379*H379*K379,)</f>
        <v>99.350000000000009</v>
      </c>
      <c r="R379" s="356">
        <f>IF(J379&lt;&gt;0,J379/1.03-K379,0)</f>
        <v>-0.57873786407767014</v>
      </c>
    </row>
    <row r="380" spans="1:18" s="51" customFormat="1" ht="13.5" customHeight="1" outlineLevel="1" x14ac:dyDescent="0.3">
      <c r="A380" s="13">
        <f t="shared" si="52"/>
        <v>0</v>
      </c>
      <c r="B380" s="49"/>
      <c r="C380" s="49"/>
      <c r="D380" s="140" t="s">
        <v>773</v>
      </c>
      <c r="E380" s="67" t="str">
        <f>VLOOKUP(D380,'03. Insumos'!A:D,2,0)</f>
        <v>Espaçador - Cunha</v>
      </c>
      <c r="F380" s="68" t="s">
        <v>2612</v>
      </c>
      <c r="G380" s="68" t="str">
        <f>VLOOKUP(D380,'03. Insumos'!A:F,3,0)</f>
        <v>50 pcs</v>
      </c>
      <c r="H380" s="69">
        <v>1</v>
      </c>
      <c r="I380" s="141">
        <f>ROUNDUP(((H375*5)/100),0)</f>
        <v>2</v>
      </c>
      <c r="J380" s="70">
        <f>IFERROR(IF(K380&lt;&gt;0,K380*$K$5,0),0)</f>
        <v>22.17</v>
      </c>
      <c r="K380" s="54">
        <f>IF(A380=0,VLOOKUP(D380,'03. Insumos'!A:F,4,0),"")</f>
        <v>22.17</v>
      </c>
      <c r="L380" s="70">
        <f>H380*J380*I380</f>
        <v>44.34</v>
      </c>
      <c r="M380" s="355">
        <f t="shared" ca="1" si="51"/>
        <v>7.6569506677256639E-7</v>
      </c>
      <c r="O380" s="148">
        <f>IF(I380&lt;&gt;0,I380*H380*K380,)</f>
        <v>44.34</v>
      </c>
      <c r="R380" s="356">
        <f>IF(J380&lt;&gt;0,J380/1.03-K380,0)</f>
        <v>-0.64572815533980688</v>
      </c>
    </row>
    <row r="381" spans="1:18" s="51" customFormat="1" ht="13.5" customHeight="1" outlineLevel="1" x14ac:dyDescent="0.3">
      <c r="A381" s="290">
        <f t="shared" si="52"/>
        <v>6</v>
      </c>
      <c r="B381" s="55"/>
      <c r="C381" s="55" t="s">
        <v>1298</v>
      </c>
      <c r="D381" s="55" t="s">
        <v>2746</v>
      </c>
      <c r="E381" s="55"/>
      <c r="F381" s="56"/>
      <c r="G381" s="56" t="s">
        <v>73</v>
      </c>
      <c r="H381" s="57">
        <f>97.95+18.58</f>
        <v>116.53</v>
      </c>
      <c r="I381" s="57"/>
      <c r="J381" s="58"/>
      <c r="K381" s="58" t="str">
        <f>IF(A381=0,VLOOKUP(D381,'03. Insumos'!A:F,4,0),"")</f>
        <v/>
      </c>
      <c r="L381" s="58">
        <f>SUM(L382:L386)</f>
        <v>11361.890830000002</v>
      </c>
      <c r="M381" s="153">
        <f t="shared" ca="1" si="51"/>
        <v>1.962053170441917E-4</v>
      </c>
      <c r="O381" s="148"/>
      <c r="R381" s="12"/>
    </row>
    <row r="382" spans="1:18" s="51" customFormat="1" ht="13.5" customHeight="1" outlineLevel="1" x14ac:dyDescent="0.3">
      <c r="A382" s="13">
        <f t="shared" si="52"/>
        <v>0</v>
      </c>
      <c r="B382" s="49"/>
      <c r="C382" s="49"/>
      <c r="D382" s="140" t="s">
        <v>2764</v>
      </c>
      <c r="E382" s="67" t="str">
        <f>VLOOKUP(D382,'03. Insumos'!A:D,2,0)</f>
        <v>AZULEJO 15X15cm BRANCO ELIANE COM REJUNTE GRAFITE, INSTALADO COM JUNTA AMARRADA - mat</v>
      </c>
      <c r="F382" s="68" t="s">
        <v>2613</v>
      </c>
      <c r="G382" s="68" t="str">
        <f>VLOOKUP(D382,'03. Insumos'!A:F,3,0)</f>
        <v>m²</v>
      </c>
      <c r="H382" s="69">
        <v>1</v>
      </c>
      <c r="I382" s="141">
        <f>H381*1.1</f>
        <v>128.18300000000002</v>
      </c>
      <c r="J382" s="70">
        <f>IFERROR(IF(K382&lt;&gt;0,K382*$K$5,0),0)</f>
        <v>43.01</v>
      </c>
      <c r="K382" s="54">
        <f>IF(A382=0,VLOOKUP(D382,'03. Insumos'!A:F,4,0),"")</f>
        <v>43.01</v>
      </c>
      <c r="L382" s="70">
        <f>H382*J382*I382</f>
        <v>5513.1508300000005</v>
      </c>
      <c r="M382" s="355">
        <f t="shared" ca="1" si="51"/>
        <v>9.52050607330645E-5</v>
      </c>
      <c r="O382" s="148">
        <f>IF(I382&lt;&gt;0,I382*H382*K382,)</f>
        <v>5513.1508300000005</v>
      </c>
      <c r="R382" s="356">
        <f>IF(J382&lt;&gt;0,J382/1.03-K382,0)</f>
        <v>-1.2527184466019463</v>
      </c>
    </row>
    <row r="383" spans="1:18" s="51" customFormat="1" ht="13.5" customHeight="1" outlineLevel="1" x14ac:dyDescent="0.3">
      <c r="A383" s="13">
        <f t="shared" si="52"/>
        <v>0</v>
      </c>
      <c r="B383" s="49"/>
      <c r="C383" s="49"/>
      <c r="D383" s="140" t="s">
        <v>2405</v>
      </c>
      <c r="E383" s="67" t="str">
        <f>VLOOKUP(D383,'03. Insumos'!A:D,2,0)</f>
        <v>Mão de obra - Assentamento até 60x60cm</v>
      </c>
      <c r="F383" s="68" t="s">
        <v>2607</v>
      </c>
      <c r="G383" s="68" t="str">
        <f>VLOOKUP(D383,'03. Insumos'!A:F,3,0)</f>
        <v>m²</v>
      </c>
      <c r="H383" s="69">
        <v>1</v>
      </c>
      <c r="I383" s="141">
        <f>H381</f>
        <v>116.53</v>
      </c>
      <c r="J383" s="70">
        <f>IFERROR(IF(K383&lt;&gt;0,K383*$K$5,0),0)</f>
        <v>35</v>
      </c>
      <c r="K383" s="54">
        <f>IF(A383=0,VLOOKUP(D383,'03. Insumos'!A:F,4,0),"")</f>
        <v>35</v>
      </c>
      <c r="L383" s="70">
        <f>H383*J383*I383</f>
        <v>4078.55</v>
      </c>
      <c r="M383" s="355">
        <f t="shared" ca="1" si="51"/>
        <v>7.0431339977114349E-5</v>
      </c>
      <c r="O383" s="148"/>
      <c r="R383" s="356"/>
    </row>
    <row r="384" spans="1:18" s="59" customFormat="1" ht="13.5" customHeight="1" outlineLevel="1" x14ac:dyDescent="0.3">
      <c r="A384" s="13">
        <f t="shared" si="52"/>
        <v>0</v>
      </c>
      <c r="B384" s="55"/>
      <c r="C384" s="55"/>
      <c r="D384" s="140" t="s">
        <v>2775</v>
      </c>
      <c r="E384" s="67" t="str">
        <f>VLOOKUP(D384,'03. Insumos'!A:D,2,0)</f>
        <v>Celumassa Colante AC3 flexível 20Kg</v>
      </c>
      <c r="F384" s="68" t="s">
        <v>2612</v>
      </c>
      <c r="G384" s="68" t="str">
        <f>VLOOKUP(D384,'03. Insumos'!A:F,3,0)</f>
        <v>sc</v>
      </c>
      <c r="H384" s="69">
        <v>1</v>
      </c>
      <c r="I384" s="141">
        <f>ROUND((H381*8)/20,0)</f>
        <v>47</v>
      </c>
      <c r="J384" s="70">
        <f>IFERROR(IF(K384&lt;&gt;0,K384*$K$5,0),0)</f>
        <v>17.5</v>
      </c>
      <c r="K384" s="54">
        <f>IF(A384=0,VLOOKUP(D384,'03. Insumos'!A:F,4,0),"")</f>
        <v>17.5</v>
      </c>
      <c r="L384" s="70">
        <f>H384*J384*I384</f>
        <v>822.5</v>
      </c>
      <c r="M384" s="355">
        <f t="shared" ca="1" si="51"/>
        <v>1.4203522607587637E-5</v>
      </c>
      <c r="O384" s="148">
        <f>IF(I384&lt;&gt;0,I384*H384*K384,)</f>
        <v>822.5</v>
      </c>
      <c r="R384" s="356">
        <f>IF(J384&lt;&gt;0,J384/1.03-K384,0)</f>
        <v>-0.50970873786407722</v>
      </c>
    </row>
    <row r="385" spans="1:18" s="51" customFormat="1" ht="13.5" customHeight="1" outlineLevel="1" x14ac:dyDescent="0.3">
      <c r="A385" s="13">
        <f t="shared" si="52"/>
        <v>0</v>
      </c>
      <c r="B385" s="49"/>
      <c r="C385" s="49"/>
      <c r="D385" s="140" t="s">
        <v>772</v>
      </c>
      <c r="E385" s="67" t="str">
        <f>VLOOKUP(D385,'03. Insumos'!A:D,2,0)</f>
        <v xml:space="preserve">Rejunte acrílico Portokoll </v>
      </c>
      <c r="F385" s="68" t="s">
        <v>2612</v>
      </c>
      <c r="G385" s="68" t="str">
        <f>VLOOKUP(D385,'03. Insumos'!A:F,3,0)</f>
        <v>Kg</v>
      </c>
      <c r="H385" s="69">
        <v>1</v>
      </c>
      <c r="I385" s="141">
        <f>ROUNDUP((H381*0.35),0)</f>
        <v>41</v>
      </c>
      <c r="J385" s="70">
        <f>IFERROR(IF(K385&lt;&gt;0,K385*$K$5,0),0)</f>
        <v>19.87</v>
      </c>
      <c r="K385" s="54">
        <f>IF(A385=0,VLOOKUP(D385,'03. Insumos'!A:F,4,0),"")</f>
        <v>19.87</v>
      </c>
      <c r="L385" s="70">
        <f>H385*J385*I385</f>
        <v>814.67000000000007</v>
      </c>
      <c r="M385" s="355">
        <f t="shared" ca="1" si="51"/>
        <v>1.4068308526107502E-5</v>
      </c>
      <c r="O385" s="148">
        <f>IF(I385&lt;&gt;0,I385*H385*K385,)</f>
        <v>814.67000000000007</v>
      </c>
      <c r="R385" s="356">
        <f>IF(J385&lt;&gt;0,J385/1.03-K385,0)</f>
        <v>-0.57873786407767014</v>
      </c>
    </row>
    <row r="386" spans="1:18" s="51" customFormat="1" ht="13.5" customHeight="1" outlineLevel="1" x14ac:dyDescent="0.3">
      <c r="A386" s="13">
        <f t="shared" si="52"/>
        <v>0</v>
      </c>
      <c r="B386" s="49"/>
      <c r="C386" s="49"/>
      <c r="D386" s="140" t="s">
        <v>773</v>
      </c>
      <c r="E386" s="67" t="str">
        <f>VLOOKUP(D386,'03. Insumos'!A:D,2,0)</f>
        <v>Espaçador - Cunha</v>
      </c>
      <c r="F386" s="68" t="s">
        <v>2612</v>
      </c>
      <c r="G386" s="68" t="str">
        <f>VLOOKUP(D386,'03. Insumos'!A:F,3,0)</f>
        <v>50 pcs</v>
      </c>
      <c r="H386" s="69">
        <v>1</v>
      </c>
      <c r="I386" s="141">
        <f>ROUNDUP(((H381*5)/100),0)</f>
        <v>6</v>
      </c>
      <c r="J386" s="70">
        <f>IFERROR(IF(K386&lt;&gt;0,K386*$K$5,0),0)</f>
        <v>22.17</v>
      </c>
      <c r="K386" s="54">
        <f>IF(A386=0,VLOOKUP(D386,'03. Insumos'!A:F,4,0),"")</f>
        <v>22.17</v>
      </c>
      <c r="L386" s="70">
        <f>H386*J386*I386</f>
        <v>133.02000000000001</v>
      </c>
      <c r="M386" s="355">
        <f t="shared" ca="1" si="51"/>
        <v>2.2970852003176989E-6</v>
      </c>
      <c r="O386" s="148">
        <f>IF(I386&lt;&gt;0,I386*H386*K386,)</f>
        <v>133.02000000000001</v>
      </c>
      <c r="R386" s="356">
        <f>IF(J386&lt;&gt;0,J386/1.03-K386,0)</f>
        <v>-0.64572815533980688</v>
      </c>
    </row>
    <row r="387" spans="1:18" s="51" customFormat="1" ht="13.5" customHeight="1" outlineLevel="1" x14ac:dyDescent="0.3">
      <c r="A387" s="290">
        <f t="shared" si="52"/>
        <v>6</v>
      </c>
      <c r="B387" s="55"/>
      <c r="C387" s="55" t="s">
        <v>322</v>
      </c>
      <c r="D387" s="55" t="s">
        <v>2743</v>
      </c>
      <c r="E387" s="55"/>
      <c r="F387" s="56"/>
      <c r="G387" s="56" t="s">
        <v>73</v>
      </c>
      <c r="H387" s="57">
        <v>22.67</v>
      </c>
      <c r="I387" s="57"/>
      <c r="J387" s="58"/>
      <c r="K387" s="58" t="str">
        <f>IF(A387=0,VLOOKUP(D387,'03. Insumos'!A:F,4,0),"")</f>
        <v/>
      </c>
      <c r="L387" s="58">
        <f>SUM(L388:L392)</f>
        <v>2931.8281350000002</v>
      </c>
      <c r="M387" s="153">
        <f t="shared" ca="1" si="51"/>
        <v>5.0628920604296656E-5</v>
      </c>
      <c r="O387" s="148"/>
      <c r="R387" s="12"/>
    </row>
    <row r="388" spans="1:18" s="51" customFormat="1" ht="13.5" customHeight="1" outlineLevel="1" x14ac:dyDescent="0.3">
      <c r="A388" s="13">
        <f t="shared" si="52"/>
        <v>0</v>
      </c>
      <c r="B388" s="49"/>
      <c r="C388" s="49"/>
      <c r="D388" s="140" t="s">
        <v>2765</v>
      </c>
      <c r="E388" s="67" t="str">
        <f>VLOOKUP(D388,'03. Insumos'!A:D,2,0)</f>
        <v>Azulejo Metro Roca Areia 10 x 20cm - Mat</v>
      </c>
      <c r="F388" s="68" t="s">
        <v>2613</v>
      </c>
      <c r="G388" s="68" t="str">
        <f>VLOOKUP(D388,'03. Insumos'!A:F,3,0)</f>
        <v>m²</v>
      </c>
      <c r="H388" s="69">
        <v>1</v>
      </c>
      <c r="I388" s="141">
        <f>H387*1.15</f>
        <v>26.070499999999999</v>
      </c>
      <c r="J388" s="70">
        <f>IFERROR(IF(K388&lt;&gt;0,K388*$K$5,0),0)</f>
        <v>70.47</v>
      </c>
      <c r="K388" s="54">
        <f>IF(A388=0,VLOOKUP(D388,'03. Insumos'!A:F,4,0),"")</f>
        <v>70.47</v>
      </c>
      <c r="L388" s="70">
        <f>H388*J388*I388</f>
        <v>1837.1881349999999</v>
      </c>
      <c r="M388" s="355">
        <f t="shared" ca="1" si="51"/>
        <v>3.1725888401050776E-5</v>
      </c>
      <c r="O388" s="148">
        <f>IF(I388&lt;&gt;0,I388*H388*K388,)</f>
        <v>1837.1881349999999</v>
      </c>
      <c r="R388" s="356">
        <f>IF(J388&lt;&gt;0,J388/1.03-K388,0)</f>
        <v>-2.0525242718446606</v>
      </c>
    </row>
    <row r="389" spans="1:18" s="51" customFormat="1" ht="13.5" customHeight="1" outlineLevel="1" x14ac:dyDescent="0.3">
      <c r="A389" s="13">
        <f t="shared" si="52"/>
        <v>0</v>
      </c>
      <c r="B389" s="49"/>
      <c r="C389" s="49"/>
      <c r="D389" s="140" t="s">
        <v>2405</v>
      </c>
      <c r="E389" s="67" t="str">
        <f>VLOOKUP(D389,'03. Insumos'!A:D,2,0)</f>
        <v>Mão de obra - Assentamento até 60x60cm</v>
      </c>
      <c r="F389" s="68" t="s">
        <v>2607</v>
      </c>
      <c r="G389" s="68" t="str">
        <f>VLOOKUP(D389,'03. Insumos'!A:F,3,0)</f>
        <v>m²</v>
      </c>
      <c r="H389" s="69">
        <v>1</v>
      </c>
      <c r="I389" s="141">
        <f>H387</f>
        <v>22.67</v>
      </c>
      <c r="J389" s="70">
        <f>IFERROR(IF(K389&lt;&gt;0,K389*$K$5,0),0)</f>
        <v>35</v>
      </c>
      <c r="K389" s="54">
        <f>IF(A389=0,VLOOKUP(D389,'03. Insumos'!A:F,4,0),"")</f>
        <v>35</v>
      </c>
      <c r="L389" s="70">
        <f>H389*J389*I389</f>
        <v>793.45</v>
      </c>
      <c r="M389" s="355">
        <f t="shared" ca="1" si="51"/>
        <v>1.3701866277191988E-5</v>
      </c>
      <c r="O389" s="148"/>
      <c r="R389" s="356"/>
    </row>
    <row r="390" spans="1:18" s="59" customFormat="1" ht="13.5" customHeight="1" outlineLevel="1" x14ac:dyDescent="0.3">
      <c r="A390" s="13">
        <f t="shared" si="52"/>
        <v>0</v>
      </c>
      <c r="B390" s="55"/>
      <c r="C390" s="55"/>
      <c r="D390" s="140" t="s">
        <v>2775</v>
      </c>
      <c r="E390" s="67" t="str">
        <f>VLOOKUP(D390,'03. Insumos'!A:D,2,0)</f>
        <v>Celumassa Colante AC3 flexível 20Kg</v>
      </c>
      <c r="F390" s="68" t="s">
        <v>2612</v>
      </c>
      <c r="G390" s="68" t="str">
        <f>VLOOKUP(D390,'03. Insumos'!A:F,3,0)</f>
        <v>sc</v>
      </c>
      <c r="H390" s="69">
        <v>1</v>
      </c>
      <c r="I390" s="141">
        <f>ROUND((H387*8)/20,0)</f>
        <v>9</v>
      </c>
      <c r="J390" s="70">
        <f>IFERROR(IF(K390&lt;&gt;0,K390*$K$5,0),0)</f>
        <v>17.5</v>
      </c>
      <c r="K390" s="54">
        <f>IF(A390=0,VLOOKUP(D390,'03. Insumos'!A:F,4,0),"")</f>
        <v>17.5</v>
      </c>
      <c r="L390" s="70">
        <f>H390*J390*I390</f>
        <v>157.5</v>
      </c>
      <c r="M390" s="355">
        <f t="shared" ca="1" si="51"/>
        <v>2.7198234780486964E-6</v>
      </c>
      <c r="O390" s="148">
        <f>IF(I390&lt;&gt;0,I390*H390*K390,)</f>
        <v>157.5</v>
      </c>
      <c r="R390" s="356">
        <f>IF(J390&lt;&gt;0,J390/1.03-K390,0)</f>
        <v>-0.50970873786407722</v>
      </c>
    </row>
    <row r="391" spans="1:18" s="51" customFormat="1" ht="13.5" customHeight="1" outlineLevel="1" x14ac:dyDescent="0.3">
      <c r="A391" s="13">
        <f t="shared" si="52"/>
        <v>0</v>
      </c>
      <c r="B391" s="49"/>
      <c r="C391" s="49"/>
      <c r="D391" s="140" t="s">
        <v>772</v>
      </c>
      <c r="E391" s="67" t="str">
        <f>VLOOKUP(D391,'03. Insumos'!A:D,2,0)</f>
        <v xml:space="preserve">Rejunte acrílico Portokoll </v>
      </c>
      <c r="F391" s="68" t="s">
        <v>2612</v>
      </c>
      <c r="G391" s="68" t="str">
        <f>VLOOKUP(D391,'03. Insumos'!A:F,3,0)</f>
        <v>Kg</v>
      </c>
      <c r="H391" s="69">
        <v>1</v>
      </c>
      <c r="I391" s="141">
        <f>ROUNDUP((H387*0.2),0)</f>
        <v>5</v>
      </c>
      <c r="J391" s="70">
        <f>IFERROR(IF(K391&lt;&gt;0,K391*$K$5,0),0)</f>
        <v>19.87</v>
      </c>
      <c r="K391" s="54">
        <f>IF(A391=0,VLOOKUP(D391,'03. Insumos'!A:F,4,0),"")</f>
        <v>19.87</v>
      </c>
      <c r="L391" s="70">
        <f>H391*J391*I391</f>
        <v>99.350000000000009</v>
      </c>
      <c r="M391" s="355">
        <f t="shared" ca="1" si="51"/>
        <v>1.7156473812326221E-6</v>
      </c>
      <c r="O391" s="148">
        <f>IF(I391&lt;&gt;0,I391*H391*K391,)</f>
        <v>99.350000000000009</v>
      </c>
      <c r="R391" s="356">
        <f>IF(J391&lt;&gt;0,J391/1.03-K391,0)</f>
        <v>-0.57873786407767014</v>
      </c>
    </row>
    <row r="392" spans="1:18" s="51" customFormat="1" ht="13.5" customHeight="1" outlineLevel="1" x14ac:dyDescent="0.3">
      <c r="A392" s="13">
        <f t="shared" si="52"/>
        <v>0</v>
      </c>
      <c r="B392" s="49"/>
      <c r="C392" s="49"/>
      <c r="D392" s="140" t="s">
        <v>773</v>
      </c>
      <c r="E392" s="67" t="str">
        <f>VLOOKUP(D392,'03. Insumos'!A:D,2,0)</f>
        <v>Espaçador - Cunha</v>
      </c>
      <c r="F392" s="68" t="s">
        <v>2612</v>
      </c>
      <c r="G392" s="68" t="str">
        <f>VLOOKUP(D392,'03. Insumos'!A:F,3,0)</f>
        <v>50 pcs</v>
      </c>
      <c r="H392" s="69">
        <v>1</v>
      </c>
      <c r="I392" s="141">
        <f>ROUNDUP(((H387*5)/100),0)</f>
        <v>2</v>
      </c>
      <c r="J392" s="70">
        <f>IFERROR(IF(K392&lt;&gt;0,K392*$K$5,0),0)</f>
        <v>22.17</v>
      </c>
      <c r="K392" s="54">
        <f>IF(A392=0,VLOOKUP(D392,'03. Insumos'!A:F,4,0),"")</f>
        <v>22.17</v>
      </c>
      <c r="L392" s="70">
        <f>H392*J392*I392</f>
        <v>44.34</v>
      </c>
      <c r="M392" s="355">
        <f t="shared" ca="1" si="51"/>
        <v>7.6569506677256639E-7</v>
      </c>
      <c r="O392" s="148">
        <f>IF(I392&lt;&gt;0,I392*H392*K392,)</f>
        <v>44.34</v>
      </c>
      <c r="R392" s="356">
        <f>IF(J392&lt;&gt;0,J392/1.03-K392,0)</f>
        <v>-0.64572815533980688</v>
      </c>
    </row>
    <row r="393" spans="1:18" s="51" customFormat="1" ht="13.5" customHeight="1" outlineLevel="1" x14ac:dyDescent="0.3">
      <c r="A393" s="290">
        <f t="shared" si="52"/>
        <v>6</v>
      </c>
      <c r="B393" s="55"/>
      <c r="C393" s="55" t="s">
        <v>323</v>
      </c>
      <c r="D393" s="55" t="s">
        <v>2744</v>
      </c>
      <c r="E393" s="55"/>
      <c r="F393" s="56"/>
      <c r="G393" s="56" t="s">
        <v>73</v>
      </c>
      <c r="H393" s="57">
        <v>30.24</v>
      </c>
      <c r="I393" s="57"/>
      <c r="J393" s="58"/>
      <c r="K393" s="58" t="str">
        <f>IF(A393=0,VLOOKUP(D393,'03. Insumos'!A:F,4,0),"")</f>
        <v/>
      </c>
      <c r="L393" s="58">
        <f>SUM(L394:L398)</f>
        <v>6843.5010399999992</v>
      </c>
      <c r="M393" s="153">
        <f t="shared" ca="1" si="51"/>
        <v>1.181785066707471E-4</v>
      </c>
      <c r="O393" s="148"/>
      <c r="R393" s="12"/>
    </row>
    <row r="394" spans="1:18" s="51" customFormat="1" ht="13.5" customHeight="1" outlineLevel="1" x14ac:dyDescent="0.3">
      <c r="A394" s="13">
        <f t="shared" si="52"/>
        <v>0</v>
      </c>
      <c r="B394" s="49"/>
      <c r="C394" s="49"/>
      <c r="D394" s="140" t="s">
        <v>2766</v>
      </c>
      <c r="E394" s="67" t="str">
        <f>VLOOKUP(D394,'03. Insumos'!A:D,2,0)</f>
        <v>Material - Rodapé Porcelanato Margres Time T21- Snow Anti Slip 60x60cm</v>
      </c>
      <c r="F394" s="68" t="s">
        <v>2613</v>
      </c>
      <c r="G394" s="68" t="str">
        <f>VLOOKUP(D394,'03. Insumos'!A:F,3,0)</f>
        <v>m²</v>
      </c>
      <c r="H394" s="69">
        <v>1</v>
      </c>
      <c r="I394" s="141">
        <f>H393*1.15</f>
        <v>34.775999999999996</v>
      </c>
      <c r="J394" s="70">
        <f>IFERROR(IF(K394&lt;&gt;0,K394*$K$5,0),0)</f>
        <v>155.04</v>
      </c>
      <c r="K394" s="54">
        <f>IF(A394=0,VLOOKUP(D394,'03. Insumos'!A:F,4,0),"")</f>
        <v>155.04</v>
      </c>
      <c r="L394" s="70">
        <f>H394*J394*I394</f>
        <v>5391.6710399999993</v>
      </c>
      <c r="M394" s="355">
        <f t="shared" ca="1" si="51"/>
        <v>9.3107260193696695E-5</v>
      </c>
      <c r="O394" s="148">
        <f>IF(I394&lt;&gt;0,I394*H394*K394,)</f>
        <v>5391.6710399999993</v>
      </c>
      <c r="R394" s="356">
        <f>IF(J394&lt;&gt;0,J394/1.03-K394,0)</f>
        <v>-4.515728155339815</v>
      </c>
    </row>
    <row r="395" spans="1:18" s="51" customFormat="1" ht="13.5" customHeight="1" outlineLevel="1" x14ac:dyDescent="0.3">
      <c r="A395" s="13">
        <f t="shared" si="52"/>
        <v>0</v>
      </c>
      <c r="B395" s="49"/>
      <c r="C395" s="49"/>
      <c r="D395" s="140" t="s">
        <v>2405</v>
      </c>
      <c r="E395" s="67" t="str">
        <f>VLOOKUP(D395,'03. Insumos'!A:D,2,0)</f>
        <v>Mão de obra - Assentamento até 60x60cm</v>
      </c>
      <c r="F395" s="68" t="s">
        <v>2607</v>
      </c>
      <c r="G395" s="68" t="str">
        <f>VLOOKUP(D395,'03. Insumos'!A:F,3,0)</f>
        <v>m²</v>
      </c>
      <c r="H395" s="69">
        <v>1</v>
      </c>
      <c r="I395" s="141">
        <f>H393</f>
        <v>30.24</v>
      </c>
      <c r="J395" s="70">
        <f>IFERROR(IF(K395&lt;&gt;0,K395*$K$5,0),0)</f>
        <v>35</v>
      </c>
      <c r="K395" s="54">
        <f>IF(A395=0,VLOOKUP(D395,'03. Insumos'!A:F,4,0),"")</f>
        <v>35</v>
      </c>
      <c r="L395" s="70">
        <f>H395*J395*I395</f>
        <v>1058.3999999999999</v>
      </c>
      <c r="M395" s="355">
        <f t="shared" ca="1" si="51"/>
        <v>1.8277213772487235E-5</v>
      </c>
      <c r="O395" s="148"/>
      <c r="R395" s="356"/>
    </row>
    <row r="396" spans="1:18" s="59" customFormat="1" ht="13.5" customHeight="1" outlineLevel="1" x14ac:dyDescent="0.3">
      <c r="A396" s="13">
        <f t="shared" si="52"/>
        <v>0</v>
      </c>
      <c r="B396" s="55"/>
      <c r="C396" s="55"/>
      <c r="D396" s="140" t="s">
        <v>2775</v>
      </c>
      <c r="E396" s="67" t="str">
        <f>VLOOKUP(D396,'03. Insumos'!A:D,2,0)</f>
        <v>Celumassa Colante AC3 flexível 20Kg</v>
      </c>
      <c r="F396" s="68" t="s">
        <v>2612</v>
      </c>
      <c r="G396" s="68" t="str">
        <f>VLOOKUP(D396,'03. Insumos'!A:F,3,0)</f>
        <v>sc</v>
      </c>
      <c r="H396" s="69">
        <v>1</v>
      </c>
      <c r="I396" s="141">
        <f>ROUND((H393*8)/20,0)</f>
        <v>12</v>
      </c>
      <c r="J396" s="70">
        <f>IFERROR(IF(K396&lt;&gt;0,K396*$K$5,0),0)</f>
        <v>17.5</v>
      </c>
      <c r="K396" s="54">
        <f>IF(A396=0,VLOOKUP(D396,'03. Insumos'!A:F,4,0),"")</f>
        <v>17.5</v>
      </c>
      <c r="L396" s="70">
        <f>H396*J396*I396</f>
        <v>210</v>
      </c>
      <c r="M396" s="355">
        <f t="shared" ca="1" si="51"/>
        <v>3.6264313040649282E-6</v>
      </c>
      <c r="O396" s="148">
        <f>IF(I396&lt;&gt;0,I396*H396*K396,)</f>
        <v>210</v>
      </c>
      <c r="R396" s="356">
        <f>IF(J396&lt;&gt;0,J396/1.03-K396,0)</f>
        <v>-0.50970873786407722</v>
      </c>
    </row>
    <row r="397" spans="1:18" s="51" customFormat="1" ht="13.5" customHeight="1" outlineLevel="1" x14ac:dyDescent="0.3">
      <c r="A397" s="13">
        <f t="shared" si="52"/>
        <v>0</v>
      </c>
      <c r="B397" s="49"/>
      <c r="C397" s="49"/>
      <c r="D397" s="140" t="s">
        <v>772</v>
      </c>
      <c r="E397" s="67" t="str">
        <f>VLOOKUP(D397,'03. Insumos'!A:D,2,0)</f>
        <v xml:space="preserve">Rejunte acrílico Portokoll </v>
      </c>
      <c r="F397" s="68" t="s">
        <v>2612</v>
      </c>
      <c r="G397" s="68" t="str">
        <f>VLOOKUP(D397,'03. Insumos'!A:F,3,0)</f>
        <v>Kg</v>
      </c>
      <c r="H397" s="69">
        <v>1</v>
      </c>
      <c r="I397" s="141">
        <f>ROUNDUP((H393*0.2),0)</f>
        <v>7</v>
      </c>
      <c r="J397" s="70">
        <f>IFERROR(IF(K397&lt;&gt;0,K397*$K$5,0),0)</f>
        <v>19.87</v>
      </c>
      <c r="K397" s="54">
        <f>IF(A397=0,VLOOKUP(D397,'03. Insumos'!A:F,4,0),"")</f>
        <v>19.87</v>
      </c>
      <c r="L397" s="70">
        <f>H397*J397*I397</f>
        <v>139.09</v>
      </c>
      <c r="M397" s="355">
        <f t="shared" ca="1" si="51"/>
        <v>2.4019063337256707E-6</v>
      </c>
      <c r="O397" s="148">
        <f>IF(I397&lt;&gt;0,I397*H397*K397,)</f>
        <v>139.09</v>
      </c>
      <c r="R397" s="356">
        <f>IF(J397&lt;&gt;0,J397/1.03-K397,0)</f>
        <v>-0.57873786407767014</v>
      </c>
    </row>
    <row r="398" spans="1:18" s="51" customFormat="1" ht="13.5" customHeight="1" outlineLevel="1" x14ac:dyDescent="0.3">
      <c r="A398" s="13">
        <f t="shared" si="52"/>
        <v>0</v>
      </c>
      <c r="B398" s="49"/>
      <c r="C398" s="49"/>
      <c r="D398" s="140" t="s">
        <v>773</v>
      </c>
      <c r="E398" s="67" t="str">
        <f>VLOOKUP(D398,'03. Insumos'!A:D,2,0)</f>
        <v>Espaçador - Cunha</v>
      </c>
      <c r="F398" s="68" t="s">
        <v>2612</v>
      </c>
      <c r="G398" s="68" t="str">
        <f>VLOOKUP(D398,'03. Insumos'!A:F,3,0)</f>
        <v>50 pcs</v>
      </c>
      <c r="H398" s="69">
        <v>1</v>
      </c>
      <c r="I398" s="141">
        <f>ROUNDUP(((H393*5)/100),0)</f>
        <v>2</v>
      </c>
      <c r="J398" s="70">
        <f>IFERROR(IF(K398&lt;&gt;0,K398*$K$5,0),0)</f>
        <v>22.17</v>
      </c>
      <c r="K398" s="54">
        <f>IF(A398=0,VLOOKUP(D398,'03. Insumos'!A:F,4,0),"")</f>
        <v>22.17</v>
      </c>
      <c r="L398" s="70">
        <f>H398*J398*I398</f>
        <v>44.34</v>
      </c>
      <c r="M398" s="355">
        <f t="shared" ca="1" si="51"/>
        <v>7.6569506677256639E-7</v>
      </c>
      <c r="O398" s="148">
        <f>IF(I398&lt;&gt;0,I398*H398*K398,)</f>
        <v>44.34</v>
      </c>
      <c r="R398" s="356">
        <f>IF(J398&lt;&gt;0,J398/1.03-K398,0)</f>
        <v>-0.64572815533980688</v>
      </c>
    </row>
    <row r="399" spans="1:18" s="51" customFormat="1" ht="13.5" customHeight="1" outlineLevel="1" x14ac:dyDescent="0.3">
      <c r="A399" s="13">
        <f t="shared" si="52"/>
        <v>6</v>
      </c>
      <c r="B399" s="49"/>
      <c r="C399" s="55" t="s">
        <v>1176</v>
      </c>
      <c r="D399" s="55" t="s">
        <v>2834</v>
      </c>
      <c r="E399" s="67"/>
      <c r="F399" s="68"/>
      <c r="G399" s="56" t="s">
        <v>73</v>
      </c>
      <c r="H399" s="57">
        <f>(3*1.8)+(2.2*0.4)</f>
        <v>6.28</v>
      </c>
      <c r="I399" s="141"/>
      <c r="J399" s="70"/>
      <c r="K399" s="54"/>
      <c r="L399" s="58">
        <f>SUM(L400:L403)</f>
        <v>2995.498000000001</v>
      </c>
      <c r="M399" s="355">
        <f t="shared" ca="1" si="51"/>
        <v>5.1728417706970897E-5</v>
      </c>
      <c r="O399" s="148"/>
      <c r="R399" s="356"/>
    </row>
    <row r="400" spans="1:18" s="51" customFormat="1" ht="13.5" customHeight="1" outlineLevel="1" x14ac:dyDescent="0.3">
      <c r="A400" s="13">
        <f t="shared" si="52"/>
        <v>0</v>
      </c>
      <c r="B400" s="49"/>
      <c r="C400" s="49"/>
      <c r="D400" s="140" t="s">
        <v>2836</v>
      </c>
      <c r="E400" s="67" t="str">
        <f>VLOOKUP(D400,'03. Insumos'!A:D,2,0)</f>
        <v>material - fornecimento Travertino Rock Face 7,5x20,3cm</v>
      </c>
      <c r="F400" s="68" t="s">
        <v>2613</v>
      </c>
      <c r="G400" s="68" t="str">
        <f>VLOOKUP(D400,'03. Insumos'!A:F,3,0)</f>
        <v>m²</v>
      </c>
      <c r="H400" s="69">
        <v>1</v>
      </c>
      <c r="I400" s="141">
        <f>H399*1.1</f>
        <v>6.9080000000000013</v>
      </c>
      <c r="J400" s="70">
        <f>IFERROR(IF(K400&lt;&gt;0,K400*$K$5,0),0)</f>
        <v>391</v>
      </c>
      <c r="K400" s="54">
        <f>IF(A400=0,VLOOKUP(D400,'03. Insumos'!A:F,4,0),"")</f>
        <v>391</v>
      </c>
      <c r="L400" s="70">
        <f>H400*J400*I400</f>
        <v>2701.0280000000007</v>
      </c>
      <c r="M400" s="355">
        <f t="shared" ca="1" si="51"/>
        <v>4.6643297582647083E-5</v>
      </c>
      <c r="O400" s="148"/>
      <c r="R400" s="356"/>
    </row>
    <row r="401" spans="1:18" s="51" customFormat="1" ht="13.5" customHeight="1" outlineLevel="1" x14ac:dyDescent="0.3">
      <c r="A401" s="13">
        <f t="shared" si="52"/>
        <v>0</v>
      </c>
      <c r="B401" s="49"/>
      <c r="C401" s="49"/>
      <c r="D401" s="140" t="s">
        <v>2405</v>
      </c>
      <c r="E401" s="67" t="str">
        <f>VLOOKUP(D401,'03. Insumos'!A:D,2,0)</f>
        <v>Mão de obra - Assentamento até 60x60cm</v>
      </c>
      <c r="F401" s="68" t="s">
        <v>2607</v>
      </c>
      <c r="G401" s="68" t="str">
        <f>VLOOKUP(D401,'03. Insumos'!A:F,3,0)</f>
        <v>m²</v>
      </c>
      <c r="H401" s="69">
        <v>1</v>
      </c>
      <c r="I401" s="141">
        <f>H399</f>
        <v>6.28</v>
      </c>
      <c r="J401" s="70">
        <f>IFERROR(IF(K401&lt;&gt;0,K401*$K$5,0),0)</f>
        <v>35</v>
      </c>
      <c r="K401" s="54">
        <f>IF(A401=0,VLOOKUP(D401,'03. Insumos'!A:F,4,0),"")</f>
        <v>35</v>
      </c>
      <c r="L401" s="70">
        <f>H401*J401*I401</f>
        <v>219.8</v>
      </c>
      <c r="M401" s="355">
        <f t="shared" ca="1" si="51"/>
        <v>3.7956647649212919E-6</v>
      </c>
      <c r="O401" s="148"/>
      <c r="R401" s="356"/>
    </row>
    <row r="402" spans="1:18" s="51" customFormat="1" ht="13.5" customHeight="1" outlineLevel="1" x14ac:dyDescent="0.3">
      <c r="A402" s="13">
        <f t="shared" si="52"/>
        <v>0</v>
      </c>
      <c r="B402" s="49"/>
      <c r="C402" s="49"/>
      <c r="D402" s="140" t="s">
        <v>2775</v>
      </c>
      <c r="E402" s="67" t="str">
        <f>VLOOKUP(D402,'03. Insumos'!A:D,2,0)</f>
        <v>Celumassa Colante AC3 flexível 20Kg</v>
      </c>
      <c r="F402" s="68" t="s">
        <v>2612</v>
      </c>
      <c r="G402" s="68" t="str">
        <f>VLOOKUP(D402,'03. Insumos'!A:F,3,0)</f>
        <v>sc</v>
      </c>
      <c r="H402" s="69">
        <v>1</v>
      </c>
      <c r="I402" s="141">
        <f>ROUND((H399*8)/20,0)</f>
        <v>3</v>
      </c>
      <c r="J402" s="70">
        <f>IFERROR(IF(K402&lt;&gt;0,K402*$K$5,0),0)</f>
        <v>17.5</v>
      </c>
      <c r="K402" s="54">
        <f>IF(A402=0,VLOOKUP(D402,'03. Insumos'!A:F,4,0),"")</f>
        <v>17.5</v>
      </c>
      <c r="L402" s="70">
        <f>H402*J402*I402</f>
        <v>52.5</v>
      </c>
      <c r="M402" s="355">
        <f t="shared" ca="1" si="51"/>
        <v>9.0660782601623205E-7</v>
      </c>
      <c r="O402" s="148"/>
      <c r="R402" s="356"/>
    </row>
    <row r="403" spans="1:18" s="51" customFormat="1" ht="13.5" customHeight="1" outlineLevel="1" x14ac:dyDescent="0.3">
      <c r="A403" s="13">
        <f t="shared" si="52"/>
        <v>0</v>
      </c>
      <c r="B403" s="49"/>
      <c r="C403" s="49"/>
      <c r="D403" s="140" t="s">
        <v>773</v>
      </c>
      <c r="E403" s="67" t="str">
        <f>VLOOKUP(D403,'03. Insumos'!A:D,2,0)</f>
        <v>Espaçador - Cunha</v>
      </c>
      <c r="F403" s="68" t="s">
        <v>2612</v>
      </c>
      <c r="G403" s="68" t="str">
        <f>VLOOKUP(D403,'03. Insumos'!A:F,3,0)</f>
        <v>50 pcs</v>
      </c>
      <c r="H403" s="69">
        <v>1</v>
      </c>
      <c r="I403" s="141">
        <f>ROUNDUP(((H399*5)/100),0)</f>
        <v>1</v>
      </c>
      <c r="J403" s="70">
        <f>IFERROR(IF(K403&lt;&gt;0,K403*$K$5,0),0)</f>
        <v>22.17</v>
      </c>
      <c r="K403" s="54">
        <f>IF(A403=0,VLOOKUP(D403,'03. Insumos'!A:F,4,0),"")</f>
        <v>22.17</v>
      </c>
      <c r="L403" s="70">
        <f>H403*J403*I403</f>
        <v>22.17</v>
      </c>
      <c r="M403" s="355">
        <f t="shared" ca="1" si="51"/>
        <v>3.828475333862832E-7</v>
      </c>
      <c r="O403" s="148"/>
      <c r="R403" s="356"/>
    </row>
    <row r="404" spans="1:18" s="59" customFormat="1" ht="13.5" hidden="1" customHeight="1" outlineLevel="1" x14ac:dyDescent="0.3">
      <c r="A404" s="13">
        <f t="shared" si="52"/>
        <v>6</v>
      </c>
      <c r="B404" s="55"/>
      <c r="C404" s="55" t="s">
        <v>321</v>
      </c>
      <c r="D404" s="55" t="s">
        <v>2283</v>
      </c>
      <c r="E404" s="55"/>
      <c r="F404" s="56"/>
      <c r="G404" s="56" t="s">
        <v>73</v>
      </c>
      <c r="H404" s="57"/>
      <c r="I404" s="57"/>
      <c r="J404" s="58"/>
      <c r="K404" s="58" t="str">
        <f>IF(A404=0,VLOOKUP(D404,'03. Insumos'!A:F,4,0),"")</f>
        <v/>
      </c>
      <c r="L404" s="58">
        <f>SUM(L405:L406)</f>
        <v>0</v>
      </c>
      <c r="M404" s="355">
        <f t="shared" ca="1" si="51"/>
        <v>0</v>
      </c>
      <c r="O404" s="148">
        <f>IF(I404&lt;&gt;0,I404*H404*K404,)</f>
        <v>0</v>
      </c>
      <c r="R404" s="356">
        <f>IF(J404&lt;&gt;0,J404/1.03-K404,0)</f>
        <v>0</v>
      </c>
    </row>
    <row r="405" spans="1:18" s="51" customFormat="1" ht="13.5" hidden="1" customHeight="1" outlineLevel="1" x14ac:dyDescent="0.3">
      <c r="A405" s="13">
        <f t="shared" si="52"/>
        <v>0</v>
      </c>
      <c r="B405" s="49"/>
      <c r="C405" s="49"/>
      <c r="D405" s="140" t="s">
        <v>2286</v>
      </c>
      <c r="E405" s="49" t="str">
        <f>VLOOKUP(D405,'03. Insumos'!A:D,2,0)</f>
        <v>Material - Fornecimento de microseixos</v>
      </c>
      <c r="F405" s="68" t="s">
        <v>2613</v>
      </c>
      <c r="G405" s="68" t="str">
        <f>VLOOKUP(D405,'03. Insumos'!A:F,3,0)</f>
        <v>m²</v>
      </c>
      <c r="H405" s="69">
        <v>1</v>
      </c>
      <c r="I405" s="141">
        <f>H404*1.1</f>
        <v>0</v>
      </c>
      <c r="J405" s="70">
        <f>IFERROR(IF(K405&lt;&gt;0,K405*$K$5,0),0)</f>
        <v>61.01</v>
      </c>
      <c r="K405" s="54">
        <f>IF(A405=0,VLOOKUP(D405,'03. Insumos'!A:F,4,0),"")</f>
        <v>61.01</v>
      </c>
      <c r="L405" s="70">
        <f>H405*J405*I405</f>
        <v>0</v>
      </c>
      <c r="M405" s="355">
        <f t="shared" ca="1" si="51"/>
        <v>0</v>
      </c>
      <c r="O405" s="148">
        <f>IF(I405&lt;&gt;0,I405*H405*K405,)</f>
        <v>0</v>
      </c>
      <c r="R405" s="356">
        <f>IF(J405&lt;&gt;0,J405/1.03-K405,0)</f>
        <v>-1.7769902912621376</v>
      </c>
    </row>
    <row r="406" spans="1:18" s="51" customFormat="1" ht="13.5" hidden="1" customHeight="1" outlineLevel="1" x14ac:dyDescent="0.3">
      <c r="A406" s="13">
        <f t="shared" si="52"/>
        <v>0</v>
      </c>
      <c r="B406" s="49"/>
      <c r="C406" s="49"/>
      <c r="D406" s="140" t="s">
        <v>2287</v>
      </c>
      <c r="E406" s="49" t="str">
        <f>VLOOKUP(D406,'03. Insumos'!A:D,2,0)</f>
        <v>Mão de obra - Assentamento de microseixos</v>
      </c>
      <c r="F406" s="68" t="s">
        <v>2607</v>
      </c>
      <c r="G406" s="68" t="str">
        <f>VLOOKUP(D406,'03. Insumos'!A:F,3,0)</f>
        <v>m²</v>
      </c>
      <c r="H406" s="69">
        <v>1</v>
      </c>
      <c r="I406" s="141">
        <f>H404</f>
        <v>0</v>
      </c>
      <c r="J406" s="70">
        <f>IFERROR(IF(K406&lt;&gt;0,K406*$K$5,0),0)</f>
        <v>30</v>
      </c>
      <c r="K406" s="54">
        <f>IF(A406=0,VLOOKUP(D406,'03. Insumos'!A:F,4,0),"")</f>
        <v>30</v>
      </c>
      <c r="L406" s="70">
        <f>H406*J406*I406</f>
        <v>0</v>
      </c>
      <c r="M406" s="355">
        <f t="shared" ca="1" si="51"/>
        <v>0</v>
      </c>
      <c r="O406" s="148"/>
      <c r="R406" s="356"/>
    </row>
    <row r="407" spans="1:18" s="59" customFormat="1" ht="13.5" hidden="1" customHeight="1" outlineLevel="1" x14ac:dyDescent="0.3">
      <c r="A407" s="13">
        <f t="shared" si="52"/>
        <v>6</v>
      </c>
      <c r="B407" s="55"/>
      <c r="C407" s="55" t="s">
        <v>1298</v>
      </c>
      <c r="D407" s="55" t="s">
        <v>2292</v>
      </c>
      <c r="E407" s="55"/>
      <c r="F407" s="56"/>
      <c r="G407" s="56" t="s">
        <v>73</v>
      </c>
      <c r="H407" s="57"/>
      <c r="I407" s="57"/>
      <c r="J407" s="58"/>
      <c r="K407" s="58" t="str">
        <f>IF(A407=0,VLOOKUP(D407,'03. Insumos'!A:F,4,0),"")</f>
        <v/>
      </c>
      <c r="L407" s="58">
        <f>SUM(L408:L412)</f>
        <v>0</v>
      </c>
      <c r="M407" s="355">
        <f t="shared" ca="1" si="51"/>
        <v>0</v>
      </c>
      <c r="O407" s="148">
        <f>IF(I407&lt;&gt;0,I407*H407*K407,)</f>
        <v>0</v>
      </c>
      <c r="R407" s="356">
        <f>IF(J407&lt;&gt;0,J407/1.03-K407,0)</f>
        <v>0</v>
      </c>
    </row>
    <row r="408" spans="1:18" s="51" customFormat="1" ht="13.5" hidden="1" customHeight="1" outlineLevel="1" x14ac:dyDescent="0.3">
      <c r="A408" s="13">
        <f t="shared" si="52"/>
        <v>0</v>
      </c>
      <c r="B408" s="49"/>
      <c r="C408" s="49"/>
      <c r="D408" s="140" t="s">
        <v>2290</v>
      </c>
      <c r="E408" s="49" t="str">
        <f>VLOOKUP(D408,'03. Insumos'!A:D,2,0)</f>
        <v>Material - Fornecimento de papel de parede</v>
      </c>
      <c r="F408" s="68" t="s">
        <v>2613</v>
      </c>
      <c r="G408" s="68" t="str">
        <f>VLOOKUP(D408,'03. Insumos'!A:F,3,0)</f>
        <v>m²</v>
      </c>
      <c r="H408" s="69">
        <v>1</v>
      </c>
      <c r="I408" s="141">
        <f>H407*1.1</f>
        <v>0</v>
      </c>
      <c r="J408" s="70">
        <f>IFERROR(IF(K408&lt;&gt;0,K408*$K$5,0),0)</f>
        <v>88.888888888888886</v>
      </c>
      <c r="K408" s="54">
        <f>IF(A408=0,VLOOKUP(D408,'03. Insumos'!A:F,4,0),"")</f>
        <v>88.888888888888886</v>
      </c>
      <c r="L408" s="70">
        <f>H408*J408*I408</f>
        <v>0</v>
      </c>
      <c r="M408" s="355">
        <f t="shared" ca="1" si="51"/>
        <v>0</v>
      </c>
      <c r="O408" s="148">
        <f>IF(I408&lt;&gt;0,I408*H408*K408,)</f>
        <v>0</v>
      </c>
      <c r="R408" s="356">
        <f>IF(J408&lt;&gt;0,J408/1.03-K408,0)</f>
        <v>-2.5889967637540536</v>
      </c>
    </row>
    <row r="409" spans="1:18" s="51" customFormat="1" ht="13.5" hidden="1" customHeight="1" outlineLevel="1" x14ac:dyDescent="0.3">
      <c r="A409" s="13">
        <f t="shared" si="52"/>
        <v>0</v>
      </c>
      <c r="B409" s="49"/>
      <c r="C409" s="49"/>
      <c r="D409" s="140" t="s">
        <v>2291</v>
      </c>
      <c r="E409" s="49" t="str">
        <f>VLOOKUP(D409,'03. Insumos'!A:D,2,0)</f>
        <v>Mão de obra - Instalação de papel de parede</v>
      </c>
      <c r="F409" s="68" t="s">
        <v>2599</v>
      </c>
      <c r="G409" s="68" t="str">
        <f>VLOOKUP(D409,'03. Insumos'!A:F,3,0)</f>
        <v>m²</v>
      </c>
      <c r="H409" s="69">
        <v>1</v>
      </c>
      <c r="I409" s="141">
        <f>H407</f>
        <v>0</v>
      </c>
      <c r="J409" s="70">
        <f>IFERROR(IF(K409&lt;&gt;0,K409*$K$5,0),0)</f>
        <v>40</v>
      </c>
      <c r="K409" s="54">
        <f>IF(A409=0,VLOOKUP(D409,'03. Insumos'!A:F,4,0),"")</f>
        <v>40</v>
      </c>
      <c r="L409" s="70">
        <f>H409*J409*I409</f>
        <v>0</v>
      </c>
      <c r="M409" s="355">
        <f t="shared" ca="1" si="51"/>
        <v>0</v>
      </c>
      <c r="O409" s="148"/>
      <c r="R409" s="356"/>
    </row>
    <row r="410" spans="1:18" s="51" customFormat="1" ht="13.5" hidden="1" customHeight="1" outlineLevel="1" x14ac:dyDescent="0.3">
      <c r="A410" s="13">
        <f t="shared" si="52"/>
        <v>0</v>
      </c>
      <c r="B410" s="49"/>
      <c r="C410" s="49"/>
      <c r="D410" s="140" t="s">
        <v>199</v>
      </c>
      <c r="E410" s="49" t="str">
        <f>VLOOKUP(D410,'03. Insumos'!A:D,2,0)</f>
        <v>Argamassa colante 20kg</v>
      </c>
      <c r="F410" s="68"/>
      <c r="G410" s="68" t="str">
        <f>VLOOKUP(D410,'03. Insumos'!A:F,3,0)</f>
        <v>uni</v>
      </c>
      <c r="H410" s="69"/>
      <c r="I410" s="141">
        <f>ROUND((H407*8)/20,0)</f>
        <v>0</v>
      </c>
      <c r="J410" s="70">
        <f>IFERROR(IF(K410&lt;&gt;0,K410*$K$5,0),0)</f>
        <v>21.9</v>
      </c>
      <c r="K410" s="54">
        <f>IF(A410=0,VLOOKUP(D410,'03. Insumos'!A:F,4,0),"")</f>
        <v>21.9</v>
      </c>
      <c r="L410" s="70">
        <f>H410*J410*I410</f>
        <v>0</v>
      </c>
      <c r="M410" s="355">
        <f t="shared" ca="1" si="51"/>
        <v>0</v>
      </c>
      <c r="O410" s="148"/>
      <c r="R410" s="356"/>
    </row>
    <row r="411" spans="1:18" s="51" customFormat="1" ht="13.5" hidden="1" customHeight="1" outlineLevel="1" x14ac:dyDescent="0.3">
      <c r="A411" s="13">
        <f t="shared" si="52"/>
        <v>0</v>
      </c>
      <c r="B411" s="49"/>
      <c r="C411" s="49"/>
      <c r="D411" s="140" t="s">
        <v>772</v>
      </c>
      <c r="E411" s="49" t="str">
        <f>VLOOKUP(D411,'03. Insumos'!A:D,2,0)</f>
        <v xml:space="preserve">Rejunte acrílico Portokoll </v>
      </c>
      <c r="F411" s="68"/>
      <c r="G411" s="68" t="str">
        <f>VLOOKUP(D411,'03. Insumos'!A:F,3,0)</f>
        <v>Kg</v>
      </c>
      <c r="H411" s="69"/>
      <c r="I411" s="141"/>
      <c r="J411" s="70">
        <f>IFERROR(IF(K411&lt;&gt;0,K411*$K$5,0),0)</f>
        <v>19.87</v>
      </c>
      <c r="K411" s="54">
        <f>IF(A411=0,VLOOKUP(D411,'03. Insumos'!A:F,4,0),"")</f>
        <v>19.87</v>
      </c>
      <c r="L411" s="70">
        <f>H411*J411*I411</f>
        <v>0</v>
      </c>
      <c r="M411" s="355">
        <f t="shared" ca="1" si="51"/>
        <v>0</v>
      </c>
      <c r="O411" s="148"/>
      <c r="R411" s="356"/>
    </row>
    <row r="412" spans="1:18" s="51" customFormat="1" ht="13.5" hidden="1" customHeight="1" outlineLevel="1" x14ac:dyDescent="0.3">
      <c r="A412" s="13">
        <f t="shared" si="52"/>
        <v>0</v>
      </c>
      <c r="B412" s="49"/>
      <c r="C412" s="49"/>
      <c r="D412" s="140" t="s">
        <v>773</v>
      </c>
      <c r="E412" s="49" t="str">
        <f>VLOOKUP(D412,'03. Insumos'!A:D,2,0)</f>
        <v>Espaçador - Cunha</v>
      </c>
      <c r="F412" s="68"/>
      <c r="G412" s="68" t="str">
        <f>VLOOKUP(D412,'03. Insumos'!A:F,3,0)</f>
        <v>50 pcs</v>
      </c>
      <c r="H412" s="69"/>
      <c r="I412" s="141"/>
      <c r="J412" s="70">
        <f>IFERROR(IF(K412&lt;&gt;0,K412*$K$5,0),0)</f>
        <v>22.17</v>
      </c>
      <c r="K412" s="54">
        <f>IF(A412=0,VLOOKUP(D412,'03. Insumos'!A:F,4,0),"")</f>
        <v>22.17</v>
      </c>
      <c r="L412" s="70">
        <f>H412*J412*I412</f>
        <v>0</v>
      </c>
      <c r="M412" s="355">
        <f t="shared" ca="1" si="51"/>
        <v>0</v>
      </c>
      <c r="O412" s="148"/>
      <c r="R412" s="356"/>
    </row>
    <row r="413" spans="1:18" s="51" customFormat="1" ht="13.5" hidden="1" customHeight="1" outlineLevel="1" x14ac:dyDescent="0.3">
      <c r="A413" s="13">
        <f t="shared" si="52"/>
        <v>6</v>
      </c>
      <c r="B413" s="49"/>
      <c r="C413" s="55" t="s">
        <v>322</v>
      </c>
      <c r="D413" s="55" t="s">
        <v>2295</v>
      </c>
      <c r="E413" s="49"/>
      <c r="F413" s="68"/>
      <c r="G413" s="56" t="s">
        <v>73</v>
      </c>
      <c r="H413" s="57"/>
      <c r="I413" s="141"/>
      <c r="J413" s="70"/>
      <c r="K413" s="54"/>
      <c r="L413" s="58">
        <f>SUM(L414:L417)</f>
        <v>0</v>
      </c>
      <c r="M413" s="355">
        <f t="shared" ca="1" si="51"/>
        <v>0</v>
      </c>
      <c r="O413" s="148"/>
      <c r="R413" s="356"/>
    </row>
    <row r="414" spans="1:18" s="51" customFormat="1" ht="13.5" hidden="1" customHeight="1" outlineLevel="1" x14ac:dyDescent="0.3">
      <c r="A414" s="13">
        <f t="shared" si="52"/>
        <v>0</v>
      </c>
      <c r="B414" s="49"/>
      <c r="C414" s="49"/>
      <c r="D414" s="140" t="s">
        <v>2293</v>
      </c>
      <c r="E414" s="49" t="str">
        <f>VLOOKUP(D414,'03. Insumos'!A:D,2,0)</f>
        <v>Material - Base seladora de alto desempenho</v>
      </c>
      <c r="F414" s="68" t="s">
        <v>2613</v>
      </c>
      <c r="G414" s="68" t="str">
        <f>VLOOKUP(D414,'03. Insumos'!A:F,3,0)</f>
        <v>L</v>
      </c>
      <c r="H414" s="69">
        <v>1</v>
      </c>
      <c r="I414" s="141">
        <f>H413*1.1</f>
        <v>0</v>
      </c>
      <c r="J414" s="70">
        <f>IFERROR(IF(K414&lt;&gt;0,K414*$K$5,0),0)</f>
        <v>54.5</v>
      </c>
      <c r="K414" s="54">
        <f>IF(A414=0,VLOOKUP(D414,'03. Insumos'!A:F,4,0),"")</f>
        <v>54.5</v>
      </c>
      <c r="L414" s="70">
        <f>H414*J414*I414</f>
        <v>0</v>
      </c>
      <c r="M414" s="355">
        <f t="shared" ca="1" si="51"/>
        <v>0</v>
      </c>
      <c r="O414" s="148"/>
      <c r="R414" s="356"/>
    </row>
    <row r="415" spans="1:18" s="51" customFormat="1" ht="13.5" hidden="1" customHeight="1" outlineLevel="1" x14ac:dyDescent="0.3">
      <c r="A415" s="13">
        <f t="shared" si="52"/>
        <v>0</v>
      </c>
      <c r="B415" s="49"/>
      <c r="C415" s="49"/>
      <c r="D415" s="140" t="s">
        <v>2294</v>
      </c>
      <c r="E415" s="49" t="str">
        <f>VLOOKUP(D415,'03. Insumos'!A:D,2,0)</f>
        <v>Material - Cera Impermeabilizante alto desempenho</v>
      </c>
      <c r="F415" s="68" t="s">
        <v>2607</v>
      </c>
      <c r="G415" s="68" t="str">
        <f>VLOOKUP(D415,'03. Insumos'!A:F,3,0)</f>
        <v>L</v>
      </c>
      <c r="H415" s="69">
        <v>1</v>
      </c>
      <c r="I415" s="141">
        <f>H413</f>
        <v>0</v>
      </c>
      <c r="J415" s="70">
        <f>IFERROR(IF(K415&lt;&gt;0,K415*$K$5,0),0)</f>
        <v>70.849999999999994</v>
      </c>
      <c r="K415" s="54">
        <f>IF(A415=0,VLOOKUP(D415,'03. Insumos'!A:F,4,0),"")</f>
        <v>70.849999999999994</v>
      </c>
      <c r="L415" s="70">
        <f>H415*J415*I415</f>
        <v>0</v>
      </c>
      <c r="M415" s="355">
        <f t="shared" ca="1" si="51"/>
        <v>0</v>
      </c>
      <c r="O415" s="148"/>
      <c r="R415" s="356"/>
    </row>
    <row r="416" spans="1:18" s="51" customFormat="1" ht="13.5" hidden="1" customHeight="1" outlineLevel="1" x14ac:dyDescent="0.3">
      <c r="A416" s="13">
        <f t="shared" si="52"/>
        <v>0</v>
      </c>
      <c r="B416" s="49"/>
      <c r="C416" s="49"/>
      <c r="D416" s="140" t="s">
        <v>199</v>
      </c>
      <c r="E416" s="49" t="str">
        <f>VLOOKUP(D416,'03. Insumos'!A:D,2,0)</f>
        <v>Argamassa colante 20kg</v>
      </c>
      <c r="F416" s="68" t="s">
        <v>2612</v>
      </c>
      <c r="G416" s="68" t="str">
        <f>VLOOKUP(D416,'03. Insumos'!A:F,3,0)</f>
        <v>uni</v>
      </c>
      <c r="H416" s="69">
        <v>1</v>
      </c>
      <c r="I416" s="141">
        <f>ROUND((H413*8)/20,0)</f>
        <v>0</v>
      </c>
      <c r="J416" s="70">
        <f>IFERROR(IF(K416&lt;&gt;0,K416*$K$5,0),0)</f>
        <v>21.9</v>
      </c>
      <c r="K416" s="54">
        <f>IF(A416=0,VLOOKUP(D416,'03. Insumos'!A:F,4,0),"")</f>
        <v>21.9</v>
      </c>
      <c r="L416" s="70">
        <f>H416*J416*I416</f>
        <v>0</v>
      </c>
      <c r="M416" s="355">
        <f t="shared" ca="1" si="51"/>
        <v>0</v>
      </c>
      <c r="O416" s="148"/>
      <c r="R416" s="356"/>
    </row>
    <row r="417" spans="1:18" s="51" customFormat="1" ht="13.5" hidden="1" customHeight="1" outlineLevel="1" x14ac:dyDescent="0.3">
      <c r="A417" s="13">
        <f t="shared" si="52"/>
        <v>0</v>
      </c>
      <c r="B417" s="49"/>
      <c r="C417" s="49"/>
      <c r="D417" s="140" t="s">
        <v>773</v>
      </c>
      <c r="E417" s="49" t="str">
        <f>VLOOKUP(D417,'03. Insumos'!A:D,2,0)</f>
        <v>Espaçador - Cunha</v>
      </c>
      <c r="F417" s="68" t="s">
        <v>2612</v>
      </c>
      <c r="G417" s="68" t="str">
        <f>VLOOKUP(D417,'03. Insumos'!A:F,3,0)</f>
        <v>50 pcs</v>
      </c>
      <c r="H417" s="69">
        <v>1</v>
      </c>
      <c r="I417" s="141">
        <f>ROUNDUP(((H413*5)/100),0)</f>
        <v>0</v>
      </c>
      <c r="J417" s="70">
        <f>IFERROR(IF(K417&lt;&gt;0,K417*$K$5,0),0)</f>
        <v>22.17</v>
      </c>
      <c r="K417" s="54">
        <f>IF(A417=0,VLOOKUP(D417,'03. Insumos'!A:F,4,0),"")</f>
        <v>22.17</v>
      </c>
      <c r="L417" s="70">
        <f>H417*J417*I417</f>
        <v>0</v>
      </c>
      <c r="M417" s="355">
        <f t="shared" ca="1" si="51"/>
        <v>0</v>
      </c>
      <c r="O417" s="148"/>
      <c r="R417" s="356"/>
    </row>
    <row r="418" spans="1:18" s="51" customFormat="1" ht="13.5" hidden="1" customHeight="1" outlineLevel="1" x14ac:dyDescent="0.3">
      <c r="A418" s="13">
        <f t="shared" si="52"/>
        <v>6</v>
      </c>
      <c r="B418" s="49"/>
      <c r="C418" s="55" t="s">
        <v>323</v>
      </c>
      <c r="D418" s="55" t="s">
        <v>2395</v>
      </c>
      <c r="E418" s="49"/>
      <c r="F418" s="68"/>
      <c r="G418" s="56" t="s">
        <v>73</v>
      </c>
      <c r="H418" s="57"/>
      <c r="I418" s="57"/>
      <c r="J418" s="70"/>
      <c r="K418" s="54"/>
      <c r="L418" s="58">
        <f>SUM(L419:L423)</f>
        <v>0</v>
      </c>
      <c r="M418" s="355">
        <f t="shared" ca="1" si="51"/>
        <v>0</v>
      </c>
      <c r="O418" s="148"/>
      <c r="R418" s="356"/>
    </row>
    <row r="419" spans="1:18" s="51" customFormat="1" ht="13.5" hidden="1" customHeight="1" outlineLevel="1" x14ac:dyDescent="0.3">
      <c r="A419" s="13">
        <f t="shared" si="52"/>
        <v>0</v>
      </c>
      <c r="B419" s="49"/>
      <c r="C419" s="49"/>
      <c r="D419" s="140" t="s">
        <v>2393</v>
      </c>
      <c r="E419" s="49" t="str">
        <f>VLOOKUP(D419,'03. Insumos'!A:D,2,0)</f>
        <v>Material - Fornecimento de Concret Decortiles - 60 x 120</v>
      </c>
      <c r="F419" s="68" t="s">
        <v>2613</v>
      </c>
      <c r="G419" s="68" t="str">
        <f>VLOOKUP(D419,'03. Insumos'!A:F,3,0)</f>
        <v>m²</v>
      </c>
      <c r="H419" s="69">
        <v>1</v>
      </c>
      <c r="I419" s="141">
        <f>H418*1.4</f>
        <v>0</v>
      </c>
      <c r="J419" s="70">
        <f>IFERROR(IF(K419&lt;&gt;0,K419*$K$5,0),0)</f>
        <v>83.52002291971732</v>
      </c>
      <c r="K419" s="54">
        <f>IF(A419=0,VLOOKUP(D419,'03. Insumos'!A:F,4,0),"")</f>
        <v>83.52002291971732</v>
      </c>
      <c r="L419" s="70">
        <f>H419*J419*I419</f>
        <v>0</v>
      </c>
      <c r="M419" s="355">
        <f t="shared" ca="1" si="51"/>
        <v>0</v>
      </c>
      <c r="O419" s="148"/>
      <c r="R419" s="356"/>
    </row>
    <row r="420" spans="1:18" s="51" customFormat="1" ht="13.5" hidden="1" customHeight="1" outlineLevel="1" x14ac:dyDescent="0.3">
      <c r="A420" s="13">
        <f t="shared" si="52"/>
        <v>0</v>
      </c>
      <c r="B420" s="49"/>
      <c r="C420" s="49"/>
      <c r="D420" s="140" t="s">
        <v>2394</v>
      </c>
      <c r="E420" s="49" t="str">
        <f>VLOOKUP(D420,'03. Insumos'!A:D,2,0)</f>
        <v>Mão de obra - Assentamento de Concret Decortiles - 60 x 120</v>
      </c>
      <c r="F420" s="68" t="s">
        <v>2607</v>
      </c>
      <c r="G420" s="68" t="str">
        <f>VLOOKUP(D420,'03. Insumos'!A:F,3,0)</f>
        <v>m²</v>
      </c>
      <c r="H420" s="69">
        <v>1</v>
      </c>
      <c r="I420" s="141">
        <f>H418</f>
        <v>0</v>
      </c>
      <c r="J420" s="70">
        <f>IFERROR(IF(K420&lt;&gt;0,K420*$K$5,0),0)</f>
        <v>49.75</v>
      </c>
      <c r="K420" s="54">
        <f>IF(A420=0,VLOOKUP(D420,'03. Insumos'!A:F,4,0),"")</f>
        <v>49.75</v>
      </c>
      <c r="L420" s="70">
        <f>H420*J420*I420</f>
        <v>0</v>
      </c>
      <c r="M420" s="355">
        <f t="shared" ca="1" si="51"/>
        <v>0</v>
      </c>
      <c r="O420" s="148"/>
      <c r="R420" s="356"/>
    </row>
    <row r="421" spans="1:18" s="51" customFormat="1" ht="13.5" hidden="1" customHeight="1" outlineLevel="1" x14ac:dyDescent="0.3">
      <c r="A421" s="13">
        <f t="shared" si="52"/>
        <v>0</v>
      </c>
      <c r="B421" s="49"/>
      <c r="C421" s="49"/>
      <c r="D421" s="140" t="s">
        <v>199</v>
      </c>
      <c r="E421" s="49" t="str">
        <f>VLOOKUP(D421,'03. Insumos'!A:D,2,0)</f>
        <v>Argamassa colante 20kg</v>
      </c>
      <c r="F421" s="68" t="s">
        <v>2612</v>
      </c>
      <c r="G421" s="68" t="str">
        <f>VLOOKUP(D421,'03. Insumos'!A:F,3,0)</f>
        <v>uni</v>
      </c>
      <c r="H421" s="69">
        <v>1</v>
      </c>
      <c r="I421" s="141">
        <f>ROUND((H418*8)/20,0)</f>
        <v>0</v>
      </c>
      <c r="J421" s="70">
        <f>IFERROR(IF(K421&lt;&gt;0,K421*$K$5,0),0)</f>
        <v>21.9</v>
      </c>
      <c r="K421" s="54">
        <f>IF(A421=0,VLOOKUP(D421,'03. Insumos'!A:F,4,0),"")</f>
        <v>21.9</v>
      </c>
      <c r="L421" s="70">
        <f>H421*J421*I421</f>
        <v>0</v>
      </c>
      <c r="M421" s="355">
        <f t="shared" ref="M421:M484" ca="1" si="55">L421/$L$7</f>
        <v>0</v>
      </c>
      <c r="O421" s="148"/>
      <c r="R421" s="356"/>
    </row>
    <row r="422" spans="1:18" s="51" customFormat="1" ht="13.5" hidden="1" customHeight="1" outlineLevel="1" x14ac:dyDescent="0.3">
      <c r="A422" s="13">
        <f t="shared" si="52"/>
        <v>0</v>
      </c>
      <c r="B422" s="49"/>
      <c r="C422" s="49"/>
      <c r="D422" s="140" t="s">
        <v>772</v>
      </c>
      <c r="E422" s="49" t="str">
        <f>VLOOKUP(D422,'03. Insumos'!A:D,2,0)</f>
        <v xml:space="preserve">Rejunte acrílico Portokoll </v>
      </c>
      <c r="F422" s="68" t="s">
        <v>2612</v>
      </c>
      <c r="G422" s="68" t="str">
        <f>VLOOKUP(D422,'03. Insumos'!A:F,3,0)</f>
        <v>Kg</v>
      </c>
      <c r="H422" s="69">
        <v>1</v>
      </c>
      <c r="I422" s="141"/>
      <c r="J422" s="70">
        <f>IFERROR(IF(K422&lt;&gt;0,K422*$K$5,0),0)</f>
        <v>19.87</v>
      </c>
      <c r="K422" s="54">
        <f>IF(A422=0,VLOOKUP(D422,'03. Insumos'!A:F,4,0),"")</f>
        <v>19.87</v>
      </c>
      <c r="L422" s="70">
        <f>H422*J422*I422</f>
        <v>0</v>
      </c>
      <c r="M422" s="355">
        <f t="shared" ca="1" si="55"/>
        <v>0</v>
      </c>
      <c r="O422" s="148"/>
      <c r="R422" s="356"/>
    </row>
    <row r="423" spans="1:18" s="51" customFormat="1" ht="13.5" hidden="1" customHeight="1" outlineLevel="1" x14ac:dyDescent="0.3">
      <c r="A423" s="13">
        <f t="shared" ref="A423:A486" si="56">LEN(C423)</f>
        <v>0</v>
      </c>
      <c r="B423" s="49"/>
      <c r="C423" s="49"/>
      <c r="D423" s="140" t="s">
        <v>773</v>
      </c>
      <c r="E423" s="49" t="str">
        <f>VLOOKUP(D423,'03. Insumos'!A:D,2,0)</f>
        <v>Espaçador - Cunha</v>
      </c>
      <c r="F423" s="68" t="s">
        <v>2612</v>
      </c>
      <c r="G423" s="68" t="str">
        <f>VLOOKUP(D423,'03. Insumos'!A:F,3,0)</f>
        <v>50 pcs</v>
      </c>
      <c r="H423" s="69">
        <v>1</v>
      </c>
      <c r="I423" s="141">
        <f>ROUNDUP(((H418*5)/100),0)</f>
        <v>0</v>
      </c>
      <c r="J423" s="70">
        <f>IFERROR(IF(K423&lt;&gt;0,K423*$K$5,0),0)</f>
        <v>22.17</v>
      </c>
      <c r="K423" s="54">
        <f>IF(A423=0,VLOOKUP(D423,'03. Insumos'!A:F,4,0),"")</f>
        <v>22.17</v>
      </c>
      <c r="L423" s="70">
        <f>H423*J423*I423</f>
        <v>0</v>
      </c>
      <c r="M423" s="355">
        <f t="shared" ca="1" si="55"/>
        <v>0</v>
      </c>
      <c r="O423" s="148"/>
      <c r="R423" s="356"/>
    </row>
    <row r="424" spans="1:18" s="51" customFormat="1" ht="13.5" hidden="1" customHeight="1" outlineLevel="1" x14ac:dyDescent="0.3">
      <c r="A424" s="13">
        <f t="shared" si="56"/>
        <v>6</v>
      </c>
      <c r="B424" s="49"/>
      <c r="C424" s="55" t="s">
        <v>1176</v>
      </c>
      <c r="D424" s="55" t="s">
        <v>2398</v>
      </c>
      <c r="E424" s="49"/>
      <c r="F424" s="68"/>
      <c r="G424" s="56" t="s">
        <v>73</v>
      </c>
      <c r="H424" s="57"/>
      <c r="I424" s="141"/>
      <c r="J424" s="70"/>
      <c r="K424" s="54"/>
      <c r="L424" s="58">
        <f>SUM(L425:L429)</f>
        <v>0</v>
      </c>
      <c r="M424" s="355">
        <f t="shared" ca="1" si="55"/>
        <v>0</v>
      </c>
      <c r="O424" s="148"/>
      <c r="R424" s="356"/>
    </row>
    <row r="425" spans="1:18" s="51" customFormat="1" ht="13.5" hidden="1" customHeight="1" outlineLevel="1" x14ac:dyDescent="0.3">
      <c r="A425" s="13">
        <f t="shared" si="56"/>
        <v>0</v>
      </c>
      <c r="B425" s="49"/>
      <c r="C425" s="49"/>
      <c r="D425" s="140" t="s">
        <v>2401</v>
      </c>
      <c r="E425" s="49" t="str">
        <f>VLOOKUP(D425,'03. Insumos'!A:D,2,0)</f>
        <v>Material - Fornecimento de Dunes Shape Black</v>
      </c>
      <c r="F425" s="68" t="s">
        <v>2613</v>
      </c>
      <c r="G425" s="68" t="str">
        <f>VLOOKUP(D425,'03. Insumos'!A:F,3,0)</f>
        <v>pç</v>
      </c>
      <c r="H425" s="69">
        <v>1</v>
      </c>
      <c r="I425" s="141">
        <f>(H424/(0.25*0.25))*1.15</f>
        <v>0</v>
      </c>
      <c r="J425" s="70">
        <f>IFERROR(IF(K425&lt;&gt;0,K425*$K$5,0),0)</f>
        <v>26</v>
      </c>
      <c r="K425" s="54">
        <f>IF(A425=0,VLOOKUP(D425,'03. Insumos'!A:F,4,0),"")</f>
        <v>26</v>
      </c>
      <c r="L425" s="70">
        <f>H425*J425*I425</f>
        <v>0</v>
      </c>
      <c r="M425" s="355">
        <f t="shared" ca="1" si="55"/>
        <v>0</v>
      </c>
      <c r="O425" s="148"/>
      <c r="R425" s="356"/>
    </row>
    <row r="426" spans="1:18" s="51" customFormat="1" ht="13.5" hidden="1" customHeight="1" outlineLevel="1" x14ac:dyDescent="0.3">
      <c r="A426" s="13">
        <f t="shared" si="56"/>
        <v>0</v>
      </c>
      <c r="B426" s="49"/>
      <c r="C426" s="49"/>
      <c r="D426" s="140" t="s">
        <v>2402</v>
      </c>
      <c r="E426" s="49" t="str">
        <f>VLOOKUP(D426,'03. Insumos'!A:D,2,0)</f>
        <v>Mão de obra - Assentamento de Dunes Shape Black</v>
      </c>
      <c r="F426" s="68" t="s">
        <v>2607</v>
      </c>
      <c r="G426" s="68" t="str">
        <f>VLOOKUP(D426,'03. Insumos'!A:F,3,0)</f>
        <v>m²</v>
      </c>
      <c r="H426" s="69">
        <v>1</v>
      </c>
      <c r="I426" s="141">
        <f>H424</f>
        <v>0</v>
      </c>
      <c r="J426" s="70">
        <f>IFERROR(IF(K426&lt;&gt;0,K426*$K$5,0),0)</f>
        <v>54.55</v>
      </c>
      <c r="K426" s="54">
        <f>IF(A426=0,VLOOKUP(D426,'03. Insumos'!A:F,4,0),"")</f>
        <v>54.55</v>
      </c>
      <c r="L426" s="70">
        <f>H426*J426*I426</f>
        <v>0</v>
      </c>
      <c r="M426" s="355">
        <f t="shared" ca="1" si="55"/>
        <v>0</v>
      </c>
      <c r="O426" s="148"/>
      <c r="R426" s="356"/>
    </row>
    <row r="427" spans="1:18" s="51" customFormat="1" ht="13.5" hidden="1" customHeight="1" outlineLevel="1" x14ac:dyDescent="0.3">
      <c r="A427" s="13">
        <f t="shared" si="56"/>
        <v>0</v>
      </c>
      <c r="B427" s="49"/>
      <c r="C427" s="49"/>
      <c r="D427" s="140" t="s">
        <v>199</v>
      </c>
      <c r="E427" s="49" t="str">
        <f>VLOOKUP(D427,'03. Insumos'!A:D,2,0)</f>
        <v>Argamassa colante 20kg</v>
      </c>
      <c r="F427" s="68" t="s">
        <v>2612</v>
      </c>
      <c r="G427" s="68" t="str">
        <f>VLOOKUP(D427,'03. Insumos'!A:F,3,0)</f>
        <v>uni</v>
      </c>
      <c r="H427" s="69">
        <v>1</v>
      </c>
      <c r="I427" s="141">
        <f>ROUND((H424*8)/20,0)</f>
        <v>0</v>
      </c>
      <c r="J427" s="70">
        <f>IFERROR(IF(K427&lt;&gt;0,K427*$K$5,0),0)</f>
        <v>21.9</v>
      </c>
      <c r="K427" s="54">
        <f>IF(A427=0,VLOOKUP(D427,'03. Insumos'!A:F,4,0),"")</f>
        <v>21.9</v>
      </c>
      <c r="L427" s="70">
        <f>H427*J427*I427</f>
        <v>0</v>
      </c>
      <c r="M427" s="355">
        <f t="shared" ca="1" si="55"/>
        <v>0</v>
      </c>
      <c r="O427" s="148"/>
      <c r="R427" s="356"/>
    </row>
    <row r="428" spans="1:18" s="51" customFormat="1" ht="13.5" hidden="1" customHeight="1" outlineLevel="1" x14ac:dyDescent="0.3">
      <c r="A428" s="13">
        <f t="shared" si="56"/>
        <v>0</v>
      </c>
      <c r="B428" s="49"/>
      <c r="C428" s="49"/>
      <c r="D428" s="140" t="s">
        <v>772</v>
      </c>
      <c r="E428" s="49" t="str">
        <f>VLOOKUP(D428,'03. Insumos'!A:D,2,0)</f>
        <v xml:space="preserve">Rejunte acrílico Portokoll </v>
      </c>
      <c r="F428" s="68" t="s">
        <v>2612</v>
      </c>
      <c r="G428" s="68" t="str">
        <f>VLOOKUP(D428,'03. Insumos'!A:F,3,0)</f>
        <v>Kg</v>
      </c>
      <c r="H428" s="69">
        <v>1</v>
      </c>
      <c r="I428" s="141">
        <f>ROUNDUP((H424*0.35),0)</f>
        <v>0</v>
      </c>
      <c r="J428" s="70">
        <f>IFERROR(IF(K428&lt;&gt;0,K428*$K$5,0),0)</f>
        <v>19.87</v>
      </c>
      <c r="K428" s="54">
        <f>IF(A428=0,VLOOKUP(D428,'03. Insumos'!A:F,4,0),"")</f>
        <v>19.87</v>
      </c>
      <c r="L428" s="70">
        <f>H428*J428*I428</f>
        <v>0</v>
      </c>
      <c r="M428" s="355">
        <f t="shared" ca="1" si="55"/>
        <v>0</v>
      </c>
      <c r="O428" s="148"/>
      <c r="R428" s="356"/>
    </row>
    <row r="429" spans="1:18" s="51" customFormat="1" ht="13.5" hidden="1" customHeight="1" outlineLevel="1" x14ac:dyDescent="0.3">
      <c r="A429" s="13">
        <f t="shared" si="56"/>
        <v>0</v>
      </c>
      <c r="B429" s="49"/>
      <c r="C429" s="49"/>
      <c r="D429" s="140" t="s">
        <v>773</v>
      </c>
      <c r="E429" s="49" t="str">
        <f>VLOOKUP(D429,'03. Insumos'!A:D,2,0)</f>
        <v>Espaçador - Cunha</v>
      </c>
      <c r="F429" s="68" t="s">
        <v>2612</v>
      </c>
      <c r="G429" s="68" t="str">
        <f>VLOOKUP(D429,'03. Insumos'!A:F,3,0)</f>
        <v>50 pcs</v>
      </c>
      <c r="H429" s="69">
        <v>1</v>
      </c>
      <c r="I429" s="141">
        <f>ROUNDUP(((H424*5)/100),0)</f>
        <v>0</v>
      </c>
      <c r="J429" s="70">
        <f>IFERROR(IF(K429&lt;&gt;0,K429*$K$5,0),0)</f>
        <v>22.17</v>
      </c>
      <c r="K429" s="54">
        <f>IF(A429=0,VLOOKUP(D429,'03. Insumos'!A:F,4,0),"")</f>
        <v>22.17</v>
      </c>
      <c r="L429" s="70">
        <f>H429*J429*I429</f>
        <v>0</v>
      </c>
      <c r="M429" s="355">
        <f t="shared" ca="1" si="55"/>
        <v>0</v>
      </c>
      <c r="O429" s="148"/>
      <c r="R429" s="356"/>
    </row>
    <row r="430" spans="1:18" s="51" customFormat="1" ht="13.5" hidden="1" customHeight="1" outlineLevel="1" x14ac:dyDescent="0.3">
      <c r="A430" s="13">
        <f t="shared" si="56"/>
        <v>6</v>
      </c>
      <c r="B430" s="49"/>
      <c r="C430" s="55" t="s">
        <v>1300</v>
      </c>
      <c r="D430" s="55" t="s">
        <v>2406</v>
      </c>
      <c r="E430" s="49"/>
      <c r="F430" s="68"/>
      <c r="G430" s="56" t="s">
        <v>73</v>
      </c>
      <c r="H430" s="57"/>
      <c r="I430" s="141"/>
      <c r="J430" s="70"/>
      <c r="K430" s="54"/>
      <c r="L430" s="58">
        <f>SUM(L431:L435)</f>
        <v>0</v>
      </c>
      <c r="M430" s="355">
        <f t="shared" ca="1" si="55"/>
        <v>0</v>
      </c>
      <c r="O430" s="148"/>
      <c r="R430" s="356"/>
    </row>
    <row r="431" spans="1:18" s="51" customFormat="1" ht="13.5" hidden="1" customHeight="1" outlineLevel="1" x14ac:dyDescent="0.3">
      <c r="A431" s="13">
        <f t="shared" si="56"/>
        <v>0</v>
      </c>
      <c r="B431" s="49"/>
      <c r="C431" s="49"/>
      <c r="D431" s="140" t="s">
        <v>2404</v>
      </c>
      <c r="E431" s="49" t="str">
        <f>VLOOKUP(D431,'03. Insumos'!A:D,2,0)</f>
        <v>Material - Fornecimento de Luminosita Statuario polido - 60 x 120</v>
      </c>
      <c r="F431" s="68" t="s">
        <v>2613</v>
      </c>
      <c r="G431" s="68" t="str">
        <f>VLOOKUP(D431,'03. Insumos'!A:F,3,0)</f>
        <v>m²</v>
      </c>
      <c r="H431" s="69">
        <v>1</v>
      </c>
      <c r="I431" s="141">
        <f>H430*1.4</f>
        <v>0</v>
      </c>
      <c r="J431" s="70">
        <f>IFERROR(IF(K431&lt;&gt;0,K431*$K$5,0),0)</f>
        <v>129</v>
      </c>
      <c r="K431" s="54">
        <f>IF(A431=0,VLOOKUP(D431,'03. Insumos'!A:F,4,0),"")</f>
        <v>129</v>
      </c>
      <c r="L431" s="70">
        <f>H431*J431*I431</f>
        <v>0</v>
      </c>
      <c r="M431" s="355">
        <f t="shared" ca="1" si="55"/>
        <v>0</v>
      </c>
      <c r="O431" s="148"/>
      <c r="R431" s="356"/>
    </row>
    <row r="432" spans="1:18" s="51" customFormat="1" ht="13.5" hidden="1" customHeight="1" outlineLevel="1" x14ac:dyDescent="0.3">
      <c r="A432" s="13">
        <f t="shared" si="56"/>
        <v>0</v>
      </c>
      <c r="B432" s="49"/>
      <c r="C432" s="49"/>
      <c r="D432" s="140" t="s">
        <v>2405</v>
      </c>
      <c r="E432" s="49" t="str">
        <f>VLOOKUP(D432,'03. Insumos'!A:D,2,0)</f>
        <v>Mão de obra - Assentamento até 60x60cm</v>
      </c>
      <c r="F432" s="68" t="s">
        <v>2607</v>
      </c>
      <c r="G432" s="68" t="str">
        <f>VLOOKUP(D432,'03. Insumos'!A:F,3,0)</f>
        <v>m²</v>
      </c>
      <c r="H432" s="69">
        <v>1</v>
      </c>
      <c r="I432" s="141">
        <f>H430</f>
        <v>0</v>
      </c>
      <c r="J432" s="70">
        <f>IFERROR(IF(K432&lt;&gt;0,K432*$K$5,0),0)</f>
        <v>35</v>
      </c>
      <c r="K432" s="54">
        <f>IF(A432=0,VLOOKUP(D432,'03. Insumos'!A:F,4,0),"")</f>
        <v>35</v>
      </c>
      <c r="L432" s="70">
        <f>H432*J432*I432</f>
        <v>0</v>
      </c>
      <c r="M432" s="355">
        <f t="shared" ca="1" si="55"/>
        <v>0</v>
      </c>
      <c r="O432" s="148"/>
      <c r="R432" s="356"/>
    </row>
    <row r="433" spans="1:18" s="51" customFormat="1" ht="13.5" hidden="1" customHeight="1" outlineLevel="1" x14ac:dyDescent="0.3">
      <c r="A433" s="13">
        <f t="shared" si="56"/>
        <v>0</v>
      </c>
      <c r="B433" s="49"/>
      <c r="C433" s="49"/>
      <c r="D433" s="140" t="s">
        <v>199</v>
      </c>
      <c r="E433" s="49" t="str">
        <f>VLOOKUP(D433,'03. Insumos'!A:D,2,0)</f>
        <v>Argamassa colante 20kg</v>
      </c>
      <c r="F433" s="68" t="s">
        <v>2612</v>
      </c>
      <c r="G433" s="68" t="str">
        <f>VLOOKUP(D433,'03. Insumos'!A:F,3,0)</f>
        <v>uni</v>
      </c>
      <c r="H433" s="69">
        <v>1</v>
      </c>
      <c r="I433" s="141">
        <f>ROUND((H430*8)/20,0)</f>
        <v>0</v>
      </c>
      <c r="J433" s="70">
        <f>IFERROR(IF(K433&lt;&gt;0,K433*$K$5,0),0)</f>
        <v>21.9</v>
      </c>
      <c r="K433" s="54">
        <f>IF(A433=0,VLOOKUP(D433,'03. Insumos'!A:F,4,0),"")</f>
        <v>21.9</v>
      </c>
      <c r="L433" s="70">
        <f>H433*J433*I433</f>
        <v>0</v>
      </c>
      <c r="M433" s="355">
        <f t="shared" ca="1" si="55"/>
        <v>0</v>
      </c>
      <c r="O433" s="148"/>
      <c r="R433" s="356"/>
    </row>
    <row r="434" spans="1:18" s="51" customFormat="1" ht="13.5" hidden="1" customHeight="1" outlineLevel="1" x14ac:dyDescent="0.3">
      <c r="A434" s="13">
        <f t="shared" si="56"/>
        <v>0</v>
      </c>
      <c r="B434" s="49"/>
      <c r="C434" s="49"/>
      <c r="D434" s="140" t="s">
        <v>772</v>
      </c>
      <c r="E434" s="49" t="str">
        <f>VLOOKUP(D434,'03. Insumos'!A:D,2,0)</f>
        <v xml:space="preserve">Rejunte acrílico Portokoll </v>
      </c>
      <c r="F434" s="68" t="s">
        <v>2612</v>
      </c>
      <c r="G434" s="68" t="str">
        <f>VLOOKUP(D434,'03. Insumos'!A:F,3,0)</f>
        <v>Kg</v>
      </c>
      <c r="H434" s="69">
        <v>1</v>
      </c>
      <c r="I434" s="141">
        <f>ROUNDUP((H430*0.35),0)</f>
        <v>0</v>
      </c>
      <c r="J434" s="70">
        <f>IFERROR(IF(K434&lt;&gt;0,K434*$K$5,0),0)</f>
        <v>19.87</v>
      </c>
      <c r="K434" s="54">
        <f>IF(A434=0,VLOOKUP(D434,'03. Insumos'!A:F,4,0),"")</f>
        <v>19.87</v>
      </c>
      <c r="L434" s="70">
        <f>H434*J434*I434</f>
        <v>0</v>
      </c>
      <c r="M434" s="355">
        <f t="shared" ca="1" si="55"/>
        <v>0</v>
      </c>
      <c r="O434" s="148"/>
      <c r="R434" s="356"/>
    </row>
    <row r="435" spans="1:18" s="51" customFormat="1" ht="13.5" hidden="1" customHeight="1" outlineLevel="1" x14ac:dyDescent="0.3">
      <c r="A435" s="13">
        <f t="shared" si="56"/>
        <v>0</v>
      </c>
      <c r="B435" s="49"/>
      <c r="C435" s="49"/>
      <c r="D435" s="140" t="s">
        <v>773</v>
      </c>
      <c r="E435" s="49" t="str">
        <f>VLOOKUP(D435,'03. Insumos'!A:D,2,0)</f>
        <v>Espaçador - Cunha</v>
      </c>
      <c r="F435" s="68" t="s">
        <v>2612</v>
      </c>
      <c r="G435" s="68" t="str">
        <f>VLOOKUP(D435,'03. Insumos'!A:F,3,0)</f>
        <v>50 pcs</v>
      </c>
      <c r="H435" s="69">
        <v>1</v>
      </c>
      <c r="I435" s="141">
        <f>ROUNDUP(((H430*5)/100),0)</f>
        <v>0</v>
      </c>
      <c r="J435" s="70">
        <f>IFERROR(IF(K435&lt;&gt;0,K435*$K$5,0),0)</f>
        <v>22.17</v>
      </c>
      <c r="K435" s="54">
        <f>IF(A435=0,VLOOKUP(D435,'03. Insumos'!A:F,4,0),"")</f>
        <v>22.17</v>
      </c>
      <c r="L435" s="70">
        <f>H435*J435*I435</f>
        <v>0</v>
      </c>
      <c r="M435" s="355">
        <f t="shared" ca="1" si="55"/>
        <v>0</v>
      </c>
      <c r="O435" s="148"/>
      <c r="R435" s="356"/>
    </row>
    <row r="436" spans="1:18" s="51" customFormat="1" ht="13.5" hidden="1" customHeight="1" outlineLevel="1" x14ac:dyDescent="0.3">
      <c r="A436" s="13">
        <f t="shared" si="56"/>
        <v>6</v>
      </c>
      <c r="B436" s="49"/>
      <c r="C436" s="55" t="s">
        <v>2407</v>
      </c>
      <c r="D436" s="55" t="s">
        <v>2414</v>
      </c>
      <c r="E436" s="49"/>
      <c r="F436" s="68"/>
      <c r="G436" s="56" t="s">
        <v>73</v>
      </c>
      <c r="H436" s="57"/>
      <c r="I436" s="57"/>
      <c r="J436" s="70"/>
      <c r="K436" s="54"/>
      <c r="L436" s="58">
        <f>SUM(L437:L441)</f>
        <v>0</v>
      </c>
      <c r="M436" s="355">
        <f t="shared" ca="1" si="55"/>
        <v>0</v>
      </c>
      <c r="O436" s="148"/>
      <c r="R436" s="356"/>
    </row>
    <row r="437" spans="1:18" s="51" customFormat="1" ht="13.5" hidden="1" customHeight="1" outlineLevel="1" x14ac:dyDescent="0.3">
      <c r="A437" s="13">
        <f t="shared" si="56"/>
        <v>0</v>
      </c>
      <c r="B437" s="49"/>
      <c r="C437" s="49"/>
      <c r="D437" s="140" t="s">
        <v>2412</v>
      </c>
      <c r="E437" s="49" t="str">
        <f>VLOOKUP(D437,'03. Insumos'!A:D,2,0)</f>
        <v>Material - Fornecimento de pedra moledo c/ Perda de 35%</v>
      </c>
      <c r="F437" s="68" t="s">
        <v>2613</v>
      </c>
      <c r="G437" s="68" t="str">
        <f>VLOOKUP(D437,'03. Insumos'!A:F,3,0)</f>
        <v>m²</v>
      </c>
      <c r="H437" s="69">
        <v>1</v>
      </c>
      <c r="I437" s="141">
        <f>H436*1.2</f>
        <v>0</v>
      </c>
      <c r="J437" s="342">
        <f>IFERROR(IF(K437&lt;&gt;0,K437*$K$5,0),0)</f>
        <v>220</v>
      </c>
      <c r="K437" s="54">
        <f>IF(A437=0,VLOOKUP(D437,'03. Insumos'!A:F,4,0),"")</f>
        <v>220</v>
      </c>
      <c r="L437" s="70">
        <f>H437*J437*I437</f>
        <v>0</v>
      </c>
      <c r="M437" s="355">
        <f t="shared" ca="1" si="55"/>
        <v>0</v>
      </c>
      <c r="O437" s="148"/>
      <c r="R437" s="356"/>
    </row>
    <row r="438" spans="1:18" s="51" customFormat="1" ht="13.5" hidden="1" customHeight="1" outlineLevel="1" x14ac:dyDescent="0.3">
      <c r="A438" s="13">
        <f t="shared" si="56"/>
        <v>0</v>
      </c>
      <c r="B438" s="49"/>
      <c r="C438" s="49"/>
      <c r="D438" s="140" t="s">
        <v>2413</v>
      </c>
      <c r="E438" s="49" t="str">
        <f>VLOOKUP(D438,'03. Insumos'!A:D,2,0)</f>
        <v>Mão de obra - Assentamento de pedra moledo</v>
      </c>
      <c r="F438" s="68" t="s">
        <v>2607</v>
      </c>
      <c r="G438" s="68" t="str">
        <f>VLOOKUP(D438,'03. Insumos'!A:F,3,0)</f>
        <v>m²</v>
      </c>
      <c r="H438" s="69">
        <v>1</v>
      </c>
      <c r="I438" s="141">
        <f>H436</f>
        <v>0</v>
      </c>
      <c r="J438" s="70">
        <f>IFERROR(IF(K438&lt;&gt;0,K438*$K$5,0),0)</f>
        <v>110</v>
      </c>
      <c r="K438" s="54">
        <f>IF(A438=0,VLOOKUP(D438,'03. Insumos'!A:F,4,0),"")</f>
        <v>110</v>
      </c>
      <c r="L438" s="70">
        <f>H438*J438*I438</f>
        <v>0</v>
      </c>
      <c r="M438" s="355">
        <f t="shared" ca="1" si="55"/>
        <v>0</v>
      </c>
      <c r="O438" s="148"/>
      <c r="R438" s="356"/>
    </row>
    <row r="439" spans="1:18" s="51" customFormat="1" ht="13.5" hidden="1" customHeight="1" outlineLevel="1" x14ac:dyDescent="0.3">
      <c r="A439" s="13">
        <f t="shared" si="56"/>
        <v>0</v>
      </c>
      <c r="B439" s="49"/>
      <c r="C439" s="49"/>
      <c r="D439" s="140" t="s">
        <v>2415</v>
      </c>
      <c r="E439" s="49" t="str">
        <f>VLOOKUP(D439,'03. Insumos'!A:D,2,0)</f>
        <v>Clarofilito (saco 18 Kg)</v>
      </c>
      <c r="F439" s="68" t="s">
        <v>2612</v>
      </c>
      <c r="G439" s="68" t="str">
        <f>VLOOKUP(D439,'03. Insumos'!A:F,3,0)</f>
        <v>Unid</v>
      </c>
      <c r="H439" s="69">
        <v>1</v>
      </c>
      <c r="I439" s="141">
        <f>ROUNDUP((H436*0.04*8.6),0)</f>
        <v>0</v>
      </c>
      <c r="J439" s="70">
        <f>IFERROR(IF(K439&lt;&gt;0,K439*$K$5,0),0)</f>
        <v>8.3000000000000007</v>
      </c>
      <c r="K439" s="54">
        <f>IF(A439=0,VLOOKUP(D439,'03. Insumos'!A:F,4,0),"")</f>
        <v>8.3000000000000007</v>
      </c>
      <c r="L439" s="70">
        <f>H439*J439*I439</f>
        <v>0</v>
      </c>
      <c r="M439" s="355">
        <f t="shared" ca="1" si="55"/>
        <v>0</v>
      </c>
      <c r="O439" s="148"/>
      <c r="R439" s="356"/>
    </row>
    <row r="440" spans="1:18" s="51" customFormat="1" ht="13.5" hidden="1" customHeight="1" outlineLevel="1" x14ac:dyDescent="0.3">
      <c r="A440" s="13">
        <f t="shared" si="56"/>
        <v>0</v>
      </c>
      <c r="B440" s="49"/>
      <c r="C440" s="49"/>
      <c r="D440" s="140" t="s">
        <v>1591</v>
      </c>
      <c r="E440" s="49" t="str">
        <f>VLOOKUP(D440,'03. Insumos'!A:D,2,0)</f>
        <v>Areia (granel)</v>
      </c>
      <c r="F440" s="68" t="s">
        <v>2612</v>
      </c>
      <c r="G440" s="68" t="str">
        <f>VLOOKUP(D440,'03. Insumos'!A:F,3,0)</f>
        <v>m³</v>
      </c>
      <c r="H440" s="69">
        <v>1</v>
      </c>
      <c r="I440" s="141">
        <f>ROUNDUP((H436*0.04),0)</f>
        <v>0</v>
      </c>
      <c r="J440" s="70">
        <f>IFERROR(IF(K440&lt;&gt;0,K440*$K$5,0),0)</f>
        <v>65</v>
      </c>
      <c r="K440" s="54">
        <f>IF(A440=0,VLOOKUP(D440,'03. Insumos'!A:F,4,0),"")</f>
        <v>65</v>
      </c>
      <c r="L440" s="70">
        <f>H440*J440*I440</f>
        <v>0</v>
      </c>
      <c r="M440" s="355">
        <f t="shared" ca="1" si="55"/>
        <v>0</v>
      </c>
      <c r="O440" s="148"/>
      <c r="R440" s="356"/>
    </row>
    <row r="441" spans="1:18" s="51" customFormat="1" ht="13.5" hidden="1" customHeight="1" outlineLevel="1" x14ac:dyDescent="0.3">
      <c r="A441" s="13">
        <f t="shared" si="56"/>
        <v>0</v>
      </c>
      <c r="B441" s="49"/>
      <c r="C441" s="49"/>
      <c r="D441" s="140" t="s">
        <v>747</v>
      </c>
      <c r="E441" s="49" t="str">
        <f>VLOOKUP(D441,'03. Insumos'!A:D,2,0)</f>
        <v>Cimento (saco 50 Kg)</v>
      </c>
      <c r="F441" s="68" t="s">
        <v>2612</v>
      </c>
      <c r="G441" s="68" t="str">
        <f>VLOOKUP(D441,'03. Insumos'!A:F,3,0)</f>
        <v>unid</v>
      </c>
      <c r="H441" s="69">
        <v>1</v>
      </c>
      <c r="I441" s="141">
        <f>ROUNDUP((H436*0.04*8.6),0)</f>
        <v>0</v>
      </c>
      <c r="J441" s="70">
        <f>IFERROR(IF(K441&lt;&gt;0,K441*$K$5,0),0)</f>
        <v>37</v>
      </c>
      <c r="K441" s="54">
        <f>IF(A441=0,VLOOKUP(D441,'03. Insumos'!A:F,4,0),"")</f>
        <v>37</v>
      </c>
      <c r="L441" s="70">
        <f>H441*J441*I441</f>
        <v>0</v>
      </c>
      <c r="M441" s="355">
        <f t="shared" ca="1" si="55"/>
        <v>0</v>
      </c>
      <c r="O441" s="148"/>
      <c r="R441" s="356"/>
    </row>
    <row r="442" spans="1:18" s="51" customFormat="1" ht="13.5" hidden="1" customHeight="1" outlineLevel="1" x14ac:dyDescent="0.3">
      <c r="A442" s="13">
        <f>LEN(C442)</f>
        <v>6</v>
      </c>
      <c r="B442" s="49"/>
      <c r="C442" s="55" t="s">
        <v>2408</v>
      </c>
      <c r="D442" s="55" t="s">
        <v>2416</v>
      </c>
      <c r="E442" s="49"/>
      <c r="F442" s="68"/>
      <c r="G442" s="56" t="s">
        <v>73</v>
      </c>
      <c r="H442" s="57">
        <v>15</v>
      </c>
      <c r="I442" s="141"/>
      <c r="J442" s="70"/>
      <c r="K442" s="54"/>
      <c r="L442" s="58">
        <f>SUM(L443:L443)</f>
        <v>0</v>
      </c>
      <c r="M442" s="355">
        <f ca="1">L442/$L$7</f>
        <v>0</v>
      </c>
      <c r="O442" s="148"/>
      <c r="R442" s="356"/>
    </row>
    <row r="443" spans="1:18" s="51" customFormat="1" ht="13.5" hidden="1" customHeight="1" outlineLevel="1" x14ac:dyDescent="0.3">
      <c r="A443" s="13">
        <f>LEN(C443)</f>
        <v>0</v>
      </c>
      <c r="B443" s="49"/>
      <c r="C443" s="49"/>
      <c r="D443" s="140" t="s">
        <v>2418</v>
      </c>
      <c r="E443" s="49" t="str">
        <f>VLOOKUP(D443,'03. Insumos'!A:D,2,0)</f>
        <v>Fornecimento e instalação de jardim vertical</v>
      </c>
      <c r="F443" s="68" t="s">
        <v>2599</v>
      </c>
      <c r="G443" s="68" t="str">
        <f>VLOOKUP(D443,'03. Insumos'!A:F,3,0)</f>
        <v>m²</v>
      </c>
      <c r="H443" s="69"/>
      <c r="I443" s="141">
        <f>H442</f>
        <v>15</v>
      </c>
      <c r="J443" s="342">
        <f>IFERROR(IF(K443&lt;&gt;0,K443*$K$5,0),0)</f>
        <v>1000</v>
      </c>
      <c r="K443" s="54">
        <f>IF(A443=0,VLOOKUP(D443,'03. Insumos'!A:F,4,0),"")</f>
        <v>1000</v>
      </c>
      <c r="L443" s="70">
        <f>H443*J443*I443</f>
        <v>0</v>
      </c>
      <c r="M443" s="355">
        <f ca="1">L443/$L$7</f>
        <v>0</v>
      </c>
      <c r="O443" s="148"/>
      <c r="R443" s="356"/>
    </row>
    <row r="444" spans="1:18" s="51" customFormat="1" ht="13.5" hidden="1" customHeight="1" outlineLevel="1" x14ac:dyDescent="0.3">
      <c r="A444" s="13">
        <f t="shared" si="56"/>
        <v>6</v>
      </c>
      <c r="B444" s="49"/>
      <c r="C444" s="55" t="s">
        <v>2409</v>
      </c>
      <c r="D444" s="55" t="s">
        <v>2419</v>
      </c>
      <c r="E444" s="49"/>
      <c r="F444" s="68"/>
      <c r="G444" s="56" t="s">
        <v>73</v>
      </c>
      <c r="H444" s="57"/>
      <c r="I444" s="141"/>
      <c r="J444" s="70"/>
      <c r="K444" s="54"/>
      <c r="L444" s="58">
        <f>SUM(L445:L450)</f>
        <v>0</v>
      </c>
      <c r="M444" s="355">
        <f t="shared" ca="1" si="55"/>
        <v>0</v>
      </c>
      <c r="O444" s="148"/>
      <c r="R444" s="356"/>
    </row>
    <row r="445" spans="1:18" s="51" customFormat="1" ht="13.5" hidden="1" customHeight="1" outlineLevel="1" x14ac:dyDescent="0.3">
      <c r="A445" s="13">
        <f t="shared" si="56"/>
        <v>0</v>
      </c>
      <c r="B445" s="49"/>
      <c r="C445" s="49"/>
      <c r="D445" s="140" t="s">
        <v>2420</v>
      </c>
      <c r="E445" s="49" t="str">
        <f>VLOOKUP(D445,'03. Insumos'!A:D,2,0)</f>
        <v>Material - Fornecimento de painel madeyra vecchia - 20 x 100</v>
      </c>
      <c r="F445" s="68" t="s">
        <v>2613</v>
      </c>
      <c r="G445" s="68" t="str">
        <f>VLOOKUP(D445,'03. Insumos'!A:F,3,0)</f>
        <v>m²</v>
      </c>
      <c r="H445" s="69">
        <v>1</v>
      </c>
      <c r="I445" s="141">
        <f>H444*1.2</f>
        <v>0</v>
      </c>
      <c r="J445" s="70">
        <f t="shared" ref="J445:J450" si="57">IFERROR(IF(K445&lt;&gt;0,K445*$K$5,0),0)</f>
        <v>279</v>
      </c>
      <c r="K445" s="54">
        <f>IF(A445=0,VLOOKUP(D445,'03. Insumos'!A:F,4,0),"")</f>
        <v>279</v>
      </c>
      <c r="L445" s="70">
        <f t="shared" ref="L445:L450" si="58">H445*J445*I445</f>
        <v>0</v>
      </c>
      <c r="M445" s="355">
        <f t="shared" ca="1" si="55"/>
        <v>0</v>
      </c>
      <c r="O445" s="148"/>
      <c r="R445" s="356"/>
    </row>
    <row r="446" spans="1:18" s="51" customFormat="1" ht="13.5" hidden="1" customHeight="1" outlineLevel="1" x14ac:dyDescent="0.3">
      <c r="A446" s="13">
        <f t="shared" si="56"/>
        <v>0</v>
      </c>
      <c r="B446" s="49"/>
      <c r="C446" s="49"/>
      <c r="D446" s="140" t="s">
        <v>2421</v>
      </c>
      <c r="E446" s="49" t="str">
        <f>VLOOKUP(D446,'03. Insumos'!A:D,2,0)</f>
        <v>Mão de obra - Assentamento de painel madeyra vecchia - 20 x 100</v>
      </c>
      <c r="F446" s="68" t="s">
        <v>2607</v>
      </c>
      <c r="G446" s="68" t="str">
        <f>VLOOKUP(D446,'03. Insumos'!A:F,3,0)</f>
        <v>m²</v>
      </c>
      <c r="H446" s="69">
        <v>1</v>
      </c>
      <c r="I446" s="141">
        <f>H444</f>
        <v>0</v>
      </c>
      <c r="J446" s="70">
        <f t="shared" si="57"/>
        <v>49.75</v>
      </c>
      <c r="K446" s="54">
        <f>IF(A446=0,VLOOKUP(D446,'03. Insumos'!A:F,4,0),"")</f>
        <v>49.75</v>
      </c>
      <c r="L446" s="70">
        <f t="shared" si="58"/>
        <v>0</v>
      </c>
      <c r="M446" s="355">
        <f t="shared" ca="1" si="55"/>
        <v>0</v>
      </c>
      <c r="O446" s="148"/>
      <c r="R446" s="356"/>
    </row>
    <row r="447" spans="1:18" s="51" customFormat="1" ht="13.5" hidden="1" customHeight="1" outlineLevel="1" x14ac:dyDescent="0.3">
      <c r="A447" s="13">
        <f t="shared" si="56"/>
        <v>0</v>
      </c>
      <c r="B447" s="49"/>
      <c r="C447" s="49"/>
      <c r="D447" s="140" t="s">
        <v>2577</v>
      </c>
      <c r="E447" s="49" t="str">
        <f>VLOOKUP(D447,'03. Insumos'!A:D,2,0)</f>
        <v>Cera BS 200 WB - canela (galão)</v>
      </c>
      <c r="F447" s="68" t="s">
        <v>2612</v>
      </c>
      <c r="G447" s="68" t="str">
        <f>VLOOKUP(D447,'03. Insumos'!A:F,3,0)</f>
        <v>Unid</v>
      </c>
      <c r="H447" s="69">
        <v>1</v>
      </c>
      <c r="I447" s="141">
        <f>ROUNDUP((H444*0.1818),0)</f>
        <v>0</v>
      </c>
      <c r="J447" s="70">
        <f t="shared" si="57"/>
        <v>128</v>
      </c>
      <c r="K447" s="54">
        <f>IF(A447=0,VLOOKUP(D447,'03. Insumos'!A:F,4,0),"")</f>
        <v>128</v>
      </c>
      <c r="L447" s="70">
        <f t="shared" si="58"/>
        <v>0</v>
      </c>
      <c r="M447" s="355">
        <f t="shared" ca="1" si="55"/>
        <v>0</v>
      </c>
      <c r="O447" s="148"/>
      <c r="R447" s="356"/>
    </row>
    <row r="448" spans="1:18" s="51" customFormat="1" ht="13.5" hidden="1" customHeight="1" outlineLevel="1" x14ac:dyDescent="0.3">
      <c r="A448" s="13">
        <f t="shared" si="56"/>
        <v>0</v>
      </c>
      <c r="B448" s="49"/>
      <c r="C448" s="49"/>
      <c r="D448" s="140" t="s">
        <v>199</v>
      </c>
      <c r="E448" s="49" t="str">
        <f>VLOOKUP(D448,'03. Insumos'!A:D,2,0)</f>
        <v>Argamassa colante 20kg</v>
      </c>
      <c r="F448" s="68" t="s">
        <v>2612</v>
      </c>
      <c r="G448" s="68" t="str">
        <f>VLOOKUP(D448,'03. Insumos'!A:F,3,0)</f>
        <v>uni</v>
      </c>
      <c r="H448" s="69">
        <v>1</v>
      </c>
      <c r="I448" s="141">
        <f>ROUND((H444*8)/20,0)</f>
        <v>0</v>
      </c>
      <c r="J448" s="70">
        <f t="shared" si="57"/>
        <v>21.9</v>
      </c>
      <c r="K448" s="54">
        <f>IF(A448=0,VLOOKUP(D448,'03. Insumos'!A:F,4,0),"")</f>
        <v>21.9</v>
      </c>
      <c r="L448" s="70">
        <f t="shared" si="58"/>
        <v>0</v>
      </c>
      <c r="M448" s="355">
        <f t="shared" ca="1" si="55"/>
        <v>0</v>
      </c>
      <c r="O448" s="148"/>
      <c r="R448" s="356"/>
    </row>
    <row r="449" spans="1:18" s="51" customFormat="1" ht="13.5" hidden="1" customHeight="1" outlineLevel="1" x14ac:dyDescent="0.3">
      <c r="A449" s="13">
        <f t="shared" si="56"/>
        <v>0</v>
      </c>
      <c r="B449" s="49"/>
      <c r="C449" s="49"/>
      <c r="D449" s="140" t="s">
        <v>772</v>
      </c>
      <c r="E449" s="49" t="str">
        <f>VLOOKUP(D449,'03. Insumos'!A:D,2,0)</f>
        <v xml:space="preserve">Rejunte acrílico Portokoll </v>
      </c>
      <c r="F449" s="68" t="s">
        <v>2612</v>
      </c>
      <c r="G449" s="68" t="str">
        <f>VLOOKUP(D449,'03. Insumos'!A:F,3,0)</f>
        <v>Kg</v>
      </c>
      <c r="H449" s="69">
        <v>1</v>
      </c>
      <c r="I449" s="141">
        <f>ROUNDUP((H444*0.35),0)</f>
        <v>0</v>
      </c>
      <c r="J449" s="70">
        <f t="shared" si="57"/>
        <v>19.87</v>
      </c>
      <c r="K449" s="54">
        <f>IF(A449=0,VLOOKUP(D449,'03. Insumos'!A:F,4,0),"")</f>
        <v>19.87</v>
      </c>
      <c r="L449" s="70">
        <f t="shared" si="58"/>
        <v>0</v>
      </c>
      <c r="M449" s="355">
        <f t="shared" ca="1" si="55"/>
        <v>0</v>
      </c>
      <c r="O449" s="148"/>
      <c r="R449" s="356"/>
    </row>
    <row r="450" spans="1:18" s="51" customFormat="1" ht="13.5" hidden="1" customHeight="1" outlineLevel="1" x14ac:dyDescent="0.3">
      <c r="A450" s="13">
        <f t="shared" si="56"/>
        <v>0</v>
      </c>
      <c r="B450" s="49"/>
      <c r="C450" s="49"/>
      <c r="D450" s="140" t="s">
        <v>773</v>
      </c>
      <c r="E450" s="49" t="str">
        <f>VLOOKUP(D450,'03. Insumos'!A:D,2,0)</f>
        <v>Espaçador - Cunha</v>
      </c>
      <c r="F450" s="68" t="s">
        <v>2612</v>
      </c>
      <c r="G450" s="68" t="str">
        <f>VLOOKUP(D450,'03. Insumos'!A:F,3,0)</f>
        <v>50 pcs</v>
      </c>
      <c r="H450" s="69">
        <v>1</v>
      </c>
      <c r="I450" s="141">
        <f>ROUNDUP(((H444*5)/100),0)</f>
        <v>0</v>
      </c>
      <c r="J450" s="70">
        <f t="shared" si="57"/>
        <v>22.17</v>
      </c>
      <c r="K450" s="54">
        <f>IF(A450=0,VLOOKUP(D450,'03. Insumos'!A:F,4,0),"")</f>
        <v>22.17</v>
      </c>
      <c r="L450" s="70">
        <f t="shared" si="58"/>
        <v>0</v>
      </c>
      <c r="M450" s="355">
        <f t="shared" ca="1" si="55"/>
        <v>0</v>
      </c>
      <c r="O450" s="148"/>
      <c r="R450" s="356"/>
    </row>
    <row r="451" spans="1:18" s="51" customFormat="1" ht="13.5" hidden="1" customHeight="1" outlineLevel="1" x14ac:dyDescent="0.3">
      <c r="A451" s="13">
        <f t="shared" si="56"/>
        <v>6</v>
      </c>
      <c r="B451" s="49"/>
      <c r="C451" s="55" t="s">
        <v>2409</v>
      </c>
      <c r="D451" s="55" t="s">
        <v>2423</v>
      </c>
      <c r="E451" s="49"/>
      <c r="F451" s="68"/>
      <c r="G451" s="56" t="s">
        <v>73</v>
      </c>
      <c r="H451" s="57"/>
      <c r="I451" s="141"/>
      <c r="J451" s="70"/>
      <c r="K451" s="54"/>
      <c r="L451" s="58">
        <f>SUM(L452:L454)</f>
        <v>0</v>
      </c>
      <c r="M451" s="355">
        <f t="shared" ca="1" si="55"/>
        <v>0</v>
      </c>
      <c r="O451" s="148"/>
      <c r="R451" s="356"/>
    </row>
    <row r="452" spans="1:18" s="51" customFormat="1" ht="13.5" hidden="1" customHeight="1" outlineLevel="1" x14ac:dyDescent="0.3">
      <c r="A452" s="13">
        <f t="shared" si="56"/>
        <v>0</v>
      </c>
      <c r="B452" s="49"/>
      <c r="C452" s="49"/>
      <c r="D452" s="140" t="s">
        <v>2425</v>
      </c>
      <c r="E452" s="49" t="str">
        <f>VLOOKUP(D452,'03. Insumos'!A:D,2,0)</f>
        <v>Material - Cerâmica Jatobá 5x5 Verde Etna</v>
      </c>
      <c r="F452" s="68" t="s">
        <v>2613</v>
      </c>
      <c r="G452" s="68" t="str">
        <f>VLOOKUP(D452,'03. Insumos'!A:F,3,0)</f>
        <v>m²</v>
      </c>
      <c r="H452" s="69">
        <v>1</v>
      </c>
      <c r="I452" s="141">
        <f>H451*1.15</f>
        <v>0</v>
      </c>
      <c r="J452" s="70">
        <f>IFERROR(IF(K452&lt;&gt;0,K452*$K$5,0),0)</f>
        <v>202.6</v>
      </c>
      <c r="K452" s="54">
        <f>IF(A452=0,VLOOKUP(D452,'03. Insumos'!A:F,4,0),"")</f>
        <v>202.6</v>
      </c>
      <c r="L452" s="70">
        <f>H452*J452*I452</f>
        <v>0</v>
      </c>
      <c r="M452" s="355">
        <f t="shared" ca="1" si="55"/>
        <v>0</v>
      </c>
      <c r="O452" s="148"/>
      <c r="R452" s="356"/>
    </row>
    <row r="453" spans="1:18" s="51" customFormat="1" ht="13.5" hidden="1" customHeight="1" outlineLevel="1" x14ac:dyDescent="0.3">
      <c r="A453" s="13">
        <f t="shared" si="56"/>
        <v>0</v>
      </c>
      <c r="B453" s="49"/>
      <c r="C453" s="49"/>
      <c r="D453" s="140" t="s">
        <v>2426</v>
      </c>
      <c r="E453" s="49" t="str">
        <f>VLOOKUP(D453,'03. Insumos'!A:D,2,0)</f>
        <v>Mão de obra - Assentamento Cerâmica Jatobá 5x5 Verde Etna</v>
      </c>
      <c r="F453" s="68" t="s">
        <v>2607</v>
      </c>
      <c r="G453" s="68" t="str">
        <f>VLOOKUP(D453,'03. Insumos'!A:F,3,0)</f>
        <v>m²</v>
      </c>
      <c r="H453" s="69">
        <v>1</v>
      </c>
      <c r="I453" s="141">
        <f>H451</f>
        <v>0</v>
      </c>
      <c r="J453" s="70">
        <f>IFERROR(IF(K453&lt;&gt;0,K453*$K$5,0),0)</f>
        <v>40</v>
      </c>
      <c r="K453" s="54">
        <f>IF(A453=0,VLOOKUP(D453,'03. Insumos'!A:F,4,0),"")</f>
        <v>40</v>
      </c>
      <c r="L453" s="70">
        <f>H453*J453*I453</f>
        <v>0</v>
      </c>
      <c r="M453" s="355">
        <f t="shared" ca="1" si="55"/>
        <v>0</v>
      </c>
      <c r="O453" s="148"/>
      <c r="R453" s="356"/>
    </row>
    <row r="454" spans="1:18" s="51" customFormat="1" ht="13.5" hidden="1" customHeight="1" outlineLevel="1" x14ac:dyDescent="0.3">
      <c r="A454" s="13">
        <f t="shared" si="56"/>
        <v>0</v>
      </c>
      <c r="B454" s="49"/>
      <c r="C454" s="49"/>
      <c r="D454" s="140" t="s">
        <v>2557</v>
      </c>
      <c r="E454" s="49" t="str">
        <f>VLOOKUP(D454,'03. Insumos'!A:D,2,0)</f>
        <v xml:space="preserve">Argamassa Pastilhas e Mosaicos Interno e Externo Branco 20kg Axton
</v>
      </c>
      <c r="F454" s="68" t="s">
        <v>2612</v>
      </c>
      <c r="G454" s="68" t="str">
        <f>VLOOKUP(D454,'03. Insumos'!A:F,3,0)</f>
        <v>Unid</v>
      </c>
      <c r="H454" s="69">
        <v>1</v>
      </c>
      <c r="I454" s="141">
        <f>ROUND((H451*8)/20,0)</f>
        <v>0</v>
      </c>
      <c r="J454" s="70">
        <f>IFERROR(IF(K454&lt;&gt;0,K454*$K$5,0),0)</f>
        <v>62</v>
      </c>
      <c r="K454" s="54">
        <f>IF(A454=0,VLOOKUP(D454,'03. Insumos'!A:F,4,0),"")</f>
        <v>62</v>
      </c>
      <c r="L454" s="70">
        <f>H454*J454*I454</f>
        <v>0</v>
      </c>
      <c r="M454" s="355">
        <f t="shared" ca="1" si="55"/>
        <v>0</v>
      </c>
      <c r="O454" s="148"/>
      <c r="R454" s="356"/>
    </row>
    <row r="455" spans="1:18" s="51" customFormat="1" ht="13.5" hidden="1" customHeight="1" outlineLevel="1" x14ac:dyDescent="0.3">
      <c r="A455" s="13">
        <f t="shared" si="56"/>
        <v>7</v>
      </c>
      <c r="B455" s="49"/>
      <c r="C455" s="55" t="s">
        <v>2410</v>
      </c>
      <c r="D455" s="55" t="s">
        <v>1461</v>
      </c>
      <c r="E455" s="49"/>
      <c r="F455" s="68"/>
      <c r="G455" s="56" t="s">
        <v>73</v>
      </c>
      <c r="H455" s="57"/>
      <c r="I455" s="141"/>
      <c r="J455" s="70"/>
      <c r="K455" s="54"/>
      <c r="L455" s="58">
        <f>SUM(L456:L457)</f>
        <v>0</v>
      </c>
      <c r="M455" s="355">
        <f t="shared" ca="1" si="55"/>
        <v>0</v>
      </c>
      <c r="O455" s="148"/>
      <c r="R455" s="356"/>
    </row>
    <row r="456" spans="1:18" s="51" customFormat="1" ht="13.5" hidden="1" customHeight="1" outlineLevel="1" x14ac:dyDescent="0.3">
      <c r="A456" s="13">
        <f t="shared" si="56"/>
        <v>0</v>
      </c>
      <c r="B456" s="49"/>
      <c r="C456" s="49"/>
      <c r="D456" s="140" t="s">
        <v>765</v>
      </c>
      <c r="E456" s="49" t="str">
        <f>VLOOKUP(D456,'03. Insumos'!A:D,2,0)</f>
        <v>Material - Execução pedra madeira</v>
      </c>
      <c r="F456" s="68"/>
      <c r="G456" s="68" t="str">
        <f>VLOOKUP(D456,'03. Insumos'!A:F,3,0)</f>
        <v>m²</v>
      </c>
      <c r="H456" s="69">
        <v>1</v>
      </c>
      <c r="I456" s="141">
        <f>H455*1.15</f>
        <v>0</v>
      </c>
      <c r="J456" s="70">
        <f>IFERROR(IF(K456&lt;&gt;0,K456*$K$5,0),0)</f>
        <v>600</v>
      </c>
      <c r="K456" s="54">
        <f>IF(A456=0,VLOOKUP(D456,'03. Insumos'!A:F,4,0),"")</f>
        <v>600</v>
      </c>
      <c r="L456" s="70">
        <f>H456*J456*I456</f>
        <v>0</v>
      </c>
      <c r="M456" s="355">
        <f t="shared" ca="1" si="55"/>
        <v>0</v>
      </c>
      <c r="O456" s="148"/>
      <c r="R456" s="356"/>
    </row>
    <row r="457" spans="1:18" s="51" customFormat="1" ht="13.5" hidden="1" customHeight="1" outlineLevel="1" x14ac:dyDescent="0.3">
      <c r="A457" s="13">
        <f t="shared" si="56"/>
        <v>0</v>
      </c>
      <c r="B457" s="49"/>
      <c r="C457" s="49"/>
      <c r="D457" s="140" t="s">
        <v>766</v>
      </c>
      <c r="E457" s="49" t="str">
        <f>VLOOKUP(D457,'03. Insumos'!A:D,2,0)</f>
        <v>Mão de obra - Execução pedra madeira</v>
      </c>
      <c r="F457" s="68"/>
      <c r="G457" s="68" t="str">
        <f>VLOOKUP(D457,'03. Insumos'!A:F,3,0)</f>
        <v>m²</v>
      </c>
      <c r="H457" s="69">
        <v>1</v>
      </c>
      <c r="I457" s="141">
        <f>H455</f>
        <v>0</v>
      </c>
      <c r="J457" s="70">
        <f>IFERROR(IF(K457&lt;&gt;0,K457*$K$5,0),0)</f>
        <v>180</v>
      </c>
      <c r="K457" s="54">
        <f>IF(A457=0,VLOOKUP(D457,'03. Insumos'!A:F,4,0),"")</f>
        <v>180</v>
      </c>
      <c r="L457" s="70">
        <f>H457*J457*I457</f>
        <v>0</v>
      </c>
      <c r="M457" s="355">
        <f t="shared" ca="1" si="55"/>
        <v>0</v>
      </c>
      <c r="O457" s="148"/>
      <c r="R457" s="356"/>
    </row>
    <row r="458" spans="1:18" s="51" customFormat="1" ht="13.5" customHeight="1" outlineLevel="1" x14ac:dyDescent="0.3">
      <c r="A458" s="290">
        <f t="shared" si="56"/>
        <v>4</v>
      </c>
      <c r="B458" s="45"/>
      <c r="C458" s="45" t="s">
        <v>1508</v>
      </c>
      <c r="D458" s="45" t="s">
        <v>1509</v>
      </c>
      <c r="E458" s="45"/>
      <c r="F458" s="327"/>
      <c r="G458" s="327"/>
      <c r="H458" s="328"/>
      <c r="I458" s="61"/>
      <c r="J458" s="335"/>
      <c r="K458" s="62"/>
      <c r="L458" s="335">
        <f>SUMIF(A459:A512,6,L459:L512)</f>
        <v>187999.58522999997</v>
      </c>
      <c r="M458" s="153">
        <f t="shared" ca="1" si="55"/>
        <v>3.2465122906156878E-3</v>
      </c>
      <c r="O458" s="148"/>
      <c r="R458" s="12"/>
    </row>
    <row r="459" spans="1:18" s="59" customFormat="1" ht="13.5" customHeight="1" outlineLevel="1" x14ac:dyDescent="0.3">
      <c r="A459" s="290">
        <f t="shared" si="56"/>
        <v>6</v>
      </c>
      <c r="B459" s="55"/>
      <c r="C459" s="55" t="s">
        <v>1310</v>
      </c>
      <c r="D459" s="55" t="s">
        <v>2738</v>
      </c>
      <c r="E459" s="55"/>
      <c r="F459" s="56"/>
      <c r="G459" s="56" t="s">
        <v>73</v>
      </c>
      <c r="H459" s="57">
        <f>75.56+14.9+2.89+33.02+10.4</f>
        <v>136.77000000000001</v>
      </c>
      <c r="I459" s="57"/>
      <c r="J459" s="58"/>
      <c r="K459" s="58" t="str">
        <f>IF(A459=0,VLOOKUP(D459,'03. Insumos'!A:F,4,0),"")</f>
        <v/>
      </c>
      <c r="L459" s="58">
        <f>SUM(L460:L464)</f>
        <v>34260.992455000007</v>
      </c>
      <c r="M459" s="153">
        <f t="shared" ca="1" si="55"/>
        <v>5.9164350260544922E-4</v>
      </c>
      <c r="O459" s="148">
        <f>IF(I459&lt;&gt;0,I459*H459*K459,)</f>
        <v>0</v>
      </c>
      <c r="R459" s="12">
        <f>IF(J459&lt;&gt;0,J459/1.03-K459,0)</f>
        <v>0</v>
      </c>
    </row>
    <row r="460" spans="1:18" s="51" customFormat="1" ht="13.5" customHeight="1" outlineLevel="1" x14ac:dyDescent="0.3">
      <c r="A460" s="13">
        <f t="shared" si="56"/>
        <v>0</v>
      </c>
      <c r="B460" s="49"/>
      <c r="C460" s="49"/>
      <c r="D460" s="140" t="s">
        <v>2767</v>
      </c>
      <c r="E460" s="67" t="str">
        <f>VLOOKUP(D460,'03. Insumos'!A:D,2,0)</f>
        <v>LEVEL ACABAMENTOS PORCELANATO TRAVERTINO ROYAL BIANCO NATURAL 100X100 - mat</v>
      </c>
      <c r="F460" s="68" t="s">
        <v>2613</v>
      </c>
      <c r="G460" s="68" t="str">
        <f>VLOOKUP(D460,'03. Insumos'!A:F,3,0)</f>
        <v>m²</v>
      </c>
      <c r="H460" s="69">
        <v>1</v>
      </c>
      <c r="I460" s="141">
        <f>H459*1.15</f>
        <v>157.28550000000001</v>
      </c>
      <c r="J460" s="70">
        <f>IFERROR(IF(K460&lt;&gt;0,K460*$K$5,0),0)</f>
        <v>175.21</v>
      </c>
      <c r="K460" s="54">
        <f>IF(A460=0,VLOOKUP(D460,'03. Insumos'!A:F,4,0),"")</f>
        <v>175.21</v>
      </c>
      <c r="L460" s="70">
        <f>H460*J460*I460</f>
        <v>27557.992455000003</v>
      </c>
      <c r="M460" s="355">
        <f t="shared" ca="1" si="55"/>
        <v>4.7589126912379577E-4</v>
      </c>
      <c r="O460" s="148">
        <f>IF(I460&lt;&gt;0,I460*H460*K460,)</f>
        <v>27557.992455000003</v>
      </c>
      <c r="R460" s="356">
        <f>IF(J460&lt;&gt;0,J460/1.03-K460,0)</f>
        <v>-5.103203883495155</v>
      </c>
    </row>
    <row r="461" spans="1:18" s="51" customFormat="1" ht="13.5" customHeight="1" outlineLevel="1" x14ac:dyDescent="0.3">
      <c r="A461" s="13">
        <f t="shared" si="56"/>
        <v>0</v>
      </c>
      <c r="B461" s="49"/>
      <c r="C461" s="49"/>
      <c r="D461" s="140" t="s">
        <v>2405</v>
      </c>
      <c r="E461" s="67" t="str">
        <f>VLOOKUP(D461,'03. Insumos'!A:D,2,0)</f>
        <v>Mão de obra - Assentamento até 60x60cm</v>
      </c>
      <c r="F461" s="68" t="s">
        <v>2607</v>
      </c>
      <c r="G461" s="68" t="str">
        <f>VLOOKUP(D461,'03. Insumos'!A:F,3,0)</f>
        <v>m²</v>
      </c>
      <c r="H461" s="69">
        <v>1</v>
      </c>
      <c r="I461" s="141">
        <f>H459</f>
        <v>136.77000000000001</v>
      </c>
      <c r="J461" s="70">
        <f>IFERROR(IF(K461&lt;&gt;0,K461*$K$5,0),0)</f>
        <v>35</v>
      </c>
      <c r="K461" s="54">
        <f>IF(A461=0,VLOOKUP(D461,'03. Insumos'!A:F,4,0),"")</f>
        <v>35</v>
      </c>
      <c r="L461" s="70">
        <f>H461*J461*I461</f>
        <v>4786.9500000000007</v>
      </c>
      <c r="M461" s="355">
        <f t="shared" ca="1" si="55"/>
        <v>8.2664501576160048E-5</v>
      </c>
      <c r="O461" s="148"/>
      <c r="R461" s="356"/>
    </row>
    <row r="462" spans="1:18" s="59" customFormat="1" ht="13.5" customHeight="1" outlineLevel="1" x14ac:dyDescent="0.3">
      <c r="A462" s="13">
        <f t="shared" si="56"/>
        <v>0</v>
      </c>
      <c r="B462" s="55"/>
      <c r="C462" s="55"/>
      <c r="D462" s="140" t="s">
        <v>199</v>
      </c>
      <c r="E462" s="67" t="str">
        <f>VLOOKUP(D462,'03. Insumos'!A:D,2,0)</f>
        <v>Argamassa colante 20kg</v>
      </c>
      <c r="F462" s="68" t="s">
        <v>2612</v>
      </c>
      <c r="G462" s="68" t="str">
        <f>VLOOKUP(D462,'03. Insumos'!A:F,3,0)</f>
        <v>uni</v>
      </c>
      <c r="H462" s="69">
        <v>1</v>
      </c>
      <c r="I462" s="141">
        <f>ROUND((H459*8)/20,0)</f>
        <v>55</v>
      </c>
      <c r="J462" s="70">
        <f>IFERROR(IF(K462&lt;&gt;0,K462*$K$5,0),0)</f>
        <v>21.9</v>
      </c>
      <c r="K462" s="54">
        <f>IF(A462=0,VLOOKUP(D462,'03. Insumos'!A:F,4,0),"")</f>
        <v>21.9</v>
      </c>
      <c r="L462" s="70">
        <f>H462*J462*I462</f>
        <v>1204.5</v>
      </c>
      <c r="M462" s="355">
        <f t="shared" ca="1" si="55"/>
        <v>2.0800173836886696E-5</v>
      </c>
      <c r="O462" s="148">
        <f>IF(I462&lt;&gt;0,I462*H462*K462,)</f>
        <v>1204.5</v>
      </c>
      <c r="R462" s="356">
        <f>IF(J462&lt;&gt;0,J462/1.03-K462,0)</f>
        <v>-0.63786407766990294</v>
      </c>
    </row>
    <row r="463" spans="1:18" s="51" customFormat="1" ht="13.5" customHeight="1" outlineLevel="1" x14ac:dyDescent="0.3">
      <c r="A463" s="13">
        <f t="shared" si="56"/>
        <v>0</v>
      </c>
      <c r="B463" s="49"/>
      <c r="C463" s="49"/>
      <c r="D463" s="140" t="s">
        <v>772</v>
      </c>
      <c r="E463" s="67" t="str">
        <f>VLOOKUP(D463,'03. Insumos'!A:D,2,0)</f>
        <v xml:space="preserve">Rejunte acrílico Portokoll </v>
      </c>
      <c r="F463" s="68" t="s">
        <v>2612</v>
      </c>
      <c r="G463" s="68" t="str">
        <f>VLOOKUP(D463,'03. Insumos'!A:F,3,0)</f>
        <v>Kg</v>
      </c>
      <c r="H463" s="69">
        <v>1</v>
      </c>
      <c r="I463" s="141">
        <f>ROUNDUP((H459*0.2),0)</f>
        <v>28</v>
      </c>
      <c r="J463" s="70">
        <f>IFERROR(IF(K463&lt;&gt;0,K463*$K$5,0),0)</f>
        <v>19.87</v>
      </c>
      <c r="K463" s="54">
        <f>IF(A463=0,VLOOKUP(D463,'03. Insumos'!A:F,4,0),"")</f>
        <v>19.87</v>
      </c>
      <c r="L463" s="70">
        <f>H463*J463*I463</f>
        <v>556.36</v>
      </c>
      <c r="M463" s="355">
        <f t="shared" ca="1" si="55"/>
        <v>9.6076253349026829E-6</v>
      </c>
      <c r="O463" s="148">
        <f>IF(I463&lt;&gt;0,I463*H463*K463,)</f>
        <v>556.36</v>
      </c>
      <c r="R463" s="356">
        <f>IF(J463&lt;&gt;0,J463/1.03-K463,0)</f>
        <v>-0.57873786407767014</v>
      </c>
    </row>
    <row r="464" spans="1:18" s="51" customFormat="1" ht="13.5" customHeight="1" outlineLevel="1" x14ac:dyDescent="0.3">
      <c r="A464" s="13">
        <f t="shared" si="56"/>
        <v>0</v>
      </c>
      <c r="B464" s="49"/>
      <c r="C464" s="49"/>
      <c r="D464" s="140" t="s">
        <v>773</v>
      </c>
      <c r="E464" s="67" t="str">
        <f>VLOOKUP(D464,'03. Insumos'!A:D,2,0)</f>
        <v>Espaçador - Cunha</v>
      </c>
      <c r="F464" s="68" t="s">
        <v>2612</v>
      </c>
      <c r="G464" s="68" t="str">
        <f>VLOOKUP(D464,'03. Insumos'!A:F,3,0)</f>
        <v>50 pcs</v>
      </c>
      <c r="H464" s="69">
        <v>1</v>
      </c>
      <c r="I464" s="141">
        <f>ROUNDUP(((H459*5)/100),0)</f>
        <v>7</v>
      </c>
      <c r="J464" s="70">
        <f>IFERROR(IF(K464&lt;&gt;0,K464*$K$5,0),0)</f>
        <v>22.17</v>
      </c>
      <c r="K464" s="54">
        <f>IF(A464=0,VLOOKUP(D464,'03. Insumos'!A:F,4,0),"")</f>
        <v>22.17</v>
      </c>
      <c r="L464" s="70">
        <f>H464*J464*I464</f>
        <v>155.19</v>
      </c>
      <c r="M464" s="355">
        <f t="shared" ca="1" si="55"/>
        <v>2.6799327337039818E-6</v>
      </c>
      <c r="O464" s="148">
        <f>IF(I464&lt;&gt;0,I464*H464*K464,)</f>
        <v>155.19</v>
      </c>
      <c r="R464" s="356">
        <f>IF(J464&lt;&gt;0,J464/1.03-K464,0)</f>
        <v>-0.64572815533980688</v>
      </c>
    </row>
    <row r="465" spans="1:18" s="51" customFormat="1" ht="13.5" hidden="1" customHeight="1" outlineLevel="1" x14ac:dyDescent="0.3">
      <c r="A465" s="290">
        <f t="shared" si="56"/>
        <v>6</v>
      </c>
      <c r="B465" s="55"/>
      <c r="C465" s="55" t="s">
        <v>1310</v>
      </c>
      <c r="D465" s="55" t="s">
        <v>2737</v>
      </c>
      <c r="E465" s="55"/>
      <c r="F465" s="56"/>
      <c r="G465" s="56" t="s">
        <v>73</v>
      </c>
      <c r="H465" s="57"/>
      <c r="I465" s="57"/>
      <c r="J465" s="58"/>
      <c r="K465" s="58" t="str">
        <f>IF(A465=0,VLOOKUP(D465,'03. Insumos'!A:F,4,0),"")</f>
        <v/>
      </c>
      <c r="L465" s="58">
        <f>SUM(L466:L470)</f>
        <v>0</v>
      </c>
      <c r="M465" s="153">
        <f t="shared" ca="1" si="55"/>
        <v>0</v>
      </c>
      <c r="O465" s="148"/>
      <c r="R465" s="12"/>
    </row>
    <row r="466" spans="1:18" s="51" customFormat="1" ht="13.5" hidden="1" customHeight="1" outlineLevel="1" x14ac:dyDescent="0.3">
      <c r="A466" s="13">
        <f t="shared" si="56"/>
        <v>0</v>
      </c>
      <c r="B466" s="49"/>
      <c r="C466" s="49"/>
      <c r="D466" s="140" t="s">
        <v>2768</v>
      </c>
      <c r="E466" s="67" t="str">
        <f>VLOOKUP(D466,'03. Insumos'!A:D,2,0)</f>
        <v>PORCELANATO ANTAL CREMA NATURAL 100X100 (MAIS REVESTIMENTOS) - mat</v>
      </c>
      <c r="F466" s="68" t="s">
        <v>2613</v>
      </c>
      <c r="G466" s="68" t="str">
        <f>VLOOKUP(D466,'03. Insumos'!A:F,3,0)</f>
        <v>m²</v>
      </c>
      <c r="H466" s="69">
        <v>1</v>
      </c>
      <c r="I466" s="141">
        <f>H465*1.15</f>
        <v>0</v>
      </c>
      <c r="J466" s="70">
        <f>IFERROR(IF(K466&lt;&gt;0,K466*$K$5,0),0)</f>
        <v>431.55</v>
      </c>
      <c r="K466" s="54">
        <f>IF(A466=0,VLOOKUP(D466,'03. Insumos'!A:F,4,0),"")</f>
        <v>431.55</v>
      </c>
      <c r="L466" s="70">
        <f>H466*J466*I466</f>
        <v>0</v>
      </c>
      <c r="M466" s="355">
        <f t="shared" ca="1" si="55"/>
        <v>0</v>
      </c>
      <c r="O466" s="148">
        <f>IF(I466&lt;&gt;0,I466*H466*K466,)</f>
        <v>0</v>
      </c>
      <c r="R466" s="356">
        <f>IF(J466&lt;&gt;0,J466/1.03-K466,0)</f>
        <v>-12.569417475728187</v>
      </c>
    </row>
    <row r="467" spans="1:18" s="51" customFormat="1" ht="13.5" hidden="1" customHeight="1" outlineLevel="1" x14ac:dyDescent="0.3">
      <c r="A467" s="13">
        <f t="shared" si="56"/>
        <v>0</v>
      </c>
      <c r="B467" s="49"/>
      <c r="C467" s="49"/>
      <c r="D467" s="140" t="s">
        <v>2405</v>
      </c>
      <c r="E467" s="67" t="str">
        <f>VLOOKUP(D467,'03. Insumos'!A:D,2,0)</f>
        <v>Mão de obra - Assentamento até 60x60cm</v>
      </c>
      <c r="F467" s="68" t="s">
        <v>2607</v>
      </c>
      <c r="G467" s="68" t="str">
        <f>VLOOKUP(D467,'03. Insumos'!A:F,3,0)</f>
        <v>m²</v>
      </c>
      <c r="H467" s="69">
        <v>1</v>
      </c>
      <c r="I467" s="141">
        <f>H465</f>
        <v>0</v>
      </c>
      <c r="J467" s="70">
        <f>IFERROR(IF(K467&lt;&gt;0,K467*$K$5,0),0)</f>
        <v>35</v>
      </c>
      <c r="K467" s="54">
        <f>IF(A467=0,VLOOKUP(D467,'03. Insumos'!A:F,4,0),"")</f>
        <v>35</v>
      </c>
      <c r="L467" s="70">
        <f>H467*J467*I467</f>
        <v>0</v>
      </c>
      <c r="M467" s="355">
        <f t="shared" ca="1" si="55"/>
        <v>0</v>
      </c>
      <c r="O467" s="148"/>
      <c r="R467" s="356"/>
    </row>
    <row r="468" spans="1:18" s="59" customFormat="1" ht="13.5" hidden="1" customHeight="1" outlineLevel="1" x14ac:dyDescent="0.3">
      <c r="A468" s="13">
        <f t="shared" si="56"/>
        <v>0</v>
      </c>
      <c r="B468" s="55"/>
      <c r="C468" s="55"/>
      <c r="D468" s="140" t="s">
        <v>2775</v>
      </c>
      <c r="E468" s="67" t="str">
        <f>VLOOKUP(D468,'03. Insumos'!A:D,2,0)</f>
        <v>Celumassa Colante AC3 flexível 20Kg</v>
      </c>
      <c r="F468" s="68" t="s">
        <v>2612</v>
      </c>
      <c r="G468" s="68" t="str">
        <f>VLOOKUP(D468,'03. Insumos'!A:F,3,0)</f>
        <v>sc</v>
      </c>
      <c r="H468" s="69">
        <v>1</v>
      </c>
      <c r="I468" s="141">
        <f>ROUND((H465*8)/20,0)</f>
        <v>0</v>
      </c>
      <c r="J468" s="70">
        <f>IFERROR(IF(K468&lt;&gt;0,K468*$K$5,0),0)</f>
        <v>17.5</v>
      </c>
      <c r="K468" s="54">
        <f>IF(A468=0,VLOOKUP(D468,'03. Insumos'!A:F,4,0),"")</f>
        <v>17.5</v>
      </c>
      <c r="L468" s="70">
        <f>H468*J468*I468</f>
        <v>0</v>
      </c>
      <c r="M468" s="355">
        <f t="shared" ca="1" si="55"/>
        <v>0</v>
      </c>
      <c r="O468" s="148">
        <f>IF(I468&lt;&gt;0,I468*H468*K468,)</f>
        <v>0</v>
      </c>
      <c r="R468" s="356">
        <f>IF(J468&lt;&gt;0,J468/1.03-K468,0)</f>
        <v>-0.50970873786407722</v>
      </c>
    </row>
    <row r="469" spans="1:18" s="51" customFormat="1" ht="13.5" hidden="1" customHeight="1" outlineLevel="1" x14ac:dyDescent="0.3">
      <c r="A469" s="13">
        <f t="shared" si="56"/>
        <v>0</v>
      </c>
      <c r="B469" s="49"/>
      <c r="C469" s="49"/>
      <c r="D469" s="140" t="s">
        <v>772</v>
      </c>
      <c r="E469" s="67" t="str">
        <f>VLOOKUP(D469,'03. Insumos'!A:D,2,0)</f>
        <v xml:space="preserve">Rejunte acrílico Portokoll </v>
      </c>
      <c r="F469" s="68" t="s">
        <v>2612</v>
      </c>
      <c r="G469" s="68" t="str">
        <f>VLOOKUP(D469,'03. Insumos'!A:F,3,0)</f>
        <v>Kg</v>
      </c>
      <c r="H469" s="69">
        <v>1</v>
      </c>
      <c r="I469" s="141">
        <f>ROUNDUP((H465*0.2),0)</f>
        <v>0</v>
      </c>
      <c r="J469" s="70">
        <f>IFERROR(IF(K469&lt;&gt;0,K469*$K$5,0),0)</f>
        <v>19.87</v>
      </c>
      <c r="K469" s="54">
        <f>IF(A469=0,VLOOKUP(D469,'03. Insumos'!A:F,4,0),"")</f>
        <v>19.87</v>
      </c>
      <c r="L469" s="70">
        <f>H469*J469*I469</f>
        <v>0</v>
      </c>
      <c r="M469" s="355">
        <f t="shared" ca="1" si="55"/>
        <v>0</v>
      </c>
      <c r="O469" s="148">
        <f>IF(I469&lt;&gt;0,I469*H469*K469,)</f>
        <v>0</v>
      </c>
      <c r="R469" s="356">
        <f>IF(J469&lt;&gt;0,J469/1.03-K469,0)</f>
        <v>-0.57873786407767014</v>
      </c>
    </row>
    <row r="470" spans="1:18" s="51" customFormat="1" ht="13.5" hidden="1" customHeight="1" outlineLevel="1" x14ac:dyDescent="0.3">
      <c r="A470" s="13">
        <f t="shared" si="56"/>
        <v>0</v>
      </c>
      <c r="B470" s="49"/>
      <c r="C470" s="49"/>
      <c r="D470" s="140" t="s">
        <v>773</v>
      </c>
      <c r="E470" s="67" t="str">
        <f>VLOOKUP(D470,'03. Insumos'!A:D,2,0)</f>
        <v>Espaçador - Cunha</v>
      </c>
      <c r="F470" s="68" t="s">
        <v>2612</v>
      </c>
      <c r="G470" s="68" t="str">
        <f>VLOOKUP(D470,'03. Insumos'!A:F,3,0)</f>
        <v>50 pcs</v>
      </c>
      <c r="H470" s="69">
        <v>1</v>
      </c>
      <c r="I470" s="141">
        <f>ROUNDUP(((H465*5)/100),0)</f>
        <v>0</v>
      </c>
      <c r="J470" s="70">
        <f>IFERROR(IF(K470&lt;&gt;0,K470*$K$5,0),0)</f>
        <v>22.17</v>
      </c>
      <c r="K470" s="54">
        <f>IF(A470=0,VLOOKUP(D470,'03. Insumos'!A:F,4,0),"")</f>
        <v>22.17</v>
      </c>
      <c r="L470" s="70">
        <f>H470*J470*I470</f>
        <v>0</v>
      </c>
      <c r="M470" s="355">
        <f t="shared" ca="1" si="55"/>
        <v>0</v>
      </c>
      <c r="O470" s="148">
        <f>IF(I470&lt;&gt;0,I470*H470*K470,)</f>
        <v>0</v>
      </c>
      <c r="R470" s="356">
        <f>IF(J470&lt;&gt;0,J470/1.03-K470,0)</f>
        <v>-0.64572815533980688</v>
      </c>
    </row>
    <row r="471" spans="1:18" s="51" customFormat="1" ht="13.5" customHeight="1" outlineLevel="1" x14ac:dyDescent="0.3">
      <c r="A471" s="290">
        <f t="shared" si="56"/>
        <v>6</v>
      </c>
      <c r="B471" s="55"/>
      <c r="C471" s="55" t="s">
        <v>1312</v>
      </c>
      <c r="D471" s="55" t="s">
        <v>2739</v>
      </c>
      <c r="E471" s="55"/>
      <c r="F471" s="56"/>
      <c r="G471" s="56" t="s">
        <v>73</v>
      </c>
      <c r="H471" s="57">
        <f>17.91+22.66+4.74+3.37</f>
        <v>48.68</v>
      </c>
      <c r="I471" s="57"/>
      <c r="J471" s="58"/>
      <c r="K471" s="58" t="str">
        <f>IF(A471=0,VLOOKUP(D471,'03. Insumos'!A:F,4,0),"")</f>
        <v/>
      </c>
      <c r="L471" s="58">
        <f>SUM(L472:L476)</f>
        <v>8174.0217999999995</v>
      </c>
      <c r="M471" s="153">
        <f t="shared" ca="1" si="55"/>
        <v>1.4115489778871023E-4</v>
      </c>
      <c r="O471" s="148"/>
      <c r="R471" s="12"/>
    </row>
    <row r="472" spans="1:18" s="51" customFormat="1" ht="13.5" customHeight="1" outlineLevel="1" x14ac:dyDescent="0.3">
      <c r="A472" s="13">
        <f t="shared" si="56"/>
        <v>0</v>
      </c>
      <c r="B472" s="49"/>
      <c r="C472" s="49"/>
      <c r="D472" s="140" t="s">
        <v>2769</v>
      </c>
      <c r="E472" s="67" t="str">
        <f>VLOOKUP(D472,'03. Insumos'!A:D,2,0)</f>
        <v>PORCELANATO PORTOBELLO CONCRETISSYMA MATIZ GRIGIO 90X90 - mat</v>
      </c>
      <c r="F472" s="68" t="s">
        <v>2613</v>
      </c>
      <c r="G472" s="68" t="str">
        <f>VLOOKUP(D472,'03. Insumos'!A:F,3,0)</f>
        <v>m²</v>
      </c>
      <c r="H472" s="69">
        <v>1</v>
      </c>
      <c r="I472" s="141">
        <f>H471*1.15</f>
        <v>55.981999999999992</v>
      </c>
      <c r="J472" s="70">
        <f>IFERROR(IF(K472&lt;&gt;0,K472*$K$5,0),0)</f>
        <v>104.9</v>
      </c>
      <c r="K472" s="54">
        <f>IF(A472=0,VLOOKUP(D472,'03. Insumos'!A:F,4,0),"")</f>
        <v>104.9</v>
      </c>
      <c r="L472" s="70">
        <f>H472*J472*I472</f>
        <v>5872.5117999999993</v>
      </c>
      <c r="M472" s="355">
        <f t="shared" ca="1" si="55"/>
        <v>1.0141076488100323E-4</v>
      </c>
      <c r="O472" s="148">
        <f>IF(I472&lt;&gt;0,I472*H472*K472,)</f>
        <v>5872.5117999999993</v>
      </c>
      <c r="R472" s="356">
        <f>IF(J472&lt;&gt;0,J472/1.03-K472,0)</f>
        <v>-3.0553398058252412</v>
      </c>
    </row>
    <row r="473" spans="1:18" s="51" customFormat="1" ht="13.5" customHeight="1" outlineLevel="1" x14ac:dyDescent="0.3">
      <c r="A473" s="13">
        <f t="shared" si="56"/>
        <v>0</v>
      </c>
      <c r="B473" s="49"/>
      <c r="C473" s="49"/>
      <c r="D473" s="140" t="s">
        <v>2405</v>
      </c>
      <c r="E473" s="67" t="str">
        <f>VLOOKUP(D473,'03. Insumos'!A:D,2,0)</f>
        <v>Mão de obra - Assentamento até 60x60cm</v>
      </c>
      <c r="F473" s="68" t="s">
        <v>2607</v>
      </c>
      <c r="G473" s="68" t="str">
        <f>VLOOKUP(D473,'03. Insumos'!A:F,3,0)</f>
        <v>m²</v>
      </c>
      <c r="H473" s="69">
        <v>1</v>
      </c>
      <c r="I473" s="141">
        <f>H471</f>
        <v>48.68</v>
      </c>
      <c r="J473" s="70">
        <f>IFERROR(IF(K473&lt;&gt;0,K473*$K$5,0),0)</f>
        <v>35</v>
      </c>
      <c r="K473" s="54">
        <f>IF(A473=0,VLOOKUP(D473,'03. Insumos'!A:F,4,0),"")</f>
        <v>35</v>
      </c>
      <c r="L473" s="70">
        <f>H473*J473*I473</f>
        <v>1703.8</v>
      </c>
      <c r="M473" s="355">
        <f t="shared" ca="1" si="55"/>
        <v>2.9422445980313451E-5</v>
      </c>
      <c r="O473" s="148"/>
      <c r="R473" s="356"/>
    </row>
    <row r="474" spans="1:18" s="59" customFormat="1" ht="13.5" customHeight="1" outlineLevel="1" x14ac:dyDescent="0.3">
      <c r="A474" s="13">
        <f t="shared" si="56"/>
        <v>0</v>
      </c>
      <c r="B474" s="55"/>
      <c r="C474" s="55"/>
      <c r="D474" s="140" t="s">
        <v>2775</v>
      </c>
      <c r="E474" s="67" t="str">
        <f>VLOOKUP(D474,'03. Insumos'!A:D,2,0)</f>
        <v>Celumassa Colante AC3 flexível 20Kg</v>
      </c>
      <c r="F474" s="68" t="s">
        <v>2612</v>
      </c>
      <c r="G474" s="68" t="str">
        <f>VLOOKUP(D474,'03. Insumos'!A:F,3,0)</f>
        <v>sc</v>
      </c>
      <c r="H474" s="69">
        <v>1</v>
      </c>
      <c r="I474" s="141">
        <f>ROUND((H471*8)/20,0)</f>
        <v>19</v>
      </c>
      <c r="J474" s="70">
        <f>IFERROR(IF(K474&lt;&gt;0,K474*$K$5,0),0)</f>
        <v>17.5</v>
      </c>
      <c r="K474" s="54">
        <f>IF(A474=0,VLOOKUP(D474,'03. Insumos'!A:F,4,0),"")</f>
        <v>17.5</v>
      </c>
      <c r="L474" s="70">
        <f>H474*J474*I474</f>
        <v>332.5</v>
      </c>
      <c r="M474" s="355">
        <f t="shared" ca="1" si="55"/>
        <v>5.7418495647694698E-6</v>
      </c>
      <c r="O474" s="148">
        <f>IF(I474&lt;&gt;0,I474*H474*K474,)</f>
        <v>332.5</v>
      </c>
      <c r="R474" s="356">
        <f>IF(J474&lt;&gt;0,J474/1.03-K474,0)</f>
        <v>-0.50970873786407722</v>
      </c>
    </row>
    <row r="475" spans="1:18" s="51" customFormat="1" ht="13.5" customHeight="1" outlineLevel="1" x14ac:dyDescent="0.3">
      <c r="A475" s="13">
        <f t="shared" si="56"/>
        <v>0</v>
      </c>
      <c r="B475" s="49"/>
      <c r="C475" s="49"/>
      <c r="D475" s="140" t="s">
        <v>772</v>
      </c>
      <c r="E475" s="67" t="str">
        <f>VLOOKUP(D475,'03. Insumos'!A:D,2,0)</f>
        <v xml:space="preserve">Rejunte acrílico Portokoll </v>
      </c>
      <c r="F475" s="68" t="s">
        <v>2612</v>
      </c>
      <c r="G475" s="68" t="str">
        <f>VLOOKUP(D475,'03. Insumos'!A:F,3,0)</f>
        <v>Kg</v>
      </c>
      <c r="H475" s="69">
        <v>1</v>
      </c>
      <c r="I475" s="141">
        <f>ROUNDUP((H471*0.2),0)</f>
        <v>10</v>
      </c>
      <c r="J475" s="70">
        <f>IFERROR(IF(K475&lt;&gt;0,K475*$K$5,0),0)</f>
        <v>19.87</v>
      </c>
      <c r="K475" s="54">
        <f>IF(A475=0,VLOOKUP(D475,'03. Insumos'!A:F,4,0),"")</f>
        <v>19.87</v>
      </c>
      <c r="L475" s="70">
        <f>H475*J475*I475</f>
        <v>198.70000000000002</v>
      </c>
      <c r="M475" s="355">
        <f t="shared" ca="1" si="55"/>
        <v>3.4312947624652442E-6</v>
      </c>
      <c r="O475" s="148">
        <f>IF(I475&lt;&gt;0,I475*H475*K475,)</f>
        <v>198.70000000000002</v>
      </c>
      <c r="R475" s="356">
        <f>IF(J475&lt;&gt;0,J475/1.03-K475,0)</f>
        <v>-0.57873786407767014</v>
      </c>
    </row>
    <row r="476" spans="1:18" s="51" customFormat="1" ht="13.5" customHeight="1" outlineLevel="1" x14ac:dyDescent="0.3">
      <c r="A476" s="13">
        <f t="shared" si="56"/>
        <v>0</v>
      </c>
      <c r="B476" s="49"/>
      <c r="C476" s="49"/>
      <c r="D476" s="140" t="s">
        <v>773</v>
      </c>
      <c r="E476" s="67" t="str">
        <f>VLOOKUP(D476,'03. Insumos'!A:D,2,0)</f>
        <v>Espaçador - Cunha</v>
      </c>
      <c r="F476" s="68" t="s">
        <v>2612</v>
      </c>
      <c r="G476" s="68" t="str">
        <f>VLOOKUP(D476,'03. Insumos'!A:F,3,0)</f>
        <v>50 pcs</v>
      </c>
      <c r="H476" s="69">
        <v>1</v>
      </c>
      <c r="I476" s="141">
        <f>ROUNDUP(((H471*5)/100),0)</f>
        <v>3</v>
      </c>
      <c r="J476" s="70">
        <f>IFERROR(IF(K476&lt;&gt;0,K476*$K$5,0),0)</f>
        <v>22.17</v>
      </c>
      <c r="K476" s="54">
        <f>IF(A476=0,VLOOKUP(D476,'03. Insumos'!A:F,4,0),"")</f>
        <v>22.17</v>
      </c>
      <c r="L476" s="70">
        <f>H476*J476*I476</f>
        <v>66.510000000000005</v>
      </c>
      <c r="M476" s="355">
        <f t="shared" ca="1" si="55"/>
        <v>1.1485426001588494E-6</v>
      </c>
      <c r="O476" s="148">
        <f>IF(I476&lt;&gt;0,I476*H476*K476,)</f>
        <v>66.510000000000005</v>
      </c>
      <c r="R476" s="356">
        <f>IF(J476&lt;&gt;0,J476/1.03-K476,0)</f>
        <v>-0.64572815533980688</v>
      </c>
    </row>
    <row r="477" spans="1:18" s="51" customFormat="1" ht="13.5" customHeight="1" outlineLevel="1" x14ac:dyDescent="0.3">
      <c r="A477" s="290">
        <f t="shared" si="56"/>
        <v>6</v>
      </c>
      <c r="B477" s="55"/>
      <c r="C477" s="55" t="s">
        <v>1311</v>
      </c>
      <c r="D477" s="55" t="s">
        <v>2740</v>
      </c>
      <c r="E477" s="55"/>
      <c r="F477" s="56"/>
      <c r="G477" s="56" t="s">
        <v>73</v>
      </c>
      <c r="H477" s="57">
        <f>4.7</f>
        <v>4.7</v>
      </c>
      <c r="I477" s="57"/>
      <c r="J477" s="58"/>
      <c r="K477" s="58" t="str">
        <f>IF(A477=0,VLOOKUP(D477,'03. Insumos'!A:F,4,0),"")</f>
        <v/>
      </c>
      <c r="L477" s="58">
        <f>SUM(L478:L482)</f>
        <v>1638.4622499999998</v>
      </c>
      <c r="M477" s="153">
        <f t="shared" ca="1" si="55"/>
        <v>2.8294146637755504E-5</v>
      </c>
      <c r="O477" s="148"/>
      <c r="R477" s="12"/>
    </row>
    <row r="478" spans="1:18" s="51" customFormat="1" ht="13.5" customHeight="1" outlineLevel="1" x14ac:dyDescent="0.3">
      <c r="A478" s="13">
        <f t="shared" si="56"/>
        <v>0</v>
      </c>
      <c r="B478" s="49"/>
      <c r="C478" s="49"/>
      <c r="D478" s="140" t="s">
        <v>2763</v>
      </c>
      <c r="E478" s="67" t="str">
        <f>VLOOKUP(D478,'03. Insumos'!A:D,2,0)</f>
        <v>Material - Piso Porcelanato Margres Time T21- Snow Anti Slip 60x60cm</v>
      </c>
      <c r="F478" s="68" t="s">
        <v>2613</v>
      </c>
      <c r="G478" s="68" t="str">
        <f>VLOOKUP(D478,'03. Insumos'!A:F,3,0)</f>
        <v>m²</v>
      </c>
      <c r="H478" s="69">
        <v>1</v>
      </c>
      <c r="I478" s="141">
        <f>H477*1.15</f>
        <v>5.4049999999999994</v>
      </c>
      <c r="J478" s="70">
        <f>IFERROR(IF(K478&lt;&gt;0,K478*$K$5,0),0)</f>
        <v>258.45</v>
      </c>
      <c r="K478" s="54">
        <f>IF(A478=0,VLOOKUP(D478,'03. Insumos'!A:F,4,0),"")</f>
        <v>258.45</v>
      </c>
      <c r="L478" s="70">
        <f>H478*J478*I478</f>
        <v>1396.9222499999998</v>
      </c>
      <c r="M478" s="355">
        <f t="shared" ca="1" si="55"/>
        <v>2.4123059889261017E-5</v>
      </c>
      <c r="O478" s="148">
        <f>IF(I478&lt;&gt;0,I478*H478*K478,)</f>
        <v>1396.9222499999998</v>
      </c>
      <c r="R478" s="356">
        <f>IF(J478&lt;&gt;0,J478/1.03-K478,0)</f>
        <v>-7.5276699029126348</v>
      </c>
    </row>
    <row r="479" spans="1:18" s="51" customFormat="1" ht="13.5" customHeight="1" outlineLevel="1" x14ac:dyDescent="0.3">
      <c r="A479" s="13">
        <f t="shared" si="56"/>
        <v>0</v>
      </c>
      <c r="B479" s="49"/>
      <c r="C479" s="49"/>
      <c r="D479" s="140" t="s">
        <v>2405</v>
      </c>
      <c r="E479" s="67" t="str">
        <f>VLOOKUP(D479,'03. Insumos'!A:D,2,0)</f>
        <v>Mão de obra - Assentamento até 60x60cm</v>
      </c>
      <c r="F479" s="68" t="s">
        <v>2607</v>
      </c>
      <c r="G479" s="68" t="str">
        <f>VLOOKUP(D479,'03. Insumos'!A:F,3,0)</f>
        <v>m²</v>
      </c>
      <c r="H479" s="69">
        <v>1</v>
      </c>
      <c r="I479" s="141">
        <f>H477</f>
        <v>4.7</v>
      </c>
      <c r="J479" s="70">
        <f>IFERROR(IF(K479&lt;&gt;0,K479*$K$5,0),0)</f>
        <v>35</v>
      </c>
      <c r="K479" s="54">
        <f>IF(A479=0,VLOOKUP(D479,'03. Insumos'!A:F,4,0),"")</f>
        <v>35</v>
      </c>
      <c r="L479" s="70">
        <f>H479*J479*I479</f>
        <v>164.5</v>
      </c>
      <c r="M479" s="355">
        <f t="shared" ca="1" si="55"/>
        <v>2.8407045215175273E-6</v>
      </c>
      <c r="O479" s="148"/>
      <c r="R479" s="356"/>
    </row>
    <row r="480" spans="1:18" s="59" customFormat="1" ht="13.5" customHeight="1" outlineLevel="1" x14ac:dyDescent="0.3">
      <c r="A480" s="13">
        <f t="shared" si="56"/>
        <v>0</v>
      </c>
      <c r="B480" s="55"/>
      <c r="C480" s="55"/>
      <c r="D480" s="140" t="s">
        <v>2775</v>
      </c>
      <c r="E480" s="67" t="str">
        <f>VLOOKUP(D480,'03. Insumos'!A:D,2,0)</f>
        <v>Celumassa Colante AC3 flexível 20Kg</v>
      </c>
      <c r="F480" s="68" t="s">
        <v>2612</v>
      </c>
      <c r="G480" s="68" t="str">
        <f>VLOOKUP(D480,'03. Insumos'!A:F,3,0)</f>
        <v>sc</v>
      </c>
      <c r="H480" s="69">
        <v>1</v>
      </c>
      <c r="I480" s="141">
        <f>ROUND((H477*8)/20,0)</f>
        <v>2</v>
      </c>
      <c r="J480" s="70">
        <f>IFERROR(IF(K480&lt;&gt;0,K480*$K$5,0),0)</f>
        <v>17.5</v>
      </c>
      <c r="K480" s="54">
        <f>IF(A480=0,VLOOKUP(D480,'03. Insumos'!A:F,4,0),"")</f>
        <v>17.5</v>
      </c>
      <c r="L480" s="70">
        <f>H480*J480*I480</f>
        <v>35</v>
      </c>
      <c r="M480" s="355">
        <f t="shared" ca="1" si="55"/>
        <v>6.0440521734415474E-7</v>
      </c>
      <c r="O480" s="148">
        <f>IF(I480&lt;&gt;0,I480*H480*K480,)</f>
        <v>35</v>
      </c>
      <c r="R480" s="356">
        <f>IF(J480&lt;&gt;0,J480/1.03-K480,0)</f>
        <v>-0.50970873786407722</v>
      </c>
    </row>
    <row r="481" spans="1:18" s="51" customFormat="1" ht="13.5" customHeight="1" outlineLevel="1" x14ac:dyDescent="0.3">
      <c r="A481" s="13">
        <f t="shared" si="56"/>
        <v>0</v>
      </c>
      <c r="B481" s="49"/>
      <c r="C481" s="49"/>
      <c r="D481" s="140" t="s">
        <v>772</v>
      </c>
      <c r="E481" s="67" t="str">
        <f>VLOOKUP(D481,'03. Insumos'!A:D,2,0)</f>
        <v xml:space="preserve">Rejunte acrílico Portokoll </v>
      </c>
      <c r="F481" s="68" t="s">
        <v>2612</v>
      </c>
      <c r="G481" s="68" t="str">
        <f>VLOOKUP(D481,'03. Insumos'!A:F,3,0)</f>
        <v>Kg</v>
      </c>
      <c r="H481" s="69">
        <v>1</v>
      </c>
      <c r="I481" s="141">
        <f>ROUNDUP((H477*0.2),0)</f>
        <v>1</v>
      </c>
      <c r="J481" s="70">
        <f>IFERROR(IF(K481&lt;&gt;0,K481*$K$5,0),0)</f>
        <v>19.87</v>
      </c>
      <c r="K481" s="54">
        <f>IF(A481=0,VLOOKUP(D481,'03. Insumos'!A:F,4,0),"")</f>
        <v>19.87</v>
      </c>
      <c r="L481" s="70">
        <f>H481*J481*I481</f>
        <v>19.87</v>
      </c>
      <c r="M481" s="355">
        <f t="shared" ca="1" si="55"/>
        <v>3.4312947624652442E-7</v>
      </c>
      <c r="O481" s="148">
        <f>IF(I481&lt;&gt;0,I481*H481*K481,)</f>
        <v>19.87</v>
      </c>
      <c r="R481" s="356">
        <f>IF(J481&lt;&gt;0,J481/1.03-K481,0)</f>
        <v>-0.57873786407767014</v>
      </c>
    </row>
    <row r="482" spans="1:18" s="51" customFormat="1" ht="13.5" customHeight="1" outlineLevel="1" x14ac:dyDescent="0.3">
      <c r="A482" s="13">
        <f t="shared" si="56"/>
        <v>0</v>
      </c>
      <c r="B482" s="49"/>
      <c r="C482" s="49"/>
      <c r="D482" s="140" t="s">
        <v>773</v>
      </c>
      <c r="E482" s="67" t="str">
        <f>VLOOKUP(D482,'03. Insumos'!A:D,2,0)</f>
        <v>Espaçador - Cunha</v>
      </c>
      <c r="F482" s="68" t="s">
        <v>2612</v>
      </c>
      <c r="G482" s="68" t="str">
        <f>VLOOKUP(D482,'03. Insumos'!A:F,3,0)</f>
        <v>50 pcs</v>
      </c>
      <c r="H482" s="69">
        <v>1</v>
      </c>
      <c r="I482" s="141">
        <f>ROUNDUP(((H477*5)/100),0)</f>
        <v>1</v>
      </c>
      <c r="J482" s="70">
        <f>IFERROR(IF(K482&lt;&gt;0,K482*$K$5,0),0)</f>
        <v>22.17</v>
      </c>
      <c r="K482" s="54">
        <f>IF(A482=0,VLOOKUP(D482,'03. Insumos'!A:F,4,0),"")</f>
        <v>22.17</v>
      </c>
      <c r="L482" s="70">
        <f>H482*J482*I482</f>
        <v>22.17</v>
      </c>
      <c r="M482" s="355">
        <f t="shared" ca="1" si="55"/>
        <v>3.828475333862832E-7</v>
      </c>
      <c r="O482" s="148">
        <f>IF(I482&lt;&gt;0,I482*H482*K482,)</f>
        <v>22.17</v>
      </c>
      <c r="R482" s="356">
        <f>IF(J482&lt;&gt;0,J482/1.03-K482,0)</f>
        <v>-0.64572815533980688</v>
      </c>
    </row>
    <row r="483" spans="1:18" s="51" customFormat="1" ht="13.5" hidden="1" customHeight="1" outlineLevel="1" x14ac:dyDescent="0.3">
      <c r="A483" s="290">
        <f t="shared" si="56"/>
        <v>6</v>
      </c>
      <c r="B483" s="55"/>
      <c r="C483" s="55" t="s">
        <v>1369</v>
      </c>
      <c r="D483" s="55" t="s">
        <v>2741</v>
      </c>
      <c r="E483" s="55"/>
      <c r="F483" s="56"/>
      <c r="G483" s="56" t="s">
        <v>73</v>
      </c>
      <c r="H483" s="57"/>
      <c r="I483" s="57"/>
      <c r="J483" s="58"/>
      <c r="K483" s="58" t="str">
        <f>IF(A483=0,VLOOKUP(D483,'03. Insumos'!A:F,4,0),"")</f>
        <v/>
      </c>
      <c r="L483" s="58">
        <f>SUM(L484:L488)</f>
        <v>0</v>
      </c>
      <c r="M483" s="153">
        <f t="shared" ca="1" si="55"/>
        <v>0</v>
      </c>
      <c r="O483" s="148"/>
      <c r="R483" s="12"/>
    </row>
    <row r="484" spans="1:18" s="51" customFormat="1" ht="13.5" hidden="1" customHeight="1" outlineLevel="1" x14ac:dyDescent="0.3">
      <c r="A484" s="13">
        <f t="shared" si="56"/>
        <v>0</v>
      </c>
      <c r="B484" s="49"/>
      <c r="C484" s="49"/>
      <c r="D484" s="140" t="s">
        <v>2770</v>
      </c>
      <c r="E484" s="67" t="str">
        <f>VLOOKUP(D484,'03. Insumos'!A:D,2,0)</f>
        <v>Material + MO - Aglostone Branco Prime</v>
      </c>
      <c r="F484" s="68" t="s">
        <v>2613</v>
      </c>
      <c r="G484" s="68" t="str">
        <f>VLOOKUP(D484,'03. Insumos'!A:F,3,0)</f>
        <v>m²</v>
      </c>
      <c r="H484" s="69">
        <v>1</v>
      </c>
      <c r="I484" s="141">
        <f>H483*1.15</f>
        <v>0</v>
      </c>
      <c r="J484" s="70">
        <f>IFERROR(IF(K484&lt;&gt;0,K484*$K$5,0),0)</f>
        <v>1069.5454536</v>
      </c>
      <c r="K484" s="54">
        <f>IF(A484=0,VLOOKUP(D484,'03. Insumos'!A:F,4,0),"")</f>
        <v>1069.5454536</v>
      </c>
      <c r="L484" s="70">
        <f>H484*J484*I484</f>
        <v>0</v>
      </c>
      <c r="M484" s="355">
        <f t="shared" ca="1" si="55"/>
        <v>0</v>
      </c>
      <c r="O484" s="148">
        <f>IF(I484&lt;&gt;0,I484*H484*K484,)</f>
        <v>0</v>
      </c>
      <c r="R484" s="356">
        <f>IF(J484&lt;&gt;0,J484/1.03-K484,0)</f>
        <v>-31.151809328155423</v>
      </c>
    </row>
    <row r="485" spans="1:18" s="51" customFormat="1" ht="13.5" hidden="1" customHeight="1" outlineLevel="1" x14ac:dyDescent="0.3">
      <c r="A485" s="13">
        <f t="shared" si="56"/>
        <v>0</v>
      </c>
      <c r="B485" s="49"/>
      <c r="C485" s="49"/>
      <c r="D485" s="140" t="s">
        <v>2405</v>
      </c>
      <c r="E485" s="67" t="str">
        <f>VLOOKUP(D485,'03. Insumos'!A:D,2,0)</f>
        <v>Mão de obra - Assentamento até 60x60cm</v>
      </c>
      <c r="F485" s="68" t="s">
        <v>2607</v>
      </c>
      <c r="G485" s="68" t="str">
        <f>VLOOKUP(D485,'03. Insumos'!A:F,3,0)</f>
        <v>m²</v>
      </c>
      <c r="H485" s="69">
        <v>1</v>
      </c>
      <c r="I485" s="141">
        <f>H483</f>
        <v>0</v>
      </c>
      <c r="J485" s="70">
        <f>IFERROR(IF(K485&lt;&gt;0,K485*$K$5,0),0)</f>
        <v>35</v>
      </c>
      <c r="K485" s="54">
        <f>IF(A485=0,VLOOKUP(D485,'03. Insumos'!A:F,4,0),"")</f>
        <v>35</v>
      </c>
      <c r="L485" s="70">
        <f>H485*J485*I485</f>
        <v>0</v>
      </c>
      <c r="M485" s="355">
        <f t="shared" ref="M485:M548" ca="1" si="59">L485/$L$7</f>
        <v>0</v>
      </c>
      <c r="O485" s="148"/>
      <c r="R485" s="356"/>
    </row>
    <row r="486" spans="1:18" s="59" customFormat="1" ht="13.5" hidden="1" customHeight="1" outlineLevel="1" x14ac:dyDescent="0.3">
      <c r="A486" s="13">
        <f t="shared" si="56"/>
        <v>0</v>
      </c>
      <c r="B486" s="55"/>
      <c r="C486" s="55"/>
      <c r="D486" s="140" t="s">
        <v>2775</v>
      </c>
      <c r="E486" s="67" t="str">
        <f>VLOOKUP(D486,'03. Insumos'!A:D,2,0)</f>
        <v>Celumassa Colante AC3 flexível 20Kg</v>
      </c>
      <c r="F486" s="68" t="s">
        <v>2612</v>
      </c>
      <c r="G486" s="68" t="str">
        <f>VLOOKUP(D486,'03. Insumos'!A:F,3,0)</f>
        <v>sc</v>
      </c>
      <c r="H486" s="69">
        <v>1</v>
      </c>
      <c r="I486" s="141">
        <f>ROUND((H483*8)/20,0)</f>
        <v>0</v>
      </c>
      <c r="J486" s="70">
        <f>IFERROR(IF(K486&lt;&gt;0,K486*$K$5,0),0)</f>
        <v>17.5</v>
      </c>
      <c r="K486" s="54">
        <f>IF(A486=0,VLOOKUP(D486,'03. Insumos'!A:F,4,0),"")</f>
        <v>17.5</v>
      </c>
      <c r="L486" s="70">
        <f>H486*J486*I486</f>
        <v>0</v>
      </c>
      <c r="M486" s="355">
        <f t="shared" ca="1" si="59"/>
        <v>0</v>
      </c>
      <c r="O486" s="148">
        <f>IF(I486&lt;&gt;0,I486*H486*K486,)</f>
        <v>0</v>
      </c>
      <c r="R486" s="356">
        <f>IF(J486&lt;&gt;0,J486/1.03-K486,0)</f>
        <v>-0.50970873786407722</v>
      </c>
    </row>
    <row r="487" spans="1:18" s="51" customFormat="1" ht="13.5" hidden="1" customHeight="1" outlineLevel="1" x14ac:dyDescent="0.3">
      <c r="A487" s="13">
        <f t="shared" ref="A487:A550" si="60">LEN(C487)</f>
        <v>0</v>
      </c>
      <c r="B487" s="49"/>
      <c r="C487" s="49"/>
      <c r="D487" s="140" t="s">
        <v>772</v>
      </c>
      <c r="E487" s="67" t="str">
        <f>VLOOKUP(D487,'03. Insumos'!A:D,2,0)</f>
        <v xml:space="preserve">Rejunte acrílico Portokoll </v>
      </c>
      <c r="F487" s="68" t="s">
        <v>2612</v>
      </c>
      <c r="G487" s="68" t="str">
        <f>VLOOKUP(D487,'03. Insumos'!A:F,3,0)</f>
        <v>Kg</v>
      </c>
      <c r="H487" s="69">
        <v>1</v>
      </c>
      <c r="I487" s="141">
        <f>ROUNDUP((H483*0.2),0)</f>
        <v>0</v>
      </c>
      <c r="J487" s="70">
        <f>IFERROR(IF(K487&lt;&gt;0,K487*$K$5,0),0)</f>
        <v>19.87</v>
      </c>
      <c r="K487" s="54">
        <f>IF(A487=0,VLOOKUP(D487,'03. Insumos'!A:F,4,0),"")</f>
        <v>19.87</v>
      </c>
      <c r="L487" s="70">
        <f>H487*J487*I487</f>
        <v>0</v>
      </c>
      <c r="M487" s="355">
        <f t="shared" ca="1" si="59"/>
        <v>0</v>
      </c>
      <c r="O487" s="148">
        <f>IF(I487&lt;&gt;0,I487*H487*K487,)</f>
        <v>0</v>
      </c>
      <c r="R487" s="356">
        <f>IF(J487&lt;&gt;0,J487/1.03-K487,0)</f>
        <v>-0.57873786407767014</v>
      </c>
    </row>
    <row r="488" spans="1:18" s="51" customFormat="1" ht="13.5" hidden="1" customHeight="1" outlineLevel="1" x14ac:dyDescent="0.3">
      <c r="A488" s="13">
        <f t="shared" si="60"/>
        <v>0</v>
      </c>
      <c r="B488" s="49"/>
      <c r="C488" s="49"/>
      <c r="D488" s="140" t="s">
        <v>773</v>
      </c>
      <c r="E488" s="67" t="str">
        <f>VLOOKUP(D488,'03. Insumos'!A:D,2,0)</f>
        <v>Espaçador - Cunha</v>
      </c>
      <c r="F488" s="68" t="s">
        <v>2612</v>
      </c>
      <c r="G488" s="68" t="str">
        <f>VLOOKUP(D488,'03. Insumos'!A:F,3,0)</f>
        <v>50 pcs</v>
      </c>
      <c r="H488" s="69">
        <v>1</v>
      </c>
      <c r="I488" s="141">
        <f>ROUNDUP(((H483*5)/100),0)</f>
        <v>0</v>
      </c>
      <c r="J488" s="70">
        <f>IFERROR(IF(K488&lt;&gt;0,K488*$K$5,0),0)</f>
        <v>22.17</v>
      </c>
      <c r="K488" s="54">
        <f>IF(A488=0,VLOOKUP(D488,'03. Insumos'!A:F,4,0),"")</f>
        <v>22.17</v>
      </c>
      <c r="L488" s="70">
        <f>H488*J488*I488</f>
        <v>0</v>
      </c>
      <c r="M488" s="355">
        <f t="shared" ca="1" si="59"/>
        <v>0</v>
      </c>
      <c r="O488" s="148">
        <f>IF(I488&lt;&gt;0,I488*H488*K488,)</f>
        <v>0</v>
      </c>
      <c r="R488" s="356">
        <f>IF(J488&lt;&gt;0,J488/1.03-K488,0)</f>
        <v>-0.64572815533980688</v>
      </c>
    </row>
    <row r="489" spans="1:18" s="51" customFormat="1" ht="13.5" customHeight="1" outlineLevel="1" x14ac:dyDescent="0.3">
      <c r="A489" s="290">
        <f t="shared" si="60"/>
        <v>6</v>
      </c>
      <c r="B489" s="55"/>
      <c r="C489" s="55" t="s">
        <v>1369</v>
      </c>
      <c r="D489" s="55" t="s">
        <v>2742</v>
      </c>
      <c r="E489" s="55"/>
      <c r="F489" s="56"/>
      <c r="G489" s="56" t="s">
        <v>73</v>
      </c>
      <c r="H489" s="57">
        <v>41.69</v>
      </c>
      <c r="I489" s="57"/>
      <c r="J489" s="58"/>
      <c r="K489" s="58" t="str">
        <f>IF(A489=0,VLOOKUP(D489,'03. Insumos'!A:F,4,0),"")</f>
        <v/>
      </c>
      <c r="L489" s="58">
        <f>SUM(L490:L494)</f>
        <v>114189.77999999997</v>
      </c>
      <c r="M489" s="153">
        <f t="shared" ca="1" si="59"/>
        <v>1.9719113942680343E-3</v>
      </c>
      <c r="O489" s="148"/>
      <c r="R489" s="12"/>
    </row>
    <row r="490" spans="1:18" s="51" customFormat="1" ht="13.5" customHeight="1" outlineLevel="1" x14ac:dyDescent="0.3">
      <c r="A490" s="13">
        <f t="shared" si="60"/>
        <v>0</v>
      </c>
      <c r="B490" s="49"/>
      <c r="C490" s="49"/>
      <c r="D490" s="140" t="s">
        <v>2771</v>
      </c>
      <c r="E490" s="67" t="str">
        <f>VLOOKUP(D490,'03. Insumos'!A:D,2,0)</f>
        <v>Material + MO - Silestone Blanco Maple Levigado</v>
      </c>
      <c r="F490" s="68" t="s">
        <v>2613</v>
      </c>
      <c r="G490" s="68" t="str">
        <f>VLOOKUP(D490,'03. Insumos'!A:F,3,0)</f>
        <v>m²</v>
      </c>
      <c r="H490" s="69">
        <v>1</v>
      </c>
      <c r="I490" s="141">
        <f>H489*1.15</f>
        <v>47.943499999999993</v>
      </c>
      <c r="J490" s="70">
        <f>IFERROR(IF(K490&lt;&gt;0,K490*$K$5,0),0)</f>
        <v>2340</v>
      </c>
      <c r="K490" s="54">
        <f>IF(A490=0,VLOOKUP(D490,'03. Insumos'!A:F,4,0),"")</f>
        <v>2340</v>
      </c>
      <c r="L490" s="70">
        <f>H490*J490*I490</f>
        <v>112187.78999999998</v>
      </c>
      <c r="M490" s="355">
        <f t="shared" ca="1" si="59"/>
        <v>1.9373395885231535E-3</v>
      </c>
      <c r="O490" s="148">
        <f>IF(I490&lt;&gt;0,I490*H490*K490,)</f>
        <v>112187.78999999998</v>
      </c>
      <c r="R490" s="356">
        <f>IF(J490&lt;&gt;0,J490/1.03-K490,0)</f>
        <v>-68.155339805825406</v>
      </c>
    </row>
    <row r="491" spans="1:18" s="51" customFormat="1" ht="13.5" customHeight="1" outlineLevel="1" x14ac:dyDescent="0.3">
      <c r="A491" s="13">
        <f t="shared" si="60"/>
        <v>0</v>
      </c>
      <c r="B491" s="49"/>
      <c r="C491" s="49"/>
      <c r="D491" s="140" t="s">
        <v>2405</v>
      </c>
      <c r="E491" s="67" t="str">
        <f>VLOOKUP(D491,'03. Insumos'!A:D,2,0)</f>
        <v>Mão de obra - Assentamento até 60x60cm</v>
      </c>
      <c r="F491" s="68" t="s">
        <v>2607</v>
      </c>
      <c r="G491" s="68" t="str">
        <f>VLOOKUP(D491,'03. Insumos'!A:F,3,0)</f>
        <v>m²</v>
      </c>
      <c r="H491" s="69">
        <v>1</v>
      </c>
      <c r="I491" s="141">
        <f>H489</f>
        <v>41.69</v>
      </c>
      <c r="J491" s="70">
        <f>IFERROR(IF(K491&lt;&gt;0,K491*$K$5,0),0)</f>
        <v>35</v>
      </c>
      <c r="K491" s="54">
        <f>IF(A491=0,VLOOKUP(D491,'03. Insumos'!A:F,4,0),"")</f>
        <v>35</v>
      </c>
      <c r="L491" s="70">
        <f>H491*J491*I491</f>
        <v>1459.1499999999999</v>
      </c>
      <c r="M491" s="355">
        <f t="shared" ca="1" si="59"/>
        <v>2.5197653511077809E-5</v>
      </c>
      <c r="O491" s="148"/>
      <c r="R491" s="356"/>
    </row>
    <row r="492" spans="1:18" s="59" customFormat="1" ht="13.5" customHeight="1" outlineLevel="1" x14ac:dyDescent="0.3">
      <c r="A492" s="13">
        <f t="shared" si="60"/>
        <v>0</v>
      </c>
      <c r="B492" s="55"/>
      <c r="C492" s="55"/>
      <c r="D492" s="140" t="s">
        <v>2775</v>
      </c>
      <c r="E492" s="67" t="str">
        <f>VLOOKUP(D492,'03. Insumos'!A:D,2,0)</f>
        <v>Celumassa Colante AC3 flexível 20Kg</v>
      </c>
      <c r="F492" s="68" t="s">
        <v>2612</v>
      </c>
      <c r="G492" s="68" t="str">
        <f>VLOOKUP(D492,'03. Insumos'!A:F,3,0)</f>
        <v>sc</v>
      </c>
      <c r="H492" s="69">
        <v>1</v>
      </c>
      <c r="I492" s="141">
        <f>ROUND((H489*8)/20,0)</f>
        <v>17</v>
      </c>
      <c r="J492" s="70">
        <f>IFERROR(IF(K492&lt;&gt;0,K492*$K$5,0),0)</f>
        <v>17.5</v>
      </c>
      <c r="K492" s="54">
        <f>IF(A492=0,VLOOKUP(D492,'03. Insumos'!A:F,4,0),"")</f>
        <v>17.5</v>
      </c>
      <c r="L492" s="70">
        <f>H492*J492*I492</f>
        <v>297.5</v>
      </c>
      <c r="M492" s="355">
        <f t="shared" ca="1" si="59"/>
        <v>5.1374443474253149E-6</v>
      </c>
      <c r="O492" s="148">
        <f>IF(I492&lt;&gt;0,I492*H492*K492,)</f>
        <v>297.5</v>
      </c>
      <c r="R492" s="356">
        <f>IF(J492&lt;&gt;0,J492/1.03-K492,0)</f>
        <v>-0.50970873786407722</v>
      </c>
    </row>
    <row r="493" spans="1:18" s="51" customFormat="1" ht="13.5" customHeight="1" outlineLevel="1" x14ac:dyDescent="0.3">
      <c r="A493" s="13">
        <f t="shared" si="60"/>
        <v>0</v>
      </c>
      <c r="B493" s="49"/>
      <c r="C493" s="49"/>
      <c r="D493" s="140" t="s">
        <v>772</v>
      </c>
      <c r="E493" s="67" t="str">
        <f>VLOOKUP(D493,'03. Insumos'!A:D,2,0)</f>
        <v xml:space="preserve">Rejunte acrílico Portokoll </v>
      </c>
      <c r="F493" s="68" t="s">
        <v>2612</v>
      </c>
      <c r="G493" s="68" t="str">
        <f>VLOOKUP(D493,'03. Insumos'!A:F,3,0)</f>
        <v>Kg</v>
      </c>
      <c r="H493" s="69">
        <v>1</v>
      </c>
      <c r="I493" s="141">
        <f>ROUNDUP((H489*0.2),0)</f>
        <v>9</v>
      </c>
      <c r="J493" s="70">
        <f>IFERROR(IF(K493&lt;&gt;0,K493*$K$5,0),0)</f>
        <v>19.87</v>
      </c>
      <c r="K493" s="54">
        <f>IF(A493=0,VLOOKUP(D493,'03. Insumos'!A:F,4,0),"")</f>
        <v>19.87</v>
      </c>
      <c r="L493" s="70">
        <f>H493*J493*I493</f>
        <v>178.83</v>
      </c>
      <c r="M493" s="355">
        <f t="shared" ca="1" si="59"/>
        <v>3.08816528621872E-6</v>
      </c>
      <c r="O493" s="148">
        <f>IF(I493&lt;&gt;0,I493*H493*K493,)</f>
        <v>178.83</v>
      </c>
      <c r="R493" s="356">
        <f>IF(J493&lt;&gt;0,J493/1.03-K493,0)</f>
        <v>-0.57873786407767014</v>
      </c>
    </row>
    <row r="494" spans="1:18" s="51" customFormat="1" ht="13.5" customHeight="1" outlineLevel="1" x14ac:dyDescent="0.3">
      <c r="A494" s="13">
        <f t="shared" si="60"/>
        <v>0</v>
      </c>
      <c r="B494" s="49"/>
      <c r="C494" s="49"/>
      <c r="D494" s="140" t="s">
        <v>773</v>
      </c>
      <c r="E494" s="67" t="str">
        <f>VLOOKUP(D494,'03. Insumos'!A:D,2,0)</f>
        <v>Espaçador - Cunha</v>
      </c>
      <c r="F494" s="68" t="s">
        <v>2612</v>
      </c>
      <c r="G494" s="68" t="str">
        <f>VLOOKUP(D494,'03. Insumos'!A:F,3,0)</f>
        <v>50 pcs</v>
      </c>
      <c r="H494" s="69">
        <v>1</v>
      </c>
      <c r="I494" s="141">
        <f>ROUNDUP(((H489*5)/100),0)</f>
        <v>3</v>
      </c>
      <c r="J494" s="70">
        <f>IFERROR(IF(K494&lt;&gt;0,K494*$K$5,0),0)</f>
        <v>22.17</v>
      </c>
      <c r="K494" s="54">
        <f>IF(A494=0,VLOOKUP(D494,'03. Insumos'!A:F,4,0),"")</f>
        <v>22.17</v>
      </c>
      <c r="L494" s="70">
        <f>H494*J494*I494</f>
        <v>66.510000000000005</v>
      </c>
      <c r="M494" s="355">
        <f t="shared" ca="1" si="59"/>
        <v>1.1485426001588494E-6</v>
      </c>
      <c r="O494" s="148">
        <f>IF(I494&lt;&gt;0,I494*H494*K494,)</f>
        <v>66.510000000000005</v>
      </c>
      <c r="R494" s="356">
        <f>IF(J494&lt;&gt;0,J494/1.03-K494,0)</f>
        <v>-0.64572815533980688</v>
      </c>
    </row>
    <row r="495" spans="1:18" s="51" customFormat="1" ht="13.5" customHeight="1" outlineLevel="1" x14ac:dyDescent="0.3">
      <c r="A495" s="290">
        <f t="shared" si="60"/>
        <v>6</v>
      </c>
      <c r="B495" s="55"/>
      <c r="C495" s="55" t="s">
        <v>1370</v>
      </c>
      <c r="D495" s="55" t="s">
        <v>2743</v>
      </c>
      <c r="E495" s="55"/>
      <c r="F495" s="56"/>
      <c r="G495" s="56" t="s">
        <v>73</v>
      </c>
      <c r="H495" s="57">
        <v>4.41</v>
      </c>
      <c r="I495" s="57"/>
      <c r="J495" s="58"/>
      <c r="K495" s="58" t="str">
        <f>IF(A495=0,VLOOKUP(D495,'03. Insumos'!A:F,4,0),"")</f>
        <v/>
      </c>
      <c r="L495" s="58">
        <f>SUM(L496:L500)</f>
        <v>588.77860499999997</v>
      </c>
      <c r="M495" s="153">
        <f t="shared" ca="1" si="59"/>
        <v>1.0167453163503234E-5</v>
      </c>
      <c r="O495" s="148"/>
      <c r="R495" s="12"/>
    </row>
    <row r="496" spans="1:18" s="51" customFormat="1" ht="13.5" customHeight="1" outlineLevel="1" x14ac:dyDescent="0.3">
      <c r="A496" s="13">
        <f t="shared" si="60"/>
        <v>0</v>
      </c>
      <c r="B496" s="49"/>
      <c r="C496" s="49"/>
      <c r="D496" s="140" t="s">
        <v>2765</v>
      </c>
      <c r="E496" s="67" t="str">
        <f>VLOOKUP(D496,'03. Insumos'!A:D,2,0)</f>
        <v>Azulejo Metro Roca Areia 10 x 20cm - Mat</v>
      </c>
      <c r="F496" s="68" t="s">
        <v>2613</v>
      </c>
      <c r="G496" s="68" t="str">
        <f>VLOOKUP(D496,'03. Insumos'!A:F,3,0)</f>
        <v>m²</v>
      </c>
      <c r="H496" s="69">
        <v>1</v>
      </c>
      <c r="I496" s="141">
        <f>H495*1.15</f>
        <v>5.0714999999999995</v>
      </c>
      <c r="J496" s="70">
        <f>IFERROR(IF(K496&lt;&gt;0,K496*$K$5,0),0)</f>
        <v>70.47</v>
      </c>
      <c r="K496" s="54">
        <f>IF(A496=0,VLOOKUP(D496,'03. Insumos'!A:F,4,0),"")</f>
        <v>70.47</v>
      </c>
      <c r="L496" s="70">
        <f>H496*J496*I496</f>
        <v>357.38860499999998</v>
      </c>
      <c r="M496" s="355">
        <f t="shared" ca="1" si="59"/>
        <v>6.1716439280385498E-6</v>
      </c>
      <c r="O496" s="148">
        <f>IF(I496&lt;&gt;0,I496*H496*K496,)</f>
        <v>357.38860499999998</v>
      </c>
      <c r="R496" s="356">
        <f>IF(J496&lt;&gt;0,J496/1.03-K496,0)</f>
        <v>-2.0525242718446606</v>
      </c>
    </row>
    <row r="497" spans="1:18" s="51" customFormat="1" ht="13.5" customHeight="1" outlineLevel="1" x14ac:dyDescent="0.3">
      <c r="A497" s="13">
        <f t="shared" si="60"/>
        <v>0</v>
      </c>
      <c r="B497" s="49"/>
      <c r="C497" s="49"/>
      <c r="D497" s="140" t="s">
        <v>2405</v>
      </c>
      <c r="E497" s="67" t="str">
        <f>VLOOKUP(D497,'03. Insumos'!A:D,2,0)</f>
        <v>Mão de obra - Assentamento até 60x60cm</v>
      </c>
      <c r="F497" s="68" t="s">
        <v>2607</v>
      </c>
      <c r="G497" s="68" t="str">
        <f>VLOOKUP(D497,'03. Insumos'!A:F,3,0)</f>
        <v>m²</v>
      </c>
      <c r="H497" s="69">
        <v>1</v>
      </c>
      <c r="I497" s="141">
        <f>H495</f>
        <v>4.41</v>
      </c>
      <c r="J497" s="70">
        <f>IFERROR(IF(K497&lt;&gt;0,K497*$K$5,0),0)</f>
        <v>35</v>
      </c>
      <c r="K497" s="54">
        <f>IF(A497=0,VLOOKUP(D497,'03. Insumos'!A:F,4,0),"")</f>
        <v>35</v>
      </c>
      <c r="L497" s="70">
        <f>H497*J497*I497</f>
        <v>154.35</v>
      </c>
      <c r="M497" s="355">
        <f t="shared" ca="1" si="59"/>
        <v>2.6654270084877221E-6</v>
      </c>
      <c r="O497" s="148"/>
      <c r="R497" s="356"/>
    </row>
    <row r="498" spans="1:18" s="59" customFormat="1" ht="13.5" customHeight="1" outlineLevel="1" x14ac:dyDescent="0.3">
      <c r="A498" s="13">
        <f t="shared" si="60"/>
        <v>0</v>
      </c>
      <c r="B498" s="55"/>
      <c r="C498" s="55"/>
      <c r="D498" s="140" t="s">
        <v>2775</v>
      </c>
      <c r="E498" s="67" t="str">
        <f>VLOOKUP(D498,'03. Insumos'!A:D,2,0)</f>
        <v>Celumassa Colante AC3 flexível 20Kg</v>
      </c>
      <c r="F498" s="68" t="s">
        <v>2612</v>
      </c>
      <c r="G498" s="68" t="str">
        <f>VLOOKUP(D498,'03. Insumos'!A:F,3,0)</f>
        <v>sc</v>
      </c>
      <c r="H498" s="69">
        <v>1</v>
      </c>
      <c r="I498" s="141">
        <f>ROUND((H495*8)/20,0)</f>
        <v>2</v>
      </c>
      <c r="J498" s="70">
        <f>IFERROR(IF(K498&lt;&gt;0,K498*$K$5,0),0)</f>
        <v>17.5</v>
      </c>
      <c r="K498" s="54">
        <f>IF(A498=0,VLOOKUP(D498,'03. Insumos'!A:F,4,0),"")</f>
        <v>17.5</v>
      </c>
      <c r="L498" s="70">
        <f>H498*J498*I498</f>
        <v>35</v>
      </c>
      <c r="M498" s="355">
        <f t="shared" ca="1" si="59"/>
        <v>6.0440521734415474E-7</v>
      </c>
      <c r="O498" s="148">
        <f>IF(I498&lt;&gt;0,I498*H498*K498,)</f>
        <v>35</v>
      </c>
      <c r="R498" s="356">
        <f>IF(J498&lt;&gt;0,J498/1.03-K498,0)</f>
        <v>-0.50970873786407722</v>
      </c>
    </row>
    <row r="499" spans="1:18" s="51" customFormat="1" ht="13.5" customHeight="1" outlineLevel="1" x14ac:dyDescent="0.3">
      <c r="A499" s="13">
        <f t="shared" si="60"/>
        <v>0</v>
      </c>
      <c r="B499" s="49"/>
      <c r="C499" s="49"/>
      <c r="D499" s="140" t="s">
        <v>772</v>
      </c>
      <c r="E499" s="67" t="str">
        <f>VLOOKUP(D499,'03. Insumos'!A:D,2,0)</f>
        <v xml:space="preserve">Rejunte acrílico Portokoll </v>
      </c>
      <c r="F499" s="68" t="s">
        <v>2612</v>
      </c>
      <c r="G499" s="68" t="str">
        <f>VLOOKUP(D499,'03. Insumos'!A:F,3,0)</f>
        <v>Kg</v>
      </c>
      <c r="H499" s="69">
        <v>1</v>
      </c>
      <c r="I499" s="141">
        <f>ROUNDUP((H495*0.2),0)</f>
        <v>1</v>
      </c>
      <c r="J499" s="70">
        <f>IFERROR(IF(K499&lt;&gt;0,K499*$K$5,0),0)</f>
        <v>19.87</v>
      </c>
      <c r="K499" s="54">
        <f>IF(A499=0,VLOOKUP(D499,'03. Insumos'!A:F,4,0),"")</f>
        <v>19.87</v>
      </c>
      <c r="L499" s="70">
        <f>H499*J499*I499</f>
        <v>19.87</v>
      </c>
      <c r="M499" s="355">
        <f t="shared" ca="1" si="59"/>
        <v>3.4312947624652442E-7</v>
      </c>
      <c r="O499" s="148">
        <f>IF(I499&lt;&gt;0,I499*H499*K499,)</f>
        <v>19.87</v>
      </c>
      <c r="R499" s="356">
        <f>IF(J499&lt;&gt;0,J499/1.03-K499,0)</f>
        <v>-0.57873786407767014</v>
      </c>
    </row>
    <row r="500" spans="1:18" s="51" customFormat="1" ht="13.5" customHeight="1" outlineLevel="1" x14ac:dyDescent="0.3">
      <c r="A500" s="13">
        <f t="shared" si="60"/>
        <v>0</v>
      </c>
      <c r="B500" s="49"/>
      <c r="C500" s="49"/>
      <c r="D500" s="140" t="s">
        <v>773</v>
      </c>
      <c r="E500" s="67" t="str">
        <f>VLOOKUP(D500,'03. Insumos'!A:D,2,0)</f>
        <v>Espaçador - Cunha</v>
      </c>
      <c r="F500" s="68" t="s">
        <v>2612</v>
      </c>
      <c r="G500" s="68" t="str">
        <f>VLOOKUP(D500,'03. Insumos'!A:F,3,0)</f>
        <v>50 pcs</v>
      </c>
      <c r="H500" s="69">
        <v>1</v>
      </c>
      <c r="I500" s="141">
        <f>ROUNDUP(((H495*5)/100),0)</f>
        <v>1</v>
      </c>
      <c r="J500" s="70">
        <f>IFERROR(IF(K500&lt;&gt;0,K500*$K$5,0),0)</f>
        <v>22.17</v>
      </c>
      <c r="K500" s="54">
        <f>IF(A500=0,VLOOKUP(D500,'03. Insumos'!A:F,4,0),"")</f>
        <v>22.17</v>
      </c>
      <c r="L500" s="70">
        <f>H500*J500*I500</f>
        <v>22.17</v>
      </c>
      <c r="M500" s="355">
        <f t="shared" ca="1" si="59"/>
        <v>3.828475333862832E-7</v>
      </c>
      <c r="O500" s="148">
        <f>IF(I500&lt;&gt;0,I500*H500*K500,)</f>
        <v>22.17</v>
      </c>
      <c r="R500" s="356">
        <f>IF(J500&lt;&gt;0,J500/1.03-K500,0)</f>
        <v>-0.64572815533980688</v>
      </c>
    </row>
    <row r="501" spans="1:18" s="51" customFormat="1" ht="13.5" customHeight="1" outlineLevel="1" x14ac:dyDescent="0.3">
      <c r="A501" s="290">
        <f t="shared" si="60"/>
        <v>6</v>
      </c>
      <c r="B501" s="55"/>
      <c r="C501" s="55" t="s">
        <v>1510</v>
      </c>
      <c r="D501" s="55" t="s">
        <v>2744</v>
      </c>
      <c r="E501" s="55"/>
      <c r="F501" s="56"/>
      <c r="G501" s="56" t="s">
        <v>73</v>
      </c>
      <c r="H501" s="57">
        <v>5.72</v>
      </c>
      <c r="I501" s="57"/>
      <c r="J501" s="58"/>
      <c r="K501" s="58" t="str">
        <f>IF(A501=0,VLOOKUP(D501,'03. Insumos'!A:F,4,0),"")</f>
        <v/>
      </c>
      <c r="L501" s="58">
        <f>SUM(L502:L506)</f>
        <v>1316.9631199999999</v>
      </c>
      <c r="M501" s="153">
        <f t="shared" ca="1" si="59"/>
        <v>2.2742268022223888E-5</v>
      </c>
      <c r="O501" s="148"/>
      <c r="R501" s="12"/>
    </row>
    <row r="502" spans="1:18" s="51" customFormat="1" ht="13.5" customHeight="1" outlineLevel="1" x14ac:dyDescent="0.3">
      <c r="A502" s="13">
        <f t="shared" si="60"/>
        <v>0</v>
      </c>
      <c r="B502" s="49"/>
      <c r="C502" s="49"/>
      <c r="D502" s="140" t="s">
        <v>2766</v>
      </c>
      <c r="E502" s="67" t="str">
        <f>VLOOKUP(D502,'03. Insumos'!A:D,2,0)</f>
        <v>Material - Rodapé Porcelanato Margres Time T21- Snow Anti Slip 60x60cm</v>
      </c>
      <c r="F502" s="68" t="s">
        <v>2613</v>
      </c>
      <c r="G502" s="68" t="str">
        <f>VLOOKUP(D502,'03. Insumos'!A:F,3,0)</f>
        <v>m²</v>
      </c>
      <c r="H502" s="69">
        <v>1</v>
      </c>
      <c r="I502" s="141">
        <f>H501*1.15</f>
        <v>6.5779999999999994</v>
      </c>
      <c r="J502" s="70">
        <f>IFERROR(IF(K502&lt;&gt;0,K502*$K$5,0),0)</f>
        <v>155.04</v>
      </c>
      <c r="K502" s="54">
        <f>IF(A502=0,VLOOKUP(D502,'03. Insumos'!A:F,4,0),"")</f>
        <v>155.04</v>
      </c>
      <c r="L502" s="70">
        <f>H502*J502*I502</f>
        <v>1019.8531199999999</v>
      </c>
      <c r="M502" s="355">
        <f t="shared" ca="1" si="59"/>
        <v>1.7611558475791835E-5</v>
      </c>
      <c r="O502" s="148">
        <f>IF(I502&lt;&gt;0,I502*H502*K502,)</f>
        <v>1019.8531199999999</v>
      </c>
      <c r="R502" s="356">
        <f>IF(J502&lt;&gt;0,J502/1.03-K502,0)</f>
        <v>-4.515728155339815</v>
      </c>
    </row>
    <row r="503" spans="1:18" s="51" customFormat="1" ht="13.5" customHeight="1" outlineLevel="1" x14ac:dyDescent="0.3">
      <c r="A503" s="13">
        <f t="shared" si="60"/>
        <v>0</v>
      </c>
      <c r="B503" s="49"/>
      <c r="C503" s="49"/>
      <c r="D503" s="140" t="s">
        <v>2405</v>
      </c>
      <c r="E503" s="67" t="str">
        <f>VLOOKUP(D503,'03. Insumos'!A:D,2,0)</f>
        <v>Mão de obra - Assentamento até 60x60cm</v>
      </c>
      <c r="F503" s="68" t="s">
        <v>2607</v>
      </c>
      <c r="G503" s="68" t="str">
        <f>VLOOKUP(D503,'03. Insumos'!A:F,3,0)</f>
        <v>m²</v>
      </c>
      <c r="H503" s="69">
        <v>1</v>
      </c>
      <c r="I503" s="141">
        <f>H501</f>
        <v>5.72</v>
      </c>
      <c r="J503" s="70">
        <f>IFERROR(IF(K503&lt;&gt;0,K503*$K$5,0),0)</f>
        <v>35</v>
      </c>
      <c r="K503" s="54">
        <f>IF(A503=0,VLOOKUP(D503,'03. Insumos'!A:F,4,0),"")</f>
        <v>35</v>
      </c>
      <c r="L503" s="70">
        <f>H503*J503*I503</f>
        <v>200.2</v>
      </c>
      <c r="M503" s="355">
        <f t="shared" ca="1" si="59"/>
        <v>3.4571978432085649E-6</v>
      </c>
      <c r="O503" s="148"/>
      <c r="R503" s="356"/>
    </row>
    <row r="504" spans="1:18" s="59" customFormat="1" ht="13.5" customHeight="1" outlineLevel="1" x14ac:dyDescent="0.3">
      <c r="A504" s="13">
        <f t="shared" si="60"/>
        <v>0</v>
      </c>
      <c r="B504" s="55"/>
      <c r="C504" s="55"/>
      <c r="D504" s="140" t="s">
        <v>2775</v>
      </c>
      <c r="E504" s="67" t="str">
        <f>VLOOKUP(D504,'03. Insumos'!A:D,2,0)</f>
        <v>Celumassa Colante AC3 flexível 20Kg</v>
      </c>
      <c r="F504" s="68" t="s">
        <v>2612</v>
      </c>
      <c r="G504" s="68" t="str">
        <f>VLOOKUP(D504,'03. Insumos'!A:F,3,0)</f>
        <v>sc</v>
      </c>
      <c r="H504" s="69">
        <v>1</v>
      </c>
      <c r="I504" s="141">
        <f>ROUND((H501*8)/20,0)</f>
        <v>2</v>
      </c>
      <c r="J504" s="70">
        <f>IFERROR(IF(K504&lt;&gt;0,K504*$K$5,0),0)</f>
        <v>17.5</v>
      </c>
      <c r="K504" s="54">
        <f>IF(A504=0,VLOOKUP(D504,'03. Insumos'!A:F,4,0),"")</f>
        <v>17.5</v>
      </c>
      <c r="L504" s="70">
        <f>H504*J504*I504</f>
        <v>35</v>
      </c>
      <c r="M504" s="355">
        <f t="shared" ca="1" si="59"/>
        <v>6.0440521734415474E-7</v>
      </c>
      <c r="O504" s="148">
        <f>IF(I504&lt;&gt;0,I504*H504*K504,)</f>
        <v>35</v>
      </c>
      <c r="R504" s="356">
        <f>IF(J504&lt;&gt;0,J504/1.03-K504,0)</f>
        <v>-0.50970873786407722</v>
      </c>
    </row>
    <row r="505" spans="1:18" s="51" customFormat="1" ht="13.5" customHeight="1" outlineLevel="1" x14ac:dyDescent="0.3">
      <c r="A505" s="13">
        <f t="shared" si="60"/>
        <v>0</v>
      </c>
      <c r="B505" s="49"/>
      <c r="C505" s="49"/>
      <c r="D505" s="140" t="s">
        <v>772</v>
      </c>
      <c r="E505" s="67" t="str">
        <f>VLOOKUP(D505,'03. Insumos'!A:D,2,0)</f>
        <v xml:space="preserve">Rejunte acrílico Portokoll </v>
      </c>
      <c r="F505" s="68" t="s">
        <v>2612</v>
      </c>
      <c r="G505" s="68" t="str">
        <f>VLOOKUP(D505,'03. Insumos'!A:F,3,0)</f>
        <v>Kg</v>
      </c>
      <c r="H505" s="69">
        <v>1</v>
      </c>
      <c r="I505" s="141">
        <f>ROUNDUP((H501*0.2),0)</f>
        <v>2</v>
      </c>
      <c r="J505" s="70">
        <f>IFERROR(IF(K505&lt;&gt;0,K505*$K$5,0),0)</f>
        <v>19.87</v>
      </c>
      <c r="K505" s="54">
        <f>IF(A505=0,VLOOKUP(D505,'03. Insumos'!A:F,4,0),"")</f>
        <v>19.87</v>
      </c>
      <c r="L505" s="70">
        <f>H505*J505*I505</f>
        <v>39.74</v>
      </c>
      <c r="M505" s="355">
        <f t="shared" ca="1" si="59"/>
        <v>6.8625895249304884E-7</v>
      </c>
      <c r="O505" s="148">
        <f>IF(I505&lt;&gt;0,I505*H505*K505,)</f>
        <v>39.74</v>
      </c>
      <c r="R505" s="356">
        <f>IF(J505&lt;&gt;0,J505/1.03-K505,0)</f>
        <v>-0.57873786407767014</v>
      </c>
    </row>
    <row r="506" spans="1:18" s="51" customFormat="1" ht="13.5" customHeight="1" outlineLevel="1" x14ac:dyDescent="0.3">
      <c r="A506" s="13">
        <f t="shared" si="60"/>
        <v>0</v>
      </c>
      <c r="B506" s="49"/>
      <c r="C506" s="49"/>
      <c r="D506" s="140" t="s">
        <v>773</v>
      </c>
      <c r="E506" s="67" t="str">
        <f>VLOOKUP(D506,'03. Insumos'!A:D,2,0)</f>
        <v>Espaçador - Cunha</v>
      </c>
      <c r="F506" s="68" t="s">
        <v>2612</v>
      </c>
      <c r="G506" s="68" t="str">
        <f>VLOOKUP(D506,'03. Insumos'!A:F,3,0)</f>
        <v>50 pcs</v>
      </c>
      <c r="H506" s="69">
        <v>1</v>
      </c>
      <c r="I506" s="141">
        <f>ROUNDUP(((H501*5)/100),0)</f>
        <v>1</v>
      </c>
      <c r="J506" s="70">
        <f>IFERROR(IF(K506&lt;&gt;0,K506*$K$5,0),0)</f>
        <v>22.17</v>
      </c>
      <c r="K506" s="54">
        <f>IF(A506=0,VLOOKUP(D506,'03. Insumos'!A:F,4,0),"")</f>
        <v>22.17</v>
      </c>
      <c r="L506" s="70">
        <f>H506*J506*I506</f>
        <v>22.17</v>
      </c>
      <c r="M506" s="355">
        <f t="shared" ca="1" si="59"/>
        <v>3.828475333862832E-7</v>
      </c>
      <c r="O506" s="148">
        <f>IF(I506&lt;&gt;0,I506*H506*K506,)</f>
        <v>22.17</v>
      </c>
      <c r="R506" s="356">
        <f>IF(J506&lt;&gt;0,J506/1.03-K506,0)</f>
        <v>-0.64572815533980688</v>
      </c>
    </row>
    <row r="507" spans="1:18" s="59" customFormat="1" ht="13.5" customHeight="1" outlineLevel="1" x14ac:dyDescent="0.3">
      <c r="A507" s="290">
        <f t="shared" si="60"/>
        <v>6</v>
      </c>
      <c r="B507" s="55"/>
      <c r="C507" s="55" t="s">
        <v>1511</v>
      </c>
      <c r="D507" s="55" t="s">
        <v>2745</v>
      </c>
      <c r="E507" s="55"/>
      <c r="F507" s="56"/>
      <c r="G507" s="56" t="s">
        <v>73</v>
      </c>
      <c r="H507" s="57">
        <f>12.76+17.67+9.79+10.52+10.58+37.09</f>
        <v>98.41</v>
      </c>
      <c r="I507" s="57"/>
      <c r="J507" s="58"/>
      <c r="K507" s="58" t="str">
        <f>IF(A507=0,VLOOKUP(D507,'03. Insumos'!A:F,4,0),"")</f>
        <v/>
      </c>
      <c r="L507" s="58">
        <f>SUM(L508:L510)</f>
        <v>17830.586999999996</v>
      </c>
      <c r="M507" s="153">
        <f t="shared" ca="1" si="59"/>
        <v>3.0791142317453877E-4</v>
      </c>
      <c r="O507" s="148">
        <f>IF(I507&lt;&gt;0,I507*H507*K507,)</f>
        <v>0</v>
      </c>
      <c r="R507" s="12">
        <f>IF(J507&lt;&gt;0,J507/1.03-K507,0)</f>
        <v>0</v>
      </c>
    </row>
    <row r="508" spans="1:18" s="51" customFormat="1" ht="13.5" customHeight="1" outlineLevel="1" x14ac:dyDescent="0.3">
      <c r="A508" s="290">
        <f t="shared" si="60"/>
        <v>0</v>
      </c>
      <c r="B508" s="49"/>
      <c r="C508" s="49"/>
      <c r="D508" s="140" t="s">
        <v>2772</v>
      </c>
      <c r="E508" s="67" t="str">
        <f>VLOOKUP(D508,'03. Insumos'!A:D,2,0)</f>
        <v>PISO VINÍLICO TARKET, LINHA AMBIENTA SÉRIES, COLEÇÃO SPEC BÉTULA 9344606 TEXTURA LISA - mat</v>
      </c>
      <c r="F508" s="68" t="s">
        <v>2613</v>
      </c>
      <c r="G508" s="68" t="str">
        <f>VLOOKUP(D508,'03. Insumos'!A:F,3,0)</f>
        <v>m²</v>
      </c>
      <c r="H508" s="69">
        <v>1</v>
      </c>
      <c r="I508" s="141">
        <f>H507*1.15</f>
        <v>113.17149999999998</v>
      </c>
      <c r="J508" s="70">
        <f>IFERROR(IF(K508&lt;&gt;0,K508*$K$5,0),0)</f>
        <v>118</v>
      </c>
      <c r="K508" s="54">
        <f>IF(A508=0,VLOOKUP(D508,'03. Insumos'!A:F,4,0),"")</f>
        <v>118</v>
      </c>
      <c r="L508" s="70">
        <f>H508*J508*I508</f>
        <v>13354.236999999997</v>
      </c>
      <c r="M508" s="153">
        <f t="shared" ca="1" si="59"/>
        <v>2.3061058618429575E-4</v>
      </c>
      <c r="O508" s="148">
        <f>IF(I508&lt;&gt;0,I508*H508*K508,)</f>
        <v>13354.236999999997</v>
      </c>
      <c r="R508" s="12">
        <f>IF(J508&lt;&gt;0,J508/1.03-K508,0)</f>
        <v>-3.4368932038834998</v>
      </c>
    </row>
    <row r="509" spans="1:18" s="51" customFormat="1" ht="13.5" customHeight="1" outlineLevel="1" x14ac:dyDescent="0.3">
      <c r="A509" s="290">
        <f t="shared" si="60"/>
        <v>0</v>
      </c>
      <c r="B509" s="49"/>
      <c r="C509" s="49"/>
      <c r="D509" s="140" t="s">
        <v>781</v>
      </c>
      <c r="E509" s="67" t="str">
        <f>VLOOKUP(D509,'03. Insumos'!A:D,2,0)</f>
        <v>Mão de obra - Execução do piso vinílico Tarkett, linha Ambienta coleção Rustico</v>
      </c>
      <c r="F509" s="68" t="s">
        <v>2607</v>
      </c>
      <c r="G509" s="68" t="str">
        <f>VLOOKUP(D509,'03. Insumos'!A:F,3,0)</f>
        <v>m²</v>
      </c>
      <c r="H509" s="69">
        <v>1</v>
      </c>
      <c r="I509" s="141">
        <f>H507</f>
        <v>98.41</v>
      </c>
      <c r="J509" s="70">
        <f>IFERROR(IF(K509&lt;&gt;0,K509*$K$5,0),0)</f>
        <v>35</v>
      </c>
      <c r="K509" s="54">
        <f>IF(A509=0,VLOOKUP(D509,'03. Insumos'!A:F,4,0),"")</f>
        <v>35</v>
      </c>
      <c r="L509" s="70">
        <f>H509*J509*I509</f>
        <v>3444.35</v>
      </c>
      <c r="M509" s="153">
        <f t="shared" ca="1" si="59"/>
        <v>5.9479517438838261E-5</v>
      </c>
      <c r="O509" s="148"/>
      <c r="R509" s="12"/>
    </row>
    <row r="510" spans="1:18" s="51" customFormat="1" ht="13.5" customHeight="1" outlineLevel="1" x14ac:dyDescent="0.3">
      <c r="A510" s="290">
        <f t="shared" si="60"/>
        <v>0</v>
      </c>
      <c r="B510" s="49"/>
      <c r="C510" s="49"/>
      <c r="D510" s="140" t="s">
        <v>791</v>
      </c>
      <c r="E510" s="67" t="str">
        <f>VLOOKUP(D510,'03. Insumos'!A:D,2,0)</f>
        <v>Cola para piso vinílico global fix - balde 4kg</v>
      </c>
      <c r="F510" s="68" t="s">
        <v>2612</v>
      </c>
      <c r="G510" s="68" t="str">
        <f>VLOOKUP(D510,'03. Insumos'!A:F,3,0)</f>
        <v>balde</v>
      </c>
      <c r="H510" s="69">
        <v>1</v>
      </c>
      <c r="I510" s="141">
        <f>ROUNDUP((H507*0.3/4),0)</f>
        <v>8</v>
      </c>
      <c r="J510" s="70">
        <f>IFERROR(IF(K510&lt;&gt;0,K510*$K$5,0),0)</f>
        <v>129</v>
      </c>
      <c r="K510" s="54">
        <f>IF(A510=0,VLOOKUP(D510,'03. Insumos'!A:F,4,0),"")</f>
        <v>129</v>
      </c>
      <c r="L510" s="70">
        <f>H510*J510*I510</f>
        <v>1032</v>
      </c>
      <c r="M510" s="153">
        <f t="shared" ca="1" si="59"/>
        <v>1.7821319551404791E-5</v>
      </c>
      <c r="O510" s="148"/>
      <c r="R510" s="12"/>
    </row>
    <row r="511" spans="1:18" s="59" customFormat="1" ht="13.5" customHeight="1" outlineLevel="1" x14ac:dyDescent="0.3">
      <c r="A511" s="290">
        <f t="shared" si="60"/>
        <v>6</v>
      </c>
      <c r="B511" s="55"/>
      <c r="C511" s="55" t="s">
        <v>1512</v>
      </c>
      <c r="D511" s="55" t="s">
        <v>2786</v>
      </c>
      <c r="E511" s="55"/>
      <c r="F511" s="56"/>
      <c r="G511" s="56" t="s">
        <v>1376</v>
      </c>
      <c r="H511" s="57">
        <v>1</v>
      </c>
      <c r="I511" s="57"/>
      <c r="J511" s="58"/>
      <c r="K511" s="58" t="str">
        <f>IF(A511=0,VLOOKUP(D511,'03. Insumos'!A:F,4,0),"")</f>
        <v/>
      </c>
      <c r="L511" s="58">
        <f>SUM(L512:L513)</f>
        <v>10000</v>
      </c>
      <c r="M511" s="153">
        <f t="shared" ca="1" si="59"/>
        <v>1.7268720495547277E-4</v>
      </c>
      <c r="O511" s="148">
        <f>IF(I511&lt;&gt;0,I511*H511*K511,)</f>
        <v>0</v>
      </c>
      <c r="R511" s="12">
        <f>IF(J511&lt;&gt;0,J511/1.03-K511,0)</f>
        <v>0</v>
      </c>
    </row>
    <row r="512" spans="1:18" s="51" customFormat="1" ht="13.5" customHeight="1" outlineLevel="1" x14ac:dyDescent="0.3">
      <c r="A512" s="290">
        <f t="shared" si="60"/>
        <v>0</v>
      </c>
      <c r="B512" s="49"/>
      <c r="C512" s="49"/>
      <c r="D512" s="140" t="s">
        <v>789</v>
      </c>
      <c r="E512" s="67" t="str">
        <f>VLOOKUP(D512,'03. Insumos'!A:D,2,0)</f>
        <v>Frete revestimentos</v>
      </c>
      <c r="F512" s="68" t="s">
        <v>2613</v>
      </c>
      <c r="G512" s="68" t="str">
        <f>VLOOKUP(D512,'03. Insumos'!A:F,3,0)</f>
        <v>vb</v>
      </c>
      <c r="H512" s="69">
        <v>1</v>
      </c>
      <c r="I512" s="141">
        <f>H511</f>
        <v>1</v>
      </c>
      <c r="J512" s="70">
        <f>IFERROR(IF(K512&lt;&gt;0,K512*$K$5,0),0)</f>
        <v>10000</v>
      </c>
      <c r="K512" s="54">
        <f>IF(A512=0,VLOOKUP(D512,'03. Insumos'!A:F,4,0),"")</f>
        <v>10000</v>
      </c>
      <c r="L512" s="70">
        <f>H512*J512*I512</f>
        <v>10000</v>
      </c>
      <c r="M512" s="153">
        <f t="shared" ca="1" si="59"/>
        <v>1.7268720495547277E-4</v>
      </c>
      <c r="O512" s="148">
        <f>IF(I512&lt;&gt;0,I512*H512*K512,)</f>
        <v>10000</v>
      </c>
      <c r="R512" s="12">
        <f>IF(J512&lt;&gt;0,J512/1.03-K512,0)</f>
        <v>-291.26213592233034</v>
      </c>
    </row>
    <row r="513" spans="1:18" s="51" customFormat="1" ht="13.5" hidden="1" customHeight="1" outlineLevel="1" x14ac:dyDescent="0.3">
      <c r="A513" s="290">
        <f t="shared" si="60"/>
        <v>0</v>
      </c>
      <c r="B513" s="49"/>
      <c r="C513" s="49"/>
      <c r="D513" s="140" t="s">
        <v>771</v>
      </c>
      <c r="E513" s="357" t="s">
        <v>2787</v>
      </c>
      <c r="F513" s="68" t="s">
        <v>2607</v>
      </c>
      <c r="G513" s="68" t="str">
        <f>VLOOKUP(D513,'03. Insumos'!A:F,3,0)</f>
        <v>m</v>
      </c>
      <c r="H513" s="69">
        <v>1</v>
      </c>
      <c r="I513" s="141"/>
      <c r="J513" s="70">
        <f>IFERROR(IF(K513&lt;&gt;0,K513*$K$5,0),0)</f>
        <v>12</v>
      </c>
      <c r="K513" s="54">
        <f>IF(A513=0,VLOOKUP(D513,'03. Insumos'!A:F,4,0),"")</f>
        <v>12</v>
      </c>
      <c r="L513" s="70">
        <f>H513*J513*I513</f>
        <v>0</v>
      </c>
      <c r="M513" s="153">
        <f t="shared" ca="1" si="59"/>
        <v>0</v>
      </c>
      <c r="O513" s="148"/>
      <c r="R513" s="12"/>
    </row>
    <row r="514" spans="1:18" s="59" customFormat="1" ht="13.5" hidden="1" customHeight="1" outlineLevel="1" x14ac:dyDescent="0.3">
      <c r="A514" s="13">
        <f t="shared" si="60"/>
        <v>6</v>
      </c>
      <c r="B514" s="55"/>
      <c r="C514" s="55" t="s">
        <v>1311</v>
      </c>
      <c r="D514" s="55" t="s">
        <v>2427</v>
      </c>
      <c r="E514" s="55"/>
      <c r="F514" s="56"/>
      <c r="G514" s="56" t="s">
        <v>74</v>
      </c>
      <c r="H514" s="57"/>
      <c r="I514" s="57"/>
      <c r="J514" s="58"/>
      <c r="K514" s="58" t="str">
        <f>IF(A514=0,VLOOKUP(D514,'03. Insumos'!A:F,4,0),"")</f>
        <v/>
      </c>
      <c r="L514" s="58">
        <f>SUM(L515:L516)</f>
        <v>0</v>
      </c>
      <c r="M514" s="355">
        <f t="shared" ca="1" si="59"/>
        <v>0</v>
      </c>
      <c r="O514" s="148">
        <f>IF(I514&lt;&gt;0,I514*H514*K514,)</f>
        <v>0</v>
      </c>
      <c r="R514" s="356">
        <f>IF(J514&lt;&gt;0,J514/1.03-K514,0)</f>
        <v>0</v>
      </c>
    </row>
    <row r="515" spans="1:18" s="51" customFormat="1" ht="13.5" hidden="1" customHeight="1" outlineLevel="1" x14ac:dyDescent="0.3">
      <c r="A515" s="13">
        <f t="shared" si="60"/>
        <v>0</v>
      </c>
      <c r="B515" s="49"/>
      <c r="C515" s="49"/>
      <c r="D515" s="140" t="s">
        <v>2431</v>
      </c>
      <c r="E515" s="49" t="str">
        <f>VLOOKUP(D515,'03. Insumos'!A:D,2,0)</f>
        <v>Material - Fornecimento de rodapé em alumínio invertido h= 3 cm</v>
      </c>
      <c r="F515" s="68" t="s">
        <v>2613</v>
      </c>
      <c r="G515" s="68" t="str">
        <f>VLOOKUP(D515,'03. Insumos'!A:F,3,0)</f>
        <v>m</v>
      </c>
      <c r="H515" s="69">
        <v>1</v>
      </c>
      <c r="I515" s="141">
        <f>H514*1.1</f>
        <v>0</v>
      </c>
      <c r="J515" s="70">
        <f>IFERROR(IF(K515&lt;&gt;0,K515*$K$5,0),0)</f>
        <v>23</v>
      </c>
      <c r="K515" s="54">
        <f>IF(A515=0,VLOOKUP(D515,'03. Insumos'!A:F,4,0),"")</f>
        <v>23</v>
      </c>
      <c r="L515" s="70">
        <f>H515*J515*I515</f>
        <v>0</v>
      </c>
      <c r="M515" s="355">
        <f t="shared" ca="1" si="59"/>
        <v>0</v>
      </c>
      <c r="O515" s="148">
        <f>IF(I515&lt;&gt;0,I515*H515*K515,)</f>
        <v>0</v>
      </c>
      <c r="R515" s="356">
        <f>IF(J515&lt;&gt;0,J515/1.03-K515,0)</f>
        <v>-0.66990291262136026</v>
      </c>
    </row>
    <row r="516" spans="1:18" s="51" customFormat="1" ht="13.5" hidden="1" customHeight="1" outlineLevel="1" x14ac:dyDescent="0.3">
      <c r="A516" s="13">
        <f t="shared" si="60"/>
        <v>0</v>
      </c>
      <c r="B516" s="49"/>
      <c r="C516" s="49"/>
      <c r="D516" s="140" t="s">
        <v>2432</v>
      </c>
      <c r="E516" s="49" t="str">
        <f>VLOOKUP(D516,'03. Insumos'!A:D,2,0)</f>
        <v>Mão de obra - Assentamento de rodapé em alumínio invertido h= 3 cm</v>
      </c>
      <c r="F516" s="68"/>
      <c r="G516" s="68" t="str">
        <f>VLOOKUP(D516,'03. Insumos'!A:F,3,0)</f>
        <v>m</v>
      </c>
      <c r="H516" s="69">
        <v>1</v>
      </c>
      <c r="I516" s="141">
        <f>H514</f>
        <v>0</v>
      </c>
      <c r="J516" s="70">
        <f>IFERROR(IF(K516&lt;&gt;0,K516*$K$5,0),0)</f>
        <v>30</v>
      </c>
      <c r="K516" s="54">
        <f>IF(A516=0,VLOOKUP(D516,'03. Insumos'!A:F,4,0),"")</f>
        <v>30</v>
      </c>
      <c r="L516" s="70">
        <f>H516*J516*I516</f>
        <v>0</v>
      </c>
      <c r="M516" s="355">
        <f t="shared" ca="1" si="59"/>
        <v>0</v>
      </c>
      <c r="O516" s="148"/>
      <c r="R516" s="356"/>
    </row>
    <row r="517" spans="1:18" s="59" customFormat="1" ht="13.5" hidden="1" customHeight="1" outlineLevel="1" x14ac:dyDescent="0.3">
      <c r="A517" s="13">
        <f t="shared" si="60"/>
        <v>6</v>
      </c>
      <c r="B517" s="55"/>
      <c r="C517" s="55" t="s">
        <v>1311</v>
      </c>
      <c r="D517" s="55" t="s">
        <v>1860</v>
      </c>
      <c r="E517" s="55"/>
      <c r="F517" s="56"/>
      <c r="G517" s="56"/>
      <c r="H517" s="57"/>
      <c r="I517" s="57"/>
      <c r="J517" s="58"/>
      <c r="K517" s="58" t="str">
        <f>IF(A517=0,VLOOKUP(D517,'03. Insumos'!A:F,4,0),"")</f>
        <v/>
      </c>
      <c r="L517" s="58">
        <f>SUM(L518:L523)</f>
        <v>0</v>
      </c>
      <c r="M517" s="355">
        <f t="shared" ca="1" si="59"/>
        <v>0</v>
      </c>
      <c r="O517" s="148">
        <f>IF(I517&lt;&gt;0,I517*H517*K517,)</f>
        <v>0</v>
      </c>
      <c r="R517" s="356">
        <f>IF(J517&lt;&gt;0,J517/1.03-K517,0)</f>
        <v>0</v>
      </c>
    </row>
    <row r="518" spans="1:18" s="51" customFormat="1" ht="13.5" hidden="1" customHeight="1" outlineLevel="1" x14ac:dyDescent="0.3">
      <c r="A518" s="13">
        <f t="shared" si="60"/>
        <v>0</v>
      </c>
      <c r="B518" s="49"/>
      <c r="C518" s="49"/>
      <c r="D518" s="140" t="s">
        <v>1863</v>
      </c>
      <c r="E518" s="49" t="str">
        <f>VLOOKUP(D518,'03. Insumos'!A:D,2,0)</f>
        <v>Aplicação de Bona Fosco + Lixamento</v>
      </c>
      <c r="F518" s="68"/>
      <c r="G518" s="68" t="str">
        <f>VLOOKUP(D518,'03. Insumos'!A:F,3,0)</f>
        <v>m²</v>
      </c>
      <c r="H518" s="69">
        <v>1</v>
      </c>
      <c r="I518" s="141"/>
      <c r="J518" s="70">
        <f t="shared" ref="J518:J523" si="61">IFERROR(IF(K518&lt;&gt;0,K518*$K$5,0),0)</f>
        <v>135</v>
      </c>
      <c r="K518" s="54">
        <f>IF(A518=0,VLOOKUP(D518,'03. Insumos'!A:F,4,0),"")</f>
        <v>135</v>
      </c>
      <c r="L518" s="70">
        <f t="shared" ref="L518:L523" si="62">H518*J518*I518</f>
        <v>0</v>
      </c>
      <c r="M518" s="355">
        <f t="shared" ca="1" si="59"/>
        <v>0</v>
      </c>
      <c r="O518" s="148"/>
      <c r="R518" s="356"/>
    </row>
    <row r="519" spans="1:18" s="51" customFormat="1" ht="13.5" hidden="1" customHeight="1" outlineLevel="1" x14ac:dyDescent="0.3">
      <c r="A519" s="13">
        <f t="shared" si="60"/>
        <v>0</v>
      </c>
      <c r="B519" s="49"/>
      <c r="C519" s="49"/>
      <c r="D519" s="140" t="s">
        <v>1864</v>
      </c>
      <c r="E519" s="49" t="str">
        <f>VLOOKUP(D519,'03. Insumos'!A:D,2,0)</f>
        <v>Frete - Tábua corrida em Peroba Mica, 15cm</v>
      </c>
      <c r="F519" s="68"/>
      <c r="G519" s="68" t="str">
        <f>VLOOKUP(D519,'03. Insumos'!A:F,3,0)</f>
        <v>vb</v>
      </c>
      <c r="H519" s="69">
        <v>1</v>
      </c>
      <c r="I519" s="141"/>
      <c r="J519" s="70">
        <f t="shared" si="61"/>
        <v>1000</v>
      </c>
      <c r="K519" s="54">
        <f>IF(A519=0,VLOOKUP(D519,'03. Insumos'!A:F,4,0),"")</f>
        <v>1000</v>
      </c>
      <c r="L519" s="70">
        <f t="shared" si="62"/>
        <v>0</v>
      </c>
      <c r="M519" s="355">
        <f t="shared" ca="1" si="59"/>
        <v>0</v>
      </c>
      <c r="O519" s="148"/>
      <c r="R519" s="356"/>
    </row>
    <row r="520" spans="1:18" s="51" customFormat="1" ht="13.5" hidden="1" customHeight="1" outlineLevel="1" x14ac:dyDescent="0.3">
      <c r="A520" s="13">
        <f t="shared" si="60"/>
        <v>0</v>
      </c>
      <c r="B520" s="49"/>
      <c r="C520" s="49"/>
      <c r="D520" s="140" t="s">
        <v>191</v>
      </c>
      <c r="E520" s="49" t="str">
        <f>VLOOKUP(D520,'03. Insumos'!A:D,2,0)</f>
        <v>Argamassa multiuso 50kg (pequenas Qtde)</v>
      </c>
      <c r="F520" s="68"/>
      <c r="G520" s="68" t="str">
        <f>VLOOKUP(D520,'03. Insumos'!A:F,3,0)</f>
        <v>uni</v>
      </c>
      <c r="H520" s="69">
        <v>1</v>
      </c>
      <c r="I520" s="141"/>
      <c r="J520" s="70">
        <f t="shared" si="61"/>
        <v>21.5</v>
      </c>
      <c r="K520" s="54">
        <f>IF(A520=0,VLOOKUP(D520,'03. Insumos'!A:F,4,0),"")</f>
        <v>21.5</v>
      </c>
      <c r="L520" s="70">
        <f t="shared" si="62"/>
        <v>0</v>
      </c>
      <c r="M520" s="355">
        <f t="shared" ca="1" si="59"/>
        <v>0</v>
      </c>
      <c r="O520" s="148"/>
      <c r="R520" s="356"/>
    </row>
    <row r="521" spans="1:18" s="51" customFormat="1" ht="13.5" hidden="1" customHeight="1" outlineLevel="1" x14ac:dyDescent="0.3">
      <c r="A521" s="13">
        <f t="shared" si="60"/>
        <v>0</v>
      </c>
      <c r="B521" s="49"/>
      <c r="C521" s="49"/>
      <c r="D521" s="140" t="s">
        <v>1899</v>
      </c>
      <c r="E521" s="49" t="str">
        <f>VLOOKUP(D521,'03. Insumos'!A:D,2,0)</f>
        <v>Areia ensacada ( saco 20 Kg)</v>
      </c>
      <c r="F521" s="68"/>
      <c r="G521" s="68" t="str">
        <f>VLOOKUP(D521,'03. Insumos'!A:F,3,0)</f>
        <v>m³</v>
      </c>
      <c r="H521" s="69">
        <v>1</v>
      </c>
      <c r="I521" s="141"/>
      <c r="J521" s="70">
        <f t="shared" si="61"/>
        <v>422</v>
      </c>
      <c r="K521" s="54">
        <f>IF(A521=0,VLOOKUP(D521,'03. Insumos'!A:F,4,0),"")</f>
        <v>422</v>
      </c>
      <c r="L521" s="70">
        <f t="shared" si="62"/>
        <v>0</v>
      </c>
      <c r="M521" s="355">
        <f t="shared" ca="1" si="59"/>
        <v>0</v>
      </c>
      <c r="O521" s="148"/>
      <c r="R521" s="356"/>
    </row>
    <row r="522" spans="1:18" s="51" customFormat="1" ht="13.5" hidden="1" customHeight="1" outlineLevel="1" x14ac:dyDescent="0.3">
      <c r="A522" s="13">
        <f t="shared" si="60"/>
        <v>0</v>
      </c>
      <c r="B522" s="49"/>
      <c r="C522" s="49"/>
      <c r="D522" s="140" t="s">
        <v>1900</v>
      </c>
      <c r="E522" s="49" t="str">
        <f>VLOOKUP(D522,'03. Insumos'!A:D,2,0)</f>
        <v>Cimento (saco 50 Kg)</v>
      </c>
      <c r="F522" s="68"/>
      <c r="G522" s="68" t="str">
        <f>VLOOKUP(D522,'03. Insumos'!A:F,3,0)</f>
        <v>unid</v>
      </c>
      <c r="H522" s="69">
        <v>1</v>
      </c>
      <c r="I522" s="141"/>
      <c r="J522" s="70">
        <f t="shared" si="61"/>
        <v>16</v>
      </c>
      <c r="K522" s="54">
        <f>IF(A522=0,VLOOKUP(D522,'03. Insumos'!A:F,4,0),"")</f>
        <v>16</v>
      </c>
      <c r="L522" s="70">
        <f t="shared" si="62"/>
        <v>0</v>
      </c>
      <c r="M522" s="355">
        <f t="shared" ca="1" si="59"/>
        <v>0</v>
      </c>
      <c r="O522" s="148"/>
      <c r="R522" s="356"/>
    </row>
    <row r="523" spans="1:18" s="51" customFormat="1" ht="13.5" hidden="1" customHeight="1" outlineLevel="1" x14ac:dyDescent="0.3">
      <c r="A523" s="13">
        <f t="shared" si="60"/>
        <v>0</v>
      </c>
      <c r="B523" s="49"/>
      <c r="C523" s="49"/>
      <c r="D523" s="140" t="s">
        <v>1915</v>
      </c>
      <c r="E523" s="49" t="str">
        <f>VLOOKUP(D523,'03. Insumos'!A:D,2,0)</f>
        <v>Bianco Vedacit</v>
      </c>
      <c r="F523" s="68"/>
      <c r="G523" s="68" t="str">
        <f>VLOOKUP(D523,'03. Insumos'!A:F,3,0)</f>
        <v>Balde 18 L</v>
      </c>
      <c r="H523" s="69">
        <v>1</v>
      </c>
      <c r="I523" s="141"/>
      <c r="J523" s="70">
        <f t="shared" si="61"/>
        <v>239.9</v>
      </c>
      <c r="K523" s="54">
        <f>IF(A523=0,VLOOKUP(D523,'03. Insumos'!A:F,4,0),"")</f>
        <v>239.9</v>
      </c>
      <c r="L523" s="70">
        <f t="shared" si="62"/>
        <v>0</v>
      </c>
      <c r="M523" s="355">
        <f t="shared" ca="1" si="59"/>
        <v>0</v>
      </c>
      <c r="O523" s="148"/>
      <c r="R523" s="356"/>
    </row>
    <row r="524" spans="1:18" s="59" customFormat="1" ht="13.5" hidden="1" customHeight="1" outlineLevel="1" x14ac:dyDescent="0.3">
      <c r="A524" s="13">
        <f t="shared" si="60"/>
        <v>6</v>
      </c>
      <c r="B524" s="55"/>
      <c r="C524" s="55" t="s">
        <v>1369</v>
      </c>
      <c r="D524" s="55" t="s">
        <v>2433</v>
      </c>
      <c r="E524" s="55"/>
      <c r="F524" s="56"/>
      <c r="G524" s="56" t="s">
        <v>74</v>
      </c>
      <c r="H524" s="57"/>
      <c r="I524" s="57"/>
      <c r="J524" s="58"/>
      <c r="K524" s="58" t="str">
        <f>IF(A524=0,VLOOKUP(D524,'03. Insumos'!A:F,4,0),"")</f>
        <v/>
      </c>
      <c r="L524" s="58">
        <f>SUM(L525:L529)</f>
        <v>0</v>
      </c>
      <c r="M524" s="355">
        <f t="shared" ca="1" si="59"/>
        <v>0</v>
      </c>
      <c r="O524" s="148">
        <f>IF(I524&lt;&gt;0,I524*H524*K524,)</f>
        <v>0</v>
      </c>
      <c r="R524" s="356">
        <f>IF(J524&lt;&gt;0,J524/1.03-K524,0)</f>
        <v>0</v>
      </c>
    </row>
    <row r="525" spans="1:18" s="51" customFormat="1" ht="13.5" hidden="1" customHeight="1" outlineLevel="1" x14ac:dyDescent="0.3">
      <c r="A525" s="13">
        <f t="shared" si="60"/>
        <v>0</v>
      </c>
      <c r="B525" s="49"/>
      <c r="C525" s="49"/>
      <c r="D525" s="140" t="s">
        <v>2436</v>
      </c>
      <c r="E525" s="49" t="str">
        <f>VLOOKUP(D525,'03. Insumos'!A:D,2,0)</f>
        <v>Material - Fornecimento de Painel borda mini crystalli fino cinza - 50 x 17</v>
      </c>
      <c r="F525" s="68" t="s">
        <v>2613</v>
      </c>
      <c r="G525" s="68" t="str">
        <f>VLOOKUP(D525,'03. Insumos'!A:F,3,0)</f>
        <v>pç</v>
      </c>
      <c r="H525" s="69">
        <v>1</v>
      </c>
      <c r="I525" s="141">
        <f>(H524*2)*1.15</f>
        <v>0</v>
      </c>
      <c r="J525" s="70">
        <f>IFERROR(IF(K525&lt;&gt;0,K525*$K$5,0),0)</f>
        <v>90.75</v>
      </c>
      <c r="K525" s="54">
        <f>IF(A525=0,VLOOKUP(D525,'03. Insumos'!A:F,4,0),"")</f>
        <v>90.75</v>
      </c>
      <c r="L525" s="70">
        <f>H525*J525*I525</f>
        <v>0</v>
      </c>
      <c r="M525" s="355">
        <f t="shared" ca="1" si="59"/>
        <v>0</v>
      </c>
      <c r="O525" s="148">
        <f>IF(I525&lt;&gt;0,I525*H525*K525,)</f>
        <v>0</v>
      </c>
      <c r="R525" s="356">
        <f>IF(J525&lt;&gt;0,J525/1.03-K525,0)</f>
        <v>-2.643203883495147</v>
      </c>
    </row>
    <row r="526" spans="1:18" s="51" customFormat="1" ht="13.5" hidden="1" customHeight="1" outlineLevel="1" x14ac:dyDescent="0.3">
      <c r="A526" s="13">
        <f t="shared" si="60"/>
        <v>0</v>
      </c>
      <c r="B526" s="49"/>
      <c r="C526" s="49"/>
      <c r="D526" s="140" t="s">
        <v>2437</v>
      </c>
      <c r="E526" s="49" t="str">
        <f>VLOOKUP(D526,'03. Insumos'!A:D,2,0)</f>
        <v>Mão de obra - Assentamento de Painel borda mini crystalli fino cinza - 50 x 17</v>
      </c>
      <c r="F526" s="68" t="s">
        <v>2607</v>
      </c>
      <c r="G526" s="68" t="str">
        <f>VLOOKUP(D526,'03. Insumos'!A:F,3,0)</f>
        <v>m</v>
      </c>
      <c r="H526" s="69">
        <v>1</v>
      </c>
      <c r="I526" s="141">
        <f>H524</f>
        <v>0</v>
      </c>
      <c r="J526" s="70">
        <f>IFERROR(IF(K526&lt;&gt;0,K526*$K$5,0),0)</f>
        <v>27.28</v>
      </c>
      <c r="K526" s="54">
        <f>IF(A526=0,VLOOKUP(D526,'03. Insumos'!A:F,4,0),"")</f>
        <v>27.28</v>
      </c>
      <c r="L526" s="70">
        <f>H526*J526*I526</f>
        <v>0</v>
      </c>
      <c r="M526" s="355">
        <f t="shared" ca="1" si="59"/>
        <v>0</v>
      </c>
      <c r="O526" s="148"/>
      <c r="R526" s="356"/>
    </row>
    <row r="527" spans="1:18" s="51" customFormat="1" ht="13.5" hidden="1" customHeight="1" outlineLevel="1" x14ac:dyDescent="0.3">
      <c r="A527" s="13">
        <f t="shared" si="60"/>
        <v>0</v>
      </c>
      <c r="B527" s="49"/>
      <c r="C527" s="49"/>
      <c r="D527" s="140" t="s">
        <v>199</v>
      </c>
      <c r="E527" s="49" t="str">
        <f>VLOOKUP(D527,'03. Insumos'!A:D,2,0)</f>
        <v>Argamassa colante 20kg</v>
      </c>
      <c r="F527" s="68" t="s">
        <v>2612</v>
      </c>
      <c r="G527" s="68" t="str">
        <f>VLOOKUP(D527,'03. Insumos'!A:F,3,0)</f>
        <v>uni</v>
      </c>
      <c r="H527" s="69">
        <v>1</v>
      </c>
      <c r="I527" s="141">
        <f>ROUND((H524*8)/20,0)</f>
        <v>0</v>
      </c>
      <c r="J527" s="70">
        <f>IFERROR(IF(K527&lt;&gt;0,K527*$K$5,0),0)</f>
        <v>21.9</v>
      </c>
      <c r="K527" s="54">
        <f>IF(A527=0,VLOOKUP(D527,'03. Insumos'!A:F,4,0),"")</f>
        <v>21.9</v>
      </c>
      <c r="L527" s="70">
        <f>H527*J527*I527</f>
        <v>0</v>
      </c>
      <c r="M527" s="355">
        <f t="shared" ca="1" si="59"/>
        <v>0</v>
      </c>
      <c r="O527" s="148"/>
      <c r="R527" s="356"/>
    </row>
    <row r="528" spans="1:18" s="51" customFormat="1" ht="13.5" hidden="1" customHeight="1" outlineLevel="1" x14ac:dyDescent="0.3">
      <c r="A528" s="13">
        <f t="shared" si="60"/>
        <v>0</v>
      </c>
      <c r="B528" s="49"/>
      <c r="C528" s="49"/>
      <c r="D528" s="140" t="s">
        <v>772</v>
      </c>
      <c r="E528" s="49" t="str">
        <f>VLOOKUP(D528,'03. Insumos'!A:D,2,0)</f>
        <v xml:space="preserve">Rejunte acrílico Portokoll </v>
      </c>
      <c r="F528" s="68" t="s">
        <v>2612</v>
      </c>
      <c r="G528" s="68" t="str">
        <f>VLOOKUP(D528,'03. Insumos'!A:F,3,0)</f>
        <v>Kg</v>
      </c>
      <c r="H528" s="69">
        <v>1</v>
      </c>
      <c r="I528" s="141">
        <f>ROUNDUP((H524*0.35),0)</f>
        <v>0</v>
      </c>
      <c r="J528" s="70">
        <f>IFERROR(IF(K528&lt;&gt;0,K528*$K$5,0),0)</f>
        <v>19.87</v>
      </c>
      <c r="K528" s="54">
        <f>IF(A528=0,VLOOKUP(D528,'03. Insumos'!A:F,4,0),"")</f>
        <v>19.87</v>
      </c>
      <c r="L528" s="70">
        <f>H528*J528*I528</f>
        <v>0</v>
      </c>
      <c r="M528" s="355">
        <f t="shared" ca="1" si="59"/>
        <v>0</v>
      </c>
      <c r="O528" s="148"/>
      <c r="R528" s="356"/>
    </row>
    <row r="529" spans="1:18" s="51" customFormat="1" ht="13.5" hidden="1" customHeight="1" outlineLevel="1" x14ac:dyDescent="0.3">
      <c r="A529" s="13">
        <f t="shared" si="60"/>
        <v>0</v>
      </c>
      <c r="B529" s="49"/>
      <c r="C529" s="49"/>
      <c r="D529" s="140" t="s">
        <v>773</v>
      </c>
      <c r="E529" s="49" t="str">
        <f>VLOOKUP(D529,'03. Insumos'!A:D,2,0)</f>
        <v>Espaçador - Cunha</v>
      </c>
      <c r="F529" s="68" t="s">
        <v>2612</v>
      </c>
      <c r="G529" s="68" t="str">
        <f>VLOOKUP(D529,'03. Insumos'!A:F,3,0)</f>
        <v>50 pcs</v>
      </c>
      <c r="H529" s="69">
        <v>1</v>
      </c>
      <c r="I529" s="141">
        <f>ROUNDUP(((H524*5)/100),0)</f>
        <v>0</v>
      </c>
      <c r="J529" s="70">
        <f>IFERROR(IF(K529&lt;&gt;0,K529*$K$5,0),0)</f>
        <v>22.17</v>
      </c>
      <c r="K529" s="54">
        <f>IF(A529=0,VLOOKUP(D529,'03. Insumos'!A:F,4,0),"")</f>
        <v>22.17</v>
      </c>
      <c r="L529" s="70">
        <f>H529*J529*I529</f>
        <v>0</v>
      </c>
      <c r="M529" s="355">
        <f t="shared" ca="1" si="59"/>
        <v>0</v>
      </c>
      <c r="O529" s="148"/>
      <c r="R529" s="356"/>
    </row>
    <row r="530" spans="1:18" s="59" customFormat="1" ht="13.5" hidden="1" customHeight="1" outlineLevel="1" x14ac:dyDescent="0.3">
      <c r="A530" s="13">
        <f t="shared" si="60"/>
        <v>6</v>
      </c>
      <c r="B530" s="55"/>
      <c r="C530" s="55" t="s">
        <v>1370</v>
      </c>
      <c r="D530" s="55" t="s">
        <v>2212</v>
      </c>
      <c r="E530" s="55"/>
      <c r="F530" s="56"/>
      <c r="G530" s="56" t="s">
        <v>73</v>
      </c>
      <c r="H530" s="57"/>
      <c r="I530" s="57"/>
      <c r="J530" s="58"/>
      <c r="K530" s="58" t="str">
        <f>IF(A530=0,VLOOKUP(D530,'03. Insumos'!A:F,4,0),"")</f>
        <v/>
      </c>
      <c r="L530" s="58">
        <f>SUM(L531:L537)</f>
        <v>0</v>
      </c>
      <c r="M530" s="355">
        <f t="shared" ca="1" si="59"/>
        <v>0</v>
      </c>
      <c r="O530" s="148">
        <f>IF(I530&lt;&gt;0,I530*H530*K530,)</f>
        <v>0</v>
      </c>
      <c r="R530" s="356">
        <f>IF(J530&lt;&gt;0,J530/1.03-K530,0)</f>
        <v>0</v>
      </c>
    </row>
    <row r="531" spans="1:18" s="51" customFormat="1" ht="13.5" hidden="1" customHeight="1" outlineLevel="1" x14ac:dyDescent="0.3">
      <c r="A531" s="13">
        <f t="shared" si="60"/>
        <v>0</v>
      </c>
      <c r="B531" s="49"/>
      <c r="C531" s="49"/>
      <c r="D531" s="140" t="s">
        <v>2215</v>
      </c>
      <c r="E531" s="49" t="str">
        <f>VLOOKUP(D531,'03. Insumos'!A:D,2,0)</f>
        <v>Piso Manhatan Offwhite Estato Delarte 84 x 84</v>
      </c>
      <c r="F531" s="68"/>
      <c r="G531" s="68" t="str">
        <f>VLOOKUP(D531,'03. Insumos'!A:F,3,0)</f>
        <v>m²</v>
      </c>
      <c r="H531" s="69">
        <v>1</v>
      </c>
      <c r="I531" s="141">
        <f>H530*1.15</f>
        <v>0</v>
      </c>
      <c r="J531" s="70">
        <f t="shared" ref="J531:J537" si="63">IFERROR(IF(K531&lt;&gt;0,K531*$K$5,0),0)</f>
        <v>0</v>
      </c>
      <c r="K531" s="54">
        <f>IF(A531=0,VLOOKUP(D531,'03. Insumos'!A:F,4,0),"")</f>
        <v>0</v>
      </c>
      <c r="L531" s="70">
        <f t="shared" ref="L531:L537" si="64">H531*J531*I531</f>
        <v>0</v>
      </c>
      <c r="M531" s="355">
        <f t="shared" ca="1" si="59"/>
        <v>0</v>
      </c>
      <c r="O531" s="148">
        <f>IF(I531&lt;&gt;0,I531*H531*K531,)</f>
        <v>0</v>
      </c>
      <c r="R531" s="356">
        <f>IF(J531&lt;&gt;0,J531/1.03-K531,0)</f>
        <v>0</v>
      </c>
    </row>
    <row r="532" spans="1:18" s="51" customFormat="1" ht="13.5" hidden="1" customHeight="1" outlineLevel="1" x14ac:dyDescent="0.3">
      <c r="A532" s="13">
        <f t="shared" si="60"/>
        <v>0</v>
      </c>
      <c r="B532" s="49"/>
      <c r="C532" s="49"/>
      <c r="D532" s="140" t="s">
        <v>2096</v>
      </c>
      <c r="E532" s="49" t="str">
        <f>VLOOKUP(D532,'03. Insumos'!A:D,2,0)</f>
        <v>Impermeabilizante oleofugante</v>
      </c>
      <c r="F532" s="68"/>
      <c r="G532" s="68" t="str">
        <f>VLOOKUP(D532,'03. Insumos'!A:F,3,0)</f>
        <v>LT</v>
      </c>
      <c r="H532" s="69">
        <v>1</v>
      </c>
      <c r="I532" s="141"/>
      <c r="J532" s="70">
        <f t="shared" si="63"/>
        <v>74</v>
      </c>
      <c r="K532" s="54">
        <f>IF(A532=0,VLOOKUP(D532,'03. Insumos'!A:F,4,0),"")</f>
        <v>74</v>
      </c>
      <c r="L532" s="70">
        <f>H532*J532*I532</f>
        <v>0</v>
      </c>
      <c r="M532" s="355">
        <f t="shared" ca="1" si="59"/>
        <v>0</v>
      </c>
      <c r="O532" s="148"/>
      <c r="R532" s="356"/>
    </row>
    <row r="533" spans="1:18" s="51" customFormat="1" ht="13.5" hidden="1" customHeight="1" outlineLevel="1" x14ac:dyDescent="0.3">
      <c r="A533" s="13">
        <f t="shared" si="60"/>
        <v>0</v>
      </c>
      <c r="B533" s="49"/>
      <c r="C533" s="49"/>
      <c r="D533" s="140" t="s">
        <v>779</v>
      </c>
      <c r="E533" s="49" t="str">
        <f>VLOOKUP(D533,'03. Insumos'!A:D,2,0)</f>
        <v>Mão de obra - Execução do porcelanato 90x90cm Karst off white EXT</v>
      </c>
      <c r="F533" s="68"/>
      <c r="G533" s="68" t="str">
        <f>VLOOKUP(D533,'03. Insumos'!A:F,3,0)</f>
        <v>m²</v>
      </c>
      <c r="H533" s="69">
        <v>1</v>
      </c>
      <c r="I533" s="141"/>
      <c r="J533" s="70">
        <f t="shared" si="63"/>
        <v>79.52</v>
      </c>
      <c r="K533" s="54">
        <f>IF(A533=0,VLOOKUP(D533,'03. Insumos'!A:F,4,0),"")</f>
        <v>79.52</v>
      </c>
      <c r="L533" s="70">
        <f t="shared" si="64"/>
        <v>0</v>
      </c>
      <c r="M533" s="355">
        <f t="shared" ca="1" si="59"/>
        <v>0</v>
      </c>
      <c r="O533" s="148"/>
      <c r="R533" s="356"/>
    </row>
    <row r="534" spans="1:18" s="51" customFormat="1" ht="13.5" hidden="1" customHeight="1" outlineLevel="1" x14ac:dyDescent="0.3">
      <c r="A534" s="13">
        <f t="shared" si="60"/>
        <v>0</v>
      </c>
      <c r="B534" s="49"/>
      <c r="C534" s="49"/>
      <c r="D534" s="140" t="s">
        <v>1588</v>
      </c>
      <c r="E534" s="49" t="str">
        <f>VLOOKUP(D534,'03. Insumos'!A:D,2,0)</f>
        <v>Material - Execução borda do porcelanato 90x90cm Karst off white EXT</v>
      </c>
      <c r="F534" s="68"/>
      <c r="G534" s="68" t="str">
        <f>VLOOKUP(D534,'03. Insumos'!A:F,3,0)</f>
        <v>pç</v>
      </c>
      <c r="H534" s="69">
        <v>1</v>
      </c>
      <c r="I534" s="141"/>
      <c r="J534" s="70">
        <f t="shared" si="63"/>
        <v>143.9</v>
      </c>
      <c r="K534" s="54">
        <f>IF(A534=0,VLOOKUP(D534,'03. Insumos'!A:F,4,0),"")</f>
        <v>143.9</v>
      </c>
      <c r="L534" s="70">
        <f t="shared" si="64"/>
        <v>0</v>
      </c>
      <c r="M534" s="355">
        <f t="shared" ca="1" si="59"/>
        <v>0</v>
      </c>
      <c r="O534" s="148"/>
      <c r="R534" s="356"/>
    </row>
    <row r="535" spans="1:18" s="51" customFormat="1" ht="13.5" hidden="1" customHeight="1" outlineLevel="1" x14ac:dyDescent="0.3">
      <c r="A535" s="13">
        <f t="shared" si="60"/>
        <v>0</v>
      </c>
      <c r="B535" s="49"/>
      <c r="C535" s="49"/>
      <c r="D535" s="140" t="s">
        <v>199</v>
      </c>
      <c r="E535" s="49" t="str">
        <f>VLOOKUP(D535,'03. Insumos'!A:D,2,0)</f>
        <v>Argamassa colante 20kg</v>
      </c>
      <c r="F535" s="68"/>
      <c r="G535" s="68" t="str">
        <f>VLOOKUP(D535,'03. Insumos'!A:F,3,0)</f>
        <v>uni</v>
      </c>
      <c r="H535" s="69">
        <v>1</v>
      </c>
      <c r="I535" s="141">
        <f>ROUND((H530*10)/20,0)</f>
        <v>0</v>
      </c>
      <c r="J535" s="70">
        <f t="shared" si="63"/>
        <v>21.9</v>
      </c>
      <c r="K535" s="54">
        <f>IF(A535=0,VLOOKUP(D535,'03. Insumos'!A:F,4,0),"")</f>
        <v>21.9</v>
      </c>
      <c r="L535" s="70">
        <f t="shared" si="64"/>
        <v>0</v>
      </c>
      <c r="M535" s="355">
        <f t="shared" ca="1" si="59"/>
        <v>0</v>
      </c>
      <c r="O535" s="148"/>
      <c r="R535" s="356"/>
    </row>
    <row r="536" spans="1:18" s="51" customFormat="1" ht="13.5" hidden="1" customHeight="1" outlineLevel="1" x14ac:dyDescent="0.3">
      <c r="A536" s="13">
        <f t="shared" si="60"/>
        <v>0</v>
      </c>
      <c r="B536" s="49"/>
      <c r="C536" s="49"/>
      <c r="D536" s="140" t="s">
        <v>772</v>
      </c>
      <c r="E536" s="49" t="str">
        <f>VLOOKUP(D536,'03. Insumos'!A:D,2,0)</f>
        <v xml:space="preserve">Rejunte acrílico Portokoll </v>
      </c>
      <c r="F536" s="68"/>
      <c r="G536" s="68" t="str">
        <f>VLOOKUP(D536,'03. Insumos'!A:F,3,0)</f>
        <v>Kg</v>
      </c>
      <c r="H536" s="69"/>
      <c r="I536" s="141">
        <f>ROUNDUP((H532*0.05),0)</f>
        <v>1</v>
      </c>
      <c r="J536" s="70">
        <f t="shared" si="63"/>
        <v>19.87</v>
      </c>
      <c r="K536" s="54">
        <f>IF(A536=0,VLOOKUP(D536,'03. Insumos'!A:F,4,0),"")</f>
        <v>19.87</v>
      </c>
      <c r="L536" s="70">
        <f t="shared" si="64"/>
        <v>0</v>
      </c>
      <c r="M536" s="355">
        <f t="shared" ca="1" si="59"/>
        <v>0</v>
      </c>
      <c r="O536" s="148"/>
      <c r="R536" s="356"/>
    </row>
    <row r="537" spans="1:18" s="51" customFormat="1" ht="13.5" hidden="1" customHeight="1" outlineLevel="1" x14ac:dyDescent="0.3">
      <c r="A537" s="13">
        <f t="shared" si="60"/>
        <v>0</v>
      </c>
      <c r="B537" s="49"/>
      <c r="C537" s="49"/>
      <c r="D537" s="140" t="s">
        <v>773</v>
      </c>
      <c r="E537" s="49" t="str">
        <f>VLOOKUP(D537,'03. Insumos'!A:D,2,0)</f>
        <v>Espaçador - Cunha</v>
      </c>
      <c r="F537" s="68"/>
      <c r="G537" s="68" t="str">
        <f>VLOOKUP(D537,'03. Insumos'!A:F,3,0)</f>
        <v>50 pcs</v>
      </c>
      <c r="H537" s="69">
        <v>1</v>
      </c>
      <c r="I537" s="141">
        <f>ROUNDUP((H530/100),0)</f>
        <v>0</v>
      </c>
      <c r="J537" s="70">
        <f t="shared" si="63"/>
        <v>22.17</v>
      </c>
      <c r="K537" s="54">
        <f>IF(A537=0,VLOOKUP(D537,'03. Insumos'!A:F,4,0),"")</f>
        <v>22.17</v>
      </c>
      <c r="L537" s="70">
        <f t="shared" si="64"/>
        <v>0</v>
      </c>
      <c r="M537" s="355">
        <f t="shared" ca="1" si="59"/>
        <v>0</v>
      </c>
      <c r="O537" s="148"/>
      <c r="R537" s="356"/>
    </row>
    <row r="538" spans="1:18" s="59" customFormat="1" ht="13.5" hidden="1" customHeight="1" outlineLevel="1" x14ac:dyDescent="0.3">
      <c r="A538" s="13">
        <f t="shared" si="60"/>
        <v>6</v>
      </c>
      <c r="B538" s="55"/>
      <c r="C538" s="55" t="s">
        <v>1511</v>
      </c>
      <c r="D538" s="55" t="s">
        <v>2419</v>
      </c>
      <c r="E538" s="55"/>
      <c r="F538" s="56"/>
      <c r="G538" s="56" t="s">
        <v>73</v>
      </c>
      <c r="H538" s="57"/>
      <c r="I538" s="57"/>
      <c r="J538" s="58"/>
      <c r="K538" s="58" t="str">
        <f>IF(A538=0,VLOOKUP(D538,'03. Insumos'!A:F,4,0),"")</f>
        <v/>
      </c>
      <c r="L538" s="58">
        <f>SUM(L539:L544)</f>
        <v>0</v>
      </c>
      <c r="M538" s="355">
        <f t="shared" ca="1" si="59"/>
        <v>0</v>
      </c>
      <c r="O538" s="148">
        <f>IF(I538&lt;&gt;0,I538*H538*K538,)</f>
        <v>0</v>
      </c>
      <c r="R538" s="356">
        <f>IF(J538&lt;&gt;0,J538/1.03-K538,0)</f>
        <v>0</v>
      </c>
    </row>
    <row r="539" spans="1:18" s="51" customFormat="1" ht="13.5" hidden="1" customHeight="1" outlineLevel="1" x14ac:dyDescent="0.3">
      <c r="A539" s="13">
        <f t="shared" si="60"/>
        <v>0</v>
      </c>
      <c r="B539" s="49"/>
      <c r="C539" s="49"/>
      <c r="D539" s="140" t="s">
        <v>2420</v>
      </c>
      <c r="E539" s="49" t="str">
        <f>VLOOKUP(D539,'03. Insumos'!A:D,2,0)</f>
        <v>Material - Fornecimento de painel madeyra vecchia - 20 x 100</v>
      </c>
      <c r="F539" s="68" t="s">
        <v>2613</v>
      </c>
      <c r="G539" s="68" t="str">
        <f>VLOOKUP(D539,'03. Insumos'!A:F,3,0)</f>
        <v>m²</v>
      </c>
      <c r="H539" s="69">
        <v>1</v>
      </c>
      <c r="I539" s="141">
        <f>H538*1.1</f>
        <v>0</v>
      </c>
      <c r="J539" s="70">
        <f t="shared" ref="J539:J544" si="65">IFERROR(IF(K539&lt;&gt;0,K539*$K$5,0),0)</f>
        <v>279</v>
      </c>
      <c r="K539" s="54">
        <f>IF(A539=0,VLOOKUP(D539,'03. Insumos'!A:F,4,0),"")</f>
        <v>279</v>
      </c>
      <c r="L539" s="70">
        <f t="shared" ref="L539:L544" si="66">H539*J539*I539</f>
        <v>0</v>
      </c>
      <c r="M539" s="355">
        <f t="shared" ca="1" si="59"/>
        <v>0</v>
      </c>
      <c r="O539" s="148">
        <f>IF(I539&lt;&gt;0,I539*H539*K539,)</f>
        <v>0</v>
      </c>
      <c r="R539" s="356">
        <f>IF(J539&lt;&gt;0,J539/1.03-K539,0)</f>
        <v>-8.1262135922330003</v>
      </c>
    </row>
    <row r="540" spans="1:18" s="51" customFormat="1" ht="13.5" hidden="1" customHeight="1" outlineLevel="1" x14ac:dyDescent="0.3">
      <c r="A540" s="13">
        <f t="shared" si="60"/>
        <v>0</v>
      </c>
      <c r="B540" s="49"/>
      <c r="C540" s="49"/>
      <c r="D540" s="140" t="s">
        <v>2421</v>
      </c>
      <c r="E540" s="49" t="str">
        <f>VLOOKUP(D540,'03. Insumos'!A:D,2,0)</f>
        <v>Mão de obra - Assentamento de painel madeyra vecchia - 20 x 100</v>
      </c>
      <c r="F540" s="68" t="s">
        <v>2607</v>
      </c>
      <c r="G540" s="68" t="str">
        <f>VLOOKUP(D540,'03. Insumos'!A:F,3,0)</f>
        <v>m²</v>
      </c>
      <c r="H540" s="69">
        <v>1</v>
      </c>
      <c r="I540" s="141">
        <f>H538</f>
        <v>0</v>
      </c>
      <c r="J540" s="70">
        <f t="shared" si="65"/>
        <v>49.75</v>
      </c>
      <c r="K540" s="54">
        <f>IF(A540=0,VLOOKUP(D540,'03. Insumos'!A:F,4,0),"")</f>
        <v>49.75</v>
      </c>
      <c r="L540" s="70">
        <f t="shared" si="66"/>
        <v>0</v>
      </c>
      <c r="M540" s="355">
        <f t="shared" ca="1" si="59"/>
        <v>0</v>
      </c>
      <c r="O540" s="148"/>
      <c r="R540" s="356"/>
    </row>
    <row r="541" spans="1:18" s="51" customFormat="1" ht="13.5" hidden="1" customHeight="1" outlineLevel="1" x14ac:dyDescent="0.3">
      <c r="A541" s="13">
        <f t="shared" si="60"/>
        <v>0</v>
      </c>
      <c r="B541" s="49"/>
      <c r="C541" s="49"/>
      <c r="D541" s="140" t="s">
        <v>2577</v>
      </c>
      <c r="E541" s="49" t="str">
        <f>VLOOKUP(D541,'03. Insumos'!A:D,2,0)</f>
        <v>Cera BS 200 WB - canela (galão)</v>
      </c>
      <c r="F541" s="68" t="s">
        <v>2613</v>
      </c>
      <c r="G541" s="68" t="str">
        <f>VLOOKUP(D541,'03. Insumos'!A:F,3,0)</f>
        <v>Unid</v>
      </c>
      <c r="H541" s="69">
        <v>1</v>
      </c>
      <c r="I541" s="141">
        <f>ROUNDUP((H538*0.1818),0)</f>
        <v>0</v>
      </c>
      <c r="J541" s="70">
        <f t="shared" si="65"/>
        <v>128</v>
      </c>
      <c r="K541" s="54">
        <f>IF(A541=0,VLOOKUP(D541,'03. Insumos'!A:F,4,0),"")</f>
        <v>128</v>
      </c>
      <c r="L541" s="70">
        <f t="shared" si="66"/>
        <v>0</v>
      </c>
      <c r="M541" s="355">
        <f t="shared" ca="1" si="59"/>
        <v>0</v>
      </c>
      <c r="O541" s="148"/>
      <c r="R541" s="356"/>
    </row>
    <row r="542" spans="1:18" s="51" customFormat="1" ht="13.5" hidden="1" customHeight="1" outlineLevel="1" x14ac:dyDescent="0.3">
      <c r="A542" s="13">
        <f t="shared" si="60"/>
        <v>0</v>
      </c>
      <c r="B542" s="49"/>
      <c r="C542" s="49"/>
      <c r="D542" s="140" t="s">
        <v>199</v>
      </c>
      <c r="E542" s="49" t="str">
        <f>VLOOKUP(D542,'03. Insumos'!A:D,2,0)</f>
        <v>Argamassa colante 20kg</v>
      </c>
      <c r="F542" s="68" t="s">
        <v>2612</v>
      </c>
      <c r="G542" s="68" t="str">
        <f>VLOOKUP(D542,'03. Insumos'!A:F,3,0)</f>
        <v>uni</v>
      </c>
      <c r="H542" s="69">
        <v>1</v>
      </c>
      <c r="I542" s="141">
        <f>ROUND((H538*8)/20,0)</f>
        <v>0</v>
      </c>
      <c r="J542" s="70">
        <f t="shared" si="65"/>
        <v>21.9</v>
      </c>
      <c r="K542" s="54">
        <f>IF(A542=0,VLOOKUP(D542,'03. Insumos'!A:F,4,0),"")</f>
        <v>21.9</v>
      </c>
      <c r="L542" s="70">
        <f t="shared" si="66"/>
        <v>0</v>
      </c>
      <c r="M542" s="355">
        <f t="shared" ca="1" si="59"/>
        <v>0</v>
      </c>
      <c r="O542" s="148"/>
      <c r="R542" s="356"/>
    </row>
    <row r="543" spans="1:18" s="51" customFormat="1" ht="13.5" hidden="1" customHeight="1" outlineLevel="1" x14ac:dyDescent="0.3">
      <c r="A543" s="13">
        <f t="shared" si="60"/>
        <v>0</v>
      </c>
      <c r="B543" s="49"/>
      <c r="C543" s="49"/>
      <c r="D543" s="140" t="s">
        <v>772</v>
      </c>
      <c r="E543" s="49" t="str">
        <f>VLOOKUP(D543,'03. Insumos'!A:D,2,0)</f>
        <v xml:space="preserve">Rejunte acrílico Portokoll </v>
      </c>
      <c r="F543" s="68" t="s">
        <v>2612</v>
      </c>
      <c r="G543" s="68" t="str">
        <f>VLOOKUP(D543,'03. Insumos'!A:F,3,0)</f>
        <v>Kg</v>
      </c>
      <c r="H543" s="69">
        <v>1</v>
      </c>
      <c r="I543" s="141"/>
      <c r="J543" s="70">
        <f t="shared" si="65"/>
        <v>19.87</v>
      </c>
      <c r="K543" s="54">
        <f>IF(A543=0,VLOOKUP(D543,'03. Insumos'!A:F,4,0),"")</f>
        <v>19.87</v>
      </c>
      <c r="L543" s="70">
        <f t="shared" si="66"/>
        <v>0</v>
      </c>
      <c r="M543" s="355">
        <f t="shared" ca="1" si="59"/>
        <v>0</v>
      </c>
      <c r="O543" s="148"/>
      <c r="R543" s="356"/>
    </row>
    <row r="544" spans="1:18" s="51" customFormat="1" ht="13.5" hidden="1" customHeight="1" outlineLevel="1" x14ac:dyDescent="0.3">
      <c r="A544" s="13">
        <f t="shared" si="60"/>
        <v>0</v>
      </c>
      <c r="B544" s="49"/>
      <c r="C544" s="49"/>
      <c r="D544" s="140" t="s">
        <v>773</v>
      </c>
      <c r="E544" s="49" t="str">
        <f>VLOOKUP(D544,'03. Insumos'!A:D,2,0)</f>
        <v>Espaçador - Cunha</v>
      </c>
      <c r="F544" s="68" t="s">
        <v>2612</v>
      </c>
      <c r="G544" s="68" t="str">
        <f>VLOOKUP(D544,'03. Insumos'!A:F,3,0)</f>
        <v>50 pcs</v>
      </c>
      <c r="H544" s="69">
        <v>1</v>
      </c>
      <c r="I544" s="141">
        <f>ROUNDUP(((H538*5)/100),0)</f>
        <v>0</v>
      </c>
      <c r="J544" s="70">
        <f t="shared" si="65"/>
        <v>22.17</v>
      </c>
      <c r="K544" s="54">
        <f>IF(A544=0,VLOOKUP(D544,'03. Insumos'!A:F,4,0),"")</f>
        <v>22.17</v>
      </c>
      <c r="L544" s="70">
        <f t="shared" si="66"/>
        <v>0</v>
      </c>
      <c r="M544" s="355">
        <f t="shared" ca="1" si="59"/>
        <v>0</v>
      </c>
      <c r="O544" s="148"/>
      <c r="R544" s="356"/>
    </row>
    <row r="545" spans="1:18" s="59" customFormat="1" ht="13.5" hidden="1" customHeight="1" outlineLevel="1" x14ac:dyDescent="0.3">
      <c r="A545" s="13">
        <f t="shared" si="60"/>
        <v>6</v>
      </c>
      <c r="B545" s="55"/>
      <c r="C545" s="55" t="s">
        <v>1512</v>
      </c>
      <c r="D545" s="55" t="s">
        <v>2438</v>
      </c>
      <c r="E545" s="55"/>
      <c r="F545" s="56"/>
      <c r="G545" s="56" t="s">
        <v>73</v>
      </c>
      <c r="H545" s="57"/>
      <c r="I545" s="57"/>
      <c r="J545" s="58"/>
      <c r="K545" s="58" t="str">
        <f>IF(A545=0,VLOOKUP(D545,'03. Insumos'!A:F,4,0),"")</f>
        <v/>
      </c>
      <c r="L545" s="58">
        <f>SUM(L546:L551)</f>
        <v>0</v>
      </c>
      <c r="M545" s="355">
        <f t="shared" ca="1" si="59"/>
        <v>0</v>
      </c>
      <c r="O545" s="148">
        <f>IF(I545&lt;&gt;0,I545*H545*K545,)</f>
        <v>0</v>
      </c>
      <c r="R545" s="356">
        <f>IF(J545&lt;&gt;0,J545/1.03-K545,0)</f>
        <v>0</v>
      </c>
    </row>
    <row r="546" spans="1:18" s="51" customFormat="1" ht="13.5" hidden="1" customHeight="1" outlineLevel="1" x14ac:dyDescent="0.3">
      <c r="A546" s="13">
        <f t="shared" si="60"/>
        <v>0</v>
      </c>
      <c r="B546" s="49"/>
      <c r="C546" s="49"/>
      <c r="D546" s="140" t="s">
        <v>2441</v>
      </c>
      <c r="E546" s="49" t="str">
        <f>VLOOKUP(D546,'03. Insumos'!A:D,2,0)</f>
        <v>Material - Fornecimento de Painel acabamento plano crystalli fino cinza - 100 x 100</v>
      </c>
      <c r="F546" s="68" t="s">
        <v>2613</v>
      </c>
      <c r="G546" s="68" t="str">
        <f>VLOOKUP(D546,'03. Insumos'!A:F,3,0)</f>
        <v>pç</v>
      </c>
      <c r="H546" s="69">
        <v>1</v>
      </c>
      <c r="I546" s="141">
        <f>H545*1.15</f>
        <v>0</v>
      </c>
      <c r="J546" s="70">
        <f t="shared" ref="J546:J551" si="67">IFERROR(IF(K546&lt;&gt;0,K546*$K$5,0),0)</f>
        <v>289</v>
      </c>
      <c r="K546" s="54">
        <f>IF(A546=0,VLOOKUP(D546,'03. Insumos'!A:F,4,0),"")</f>
        <v>289</v>
      </c>
      <c r="L546" s="70">
        <f t="shared" ref="L546:L551" si="68">H546*J546*I546</f>
        <v>0</v>
      </c>
      <c r="M546" s="355">
        <f t="shared" ca="1" si="59"/>
        <v>0</v>
      </c>
      <c r="O546" s="148">
        <f>IF(I546&lt;&gt;0,I546*H546*K546,)</f>
        <v>0</v>
      </c>
      <c r="R546" s="356">
        <f>IF(J546&lt;&gt;0,J546/1.03-K546,0)</f>
        <v>-8.4174757281553525</v>
      </c>
    </row>
    <row r="547" spans="1:18" s="51" customFormat="1" ht="13.5" hidden="1" customHeight="1" outlineLevel="1" x14ac:dyDescent="0.3">
      <c r="A547" s="13">
        <f t="shared" si="60"/>
        <v>0</v>
      </c>
      <c r="B547" s="49"/>
      <c r="C547" s="49"/>
      <c r="D547" s="140" t="s">
        <v>2442</v>
      </c>
      <c r="E547" s="49" t="str">
        <f>VLOOKUP(D547,'03. Insumos'!A:D,2,0)</f>
        <v>Mão de obra - Assentamento de Painel acabamento plano crystalli fino cinza - 100 x 100</v>
      </c>
      <c r="F547" s="68" t="s">
        <v>2607</v>
      </c>
      <c r="G547" s="68" t="str">
        <f>VLOOKUP(D547,'03. Insumos'!A:F,3,0)</f>
        <v>m²</v>
      </c>
      <c r="H547" s="69">
        <v>1</v>
      </c>
      <c r="I547" s="141">
        <f>H545</f>
        <v>0</v>
      </c>
      <c r="J547" s="70">
        <f t="shared" si="67"/>
        <v>54.55</v>
      </c>
      <c r="K547" s="54">
        <f>IF(A547=0,VLOOKUP(D547,'03. Insumos'!A:F,4,0),"")</f>
        <v>54.55</v>
      </c>
      <c r="L547" s="70">
        <f t="shared" si="68"/>
        <v>0</v>
      </c>
      <c r="M547" s="355">
        <f t="shared" ca="1" si="59"/>
        <v>0</v>
      </c>
      <c r="O547" s="148"/>
      <c r="R547" s="356"/>
    </row>
    <row r="548" spans="1:18" s="51" customFormat="1" ht="13.5" hidden="1" customHeight="1" outlineLevel="1" x14ac:dyDescent="0.3">
      <c r="A548" s="13">
        <f t="shared" si="60"/>
        <v>0</v>
      </c>
      <c r="B548" s="49"/>
      <c r="C548" s="49"/>
      <c r="D548" s="140" t="s">
        <v>2578</v>
      </c>
      <c r="E548" s="49" t="str">
        <f>VLOOKUP(D548,'03. Insumos'!A:D,2,0)</f>
        <v>Cera externa - cinza</v>
      </c>
      <c r="F548" s="68" t="s">
        <v>2613</v>
      </c>
      <c r="G548" s="68" t="str">
        <f>VLOOKUP(D548,'03. Insumos'!A:F,3,0)</f>
        <v>pç</v>
      </c>
      <c r="H548" s="69">
        <v>1</v>
      </c>
      <c r="I548" s="141"/>
      <c r="J548" s="70">
        <f t="shared" si="67"/>
        <v>73</v>
      </c>
      <c r="K548" s="54">
        <f>IF(A548=0,VLOOKUP(D548,'03. Insumos'!A:F,4,0),"")</f>
        <v>73</v>
      </c>
      <c r="L548" s="70">
        <f t="shared" si="68"/>
        <v>0</v>
      </c>
      <c r="M548" s="355">
        <f t="shared" ca="1" si="59"/>
        <v>0</v>
      </c>
      <c r="O548" s="148"/>
      <c r="R548" s="356"/>
    </row>
    <row r="549" spans="1:18" s="51" customFormat="1" ht="13.5" hidden="1" customHeight="1" outlineLevel="1" x14ac:dyDescent="0.3">
      <c r="A549" s="13">
        <f t="shared" si="60"/>
        <v>0</v>
      </c>
      <c r="B549" s="49"/>
      <c r="C549" s="49"/>
      <c r="D549" s="140" t="s">
        <v>199</v>
      </c>
      <c r="E549" s="49" t="str">
        <f>VLOOKUP(D549,'03. Insumos'!A:D,2,0)</f>
        <v>Argamassa colante 20kg</v>
      </c>
      <c r="F549" s="68" t="s">
        <v>2612</v>
      </c>
      <c r="G549" s="68" t="str">
        <f>VLOOKUP(D549,'03. Insumos'!A:F,3,0)</f>
        <v>uni</v>
      </c>
      <c r="H549" s="69">
        <v>1</v>
      </c>
      <c r="I549" s="141">
        <f>ROUND((H545*8)/20,0)</f>
        <v>0</v>
      </c>
      <c r="J549" s="70">
        <f t="shared" si="67"/>
        <v>21.9</v>
      </c>
      <c r="K549" s="54">
        <f>IF(A549=0,VLOOKUP(D549,'03. Insumos'!A:F,4,0),"")</f>
        <v>21.9</v>
      </c>
      <c r="L549" s="70">
        <f t="shared" si="68"/>
        <v>0</v>
      </c>
      <c r="M549" s="355">
        <f t="shared" ref="M549:M612" ca="1" si="69">L549/$L$7</f>
        <v>0</v>
      </c>
      <c r="O549" s="148"/>
      <c r="R549" s="356"/>
    </row>
    <row r="550" spans="1:18" s="51" customFormat="1" ht="13.5" hidden="1" customHeight="1" outlineLevel="1" x14ac:dyDescent="0.3">
      <c r="A550" s="13">
        <f t="shared" si="60"/>
        <v>0</v>
      </c>
      <c r="B550" s="49"/>
      <c r="C550" s="49"/>
      <c r="D550" s="140" t="s">
        <v>772</v>
      </c>
      <c r="E550" s="49" t="str">
        <f>VLOOKUP(D550,'03. Insumos'!A:D,2,0)</f>
        <v xml:space="preserve">Rejunte acrílico Portokoll </v>
      </c>
      <c r="F550" s="68" t="s">
        <v>2612</v>
      </c>
      <c r="G550" s="68" t="str">
        <f>VLOOKUP(D550,'03. Insumos'!A:F,3,0)</f>
        <v>Kg</v>
      </c>
      <c r="H550" s="69">
        <v>1</v>
      </c>
      <c r="I550" s="141"/>
      <c r="J550" s="70">
        <f t="shared" si="67"/>
        <v>19.87</v>
      </c>
      <c r="K550" s="54">
        <f>IF(A550=0,VLOOKUP(D550,'03. Insumos'!A:F,4,0),"")</f>
        <v>19.87</v>
      </c>
      <c r="L550" s="70">
        <f t="shared" si="68"/>
        <v>0</v>
      </c>
      <c r="M550" s="355">
        <f t="shared" ca="1" si="69"/>
        <v>0</v>
      </c>
      <c r="O550" s="148"/>
      <c r="R550" s="356"/>
    </row>
    <row r="551" spans="1:18" s="51" customFormat="1" ht="13.5" hidden="1" customHeight="1" outlineLevel="1" x14ac:dyDescent="0.3">
      <c r="A551" s="13">
        <f t="shared" ref="A551:A591" si="70">LEN(C551)</f>
        <v>0</v>
      </c>
      <c r="B551" s="49"/>
      <c r="C551" s="49"/>
      <c r="D551" s="140" t="s">
        <v>773</v>
      </c>
      <c r="E551" s="49" t="str">
        <f>VLOOKUP(D551,'03. Insumos'!A:D,2,0)</f>
        <v>Espaçador - Cunha</v>
      </c>
      <c r="F551" s="68" t="s">
        <v>2612</v>
      </c>
      <c r="G551" s="68" t="str">
        <f>VLOOKUP(D551,'03. Insumos'!A:F,3,0)</f>
        <v>50 pcs</v>
      </c>
      <c r="H551" s="69">
        <v>1</v>
      </c>
      <c r="I551" s="141">
        <f>ROUNDUP(((H545*5)/100),0)</f>
        <v>0</v>
      </c>
      <c r="J551" s="70">
        <f t="shared" si="67"/>
        <v>22.17</v>
      </c>
      <c r="K551" s="54">
        <f>IF(A551=0,VLOOKUP(D551,'03. Insumos'!A:F,4,0),"")</f>
        <v>22.17</v>
      </c>
      <c r="L551" s="70">
        <f t="shared" si="68"/>
        <v>0</v>
      </c>
      <c r="M551" s="355">
        <f t="shared" ca="1" si="69"/>
        <v>0</v>
      </c>
      <c r="O551" s="148"/>
      <c r="R551" s="356"/>
    </row>
    <row r="552" spans="1:18" s="59" customFormat="1" ht="13.5" hidden="1" customHeight="1" outlineLevel="1" x14ac:dyDescent="0.3">
      <c r="A552" s="13">
        <f t="shared" si="70"/>
        <v>6</v>
      </c>
      <c r="B552" s="55"/>
      <c r="C552" s="55" t="s">
        <v>1513</v>
      </c>
      <c r="D552" s="55" t="s">
        <v>2423</v>
      </c>
      <c r="E552" s="55"/>
      <c r="F552" s="56"/>
      <c r="G552" s="56" t="s">
        <v>73</v>
      </c>
      <c r="H552" s="57"/>
      <c r="I552" s="57"/>
      <c r="J552" s="58"/>
      <c r="K552" s="58" t="str">
        <f>IF(A552=0,VLOOKUP(D552,'03. Insumos'!A:F,4,0),"")</f>
        <v/>
      </c>
      <c r="L552" s="58">
        <f>SUM(L553:L555)</f>
        <v>0</v>
      </c>
      <c r="M552" s="355">
        <f t="shared" ca="1" si="69"/>
        <v>0</v>
      </c>
      <c r="O552" s="148">
        <f>IF(I552&lt;&gt;0,I552*H552*K552,)</f>
        <v>0</v>
      </c>
      <c r="R552" s="356">
        <f>IF(J552&lt;&gt;0,J552/1.03-K552,0)</f>
        <v>0</v>
      </c>
    </row>
    <row r="553" spans="1:18" s="51" customFormat="1" ht="13.5" hidden="1" customHeight="1" outlineLevel="1" x14ac:dyDescent="0.3">
      <c r="A553" s="13">
        <f t="shared" si="70"/>
        <v>0</v>
      </c>
      <c r="B553" s="49"/>
      <c r="C553" s="49"/>
      <c r="D553" s="140" t="s">
        <v>2425</v>
      </c>
      <c r="E553" s="49" t="str">
        <f>VLOOKUP(D553,'03. Insumos'!A:D,2,0)</f>
        <v>Material - Cerâmica Jatobá 5x5 Verde Etna</v>
      </c>
      <c r="F553" s="68" t="s">
        <v>2613</v>
      </c>
      <c r="G553" s="68" t="str">
        <f>VLOOKUP(D553,'03. Insumos'!A:F,3,0)</f>
        <v>m²</v>
      </c>
      <c r="H553" s="69">
        <v>1</v>
      </c>
      <c r="I553" s="141">
        <f>H552*1.15</f>
        <v>0</v>
      </c>
      <c r="J553" s="70">
        <f>IFERROR(IF(K553&lt;&gt;0,K553*$K$5,0),0)</f>
        <v>202.6</v>
      </c>
      <c r="K553" s="54">
        <f>IF(A553=0,VLOOKUP(D553,'03. Insumos'!A:F,4,0),"")</f>
        <v>202.6</v>
      </c>
      <c r="L553" s="70">
        <f>H553*J553*I553</f>
        <v>0</v>
      </c>
      <c r="M553" s="355">
        <f t="shared" ca="1" si="69"/>
        <v>0</v>
      </c>
      <c r="O553" s="148">
        <f>IF(I553&lt;&gt;0,I553*H553*K553,)</f>
        <v>0</v>
      </c>
      <c r="R553" s="356">
        <f>IF(J553&lt;&gt;0,J553/1.03-K553,0)</f>
        <v>-5.9009708737864059</v>
      </c>
    </row>
    <row r="554" spans="1:18" s="51" customFormat="1" ht="13.5" hidden="1" customHeight="1" outlineLevel="1" x14ac:dyDescent="0.3">
      <c r="A554" s="13">
        <f t="shared" si="70"/>
        <v>0</v>
      </c>
      <c r="B554" s="49"/>
      <c r="C554" s="49"/>
      <c r="D554" s="140" t="s">
        <v>2426</v>
      </c>
      <c r="E554" s="49" t="str">
        <f>VLOOKUP(D554,'03. Insumos'!A:D,2,0)</f>
        <v>Mão de obra - Assentamento Cerâmica Jatobá 5x5 Verde Etna</v>
      </c>
      <c r="F554" s="68" t="s">
        <v>2607</v>
      </c>
      <c r="G554" s="68" t="str">
        <f>VLOOKUP(D554,'03. Insumos'!A:F,3,0)</f>
        <v>m²</v>
      </c>
      <c r="H554" s="69">
        <v>1</v>
      </c>
      <c r="I554" s="141">
        <f>H552</f>
        <v>0</v>
      </c>
      <c r="J554" s="70">
        <f>IFERROR(IF(K554&lt;&gt;0,K554*$K$5,0),0)</f>
        <v>40</v>
      </c>
      <c r="K554" s="54">
        <f>IF(A554=0,VLOOKUP(D554,'03. Insumos'!A:F,4,0),"")</f>
        <v>40</v>
      </c>
      <c r="L554" s="70">
        <f>H554*J554*I554</f>
        <v>0</v>
      </c>
      <c r="M554" s="355">
        <f t="shared" ca="1" si="69"/>
        <v>0</v>
      </c>
      <c r="O554" s="148"/>
      <c r="R554" s="356"/>
    </row>
    <row r="555" spans="1:18" s="59" customFormat="1" ht="13.5" hidden="1" customHeight="1" outlineLevel="1" x14ac:dyDescent="0.3">
      <c r="A555" s="13">
        <f t="shared" si="70"/>
        <v>0</v>
      </c>
      <c r="B555" s="55"/>
      <c r="C555" s="55"/>
      <c r="D555" s="140" t="s">
        <v>2557</v>
      </c>
      <c r="E555" s="49" t="str">
        <f>VLOOKUP(D555,'03. Insumos'!A:D,2,0)</f>
        <v xml:space="preserve">Argamassa Pastilhas e Mosaicos Interno e Externo Branco 20kg Axton
</v>
      </c>
      <c r="F555" s="68" t="s">
        <v>2612</v>
      </c>
      <c r="G555" s="68" t="str">
        <f>VLOOKUP(D555,'03. Insumos'!A:F,3,0)</f>
        <v>Unid</v>
      </c>
      <c r="H555" s="69">
        <v>1</v>
      </c>
      <c r="I555" s="141">
        <f>ROUND((H552*8)/20,0)</f>
        <v>0</v>
      </c>
      <c r="J555" s="70">
        <f>IFERROR(IF(K555&lt;&gt;0,K555*$K$5,0),0)</f>
        <v>62</v>
      </c>
      <c r="K555" s="54">
        <f>IF(A555=0,VLOOKUP(D555,'03. Insumos'!A:F,4,0),"")</f>
        <v>62</v>
      </c>
      <c r="L555" s="70">
        <f>H555*J555*I555</f>
        <v>0</v>
      </c>
      <c r="M555" s="355">
        <f t="shared" ca="1" si="69"/>
        <v>0</v>
      </c>
      <c r="O555" s="148">
        <f>IF(I555&lt;&gt;0,I555*H555*K555,)</f>
        <v>0</v>
      </c>
      <c r="R555" s="356">
        <f>IF(J555&lt;&gt;0,J555/1.03-K555,0)</f>
        <v>-1.8058252427184485</v>
      </c>
    </row>
    <row r="556" spans="1:18" s="59" customFormat="1" ht="13.5" hidden="1" customHeight="1" outlineLevel="1" x14ac:dyDescent="0.3">
      <c r="A556" s="13">
        <f t="shared" si="70"/>
        <v>6</v>
      </c>
      <c r="B556" s="55"/>
      <c r="C556" s="55" t="s">
        <v>1513</v>
      </c>
      <c r="D556" s="55" t="s">
        <v>2443</v>
      </c>
      <c r="E556" s="55"/>
      <c r="F556" s="56"/>
      <c r="G556" s="56" t="s">
        <v>73</v>
      </c>
      <c r="H556" s="57"/>
      <c r="I556" s="57"/>
      <c r="J556" s="58"/>
      <c r="K556" s="58" t="str">
        <f>IF(A556=0,VLOOKUP(D556,'03. Insumos'!A:F,4,0),"")</f>
        <v/>
      </c>
      <c r="L556" s="58">
        <f>SUM(L557:L559)</f>
        <v>0</v>
      </c>
      <c r="M556" s="355">
        <f t="shared" ca="1" si="69"/>
        <v>0</v>
      </c>
      <c r="O556" s="148">
        <f>IF(I556&lt;&gt;0,I556*H556*K556,)</f>
        <v>0</v>
      </c>
      <c r="R556" s="356">
        <f>IF(J556&lt;&gt;0,J556/1.03-K556,0)</f>
        <v>0</v>
      </c>
    </row>
    <row r="557" spans="1:18" s="51" customFormat="1" ht="13.5" hidden="1" customHeight="1" outlineLevel="1" x14ac:dyDescent="0.3">
      <c r="A557" s="13">
        <f t="shared" si="70"/>
        <v>0</v>
      </c>
      <c r="B557" s="49"/>
      <c r="C557" s="49"/>
      <c r="D557" s="140" t="s">
        <v>2446</v>
      </c>
      <c r="E557" s="49" t="str">
        <f>VLOOKUP(D557,'03. Insumos'!A:D,2,0)</f>
        <v>Material - Fornecimento de pedra Hijau bruta - 10 x 10</v>
      </c>
      <c r="F557" s="68" t="s">
        <v>2613</v>
      </c>
      <c r="G557" s="68" t="str">
        <f>VLOOKUP(D557,'03. Insumos'!A:F,3,0)</f>
        <v>m²</v>
      </c>
      <c r="H557" s="69">
        <v>1</v>
      </c>
      <c r="I557" s="141">
        <f>H556*1.15</f>
        <v>0</v>
      </c>
      <c r="J557" s="70">
        <f>IFERROR(IF(K557&lt;&gt;0,K557*$K$5,0),0)</f>
        <v>198.58</v>
      </c>
      <c r="K557" s="54">
        <f>IF(A557=0,VLOOKUP(D557,'03. Insumos'!A:F,4,0),"")</f>
        <v>198.58</v>
      </c>
      <c r="L557" s="70">
        <f>H557*J557*I557</f>
        <v>0</v>
      </c>
      <c r="M557" s="355">
        <f t="shared" ca="1" si="69"/>
        <v>0</v>
      </c>
      <c r="O557" s="148">
        <f>IF(I557&lt;&gt;0,I557*H557*K557,)</f>
        <v>0</v>
      </c>
      <c r="R557" s="356">
        <f>IF(J557&lt;&gt;0,J557/1.03-K557,0)</f>
        <v>-5.7838834951456306</v>
      </c>
    </row>
    <row r="558" spans="1:18" s="51" customFormat="1" ht="13.5" hidden="1" customHeight="1" outlineLevel="1" x14ac:dyDescent="0.3">
      <c r="A558" s="13">
        <f t="shared" si="70"/>
        <v>0</v>
      </c>
      <c r="B558" s="49"/>
      <c r="C558" s="49"/>
      <c r="D558" s="140" t="s">
        <v>2447</v>
      </c>
      <c r="E558" s="49" t="str">
        <f>VLOOKUP(D558,'03. Insumos'!A:D,2,0)</f>
        <v>Mão de obra - Assentamento de de pedra Hijau bruta - 10 x 10</v>
      </c>
      <c r="F558" s="68" t="s">
        <v>2607</v>
      </c>
      <c r="G558" s="68" t="str">
        <f>VLOOKUP(D558,'03. Insumos'!A:F,3,0)</f>
        <v>m²</v>
      </c>
      <c r="H558" s="69">
        <v>1</v>
      </c>
      <c r="I558" s="141">
        <f>H556</f>
        <v>0</v>
      </c>
      <c r="J558" s="70">
        <f>IFERROR(IF(K558&lt;&gt;0,K558*$K$5,0),0)</f>
        <v>85</v>
      </c>
      <c r="K558" s="54">
        <f>IF(A558=0,VLOOKUP(D558,'03. Insumos'!A:F,4,0),"")</f>
        <v>85</v>
      </c>
      <c r="L558" s="70">
        <f>H558*J558*I558</f>
        <v>0</v>
      </c>
      <c r="M558" s="355">
        <f t="shared" ca="1" si="69"/>
        <v>0</v>
      </c>
      <c r="O558" s="148"/>
      <c r="R558" s="356"/>
    </row>
    <row r="559" spans="1:18" s="59" customFormat="1" ht="13.5" hidden="1" customHeight="1" outlineLevel="1" x14ac:dyDescent="0.3">
      <c r="A559" s="13">
        <f t="shared" si="70"/>
        <v>0</v>
      </c>
      <c r="B559" s="55"/>
      <c r="C559" s="55"/>
      <c r="D559" s="140" t="s">
        <v>2557</v>
      </c>
      <c r="E559" s="49" t="str">
        <f>VLOOKUP(D559,'03. Insumos'!A:D,2,0)</f>
        <v xml:space="preserve">Argamassa Pastilhas e Mosaicos Interno e Externo Branco 20kg Axton
</v>
      </c>
      <c r="F559" s="68" t="s">
        <v>2612</v>
      </c>
      <c r="G559" s="68" t="str">
        <f>VLOOKUP(D559,'03. Insumos'!A:F,3,0)</f>
        <v>Unid</v>
      </c>
      <c r="H559" s="69">
        <v>1</v>
      </c>
      <c r="I559" s="141">
        <f>ROUND((H556*8)/20,0)</f>
        <v>0</v>
      </c>
      <c r="J559" s="70">
        <f>IFERROR(IF(K559&lt;&gt;0,K559*$K$5,0),0)</f>
        <v>62</v>
      </c>
      <c r="K559" s="54">
        <f>IF(A559=0,VLOOKUP(D559,'03. Insumos'!A:F,4,0),"")</f>
        <v>62</v>
      </c>
      <c r="L559" s="70">
        <f>H559*J559*I559</f>
        <v>0</v>
      </c>
      <c r="M559" s="355">
        <f t="shared" ca="1" si="69"/>
        <v>0</v>
      </c>
      <c r="O559" s="148">
        <f>IF(I559&lt;&gt;0,I559*H559*K559,)</f>
        <v>0</v>
      </c>
      <c r="R559" s="356">
        <f>IF(J559&lt;&gt;0,J559/1.03-K559,0)</f>
        <v>-1.8058252427184485</v>
      </c>
    </row>
    <row r="560" spans="1:18" s="59" customFormat="1" ht="13.5" hidden="1" customHeight="1" outlineLevel="1" x14ac:dyDescent="0.3">
      <c r="A560" s="13">
        <f t="shared" si="70"/>
        <v>6</v>
      </c>
      <c r="B560" s="55"/>
      <c r="C560" s="55" t="s">
        <v>1513</v>
      </c>
      <c r="D560" s="55" t="s">
        <v>2406</v>
      </c>
      <c r="E560" s="55"/>
      <c r="F560" s="56"/>
      <c r="G560" s="56" t="s">
        <v>73</v>
      </c>
      <c r="H560" s="57"/>
      <c r="I560" s="57"/>
      <c r="J560" s="58"/>
      <c r="K560" s="58" t="str">
        <f>IF(A560=0,VLOOKUP(D560,'03. Insumos'!A:F,4,0),"")</f>
        <v/>
      </c>
      <c r="L560" s="58">
        <f>SUM(L561:L565)</f>
        <v>0</v>
      </c>
      <c r="M560" s="355">
        <f t="shared" ca="1" si="69"/>
        <v>0</v>
      </c>
      <c r="O560" s="148">
        <f>IF(I560&lt;&gt;0,I560*H560*K560,)</f>
        <v>0</v>
      </c>
      <c r="R560" s="356">
        <f>IF(J560&lt;&gt;0,J560/1.03-K560,0)</f>
        <v>0</v>
      </c>
    </row>
    <row r="561" spans="1:18" s="51" customFormat="1" ht="13.5" hidden="1" customHeight="1" outlineLevel="1" x14ac:dyDescent="0.3">
      <c r="A561" s="13">
        <f t="shared" si="70"/>
        <v>0</v>
      </c>
      <c r="B561" s="49"/>
      <c r="C561" s="49"/>
      <c r="D561" s="140" t="s">
        <v>2404</v>
      </c>
      <c r="E561" s="49" t="str">
        <f>VLOOKUP(D561,'03. Insumos'!A:D,2,0)</f>
        <v>Material - Fornecimento de Luminosita Statuario polido - 60 x 120</v>
      </c>
      <c r="F561" s="68" t="s">
        <v>2613</v>
      </c>
      <c r="G561" s="68" t="str">
        <f>VLOOKUP(D561,'03. Insumos'!A:F,3,0)</f>
        <v>m²</v>
      </c>
      <c r="H561" s="69">
        <v>1</v>
      </c>
      <c r="I561" s="141">
        <f>H560*1.15</f>
        <v>0</v>
      </c>
      <c r="J561" s="70">
        <f>IFERROR(IF(K561&lt;&gt;0,K561*$K$5,0),0)</f>
        <v>129</v>
      </c>
      <c r="K561" s="54">
        <f>IF(A561=0,VLOOKUP(D561,'03. Insumos'!A:F,4,0),"")</f>
        <v>129</v>
      </c>
      <c r="L561" s="70">
        <f>H561*J561*I561</f>
        <v>0</v>
      </c>
      <c r="M561" s="355">
        <f t="shared" ca="1" si="69"/>
        <v>0</v>
      </c>
      <c r="O561" s="148">
        <f>IF(I561&lt;&gt;0,I561*H561*K561,)</f>
        <v>0</v>
      </c>
      <c r="R561" s="356">
        <f>IF(J561&lt;&gt;0,J561/1.03-K561,0)</f>
        <v>-3.7572815533980588</v>
      </c>
    </row>
    <row r="562" spans="1:18" s="51" customFormat="1" ht="13.5" hidden="1" customHeight="1" outlineLevel="1" x14ac:dyDescent="0.3">
      <c r="A562" s="13">
        <f t="shared" si="70"/>
        <v>0</v>
      </c>
      <c r="B562" s="49"/>
      <c r="C562" s="49"/>
      <c r="D562" s="140" t="s">
        <v>2405</v>
      </c>
      <c r="E562" s="49" t="str">
        <f>VLOOKUP(D562,'03. Insumos'!A:D,2,0)</f>
        <v>Mão de obra - Assentamento até 60x60cm</v>
      </c>
      <c r="F562" s="68" t="s">
        <v>2607</v>
      </c>
      <c r="G562" s="68" t="str">
        <f>VLOOKUP(D562,'03. Insumos'!A:F,3,0)</f>
        <v>m²</v>
      </c>
      <c r="H562" s="69">
        <v>1</v>
      </c>
      <c r="I562" s="141">
        <f>H560</f>
        <v>0</v>
      </c>
      <c r="J562" s="70">
        <f>IFERROR(IF(K562&lt;&gt;0,K562*$K$5,0),0)</f>
        <v>35</v>
      </c>
      <c r="K562" s="54">
        <f>IF(A562=0,VLOOKUP(D562,'03. Insumos'!A:F,4,0),"")</f>
        <v>35</v>
      </c>
      <c r="L562" s="70">
        <f>H562*J562*I562</f>
        <v>0</v>
      </c>
      <c r="M562" s="355">
        <f t="shared" ca="1" si="69"/>
        <v>0</v>
      </c>
      <c r="O562" s="148"/>
      <c r="R562" s="356"/>
    </row>
    <row r="563" spans="1:18" s="59" customFormat="1" ht="13.5" hidden="1" customHeight="1" outlineLevel="1" x14ac:dyDescent="0.3">
      <c r="A563" s="13">
        <f t="shared" si="70"/>
        <v>0</v>
      </c>
      <c r="B563" s="55"/>
      <c r="C563" s="55"/>
      <c r="D563" s="140" t="s">
        <v>199</v>
      </c>
      <c r="E563" s="49" t="str">
        <f>VLOOKUP(D563,'03. Insumos'!A:D,2,0)</f>
        <v>Argamassa colante 20kg</v>
      </c>
      <c r="F563" s="68" t="s">
        <v>2612</v>
      </c>
      <c r="G563" s="68" t="str">
        <f>VLOOKUP(D563,'03. Insumos'!A:F,3,0)</f>
        <v>uni</v>
      </c>
      <c r="H563" s="69">
        <v>1</v>
      </c>
      <c r="I563" s="141">
        <f>ROUND((H560*8)/20,0)</f>
        <v>0</v>
      </c>
      <c r="J563" s="70">
        <f>IFERROR(IF(K563&lt;&gt;0,K563*$K$5,0),0)</f>
        <v>21.9</v>
      </c>
      <c r="K563" s="54">
        <f>IF(A563=0,VLOOKUP(D563,'03. Insumos'!A:F,4,0),"")</f>
        <v>21.9</v>
      </c>
      <c r="L563" s="70">
        <f>H563*J563*I563</f>
        <v>0</v>
      </c>
      <c r="M563" s="355">
        <f t="shared" ca="1" si="69"/>
        <v>0</v>
      </c>
      <c r="O563" s="148">
        <f>IF(I563&lt;&gt;0,I563*H563*K563,)</f>
        <v>0</v>
      </c>
      <c r="R563" s="356">
        <f>IF(J563&lt;&gt;0,J563/1.03-K563,0)</f>
        <v>-0.63786407766990294</v>
      </c>
    </row>
    <row r="564" spans="1:18" s="51" customFormat="1" ht="13.5" hidden="1" customHeight="1" outlineLevel="1" x14ac:dyDescent="0.3">
      <c r="A564" s="13">
        <f t="shared" si="70"/>
        <v>0</v>
      </c>
      <c r="B564" s="49"/>
      <c r="C564" s="49"/>
      <c r="D564" s="140" t="s">
        <v>772</v>
      </c>
      <c r="E564" s="49" t="str">
        <f>VLOOKUP(D564,'03. Insumos'!A:D,2,0)</f>
        <v xml:space="preserve">Rejunte acrílico Portokoll </v>
      </c>
      <c r="F564" s="68" t="s">
        <v>2612</v>
      </c>
      <c r="G564" s="68" t="str">
        <f>VLOOKUP(D564,'03. Insumos'!A:F,3,0)</f>
        <v>Kg</v>
      </c>
      <c r="H564" s="69">
        <v>1</v>
      </c>
      <c r="I564" s="141">
        <f>ROUNDUP((H560*0.35),0)</f>
        <v>0</v>
      </c>
      <c r="J564" s="70">
        <f>IFERROR(IF(K564&lt;&gt;0,K564*$K$5,0),0)</f>
        <v>19.87</v>
      </c>
      <c r="K564" s="54">
        <f>IF(A564=0,VLOOKUP(D564,'03. Insumos'!A:F,4,0),"")</f>
        <v>19.87</v>
      </c>
      <c r="L564" s="70">
        <f>H564*J564*I564</f>
        <v>0</v>
      </c>
      <c r="M564" s="355">
        <f t="shared" ca="1" si="69"/>
        <v>0</v>
      </c>
      <c r="O564" s="148">
        <f>IF(I564&lt;&gt;0,I564*H564*K564,)</f>
        <v>0</v>
      </c>
      <c r="R564" s="356">
        <f>IF(J564&lt;&gt;0,J564/1.03-K564,0)</f>
        <v>-0.57873786407767014</v>
      </c>
    </row>
    <row r="565" spans="1:18" s="51" customFormat="1" ht="13.5" hidden="1" customHeight="1" outlineLevel="1" x14ac:dyDescent="0.3">
      <c r="A565" s="13">
        <f t="shared" si="70"/>
        <v>0</v>
      </c>
      <c r="B565" s="49"/>
      <c r="C565" s="49"/>
      <c r="D565" s="140" t="s">
        <v>773</v>
      </c>
      <c r="E565" s="49" t="str">
        <f>VLOOKUP(D565,'03. Insumos'!A:D,2,0)</f>
        <v>Espaçador - Cunha</v>
      </c>
      <c r="F565" s="68" t="s">
        <v>2612</v>
      </c>
      <c r="G565" s="68" t="str">
        <f>VLOOKUP(D565,'03. Insumos'!A:F,3,0)</f>
        <v>50 pcs</v>
      </c>
      <c r="H565" s="69">
        <v>1</v>
      </c>
      <c r="I565" s="141">
        <f>ROUNDUP(((H560*5)/100),0)</f>
        <v>0</v>
      </c>
      <c r="J565" s="70">
        <f>IFERROR(IF(K565&lt;&gt;0,K565*$K$5,0),0)</f>
        <v>22.17</v>
      </c>
      <c r="K565" s="54">
        <f>IF(A565=0,VLOOKUP(D565,'03. Insumos'!A:F,4,0),"")</f>
        <v>22.17</v>
      </c>
      <c r="L565" s="70">
        <f>H565*J565*I565</f>
        <v>0</v>
      </c>
      <c r="M565" s="355">
        <f t="shared" ca="1" si="69"/>
        <v>0</v>
      </c>
      <c r="O565" s="148">
        <f>IF(I565&lt;&gt;0,I565*H565*K565,)</f>
        <v>0</v>
      </c>
      <c r="R565" s="356">
        <f>IF(J565&lt;&gt;0,J565/1.03-K565,0)</f>
        <v>-0.64572815533980688</v>
      </c>
    </row>
    <row r="566" spans="1:18" s="59" customFormat="1" ht="13.5" hidden="1" customHeight="1" outlineLevel="1" x14ac:dyDescent="0.3">
      <c r="A566" s="13">
        <f t="shared" si="70"/>
        <v>6</v>
      </c>
      <c r="B566" s="55"/>
      <c r="C566" s="55" t="s">
        <v>1513</v>
      </c>
      <c r="D566" s="55" t="s">
        <v>2448</v>
      </c>
      <c r="E566" s="55"/>
      <c r="F566" s="56"/>
      <c r="G566" s="56" t="s">
        <v>73</v>
      </c>
      <c r="H566" s="57"/>
      <c r="I566" s="57"/>
      <c r="J566" s="58"/>
      <c r="K566" s="58" t="str">
        <f>IF(A566=0,VLOOKUP(D566,'03. Insumos'!A:F,4,0),"")</f>
        <v/>
      </c>
      <c r="L566" s="58">
        <f>SUM(L567:L571)</f>
        <v>0</v>
      </c>
      <c r="M566" s="355">
        <f t="shared" ca="1" si="69"/>
        <v>0</v>
      </c>
      <c r="O566" s="148">
        <f>IF(I566&lt;&gt;0,I566*H566*K566,)</f>
        <v>0</v>
      </c>
      <c r="R566" s="356">
        <f>IF(J566&lt;&gt;0,J566/1.03-K566,0)</f>
        <v>0</v>
      </c>
    </row>
    <row r="567" spans="1:18" s="51" customFormat="1" ht="13.5" hidden="1" customHeight="1" outlineLevel="1" x14ac:dyDescent="0.3">
      <c r="A567" s="13">
        <f t="shared" si="70"/>
        <v>0</v>
      </c>
      <c r="B567" s="49"/>
      <c r="C567" s="49"/>
      <c r="D567" s="140" t="s">
        <v>2449</v>
      </c>
      <c r="E567" s="49" t="str">
        <f>VLOOKUP(D567,'03. Insumos'!A:D,2,0)</f>
        <v>Material - Fornecimento de LM Koronis Ext Wh pol - 120 x 120</v>
      </c>
      <c r="F567" s="68" t="s">
        <v>2613</v>
      </c>
      <c r="G567" s="68" t="str">
        <f>VLOOKUP(D567,'03. Insumos'!A:F,3,0)</f>
        <v>m²</v>
      </c>
      <c r="H567" s="69">
        <v>1</v>
      </c>
      <c r="I567" s="141">
        <f>H566*1.15</f>
        <v>0</v>
      </c>
      <c r="J567" s="70">
        <f>IFERROR(IF(K567&lt;&gt;0,K567*$K$5,0),0)</f>
        <v>242.27</v>
      </c>
      <c r="K567" s="54">
        <f>IF(A567=0,VLOOKUP(D567,'03. Insumos'!A:F,4,0),"")</f>
        <v>242.27</v>
      </c>
      <c r="L567" s="70">
        <f>H567*J567*I567</f>
        <v>0</v>
      </c>
      <c r="M567" s="355">
        <f t="shared" ca="1" si="69"/>
        <v>0</v>
      </c>
      <c r="O567" s="148">
        <f>IF(I567&lt;&gt;0,I567*H567*K567,)</f>
        <v>0</v>
      </c>
      <c r="R567" s="356">
        <f>IF(J567&lt;&gt;0,J567/1.03-K567,0)</f>
        <v>-7.0564077669903043</v>
      </c>
    </row>
    <row r="568" spans="1:18" s="51" customFormat="1" ht="13.5" hidden="1" customHeight="1" outlineLevel="1" x14ac:dyDescent="0.3">
      <c r="A568" s="13">
        <f t="shared" si="70"/>
        <v>0</v>
      </c>
      <c r="B568" s="49"/>
      <c r="C568" s="49"/>
      <c r="D568" s="140" t="s">
        <v>2450</v>
      </c>
      <c r="E568" s="49" t="str">
        <f>VLOOKUP(D568,'03. Insumos'!A:D,2,0)</f>
        <v>Mão de obra - Assentamento de LM Koronis Ext Wh pol - 120 x 120</v>
      </c>
      <c r="F568" s="68" t="s">
        <v>2607</v>
      </c>
      <c r="G568" s="68" t="str">
        <f>VLOOKUP(D568,'03. Insumos'!A:F,3,0)</f>
        <v>m²</v>
      </c>
      <c r="H568" s="69">
        <v>1</v>
      </c>
      <c r="I568" s="141">
        <f>H566</f>
        <v>0</v>
      </c>
      <c r="J568" s="70">
        <f>IFERROR(IF(K568&lt;&gt;0,K568*$K$5,0),0)</f>
        <v>54.55</v>
      </c>
      <c r="K568" s="54">
        <f>IF(A568=0,VLOOKUP(D568,'03. Insumos'!A:F,4,0),"")</f>
        <v>54.55</v>
      </c>
      <c r="L568" s="70">
        <f>H568*J568*I568</f>
        <v>0</v>
      </c>
      <c r="M568" s="355">
        <f t="shared" ca="1" si="69"/>
        <v>0</v>
      </c>
      <c r="O568" s="148"/>
      <c r="R568" s="356"/>
    </row>
    <row r="569" spans="1:18" s="59" customFormat="1" ht="13.5" hidden="1" customHeight="1" outlineLevel="1" x14ac:dyDescent="0.3">
      <c r="A569" s="13">
        <f t="shared" si="70"/>
        <v>0</v>
      </c>
      <c r="B569" s="55"/>
      <c r="C569" s="55"/>
      <c r="D569" s="140" t="s">
        <v>199</v>
      </c>
      <c r="E569" s="49" t="str">
        <f>VLOOKUP(D569,'03. Insumos'!A:D,2,0)</f>
        <v>Argamassa colante 20kg</v>
      </c>
      <c r="F569" s="68" t="s">
        <v>2612</v>
      </c>
      <c r="G569" s="68" t="str">
        <f>VLOOKUP(D569,'03. Insumos'!A:F,3,0)</f>
        <v>uni</v>
      </c>
      <c r="H569" s="69">
        <v>1</v>
      </c>
      <c r="I569" s="141">
        <f>ROUND((H566*8)/20,0)</f>
        <v>0</v>
      </c>
      <c r="J569" s="70">
        <f>IFERROR(IF(K569&lt;&gt;0,K569*$K$5,0),0)</f>
        <v>21.9</v>
      </c>
      <c r="K569" s="54">
        <f>IF(A569=0,VLOOKUP(D569,'03. Insumos'!A:F,4,0),"")</f>
        <v>21.9</v>
      </c>
      <c r="L569" s="70">
        <f>H569*J569*I569</f>
        <v>0</v>
      </c>
      <c r="M569" s="355">
        <f t="shared" ca="1" si="69"/>
        <v>0</v>
      </c>
      <c r="O569" s="148">
        <f>IF(I569&lt;&gt;0,I569*H569*K569,)</f>
        <v>0</v>
      </c>
      <c r="R569" s="356">
        <f>IF(J569&lt;&gt;0,J569/1.03-K569,0)</f>
        <v>-0.63786407766990294</v>
      </c>
    </row>
    <row r="570" spans="1:18" s="51" customFormat="1" ht="13.5" hidden="1" customHeight="1" outlineLevel="1" x14ac:dyDescent="0.3">
      <c r="A570" s="13">
        <f t="shared" si="70"/>
        <v>0</v>
      </c>
      <c r="B570" s="49"/>
      <c r="C570" s="49"/>
      <c r="D570" s="140" t="s">
        <v>772</v>
      </c>
      <c r="E570" s="49" t="str">
        <f>VLOOKUP(D570,'03. Insumos'!A:D,2,0)</f>
        <v xml:space="preserve">Rejunte acrílico Portokoll </v>
      </c>
      <c r="F570" s="68" t="s">
        <v>2612</v>
      </c>
      <c r="G570" s="68" t="str">
        <f>VLOOKUP(D570,'03. Insumos'!A:F,3,0)</f>
        <v>Kg</v>
      </c>
      <c r="H570" s="69">
        <v>1</v>
      </c>
      <c r="I570" s="141"/>
      <c r="J570" s="70">
        <f>IFERROR(IF(K570&lt;&gt;0,K570*$K$5,0),0)</f>
        <v>19.87</v>
      </c>
      <c r="K570" s="54">
        <f>IF(A570=0,VLOOKUP(D570,'03. Insumos'!A:F,4,0),"")</f>
        <v>19.87</v>
      </c>
      <c r="L570" s="70">
        <f>H570*J570*I570</f>
        <v>0</v>
      </c>
      <c r="M570" s="355">
        <f t="shared" ca="1" si="69"/>
        <v>0</v>
      </c>
      <c r="O570" s="148">
        <f>IF(I570&lt;&gt;0,I570*H570*K570,)</f>
        <v>0</v>
      </c>
      <c r="R570" s="356">
        <f>IF(J570&lt;&gt;0,J570/1.03-K570,0)</f>
        <v>-0.57873786407767014</v>
      </c>
    </row>
    <row r="571" spans="1:18" s="51" customFormat="1" ht="13.5" hidden="1" customHeight="1" outlineLevel="1" x14ac:dyDescent="0.3">
      <c r="A571" s="13">
        <f t="shared" si="70"/>
        <v>0</v>
      </c>
      <c r="B571" s="49"/>
      <c r="C571" s="49"/>
      <c r="D571" s="140" t="s">
        <v>773</v>
      </c>
      <c r="E571" s="49" t="str">
        <f>VLOOKUP(D571,'03. Insumos'!A:D,2,0)</f>
        <v>Espaçador - Cunha</v>
      </c>
      <c r="F571" s="68" t="s">
        <v>2612</v>
      </c>
      <c r="G571" s="68" t="str">
        <f>VLOOKUP(D571,'03. Insumos'!A:F,3,0)</f>
        <v>50 pcs</v>
      </c>
      <c r="H571" s="69">
        <v>1</v>
      </c>
      <c r="I571" s="141">
        <f>ROUNDUP(((H566*5)/100),0)</f>
        <v>0</v>
      </c>
      <c r="J571" s="70">
        <f>IFERROR(IF(K571&lt;&gt;0,K571*$K$5,0),0)</f>
        <v>22.17</v>
      </c>
      <c r="K571" s="54">
        <f>IF(A571=0,VLOOKUP(D571,'03. Insumos'!A:F,4,0),"")</f>
        <v>22.17</v>
      </c>
      <c r="L571" s="70">
        <f>H571*J571*I571</f>
        <v>0</v>
      </c>
      <c r="M571" s="355">
        <f t="shared" ca="1" si="69"/>
        <v>0</v>
      </c>
      <c r="O571" s="148">
        <f>IF(I571&lt;&gt;0,I571*H571*K571,)</f>
        <v>0</v>
      </c>
      <c r="R571" s="356">
        <f>IF(J571&lt;&gt;0,J571/1.03-K571,0)</f>
        <v>-0.64572815533980688</v>
      </c>
    </row>
    <row r="572" spans="1:18" s="59" customFormat="1" ht="13.5" hidden="1" customHeight="1" outlineLevel="1" x14ac:dyDescent="0.3">
      <c r="A572" s="13">
        <f t="shared" si="70"/>
        <v>6</v>
      </c>
      <c r="B572" s="55"/>
      <c r="C572" s="55" t="s">
        <v>1513</v>
      </c>
      <c r="D572" s="55" t="s">
        <v>2453</v>
      </c>
      <c r="E572" s="55"/>
      <c r="F572" s="56"/>
      <c r="G572" s="56" t="s">
        <v>73</v>
      </c>
      <c r="H572" s="57"/>
      <c r="I572" s="57"/>
      <c r="J572" s="58"/>
      <c r="K572" s="58" t="str">
        <f>IF(A572=0,VLOOKUP(D572,'03. Insumos'!A:F,4,0),"")</f>
        <v/>
      </c>
      <c r="L572" s="58">
        <f>SUM(L573:L577)</f>
        <v>0</v>
      </c>
      <c r="M572" s="355">
        <f t="shared" ca="1" si="69"/>
        <v>0</v>
      </c>
      <c r="O572" s="148">
        <f>IF(I572&lt;&gt;0,I572*H572*K572,)</f>
        <v>0</v>
      </c>
      <c r="R572" s="356">
        <f>IF(J572&lt;&gt;0,J572/1.03-K572,0)</f>
        <v>0</v>
      </c>
    </row>
    <row r="573" spans="1:18" s="51" customFormat="1" ht="13.5" hidden="1" customHeight="1" outlineLevel="1" x14ac:dyDescent="0.3">
      <c r="A573" s="13">
        <f t="shared" si="70"/>
        <v>0</v>
      </c>
      <c r="B573" s="49"/>
      <c r="C573" s="49"/>
      <c r="D573" s="140" t="s">
        <v>2465</v>
      </c>
      <c r="E573" s="49" t="str">
        <f>VLOOKUP(D573,'03. Insumos'!A:D,2,0)</f>
        <v>Material - Fornecimento de piso intertravado</v>
      </c>
      <c r="F573" s="68" t="s">
        <v>2613</v>
      </c>
      <c r="G573" s="68" t="str">
        <f>VLOOKUP(D573,'03. Insumos'!A:F,3,0)</f>
        <v>m²</v>
      </c>
      <c r="H573" s="69">
        <v>1</v>
      </c>
      <c r="I573" s="141">
        <f>H572*1.1</f>
        <v>0</v>
      </c>
      <c r="J573" s="70">
        <f>IFERROR(IF(K573&lt;&gt;0,K573*$K$5,0),0)</f>
        <v>33.5</v>
      </c>
      <c r="K573" s="54">
        <f>IF(A573=0,VLOOKUP(D573,'03. Insumos'!A:F,4,0),"")</f>
        <v>33.5</v>
      </c>
      <c r="L573" s="70">
        <f>H573*J573*I573</f>
        <v>0</v>
      </c>
      <c r="M573" s="355">
        <f t="shared" ca="1" si="69"/>
        <v>0</v>
      </c>
      <c r="O573" s="148">
        <f>IF(I573&lt;&gt;0,I573*H573*K573,)</f>
        <v>0</v>
      </c>
      <c r="R573" s="356">
        <f>IF(J573&lt;&gt;0,J573/1.03-K573,0)</f>
        <v>-0.97572815533980872</v>
      </c>
    </row>
    <row r="574" spans="1:18" s="51" customFormat="1" ht="13.5" hidden="1" customHeight="1" outlineLevel="1" x14ac:dyDescent="0.3">
      <c r="A574" s="13">
        <f t="shared" si="70"/>
        <v>0</v>
      </c>
      <c r="B574" s="49"/>
      <c r="C574" s="49"/>
      <c r="D574" s="140" t="s">
        <v>2554</v>
      </c>
      <c r="E574" s="49" t="str">
        <f>VLOOKUP(D574,'03. Insumos'!A:D,2,0)</f>
        <v>Mão de obra - Assentamento de piso intertravado</v>
      </c>
      <c r="F574" s="68" t="s">
        <v>2607</v>
      </c>
      <c r="G574" s="68" t="str">
        <f>VLOOKUP(D574,'03. Insumos'!A:F,3,0)</f>
        <v>m²</v>
      </c>
      <c r="H574" s="69">
        <v>1</v>
      </c>
      <c r="I574" s="141">
        <f>H572</f>
        <v>0</v>
      </c>
      <c r="J574" s="70">
        <f>IFERROR(IF(K574&lt;&gt;0,K574*$K$5,0),0)</f>
        <v>59</v>
      </c>
      <c r="K574" s="54">
        <f>IF(A574=0,VLOOKUP(D574,'03. Insumos'!A:F,4,0),"")</f>
        <v>59</v>
      </c>
      <c r="L574" s="70">
        <f>H574*J574*I574</f>
        <v>0</v>
      </c>
      <c r="M574" s="355">
        <f t="shared" ca="1" si="69"/>
        <v>0</v>
      </c>
      <c r="O574" s="148"/>
      <c r="R574" s="356"/>
    </row>
    <row r="575" spans="1:18" s="51" customFormat="1" ht="13.5" hidden="1" customHeight="1" outlineLevel="1" x14ac:dyDescent="0.3">
      <c r="A575" s="13">
        <f t="shared" si="70"/>
        <v>0</v>
      </c>
      <c r="B575" s="49"/>
      <c r="C575" s="49"/>
      <c r="D575" s="140" t="s">
        <v>481</v>
      </c>
      <c r="E575" s="49" t="str">
        <f>VLOOKUP(D575,'03. Insumos'!A:D,2,0)</f>
        <v xml:space="preserve">Base de bica corrida </v>
      </c>
      <c r="F575" s="68" t="s">
        <v>2612</v>
      </c>
      <c r="G575" s="68" t="str">
        <f>VLOOKUP(D575,'03. Insumos'!A:F,3,0)</f>
        <v>m³</v>
      </c>
      <c r="H575" s="69">
        <v>1</v>
      </c>
      <c r="I575" s="141">
        <f>H572*0.1</f>
        <v>0</v>
      </c>
      <c r="J575" s="70">
        <f>IFERROR(IF(K575&lt;&gt;0,K575*$K$5,0),0)</f>
        <v>58</v>
      </c>
      <c r="K575" s="54">
        <f>IF(A575=0,VLOOKUP(D575,'03. Insumos'!A:F,4,0),"")</f>
        <v>58</v>
      </c>
      <c r="L575" s="70">
        <f>H575*J575*I575</f>
        <v>0</v>
      </c>
      <c r="M575" s="355">
        <f t="shared" ca="1" si="69"/>
        <v>0</v>
      </c>
      <c r="O575" s="148"/>
      <c r="R575" s="356"/>
    </row>
    <row r="576" spans="1:18" s="59" customFormat="1" ht="13.5" hidden="1" customHeight="1" outlineLevel="1" x14ac:dyDescent="0.3">
      <c r="A576" s="13">
        <f t="shared" si="70"/>
        <v>0</v>
      </c>
      <c r="B576" s="55"/>
      <c r="C576" s="55"/>
      <c r="D576" s="140" t="s">
        <v>2466</v>
      </c>
      <c r="E576" s="49" t="str">
        <f>VLOOKUP(D576,'03. Insumos'!A:D,2,0)</f>
        <v>Pó de pedra</v>
      </c>
      <c r="F576" s="68" t="s">
        <v>2612</v>
      </c>
      <c r="G576" s="68" t="str">
        <f>VLOOKUP(D576,'03. Insumos'!A:F,3,0)</f>
        <v>m³</v>
      </c>
      <c r="H576" s="69">
        <v>1</v>
      </c>
      <c r="I576" s="141">
        <f>H572*0.07</f>
        <v>0</v>
      </c>
      <c r="J576" s="70">
        <f>IFERROR(IF(K576&lt;&gt;0,K576*$K$5,0),0)</f>
        <v>48.15</v>
      </c>
      <c r="K576" s="54">
        <f>IF(A576=0,VLOOKUP(D576,'03. Insumos'!A:F,4,0),"")</f>
        <v>48.15</v>
      </c>
      <c r="L576" s="70">
        <f>H576*J576*I576</f>
        <v>0</v>
      </c>
      <c r="M576" s="355">
        <f t="shared" ca="1" si="69"/>
        <v>0</v>
      </c>
      <c r="O576" s="148">
        <f>IF(I576&lt;&gt;0,I576*H576*K576,)</f>
        <v>0</v>
      </c>
      <c r="R576" s="356">
        <f>IF(J576&lt;&gt;0,J576/1.03-K576,0)</f>
        <v>-1.4024271844660205</v>
      </c>
    </row>
    <row r="577" spans="1:18" s="59" customFormat="1" ht="13.5" hidden="1" customHeight="1" outlineLevel="1" x14ac:dyDescent="0.3">
      <c r="A577" s="13">
        <f t="shared" si="70"/>
        <v>0</v>
      </c>
      <c r="B577" s="55"/>
      <c r="C577" s="55"/>
      <c r="D577" s="140" t="s">
        <v>2470</v>
      </c>
      <c r="E577" s="49" t="str">
        <f>VLOOKUP(D577,'03. Insumos'!A:D,2,0)</f>
        <v>Tento pré moldado concreto</v>
      </c>
      <c r="F577" s="68" t="s">
        <v>2613</v>
      </c>
      <c r="G577" s="68" t="str">
        <f>VLOOKUP(D577,'03. Insumos'!A:F,3,0)</f>
        <v>m</v>
      </c>
      <c r="H577" s="69">
        <v>1</v>
      </c>
      <c r="I577" s="141"/>
      <c r="J577" s="70">
        <f>IFERROR(IF(K577&lt;&gt;0,K577*$K$5,0),0)</f>
        <v>13</v>
      </c>
      <c r="K577" s="54">
        <f>IF(A577=0,VLOOKUP(D577,'03. Insumos'!A:F,4,0),"")</f>
        <v>13</v>
      </c>
      <c r="L577" s="70">
        <f>H577*J577*I577</f>
        <v>0</v>
      </c>
      <c r="M577" s="355">
        <f t="shared" ca="1" si="69"/>
        <v>0</v>
      </c>
      <c r="O577" s="148"/>
      <c r="R577" s="356"/>
    </row>
    <row r="578" spans="1:18" s="51" customFormat="1" ht="13.5" hidden="1" customHeight="1" outlineLevel="1" x14ac:dyDescent="0.3">
      <c r="A578" s="13">
        <f t="shared" si="70"/>
        <v>6</v>
      </c>
      <c r="B578" s="49"/>
      <c r="C578" s="55" t="s">
        <v>1512</v>
      </c>
      <c r="D578" s="55" t="s">
        <v>2218</v>
      </c>
      <c r="E578" s="49"/>
      <c r="F578" s="68"/>
      <c r="G578" s="56" t="s">
        <v>73</v>
      </c>
      <c r="H578" s="57"/>
      <c r="I578" s="141"/>
      <c r="J578" s="70"/>
      <c r="K578" s="54"/>
      <c r="L578" s="58">
        <f>SUM(L579:L580)</f>
        <v>0</v>
      </c>
      <c r="M578" s="355">
        <f t="shared" ca="1" si="69"/>
        <v>0</v>
      </c>
      <c r="O578" s="148"/>
      <c r="R578" s="356"/>
    </row>
    <row r="579" spans="1:18" s="51" customFormat="1" ht="13.5" hidden="1" customHeight="1" outlineLevel="1" x14ac:dyDescent="0.3">
      <c r="A579" s="13">
        <f t="shared" si="70"/>
        <v>0</v>
      </c>
      <c r="B579" s="49"/>
      <c r="C579" s="49"/>
      <c r="D579" s="140" t="s">
        <v>2221</v>
      </c>
      <c r="E579" s="49" t="str">
        <f>VLOOKUP(D579,'03. Insumos'!A:D,2,0)</f>
        <v>Rodapé Madeirado Reserva Natural 20 x 120</v>
      </c>
      <c r="F579" s="68"/>
      <c r="G579" s="68" t="str">
        <f>VLOOKUP(D579,'03. Insumos'!A:F,3,0)</f>
        <v>m²</v>
      </c>
      <c r="H579" s="69">
        <v>1</v>
      </c>
      <c r="I579" s="141">
        <f>H578*1.15</f>
        <v>0</v>
      </c>
      <c r="J579" s="70">
        <f>IFERROR(IF(K579&lt;&gt;0,K579*$K$5,0),0)</f>
        <v>0</v>
      </c>
      <c r="K579" s="54">
        <f>IF(A579=0,VLOOKUP(D579,'03. Insumos'!A:F,4,0),"")</f>
        <v>0</v>
      </c>
      <c r="L579" s="70">
        <f>H579*J579*I579</f>
        <v>0</v>
      </c>
      <c r="M579" s="355">
        <f t="shared" ca="1" si="69"/>
        <v>0</v>
      </c>
      <c r="O579" s="148"/>
      <c r="R579" s="356"/>
    </row>
    <row r="580" spans="1:18" s="51" customFormat="1" ht="13.5" hidden="1" customHeight="1" outlineLevel="1" x14ac:dyDescent="0.3">
      <c r="A580" s="13">
        <f t="shared" si="70"/>
        <v>0</v>
      </c>
      <c r="B580" s="49"/>
      <c r="C580" s="49"/>
      <c r="D580" s="140" t="s">
        <v>199</v>
      </c>
      <c r="E580" s="49" t="str">
        <f>VLOOKUP(D580,'03. Insumos'!A:D,2,0)</f>
        <v>Argamassa colante 20kg</v>
      </c>
      <c r="F580" s="68"/>
      <c r="G580" s="68" t="str">
        <f>VLOOKUP(D580,'03. Insumos'!A:F,3,0)</f>
        <v>uni</v>
      </c>
      <c r="H580" s="69">
        <v>1</v>
      </c>
      <c r="I580" s="141">
        <f>ROUND((H578*8)/20,0)</f>
        <v>0</v>
      </c>
      <c r="J580" s="70">
        <f>IFERROR(IF(K580&lt;&gt;0,K580*$K$5,0),0)</f>
        <v>21.9</v>
      </c>
      <c r="K580" s="54">
        <f>IF(A580=0,VLOOKUP(D580,'03. Insumos'!A:F,4,0),"")</f>
        <v>21.9</v>
      </c>
      <c r="L580" s="70">
        <f>H580*J580*I580</f>
        <v>0</v>
      </c>
      <c r="M580" s="355">
        <f t="shared" ca="1" si="69"/>
        <v>0</v>
      </c>
      <c r="O580" s="148"/>
      <c r="R580" s="356"/>
    </row>
    <row r="581" spans="1:18" s="51" customFormat="1" ht="13.5" hidden="1" customHeight="1" outlineLevel="1" x14ac:dyDescent="0.3">
      <c r="A581" s="13">
        <f t="shared" si="70"/>
        <v>6</v>
      </c>
      <c r="B581" s="49"/>
      <c r="C581" s="55" t="s">
        <v>1513</v>
      </c>
      <c r="D581" s="55" t="s">
        <v>2219</v>
      </c>
      <c r="E581" s="49"/>
      <c r="F581" s="68"/>
      <c r="G581" s="56" t="s">
        <v>73</v>
      </c>
      <c r="H581" s="57"/>
      <c r="I581" s="141"/>
      <c r="J581" s="70"/>
      <c r="K581" s="54"/>
      <c r="L581" s="58">
        <f>SUM(L582:L583)</f>
        <v>0</v>
      </c>
      <c r="M581" s="355">
        <f t="shared" ca="1" si="69"/>
        <v>0</v>
      </c>
      <c r="O581" s="148"/>
      <c r="R581" s="356"/>
    </row>
    <row r="582" spans="1:18" s="51" customFormat="1" ht="13.5" hidden="1" customHeight="1" outlineLevel="1" x14ac:dyDescent="0.3">
      <c r="A582" s="13">
        <f t="shared" si="70"/>
        <v>0</v>
      </c>
      <c r="B582" s="49"/>
      <c r="C582" s="49"/>
      <c r="D582" s="140" t="s">
        <v>2222</v>
      </c>
      <c r="E582" s="49" t="str">
        <f>VLOOKUP(D582,'03. Insumos'!A:D,2,0)</f>
        <v>Rodapé Manhatan Offwhite Estato Delarte 84 x 84</v>
      </c>
      <c r="F582" s="68"/>
      <c r="G582" s="68" t="str">
        <f>VLOOKUP(D582,'03. Insumos'!A:F,3,0)</f>
        <v>m²</v>
      </c>
      <c r="H582" s="69">
        <v>1</v>
      </c>
      <c r="I582" s="141">
        <f>H581*1.15</f>
        <v>0</v>
      </c>
      <c r="J582" s="70">
        <f>IFERROR(IF(K582&lt;&gt;0,K582*$K$5,0),0)</f>
        <v>0</v>
      </c>
      <c r="K582" s="54">
        <f>IF(A582=0,VLOOKUP(D582,'03. Insumos'!A:F,4,0),"")</f>
        <v>0</v>
      </c>
      <c r="L582" s="70">
        <f>H582*J582*I582</f>
        <v>0</v>
      </c>
      <c r="M582" s="355">
        <f t="shared" ca="1" si="69"/>
        <v>0</v>
      </c>
      <c r="O582" s="148"/>
      <c r="R582" s="356"/>
    </row>
    <row r="583" spans="1:18" s="51" customFormat="1" ht="13.5" hidden="1" customHeight="1" outlineLevel="1" x14ac:dyDescent="0.3">
      <c r="A583" s="13">
        <f t="shared" si="70"/>
        <v>0</v>
      </c>
      <c r="B583" s="49"/>
      <c r="C583" s="49"/>
      <c r="D583" s="140" t="s">
        <v>199</v>
      </c>
      <c r="E583" s="49" t="str">
        <f>VLOOKUP(D583,'03. Insumos'!A:D,2,0)</f>
        <v>Argamassa colante 20kg</v>
      </c>
      <c r="F583" s="68"/>
      <c r="G583" s="68" t="str">
        <f>VLOOKUP(D583,'03. Insumos'!A:F,3,0)</f>
        <v>uni</v>
      </c>
      <c r="H583" s="69">
        <v>1</v>
      </c>
      <c r="I583" s="141">
        <f>ROUND((H581*8)/20,0)</f>
        <v>0</v>
      </c>
      <c r="J583" s="70">
        <f>IFERROR(IF(K583&lt;&gt;0,K583*$K$5,0),0)</f>
        <v>21.9</v>
      </c>
      <c r="K583" s="54">
        <f>IF(A583=0,VLOOKUP(D583,'03. Insumos'!A:F,4,0),"")</f>
        <v>21.9</v>
      </c>
      <c r="L583" s="70">
        <f>H583*J583*I583</f>
        <v>0</v>
      </c>
      <c r="M583" s="355">
        <f t="shared" ca="1" si="69"/>
        <v>0</v>
      </c>
      <c r="O583" s="148"/>
      <c r="R583" s="356"/>
    </row>
    <row r="584" spans="1:18" s="51" customFormat="1" ht="13.5" customHeight="1" outlineLevel="1" x14ac:dyDescent="0.3">
      <c r="A584" s="290">
        <f t="shared" si="70"/>
        <v>4</v>
      </c>
      <c r="B584" s="45"/>
      <c r="C584" s="45" t="s">
        <v>2747</v>
      </c>
      <c r="D584" s="45" t="s">
        <v>2756</v>
      </c>
      <c r="E584" s="45"/>
      <c r="F584" s="327"/>
      <c r="G584" s="327"/>
      <c r="H584" s="328"/>
      <c r="I584" s="61"/>
      <c r="J584" s="335"/>
      <c r="K584" s="62"/>
      <c r="L584" s="335">
        <f>SUMIF(A585:A587,6,L585:L587)</f>
        <v>11150.311999999998</v>
      </c>
      <c r="M584" s="153">
        <f t="shared" ca="1" si="69"/>
        <v>1.9255162136614672E-4</v>
      </c>
      <c r="O584" s="148"/>
      <c r="R584" s="12"/>
    </row>
    <row r="585" spans="1:18" s="59" customFormat="1" ht="13.5" customHeight="1" outlineLevel="1" x14ac:dyDescent="0.3">
      <c r="A585" s="290">
        <f>LEN(C585)</f>
        <v>6</v>
      </c>
      <c r="B585" s="55"/>
      <c r="C585" s="55" t="s">
        <v>2757</v>
      </c>
      <c r="D585" s="55" t="s">
        <v>2843</v>
      </c>
      <c r="E585" s="55"/>
      <c r="F585" s="56"/>
      <c r="G585" s="56" t="s">
        <v>74</v>
      </c>
      <c r="H585" s="57">
        <v>228.49</v>
      </c>
      <c r="I585" s="57"/>
      <c r="J585" s="58"/>
      <c r="K585" s="58" t="str">
        <f>IF(A585=0,VLOOKUP(D585,'03. Insumos'!A:F,4,0),"")</f>
        <v/>
      </c>
      <c r="L585" s="58">
        <f>SUM(L586:L587)</f>
        <v>11150.311999999998</v>
      </c>
      <c r="M585" s="153">
        <f t="shared" ca="1" si="69"/>
        <v>1.9255162136614672E-4</v>
      </c>
      <c r="O585" s="148">
        <f>IF(I585&lt;&gt;0,I585*H585*K585,)</f>
        <v>0</v>
      </c>
      <c r="R585" s="12">
        <f>IF(J585&lt;&gt;0,J585/1.03-K585,0)</f>
        <v>0</v>
      </c>
    </row>
    <row r="586" spans="1:18" s="51" customFormat="1" ht="13.5" customHeight="1" outlineLevel="1" x14ac:dyDescent="0.3">
      <c r="A586" s="290">
        <f>LEN(C586)</f>
        <v>0</v>
      </c>
      <c r="B586" s="49"/>
      <c r="C586" s="49"/>
      <c r="D586" s="140" t="s">
        <v>2776</v>
      </c>
      <c r="E586" s="67" t="str">
        <f>VLOOKUP(D586,'03. Insumos'!A:D,2,0)</f>
        <v>Material - Rodapé Poliestireno 10cm - Santa Luzia</v>
      </c>
      <c r="F586" s="68" t="s">
        <v>2613</v>
      </c>
      <c r="G586" s="68" t="str">
        <f>VLOOKUP(D586,'03. Insumos'!A:F,3,0)</f>
        <v>m</v>
      </c>
      <c r="H586" s="69">
        <v>1</v>
      </c>
      <c r="I586" s="141">
        <f>H585*1.15</f>
        <v>262.76349999999996</v>
      </c>
      <c r="J586" s="70">
        <f>IFERROR(IF(K586&lt;&gt;0,K586*$K$5,0),0)</f>
        <v>32</v>
      </c>
      <c r="K586" s="54">
        <f>IF(A586=0,VLOOKUP(D586,'03. Insumos'!A:F,4,0),"")</f>
        <v>32</v>
      </c>
      <c r="L586" s="70">
        <f>H586*J586*I586</f>
        <v>8408.4319999999989</v>
      </c>
      <c r="M586" s="153">
        <f t="shared" ca="1" si="69"/>
        <v>1.4520286201381556E-4</v>
      </c>
      <c r="O586" s="148">
        <f>IF(I586&lt;&gt;0,I586*H586*K586,)</f>
        <v>8408.4319999999989</v>
      </c>
      <c r="R586" s="12">
        <f>IF(J586&lt;&gt;0,J586/1.03-K586,0)</f>
        <v>-0.9320388349514559</v>
      </c>
    </row>
    <row r="587" spans="1:18" s="51" customFormat="1" ht="13.5" customHeight="1" outlineLevel="1" x14ac:dyDescent="0.3">
      <c r="A587" s="290">
        <f>LEN(C587)</f>
        <v>0</v>
      </c>
      <c r="B587" s="49"/>
      <c r="C587" s="49"/>
      <c r="D587" s="140" t="s">
        <v>771</v>
      </c>
      <c r="E587" s="67" t="str">
        <f>VLOOKUP(D587,'03. Insumos'!A:D,2,0)</f>
        <v xml:space="preserve">Mão de obra - Execução de rodapé </v>
      </c>
      <c r="F587" s="68" t="s">
        <v>2607</v>
      </c>
      <c r="G587" s="68" t="str">
        <f>VLOOKUP(D587,'03. Insumos'!A:F,3,0)</f>
        <v>m</v>
      </c>
      <c r="H587" s="69">
        <v>1</v>
      </c>
      <c r="I587" s="141">
        <f>H585</f>
        <v>228.49</v>
      </c>
      <c r="J587" s="70">
        <f>IFERROR(IF(K587&lt;&gt;0,K587*$K$5,0),0)</f>
        <v>12</v>
      </c>
      <c r="K587" s="54">
        <f>IF(A587=0,VLOOKUP(D587,'03. Insumos'!A:F,4,0),"")</f>
        <v>12</v>
      </c>
      <c r="L587" s="70">
        <f>H587*J587*I587</f>
        <v>2741.88</v>
      </c>
      <c r="M587" s="153">
        <f t="shared" ca="1" si="69"/>
        <v>4.7348759352331172E-5</v>
      </c>
      <c r="O587" s="148"/>
      <c r="R587" s="12"/>
    </row>
    <row r="588" spans="1:18" s="51" customFormat="1" ht="13.5" customHeight="1" outlineLevel="1" x14ac:dyDescent="0.3">
      <c r="A588" s="290">
        <f t="shared" si="70"/>
        <v>4</v>
      </c>
      <c r="B588" s="45"/>
      <c r="C588" s="45" t="s">
        <v>2755</v>
      </c>
      <c r="D588" s="45" t="s">
        <v>2749</v>
      </c>
      <c r="E588" s="347"/>
      <c r="F588" s="327"/>
      <c r="G588" s="327"/>
      <c r="H588" s="328"/>
      <c r="I588" s="61"/>
      <c r="J588" s="335"/>
      <c r="K588" s="62"/>
      <c r="L588" s="335">
        <f>SUMIF(A589:A591,6,L589:L591)</f>
        <v>21503.599999999999</v>
      </c>
      <c r="M588" s="153">
        <f t="shared" ca="1" si="69"/>
        <v>3.7133965804805039E-4</v>
      </c>
      <c r="O588" s="148"/>
      <c r="R588" s="12"/>
    </row>
    <row r="589" spans="1:18" s="59" customFormat="1" ht="13.5" customHeight="1" outlineLevel="1" x14ac:dyDescent="0.3">
      <c r="A589" s="290">
        <f t="shared" si="70"/>
        <v>6</v>
      </c>
      <c r="B589" s="55"/>
      <c r="C589" s="55" t="s">
        <v>2748</v>
      </c>
      <c r="D589" s="55" t="s">
        <v>2750</v>
      </c>
      <c r="E589" s="55"/>
      <c r="F589" s="56"/>
      <c r="G589" s="56" t="s">
        <v>73</v>
      </c>
      <c r="H589" s="57">
        <f>37.52+10.58</f>
        <v>48.1</v>
      </c>
      <c r="I589" s="57"/>
      <c r="J589" s="58"/>
      <c r="K589" s="58" t="str">
        <f>IF(A589=0,VLOOKUP(D589,'03. Insumos'!A:F,4,0),"")</f>
        <v/>
      </c>
      <c r="L589" s="58">
        <f>SUM(L590:L591)</f>
        <v>21503.599999999999</v>
      </c>
      <c r="M589" s="153">
        <f t="shared" ca="1" si="69"/>
        <v>3.7133965804805039E-4</v>
      </c>
      <c r="O589" s="148">
        <f>IF(I589&lt;&gt;0,I589*H589*K589,)</f>
        <v>0</v>
      </c>
      <c r="R589" s="12">
        <f>IF(J589&lt;&gt;0,J589/1.03-K589,0)</f>
        <v>0</v>
      </c>
    </row>
    <row r="590" spans="1:18" s="51" customFormat="1" ht="13.5" customHeight="1" outlineLevel="1" x14ac:dyDescent="0.3">
      <c r="A590" s="13">
        <f t="shared" si="70"/>
        <v>0</v>
      </c>
      <c r="B590" s="49"/>
      <c r="C590" s="49"/>
      <c r="D590" s="140" t="s">
        <v>2729</v>
      </c>
      <c r="E590" s="67" t="str">
        <f>VLOOKUP(D590,'03. Insumos'!A:D,2,0)</f>
        <v>Sonex em paineis Nexacustic perfurados, modelo 16 - 2,74X160mm (Cor Freijó) - mat c/ frete</v>
      </c>
      <c r="F590" s="68" t="s">
        <v>2599</v>
      </c>
      <c r="G590" s="68" t="str">
        <f>VLOOKUP(D590,'03. Insumos'!A:F,3,0)</f>
        <v>m²</v>
      </c>
      <c r="H590" s="69">
        <v>1</v>
      </c>
      <c r="I590" s="141">
        <f>H589</f>
        <v>48.1</v>
      </c>
      <c r="J590" s="70">
        <f>IFERROR(IF(K590&lt;&gt;0,K590*$K$5,0),0)</f>
        <v>291.06029106029104</v>
      </c>
      <c r="K590" s="54">
        <f>IF(A590=0,VLOOKUP(D590,'03. Insumos'!A:F,4,0),"")</f>
        <v>291.06029106029104</v>
      </c>
      <c r="L590" s="70">
        <f>H590*J590*I590</f>
        <v>14000</v>
      </c>
      <c r="M590" s="355">
        <f t="shared" ca="1" si="69"/>
        <v>2.417620869376619E-4</v>
      </c>
      <c r="O590" s="148">
        <f>IF(I590&lt;&gt;0,I590*H590*K590,)</f>
        <v>14000</v>
      </c>
      <c r="R590" s="356">
        <f>IF(J590&lt;&gt;0,J590/1.03-K590,0)</f>
        <v>-8.4774842056395414</v>
      </c>
    </row>
    <row r="591" spans="1:18" s="51" customFormat="1" ht="13.5" customHeight="1" outlineLevel="1" x14ac:dyDescent="0.3">
      <c r="A591" s="13">
        <f t="shared" si="70"/>
        <v>0</v>
      </c>
      <c r="B591" s="49"/>
      <c r="C591" s="49"/>
      <c r="D591" s="140" t="s">
        <v>2730</v>
      </c>
      <c r="E591" s="67" t="str">
        <f>VLOOKUP(D591,'03. Insumos'!A:D,2,0)</f>
        <v>Sonex em paineis Nexacustic perfurados, modelo 16 - 2,74X160mm (Cor Freijó) - mo</v>
      </c>
      <c r="F591" s="68" t="s">
        <v>2599</v>
      </c>
      <c r="G591" s="68" t="str">
        <f>VLOOKUP(D591,'03. Insumos'!A:F,3,0)</f>
        <v>m²</v>
      </c>
      <c r="H591" s="69">
        <v>1</v>
      </c>
      <c r="I591" s="141">
        <f>H589</f>
        <v>48.1</v>
      </c>
      <c r="J591" s="70">
        <f>IFERROR(IF(K591&lt;&gt;0,K591*$K$5,0),0)</f>
        <v>156</v>
      </c>
      <c r="K591" s="54">
        <f>IF(A591=0,VLOOKUP(D591,'03. Insumos'!A:F,4,0),"")</f>
        <v>156</v>
      </c>
      <c r="L591" s="70">
        <f>H591*J591*I591</f>
        <v>7503.6</v>
      </c>
      <c r="M591" s="355">
        <f t="shared" ca="1" si="69"/>
        <v>1.2957757111038855E-4</v>
      </c>
      <c r="O591" s="148"/>
      <c r="R591" s="356"/>
    </row>
    <row r="592" spans="1:18" s="18" customFormat="1" ht="13.5" customHeight="1" x14ac:dyDescent="0.3">
      <c r="A592" s="290">
        <f>LEN(C592)</f>
        <v>3</v>
      </c>
      <c r="B592" s="35"/>
      <c r="C592" s="35" t="s">
        <v>324</v>
      </c>
      <c r="D592" s="35" t="s">
        <v>336</v>
      </c>
      <c r="E592" s="35"/>
      <c r="F592" s="323"/>
      <c r="G592" s="323"/>
      <c r="H592" s="324"/>
      <c r="I592" s="37"/>
      <c r="J592" s="333"/>
      <c r="K592" s="38"/>
      <c r="L592" s="333">
        <f>SUMIF(A593:A682,4,L593:L682)</f>
        <v>12877.124</v>
      </c>
      <c r="M592" s="153">
        <f t="shared" ca="1" si="69"/>
        <v>2.2237145514250375E-4</v>
      </c>
      <c r="O592" s="148">
        <f>IF(I592&lt;&gt;0,I592*H592*K592,)</f>
        <v>0</v>
      </c>
      <c r="R592" s="12">
        <f>IF(J592&lt;&gt;0,J592/1.03-K592,0)</f>
        <v>0</v>
      </c>
    </row>
    <row r="593" spans="1:18" s="18" customFormat="1" ht="5.25" customHeight="1" outlineLevel="1" x14ac:dyDescent="0.3">
      <c r="A593" s="290">
        <f>LEN(C593)</f>
        <v>0</v>
      </c>
      <c r="B593" s="63"/>
      <c r="C593" s="63"/>
      <c r="D593" s="63"/>
      <c r="E593" s="63"/>
      <c r="F593" s="325"/>
      <c r="G593" s="325"/>
      <c r="H593" s="326"/>
      <c r="I593" s="65"/>
      <c r="J593" s="334">
        <f>IFERROR(IF(K593&lt;&gt;0,K593*$K$5,0),0)</f>
        <v>0</v>
      </c>
      <c r="K593" s="66" t="e">
        <f>IF(A593=0,VLOOKUP(D593,'03. Insumos'!A:F,4,0),"")</f>
        <v>#N/A</v>
      </c>
      <c r="L593" s="334"/>
      <c r="M593" s="153">
        <f t="shared" ca="1" si="69"/>
        <v>0</v>
      </c>
      <c r="O593" s="148">
        <f>IF(I593&lt;&gt;0,I593*H593*K593,)</f>
        <v>0</v>
      </c>
      <c r="R593" s="12">
        <f>IF(J593&lt;&gt;0,J593/1.03-K593,0)</f>
        <v>0</v>
      </c>
    </row>
    <row r="594" spans="1:18" s="18" customFormat="1" ht="13.5" customHeight="1" outlineLevel="1" x14ac:dyDescent="0.3">
      <c r="A594" s="290">
        <f>LEN(C594)</f>
        <v>4</v>
      </c>
      <c r="B594" s="45"/>
      <c r="C594" s="45" t="s">
        <v>325</v>
      </c>
      <c r="D594" s="45" t="s">
        <v>348</v>
      </c>
      <c r="E594" s="45"/>
      <c r="F594" s="327"/>
      <c r="G594" s="327"/>
      <c r="H594" s="328"/>
      <c r="I594" s="61"/>
      <c r="J594" s="335"/>
      <c r="K594" s="62" t="str">
        <f>IF(A594=0,VLOOKUP(D594,'03. Insumos'!A:F,4,0),"")</f>
        <v/>
      </c>
      <c r="L594" s="335">
        <f>SUMIF(A595:A682,6,L595:L682)</f>
        <v>12877.124</v>
      </c>
      <c r="M594" s="153">
        <f t="shared" ca="1" si="69"/>
        <v>2.2237145514250375E-4</v>
      </c>
      <c r="O594" s="148">
        <f>IF(I594&lt;&gt;0,I594*H594*K594,)</f>
        <v>0</v>
      </c>
      <c r="R594" s="12">
        <f>IF(J594&lt;&gt;0,J594/1.03-K594,0)</f>
        <v>0</v>
      </c>
    </row>
    <row r="595" spans="1:18" s="59" customFormat="1" ht="13.5" customHeight="1" outlineLevel="1" x14ac:dyDescent="0.3">
      <c r="A595" s="290">
        <f>LEN(C595)</f>
        <v>6</v>
      </c>
      <c r="B595" s="55"/>
      <c r="C595" s="55" t="s">
        <v>326</v>
      </c>
      <c r="D595" s="55" t="s">
        <v>2473</v>
      </c>
      <c r="E595" s="55"/>
      <c r="F595" s="56"/>
      <c r="G595" s="56"/>
      <c r="H595" s="57"/>
      <c r="I595" s="57"/>
      <c r="J595" s="58"/>
      <c r="K595" s="58" t="str">
        <f>IF(A595=0,VLOOKUP(D595,'03. Insumos'!A:F,4,0),"")</f>
        <v/>
      </c>
      <c r="L595" s="58">
        <f>SUM(L596:L605)</f>
        <v>12877.124</v>
      </c>
      <c r="M595" s="153">
        <f t="shared" ca="1" si="69"/>
        <v>2.2237145514250375E-4</v>
      </c>
      <c r="O595" s="148">
        <f>IF(I595&lt;&gt;0,I595*H595*K595,)</f>
        <v>0</v>
      </c>
      <c r="R595" s="12">
        <f>IF(J595&lt;&gt;0,J595/1.03-K595,0)</f>
        <v>0</v>
      </c>
    </row>
    <row r="596" spans="1:18" s="59" customFormat="1" ht="13.5" customHeight="1" outlineLevel="1" x14ac:dyDescent="0.3">
      <c r="A596" s="290">
        <f>LEN(C596)</f>
        <v>0</v>
      </c>
      <c r="B596" s="55"/>
      <c r="C596" s="55"/>
      <c r="D596" s="140" t="s">
        <v>2811</v>
      </c>
      <c r="E596" s="67" t="str">
        <f>VLOOKUP(D596,'03. Insumos'!A:D,2,0)</f>
        <v>Mármores e granitos - Bancada banheiro casal suíte 01
c/ frontispício 10cm e saia 10cm
(2 furações) + ilhargas</v>
      </c>
      <c r="F596" s="68" t="s">
        <v>2613</v>
      </c>
      <c r="G596" s="68" t="str">
        <f>VLOOKUP(D596,'03. Insumos'!A:F,3,0)</f>
        <v>vb</v>
      </c>
      <c r="H596" s="69">
        <v>1</v>
      </c>
      <c r="I596" s="141">
        <v>1</v>
      </c>
      <c r="J596" s="70">
        <f t="shared" ref="J596:J605" si="71">IFERROR(IF(K596&lt;&gt;0,K596*$K$5,0),0)</f>
        <v>5975.45</v>
      </c>
      <c r="K596" s="54">
        <f>IF(A596=0,VLOOKUP(D596,'03. Insumos'!A:F,4,0),"")</f>
        <v>5975.45</v>
      </c>
      <c r="L596" s="70">
        <f>H596*J596*I596</f>
        <v>5975.45</v>
      </c>
      <c r="M596" s="153">
        <f t="shared" ca="1" si="69"/>
        <v>1.0318837588511798E-4</v>
      </c>
      <c r="O596" s="148"/>
      <c r="R596" s="12"/>
    </row>
    <row r="597" spans="1:18" s="59" customFormat="1" ht="13.5" customHeight="1" outlineLevel="1" x14ac:dyDescent="0.3">
      <c r="A597" s="290">
        <f t="shared" ref="A597:A604" si="72">LEN(C597)</f>
        <v>0</v>
      </c>
      <c r="B597" s="55"/>
      <c r="C597" s="55"/>
      <c r="D597" s="140" t="s">
        <v>2812</v>
      </c>
      <c r="E597" s="67" t="str">
        <f>VLOOKUP(D597,'03. Insumos'!A:D,2,0)</f>
        <v>Mármores e granitos - Bancada suíte 02 c/ frontispicio
14cm e saia 15cm (1 furação):</v>
      </c>
      <c r="F597" s="68" t="s">
        <v>2613</v>
      </c>
      <c r="G597" s="68" t="str">
        <f>VLOOKUP(D597,'03. Insumos'!A:F,3,0)</f>
        <v>vb</v>
      </c>
      <c r="H597" s="69">
        <v>1</v>
      </c>
      <c r="I597" s="141">
        <v>1</v>
      </c>
      <c r="J597" s="70">
        <f t="shared" si="71"/>
        <v>2316.2620000000002</v>
      </c>
      <c r="K597" s="54">
        <f>IF(A597=0,VLOOKUP(D597,'03. Insumos'!A:F,4,0),"")</f>
        <v>2316.2620000000002</v>
      </c>
      <c r="L597" s="70">
        <f t="shared" ref="L597:L603" si="73">H597*J597*I597</f>
        <v>2316.2620000000002</v>
      </c>
      <c r="M597" s="153">
        <f t="shared" ca="1" si="69"/>
        <v>3.9998881072457328E-5</v>
      </c>
      <c r="O597" s="148"/>
      <c r="R597" s="12"/>
    </row>
    <row r="598" spans="1:18" s="59" customFormat="1" ht="13.5" customHeight="1" outlineLevel="1" x14ac:dyDescent="0.3">
      <c r="A598" s="290">
        <f t="shared" si="72"/>
        <v>0</v>
      </c>
      <c r="B598" s="55"/>
      <c r="C598" s="55"/>
      <c r="D598" s="140" t="s">
        <v>2813</v>
      </c>
      <c r="E598" s="67" t="str">
        <f>VLOOKUP(D598,'03. Insumos'!A:D,2,0)</f>
        <v>Mármores e granitos - Bancada suíte 03 c/ frontispício 14
cm e saia 15cm (1 furação):</v>
      </c>
      <c r="F598" s="68" t="s">
        <v>2613</v>
      </c>
      <c r="G598" s="68" t="str">
        <f>VLOOKUP(D598,'03. Insumos'!A:F,3,0)</f>
        <v>vb</v>
      </c>
      <c r="H598" s="69">
        <v>1</v>
      </c>
      <c r="I598" s="141">
        <v>1</v>
      </c>
      <c r="J598" s="70">
        <f t="shared" si="71"/>
        <v>2316.2620000000002</v>
      </c>
      <c r="K598" s="54">
        <f>IF(A598=0,VLOOKUP(D598,'03. Insumos'!A:F,4,0),"")</f>
        <v>2316.2620000000002</v>
      </c>
      <c r="L598" s="70">
        <f>H598*J598*I598</f>
        <v>2316.2620000000002</v>
      </c>
      <c r="M598" s="153">
        <f t="shared" ca="1" si="69"/>
        <v>3.9998881072457328E-5</v>
      </c>
      <c r="O598" s="148"/>
      <c r="R598" s="12"/>
    </row>
    <row r="599" spans="1:18" s="59" customFormat="1" ht="13.5" customHeight="1" outlineLevel="1" x14ac:dyDescent="0.3">
      <c r="A599" s="290">
        <f t="shared" si="72"/>
        <v>0</v>
      </c>
      <c r="B599" s="55"/>
      <c r="C599" s="55"/>
      <c r="D599" s="140" t="s">
        <v>2814</v>
      </c>
      <c r="E599" s="67" t="str">
        <f>VLOOKUP(D599,'03. Insumos'!A:D,2,0)</f>
        <v>Mármores e granitos - Bancada Lavabo c/ frontispício 15
cm e saia 15cm (1 furação):</v>
      </c>
      <c r="F599" s="68" t="s">
        <v>2613</v>
      </c>
      <c r="G599" s="68" t="str">
        <f>VLOOKUP(D599,'03. Insumos'!A:F,3,0)</f>
        <v>vb</v>
      </c>
      <c r="H599" s="69">
        <v>1</v>
      </c>
      <c r="I599" s="141">
        <v>1</v>
      </c>
      <c r="J599" s="70">
        <f t="shared" si="71"/>
        <v>1071.8500000000001</v>
      </c>
      <c r="K599" s="54">
        <f>IF(A599=0,VLOOKUP(D599,'03. Insumos'!A:F,4,0),"")</f>
        <v>1071.8500000000001</v>
      </c>
      <c r="L599" s="70">
        <f>H599*J599*I599</f>
        <v>1071.8500000000001</v>
      </c>
      <c r="M599" s="153">
        <f t="shared" ca="1" si="69"/>
        <v>1.8509478063152353E-5</v>
      </c>
      <c r="O599" s="148"/>
      <c r="R599" s="12"/>
    </row>
    <row r="600" spans="1:18" s="59" customFormat="1" ht="13.5" customHeight="1" outlineLevel="1" x14ac:dyDescent="0.3">
      <c r="A600" s="290">
        <f t="shared" si="72"/>
        <v>0</v>
      </c>
      <c r="B600" s="55"/>
      <c r="C600" s="55"/>
      <c r="D600" s="140" t="s">
        <v>467</v>
      </c>
      <c r="E600" s="67" t="str">
        <f>VLOOKUP(D600,'03. Insumos'!A:D,2,0)</f>
        <v>Cozinha Bancada Ardósia cinza - 3.54 x 0.6</v>
      </c>
      <c r="F600" s="68" t="s">
        <v>2607</v>
      </c>
      <c r="G600" s="68" t="str">
        <f>VLOOKUP(D600,'03. Insumos'!A:F,3,0)</f>
        <v>unid</v>
      </c>
      <c r="H600" s="69">
        <v>1</v>
      </c>
      <c r="I600" s="141">
        <v>1</v>
      </c>
      <c r="J600" s="70">
        <f t="shared" si="71"/>
        <v>1197.3</v>
      </c>
      <c r="K600" s="54">
        <f>IF(A600=0,VLOOKUP(D600,'03. Insumos'!A:F,4,0),"")</f>
        <v>1197.3</v>
      </c>
      <c r="L600" s="70">
        <f t="shared" si="73"/>
        <v>1197.3</v>
      </c>
      <c r="M600" s="153">
        <f t="shared" ca="1" si="69"/>
        <v>2.0675839049318754E-5</v>
      </c>
      <c r="O600" s="148"/>
      <c r="R600" s="12"/>
    </row>
    <row r="601" spans="1:18" s="59" customFormat="1" ht="13.5" hidden="1" customHeight="1" outlineLevel="1" x14ac:dyDescent="0.3">
      <c r="A601" s="290">
        <f t="shared" si="72"/>
        <v>0</v>
      </c>
      <c r="B601" s="55"/>
      <c r="C601" s="55"/>
      <c r="D601" s="140" t="s">
        <v>2486</v>
      </c>
      <c r="E601" s="49" t="str">
        <f>VLOOKUP(D601,'03. Insumos'!A:D,2,0)</f>
        <v>Material + MO - Granito Santa Cecília Levigado</v>
      </c>
      <c r="F601" s="68" t="s">
        <v>2613</v>
      </c>
      <c r="G601" s="68" t="str">
        <f>VLOOKUP(D601,'03. Insumos'!A:F,3,0)</f>
        <v>m²</v>
      </c>
      <c r="H601" s="69">
        <v>1</v>
      </c>
      <c r="I601" s="141"/>
      <c r="J601" s="70">
        <f t="shared" si="71"/>
        <v>445.33330000000001</v>
      </c>
      <c r="K601" s="54">
        <f>IF(A601=0,VLOOKUP(D601,'03. Insumos'!A:F,4,0),"")</f>
        <v>445.33330000000001</v>
      </c>
      <c r="L601" s="70">
        <f t="shared" si="73"/>
        <v>0</v>
      </c>
      <c r="M601" s="153">
        <f t="shared" ca="1" si="69"/>
        <v>0</v>
      </c>
      <c r="O601" s="148"/>
      <c r="R601" s="12"/>
    </row>
    <row r="602" spans="1:18" s="59" customFormat="1" ht="13.5" hidden="1" customHeight="1" outlineLevel="1" x14ac:dyDescent="0.3">
      <c r="A602" s="290">
        <f t="shared" si="72"/>
        <v>0</v>
      </c>
      <c r="B602" s="55"/>
      <c r="C602" s="55"/>
      <c r="D602" s="140" t="s">
        <v>2487</v>
      </c>
      <c r="E602" s="49" t="str">
        <f>VLOOKUP(D602,'03. Insumos'!A:D,2,0)</f>
        <v>Cozinha Bancada Ardósia cinza - 2.25 x 0.6</v>
      </c>
      <c r="F602" s="68" t="s">
        <v>2613</v>
      </c>
      <c r="G602" s="68" t="str">
        <f>VLOOKUP(D602,'03. Insumos'!A:F,3,0)</f>
        <v>unid</v>
      </c>
      <c r="H602" s="69">
        <v>1</v>
      </c>
      <c r="I602" s="141"/>
      <c r="J602" s="70">
        <f t="shared" si="71"/>
        <v>603</v>
      </c>
      <c r="K602" s="54">
        <f>IF(A602=0,VLOOKUP(D602,'03. Insumos'!A:F,4,0),"")</f>
        <v>603</v>
      </c>
      <c r="L602" s="70">
        <f t="shared" si="73"/>
        <v>0</v>
      </c>
      <c r="M602" s="153">
        <f t="shared" ca="1" si="69"/>
        <v>0</v>
      </c>
      <c r="O602" s="148"/>
      <c r="R602" s="12"/>
    </row>
    <row r="603" spans="1:18" s="59" customFormat="1" ht="13.5" hidden="1" customHeight="1" outlineLevel="1" x14ac:dyDescent="0.3">
      <c r="A603" s="290">
        <f t="shared" si="72"/>
        <v>0</v>
      </c>
      <c r="B603" s="55"/>
      <c r="C603" s="55"/>
      <c r="D603" s="140" t="s">
        <v>2488</v>
      </c>
      <c r="E603" s="49" t="str">
        <f>VLOOKUP(D603,'03. Insumos'!A:D,2,0)</f>
        <v>Cozinha Bancada Ardózia Cinza - 7.5 x 0.6</v>
      </c>
      <c r="F603" s="68" t="s">
        <v>2613</v>
      </c>
      <c r="G603" s="68" t="str">
        <f>VLOOKUP(D603,'03. Insumos'!A:F,3,0)</f>
        <v>vb</v>
      </c>
      <c r="H603" s="69">
        <v>1</v>
      </c>
      <c r="I603" s="141"/>
      <c r="J603" s="70">
        <f t="shared" si="71"/>
        <v>2007</v>
      </c>
      <c r="K603" s="54">
        <f>IF(A603=0,VLOOKUP(D603,'03. Insumos'!A:F,4,0),"")</f>
        <v>2007</v>
      </c>
      <c r="L603" s="70">
        <f t="shared" si="73"/>
        <v>0</v>
      </c>
      <c r="M603" s="153">
        <f t="shared" ca="1" si="69"/>
        <v>0</v>
      </c>
      <c r="O603" s="148"/>
      <c r="R603" s="12"/>
    </row>
    <row r="604" spans="1:18" s="59" customFormat="1" ht="13.5" hidden="1" customHeight="1" outlineLevel="1" x14ac:dyDescent="0.3">
      <c r="A604" s="290">
        <f t="shared" si="72"/>
        <v>0</v>
      </c>
      <c r="B604" s="55"/>
      <c r="C604" s="55"/>
      <c r="D604" s="140" t="s">
        <v>2489</v>
      </c>
      <c r="E604" s="49" t="str">
        <f>VLOOKUP(D604,'03. Insumos'!A:D,2,0)</f>
        <v>Soleira em Nanoglass</v>
      </c>
      <c r="F604" s="68" t="s">
        <v>2613</v>
      </c>
      <c r="G604" s="68" t="str">
        <f>VLOOKUP(D604,'03. Insumos'!A:F,3,0)</f>
        <v>vb</v>
      </c>
      <c r="H604" s="69">
        <v>1</v>
      </c>
      <c r="I604" s="141"/>
      <c r="J604" s="70">
        <f t="shared" si="71"/>
        <v>4048.2400000000002</v>
      </c>
      <c r="K604" s="54">
        <f>IF(A604=0,VLOOKUP(D604,'03. Insumos'!A:F,4,0),"")</f>
        <v>4048.2400000000002</v>
      </c>
      <c r="L604" s="70">
        <f>H604*J604*I604</f>
        <v>0</v>
      </c>
      <c r="M604" s="153">
        <f t="shared" ca="1" si="69"/>
        <v>0</v>
      </c>
      <c r="O604" s="148"/>
      <c r="R604" s="12"/>
    </row>
    <row r="605" spans="1:18" s="51" customFormat="1" ht="13.5" hidden="1" customHeight="1" outlineLevel="1" x14ac:dyDescent="0.3">
      <c r="A605" s="290">
        <f>LEN(C605)</f>
        <v>0</v>
      </c>
      <c r="B605" s="49"/>
      <c r="C605" s="49"/>
      <c r="D605" s="140" t="s">
        <v>2490</v>
      </c>
      <c r="E605" s="49" t="str">
        <f>VLOOKUP(D605,'03. Insumos'!A:D,2,0)</f>
        <v>Tento em Nanoglass</v>
      </c>
      <c r="F605" s="68" t="s">
        <v>2613</v>
      </c>
      <c r="G605" s="68" t="str">
        <f>VLOOKUP(D605,'03. Insumos'!A:F,3,0)</f>
        <v>vb</v>
      </c>
      <c r="H605" s="69">
        <v>1</v>
      </c>
      <c r="I605" s="141"/>
      <c r="J605" s="70">
        <f t="shared" si="71"/>
        <v>736.87</v>
      </c>
      <c r="K605" s="54">
        <f>IF(A605=0,VLOOKUP(D605,'03. Insumos'!A:F,4,0),"")</f>
        <v>736.87</v>
      </c>
      <c r="L605" s="70">
        <f>H605*J605*I605</f>
        <v>0</v>
      </c>
      <c r="M605" s="153">
        <f t="shared" ca="1" si="69"/>
        <v>0</v>
      </c>
      <c r="O605" s="148">
        <f>IF(I605&lt;&gt;0,I605*H605*K605,)</f>
        <v>0</v>
      </c>
      <c r="R605" s="12">
        <f>IF(J605&lt;&gt;0,J605/1.03-K605,0)</f>
        <v>-21.462233009708712</v>
      </c>
    </row>
    <row r="606" spans="1:18" s="51" customFormat="1" ht="13.5" hidden="1" customHeight="1" outlineLevel="1" x14ac:dyDescent="0.3">
      <c r="A606" s="290">
        <f>LEN(C606)</f>
        <v>6</v>
      </c>
      <c r="B606" s="49"/>
      <c r="C606" s="55" t="s">
        <v>326</v>
      </c>
      <c r="D606" s="55" t="s">
        <v>2169</v>
      </c>
      <c r="E606" s="49"/>
      <c r="F606" s="68"/>
      <c r="G606" s="68"/>
      <c r="H606" s="69"/>
      <c r="I606" s="141"/>
      <c r="J606" s="70"/>
      <c r="K606" s="54"/>
      <c r="L606" s="58">
        <f>SUM(L607)</f>
        <v>0</v>
      </c>
      <c r="M606" s="153">
        <f t="shared" ca="1" si="69"/>
        <v>0</v>
      </c>
      <c r="O606" s="148"/>
      <c r="R606" s="12"/>
    </row>
    <row r="607" spans="1:18" s="51" customFormat="1" ht="13.5" hidden="1" customHeight="1" outlineLevel="1" x14ac:dyDescent="0.3">
      <c r="A607" s="290">
        <f>LEN(C607)</f>
        <v>0</v>
      </c>
      <c r="B607" s="49"/>
      <c r="C607" s="49"/>
      <c r="D607" s="140" t="s">
        <v>2170</v>
      </c>
      <c r="E607" s="49" t="str">
        <f>VLOOKUP(D607,'03. Insumos'!A:D,2,0)</f>
        <v>Soleiras, Tentos, Peitoris e Chapins - Mármore Branco Prime Nano</v>
      </c>
      <c r="F607" s="68"/>
      <c r="G607" s="68" t="str">
        <f>VLOOKUP(D607,'03. Insumos'!A:F,3,0)</f>
        <v>vb</v>
      </c>
      <c r="H607" s="69">
        <v>1</v>
      </c>
      <c r="I607" s="141"/>
      <c r="J607" s="70">
        <f>IFERROR(IF(K607&lt;&gt;0,K607*$K$5,0),0)</f>
        <v>20399.268</v>
      </c>
      <c r="K607" s="54">
        <f>IF(A607=0,VLOOKUP(D607,'03. Insumos'!A:F,4,0),"")</f>
        <v>20399.268</v>
      </c>
      <c r="L607" s="338">
        <f>H607*J607*I607</f>
        <v>0</v>
      </c>
      <c r="M607" s="153">
        <f t="shared" ca="1" si="69"/>
        <v>0</v>
      </c>
      <c r="O607" s="148"/>
      <c r="R607" s="12"/>
    </row>
    <row r="608" spans="1:18" s="59" customFormat="1" ht="13.5" hidden="1" customHeight="1" outlineLevel="1" x14ac:dyDescent="0.3">
      <c r="A608" s="290">
        <f t="shared" ref="A608:A671" si="74">LEN(C608)</f>
        <v>6</v>
      </c>
      <c r="B608" s="55"/>
      <c r="C608" s="55" t="s">
        <v>896</v>
      </c>
      <c r="D608" s="55" t="s">
        <v>2815</v>
      </c>
      <c r="E608" s="55"/>
      <c r="F608" s="56"/>
      <c r="G608" s="56"/>
      <c r="H608" s="57"/>
      <c r="I608" s="57"/>
      <c r="J608" s="58"/>
      <c r="K608" s="58" t="str">
        <f>IF(A608=0,VLOOKUP(D608,'03. Insumos'!A:F,4,0),"")</f>
        <v/>
      </c>
      <c r="L608" s="58">
        <f>SUM(L609:L611)</f>
        <v>0</v>
      </c>
      <c r="M608" s="153">
        <f t="shared" ca="1" si="69"/>
        <v>0</v>
      </c>
      <c r="O608" s="148">
        <f>IF(I608&lt;&gt;0,I608*H608*K608,)</f>
        <v>0</v>
      </c>
      <c r="R608" s="12">
        <f>IF(J608&lt;&gt;0,J608/1.03-K608,0)</f>
        <v>0</v>
      </c>
    </row>
    <row r="609" spans="1:18" s="51" customFormat="1" ht="13.5" hidden="1" customHeight="1" outlineLevel="1" x14ac:dyDescent="0.3">
      <c r="A609" s="290">
        <f t="shared" si="74"/>
        <v>0</v>
      </c>
      <c r="B609" s="49"/>
      <c r="C609" s="49"/>
      <c r="D609" s="140" t="s">
        <v>2126</v>
      </c>
      <c r="E609" s="49" t="str">
        <f>VLOOKUP(D609,'03. Insumos'!A:D,2,0)</f>
        <v>Bancada de branco prime 1,32 x 0,55</v>
      </c>
      <c r="F609" s="68"/>
      <c r="G609" s="68" t="str">
        <f>VLOOKUP(D609,'03. Insumos'!A:F,3,0)</f>
        <v>vb</v>
      </c>
      <c r="H609" s="69">
        <v>1</v>
      </c>
      <c r="I609" s="141"/>
      <c r="J609" s="70">
        <f>IFERROR(IF(K609&lt;&gt;0,K609*$K$5,0),0)</f>
        <v>1651.44</v>
      </c>
      <c r="K609" s="54">
        <f>IF(A609=0,VLOOKUP(D609,'03. Insumos'!A:F,4,0),"")</f>
        <v>1651.44</v>
      </c>
      <c r="L609" s="338">
        <f>H609*J609*I609</f>
        <v>0</v>
      </c>
      <c r="M609" s="153">
        <f t="shared" ca="1" si="69"/>
        <v>0</v>
      </c>
      <c r="O609" s="148">
        <f>IF(I609&lt;&gt;0,I609*H609*K609,)</f>
        <v>0</v>
      </c>
      <c r="R609" s="12">
        <f>IF(J609&lt;&gt;0,J609/1.03-K609,0)</f>
        <v>-48.100194174757235</v>
      </c>
    </row>
    <row r="610" spans="1:18" s="51" customFormat="1" ht="13.5" hidden="1" customHeight="1" outlineLevel="1" x14ac:dyDescent="0.3">
      <c r="A610" s="290">
        <f t="shared" si="74"/>
        <v>0</v>
      </c>
      <c r="B610" s="49"/>
      <c r="C610" s="49"/>
      <c r="D610" s="140" t="s">
        <v>2127</v>
      </c>
      <c r="E610" s="49" t="str">
        <f>VLOOKUP(D610,'03. Insumos'!A:D,2,0)</f>
        <v>Tento duplo de branco prime 1,70 x 0,10</v>
      </c>
      <c r="F610" s="68"/>
      <c r="G610" s="68" t="str">
        <f>VLOOKUP(D610,'03. Insumos'!A:F,3,0)</f>
        <v>vb</v>
      </c>
      <c r="H610" s="69">
        <v>1</v>
      </c>
      <c r="I610" s="141"/>
      <c r="J610" s="70">
        <f>IFERROR(IF(K610&lt;&gt;0,K610*$K$5,0),0)</f>
        <v>350.86</v>
      </c>
      <c r="K610" s="54">
        <f>IF(A610=0,VLOOKUP(D610,'03. Insumos'!A:F,4,0),"")</f>
        <v>350.86</v>
      </c>
      <c r="L610" s="338">
        <f>H610*J610*I610</f>
        <v>0</v>
      </c>
      <c r="M610" s="153">
        <f t="shared" ca="1" si="69"/>
        <v>0</v>
      </c>
      <c r="O610" s="148"/>
      <c r="R610" s="12"/>
    </row>
    <row r="611" spans="1:18" s="51" customFormat="1" ht="13.5" hidden="1" customHeight="1" outlineLevel="1" x14ac:dyDescent="0.3">
      <c r="A611" s="290">
        <f t="shared" si="74"/>
        <v>0</v>
      </c>
      <c r="B611" s="49"/>
      <c r="C611" s="49"/>
      <c r="D611" s="140" t="s">
        <v>2128</v>
      </c>
      <c r="E611" s="49" t="str">
        <f>VLOOKUP(D611,'03. Insumos'!A:D,2,0)</f>
        <v>Nicho de branco prime b. suíte</v>
      </c>
      <c r="F611" s="68"/>
      <c r="G611" s="68" t="str">
        <f>VLOOKUP(D611,'03. Insumos'!A:F,3,0)</f>
        <v>vb</v>
      </c>
      <c r="H611" s="69">
        <v>1</v>
      </c>
      <c r="I611" s="141"/>
      <c r="J611" s="70">
        <f>IFERROR(IF(K611&lt;&gt;0,K611*$K$5,0),0)</f>
        <v>780</v>
      </c>
      <c r="K611" s="54">
        <f>IF(A611=0,VLOOKUP(D611,'03. Insumos'!A:F,4,0),"")</f>
        <v>780</v>
      </c>
      <c r="L611" s="338">
        <f>H611*J611*I611</f>
        <v>0</v>
      </c>
      <c r="M611" s="153">
        <f t="shared" ca="1" si="69"/>
        <v>0</v>
      </c>
      <c r="O611" s="148"/>
      <c r="R611" s="12"/>
    </row>
    <row r="612" spans="1:18" s="59" customFormat="1" ht="13.5" hidden="1" customHeight="1" outlineLevel="1" x14ac:dyDescent="0.3">
      <c r="A612" s="290">
        <f t="shared" si="74"/>
        <v>6</v>
      </c>
      <c r="B612" s="55"/>
      <c r="C612" s="55" t="s">
        <v>1467</v>
      </c>
      <c r="D612" s="55" t="s">
        <v>2113</v>
      </c>
      <c r="E612" s="55"/>
      <c r="F612" s="56"/>
      <c r="G612" s="56" t="s">
        <v>74</v>
      </c>
      <c r="H612" s="57"/>
      <c r="I612" s="57"/>
      <c r="J612" s="58"/>
      <c r="K612" s="58" t="str">
        <f>IF(A612=0,VLOOKUP(D612,'03. Insumos'!A:F,4,0),"")</f>
        <v/>
      </c>
      <c r="L612" s="58">
        <f>SUM(L613:L615)</f>
        <v>0</v>
      </c>
      <c r="M612" s="153">
        <f t="shared" ca="1" si="69"/>
        <v>0</v>
      </c>
      <c r="O612" s="148">
        <f>IF(I612&lt;&gt;0,I612*H612*K612,)</f>
        <v>0</v>
      </c>
      <c r="R612" s="12">
        <f>IF(J612&lt;&gt;0,J612/1.03-K612,0)</f>
        <v>0</v>
      </c>
    </row>
    <row r="613" spans="1:18" s="51" customFormat="1" ht="13.5" hidden="1" customHeight="1" outlineLevel="1" x14ac:dyDescent="0.3">
      <c r="A613" s="290">
        <f t="shared" si="74"/>
        <v>0</v>
      </c>
      <c r="B613" s="49"/>
      <c r="C613" s="49"/>
      <c r="D613" s="140" t="s">
        <v>2129</v>
      </c>
      <c r="E613" s="49" t="str">
        <f>VLOOKUP(D613,'03. Insumos'!A:D,2,0)</f>
        <v>Bancada de branco prime 1,14 x 0,55</v>
      </c>
      <c r="F613" s="68"/>
      <c r="G613" s="68" t="str">
        <f>VLOOKUP(D613,'03. Insumos'!A:F,3,0)</f>
        <v>vb</v>
      </c>
      <c r="H613" s="69">
        <v>1</v>
      </c>
      <c r="I613" s="141"/>
      <c r="J613" s="70">
        <f>IFERROR(IF(K613&lt;&gt;0,K613*$K$5,0),0)</f>
        <v>908.62</v>
      </c>
      <c r="K613" s="54">
        <f>IF(A613=0,VLOOKUP(D613,'03. Insumos'!A:F,4,0),"")</f>
        <v>908.62</v>
      </c>
      <c r="L613" s="338">
        <f>H613*J613*I613</f>
        <v>0</v>
      </c>
      <c r="M613" s="153">
        <f t="shared" ref="M613:M676" ca="1" si="75">L613/$L$7</f>
        <v>0</v>
      </c>
      <c r="O613" s="148">
        <f>IF(I613&lt;&gt;0,I613*H613*K613,)</f>
        <v>0</v>
      </c>
      <c r="R613" s="12">
        <f>IF(J613&lt;&gt;0,J613/1.03-K613,0)</f>
        <v>-26.464660194174826</v>
      </c>
    </row>
    <row r="614" spans="1:18" s="51" customFormat="1" ht="13.5" hidden="1" customHeight="1" outlineLevel="1" x14ac:dyDescent="0.3">
      <c r="A614" s="290">
        <f t="shared" si="74"/>
        <v>0</v>
      </c>
      <c r="B614" s="49"/>
      <c r="C614" s="49"/>
      <c r="D614" s="140" t="s">
        <v>2130</v>
      </c>
      <c r="E614" s="49" t="str">
        <f>VLOOKUP(D614,'03. Insumos'!A:D,2,0)</f>
        <v>Tento duplo de branco prime 1,27 x 0,10</v>
      </c>
      <c r="F614" s="68"/>
      <c r="G614" s="68" t="str">
        <f>VLOOKUP(D614,'03. Insumos'!A:F,3,0)</f>
        <v>vb</v>
      </c>
      <c r="H614" s="69">
        <v>1</v>
      </c>
      <c r="I614" s="141"/>
      <c r="J614" s="70">
        <f>IFERROR(IF(K614&lt;&gt;0,K614*$K$5,0),0)</f>
        <v>262.11</v>
      </c>
      <c r="K614" s="54">
        <f>IF(A614=0,VLOOKUP(D614,'03. Insumos'!A:F,4,0),"")</f>
        <v>262.11</v>
      </c>
      <c r="L614" s="338">
        <f>H614*J614*I614</f>
        <v>0</v>
      </c>
      <c r="M614" s="153">
        <f t="shared" ca="1" si="75"/>
        <v>0</v>
      </c>
      <c r="O614" s="148"/>
      <c r="R614" s="12"/>
    </row>
    <row r="615" spans="1:18" s="51" customFormat="1" ht="13.5" hidden="1" customHeight="1" outlineLevel="1" x14ac:dyDescent="0.3">
      <c r="A615" s="290">
        <f t="shared" si="74"/>
        <v>0</v>
      </c>
      <c r="B615" s="49"/>
      <c r="C615" s="49"/>
      <c r="D615" s="140" t="s">
        <v>2131</v>
      </c>
      <c r="E615" s="49" t="str">
        <f>VLOOKUP(D615,'03. Insumos'!A:D,2,0)</f>
        <v>Nicho de branco prime b. social</v>
      </c>
      <c r="F615" s="68"/>
      <c r="G615" s="68" t="str">
        <f>VLOOKUP(D615,'03. Insumos'!A:F,3,0)</f>
        <v>vb</v>
      </c>
      <c r="H615" s="69">
        <v>1</v>
      </c>
      <c r="I615" s="141"/>
      <c r="J615" s="70">
        <f>IFERROR(IF(K615&lt;&gt;0,K615*$K$5,0),0)</f>
        <v>739.33</v>
      </c>
      <c r="K615" s="54">
        <f>IF(A615=0,VLOOKUP(D615,'03. Insumos'!A:F,4,0),"")</f>
        <v>739.33</v>
      </c>
      <c r="L615" s="338">
        <f>H615*J615*I615</f>
        <v>0</v>
      </c>
      <c r="M615" s="153">
        <f t="shared" ca="1" si="75"/>
        <v>0</v>
      </c>
      <c r="O615" s="148"/>
      <c r="R615" s="12"/>
    </row>
    <row r="616" spans="1:18" s="51" customFormat="1" ht="13.5" hidden="1" customHeight="1" outlineLevel="1" x14ac:dyDescent="0.3">
      <c r="A616" s="290">
        <f t="shared" si="74"/>
        <v>6</v>
      </c>
      <c r="B616" s="49"/>
      <c r="C616" s="55" t="s">
        <v>955</v>
      </c>
      <c r="D616" s="55" t="s">
        <v>2114</v>
      </c>
      <c r="E616" s="49"/>
      <c r="F616" s="68"/>
      <c r="G616" s="68"/>
      <c r="H616" s="69"/>
      <c r="I616" s="141"/>
      <c r="J616" s="70"/>
      <c r="K616" s="54"/>
      <c r="L616" s="58">
        <f>SUM(L617:L617)</f>
        <v>0</v>
      </c>
      <c r="M616" s="153">
        <f t="shared" ca="1" si="75"/>
        <v>0</v>
      </c>
      <c r="O616" s="148"/>
      <c r="R616" s="12"/>
    </row>
    <row r="617" spans="1:18" s="51" customFormat="1" ht="13.5" hidden="1" customHeight="1" outlineLevel="1" x14ac:dyDescent="0.3">
      <c r="A617" s="290">
        <f t="shared" si="74"/>
        <v>0</v>
      </c>
      <c r="B617" s="49"/>
      <c r="C617" s="49"/>
      <c r="D617" s="140" t="s">
        <v>2132</v>
      </c>
      <c r="E617" s="49" t="str">
        <f>VLOOKUP(D617,'03. Insumos'!A:D,2,0)</f>
        <v>Bancada branco nanoglass 0,90 x 0,55</v>
      </c>
      <c r="F617" s="68"/>
      <c r="G617" s="68" t="str">
        <f>VLOOKUP(D617,'03. Insumos'!A:F,3,0)</f>
        <v>vb</v>
      </c>
      <c r="H617" s="69">
        <v>1</v>
      </c>
      <c r="I617" s="141"/>
      <c r="J617" s="70">
        <f>IFERROR(IF(K617&lt;&gt;0,K617*$K$5,0),0)</f>
        <v>1534.75</v>
      </c>
      <c r="K617" s="54">
        <f>IF(A617=0,VLOOKUP(D617,'03. Insumos'!A:F,4,0),"")</f>
        <v>1534.75</v>
      </c>
      <c r="L617" s="338">
        <f>H617*J617*I617</f>
        <v>0</v>
      </c>
      <c r="M617" s="153">
        <f t="shared" ca="1" si="75"/>
        <v>0</v>
      </c>
      <c r="O617" s="148"/>
      <c r="R617" s="12"/>
    </row>
    <row r="618" spans="1:18" s="51" customFormat="1" ht="13.5" hidden="1" customHeight="1" outlineLevel="1" x14ac:dyDescent="0.3">
      <c r="A618" s="290">
        <f t="shared" si="74"/>
        <v>6</v>
      </c>
      <c r="B618" s="49"/>
      <c r="C618" s="55" t="s">
        <v>1477</v>
      </c>
      <c r="D618" s="55" t="s">
        <v>2174</v>
      </c>
      <c r="E618" s="49"/>
      <c r="F618" s="68"/>
      <c r="G618" s="68"/>
      <c r="H618" s="69"/>
      <c r="I618" s="141"/>
      <c r="J618" s="70"/>
      <c r="K618" s="54"/>
      <c r="L618" s="58">
        <f>SUM(L619:L621)</f>
        <v>0</v>
      </c>
      <c r="M618" s="153">
        <f t="shared" ca="1" si="75"/>
        <v>0</v>
      </c>
      <c r="O618" s="148"/>
      <c r="R618" s="12"/>
    </row>
    <row r="619" spans="1:18" s="51" customFormat="1" ht="13.5" hidden="1" customHeight="1" outlineLevel="1" x14ac:dyDescent="0.3">
      <c r="A619" s="290">
        <f t="shared" si="74"/>
        <v>0</v>
      </c>
      <c r="B619" s="49"/>
      <c r="C619" s="55"/>
      <c r="D619" s="140" t="s">
        <v>2172</v>
      </c>
      <c r="E619" s="49" t="str">
        <f>VLOOKUP(D619,'03. Insumos'!A:D,2,0)</f>
        <v>Bancada em Inox</v>
      </c>
      <c r="F619" s="68"/>
      <c r="G619" s="68" t="str">
        <f>VLOOKUP(D619,'03. Insumos'!A:F,3,0)</f>
        <v>vb</v>
      </c>
      <c r="H619" s="69">
        <v>1</v>
      </c>
      <c r="I619" s="141"/>
      <c r="J619" s="70">
        <f>IFERROR(IF(K619&lt;&gt;0,K619*$K$5,0),0)</f>
        <v>3374</v>
      </c>
      <c r="K619" s="54">
        <f>IF(A619=0,VLOOKUP(D619,'03. Insumos'!A:F,4,0),"")</f>
        <v>3374</v>
      </c>
      <c r="L619" s="338">
        <f>H619*J619*I619</f>
        <v>0</v>
      </c>
      <c r="M619" s="153">
        <f t="shared" ca="1" si="75"/>
        <v>0</v>
      </c>
      <c r="O619" s="148"/>
      <c r="R619" s="12"/>
    </row>
    <row r="620" spans="1:18" s="51" customFormat="1" ht="13.5" hidden="1" customHeight="1" outlineLevel="1" x14ac:dyDescent="0.3">
      <c r="A620" s="290">
        <f t="shared" si="74"/>
        <v>0</v>
      </c>
      <c r="B620" s="49"/>
      <c r="C620" s="49"/>
      <c r="D620" s="140" t="s">
        <v>2133</v>
      </c>
      <c r="E620" s="49" t="str">
        <f>VLOOKUP(D620,'03. Insumos'!A:D,2,0)</f>
        <v>Bancada molhada e seca preto são gabriel</v>
      </c>
      <c r="F620" s="68"/>
      <c r="G620" s="68" t="str">
        <f>VLOOKUP(D620,'03. Insumos'!A:F,3,0)</f>
        <v>vb</v>
      </c>
      <c r="H620" s="69">
        <v>1</v>
      </c>
      <c r="I620" s="141"/>
      <c r="J620" s="70">
        <f>IFERROR(IF(K620&lt;&gt;0,K620*$K$5,0),0)</f>
        <v>1249.73</v>
      </c>
      <c r="K620" s="54">
        <f>IF(A620=0,VLOOKUP(D620,'03. Insumos'!A:F,4,0),"")</f>
        <v>1249.73</v>
      </c>
      <c r="L620" s="338">
        <f>H620*J620*I620</f>
        <v>0</v>
      </c>
      <c r="M620" s="153">
        <f t="shared" ca="1" si="75"/>
        <v>0</v>
      </c>
      <c r="O620" s="148"/>
      <c r="R620" s="12"/>
    </row>
    <row r="621" spans="1:18" s="51" customFormat="1" ht="13.5" hidden="1" customHeight="1" outlineLevel="1" x14ac:dyDescent="0.3">
      <c r="A621" s="290">
        <f t="shared" si="74"/>
        <v>0</v>
      </c>
      <c r="B621" s="49"/>
      <c r="C621" s="49"/>
      <c r="D621" s="140" t="s">
        <v>2134</v>
      </c>
      <c r="E621" s="49" t="str">
        <f>VLOOKUP(D621,'03. Insumos'!A:D,2,0)</f>
        <v>Soco preto são gabriel</v>
      </c>
      <c r="F621" s="68"/>
      <c r="G621" s="68" t="str">
        <f>VLOOKUP(D621,'03. Insumos'!A:F,3,0)</f>
        <v>vb</v>
      </c>
      <c r="H621" s="69">
        <v>1</v>
      </c>
      <c r="I621" s="141"/>
      <c r="J621" s="70">
        <f>IFERROR(IF(K621&lt;&gt;0,K621*$K$5,0),0)</f>
        <v>187.93</v>
      </c>
      <c r="K621" s="54">
        <f>IF(A621=0,VLOOKUP(D621,'03. Insumos'!A:F,4,0),"")</f>
        <v>187.93</v>
      </c>
      <c r="L621" s="338">
        <f>H621*J621*I621</f>
        <v>0</v>
      </c>
      <c r="M621" s="153">
        <f t="shared" ca="1" si="75"/>
        <v>0</v>
      </c>
      <c r="O621" s="148"/>
      <c r="R621" s="12"/>
    </row>
    <row r="622" spans="1:18" s="51" customFormat="1" ht="13.5" hidden="1" customHeight="1" outlineLevel="1" x14ac:dyDescent="0.3">
      <c r="A622" s="290">
        <f t="shared" si="74"/>
        <v>6</v>
      </c>
      <c r="B622" s="49"/>
      <c r="C622" s="55" t="s">
        <v>1480</v>
      </c>
      <c r="D622" s="55" t="s">
        <v>1551</v>
      </c>
      <c r="E622" s="49"/>
      <c r="F622" s="68"/>
      <c r="G622" s="68"/>
      <c r="H622" s="69"/>
      <c r="I622" s="141"/>
      <c r="J622" s="70"/>
      <c r="K622" s="54"/>
      <c r="L622" s="58">
        <f>SUM(L623:L628)</f>
        <v>0</v>
      </c>
      <c r="M622" s="153">
        <f t="shared" ca="1" si="75"/>
        <v>0</v>
      </c>
      <c r="O622" s="148"/>
      <c r="R622" s="12"/>
    </row>
    <row r="623" spans="1:18" s="51" customFormat="1" ht="13.5" hidden="1" customHeight="1" outlineLevel="1" x14ac:dyDescent="0.3">
      <c r="A623" s="290">
        <f t="shared" si="74"/>
        <v>0</v>
      </c>
      <c r="B623" s="49"/>
      <c r="C623" s="49"/>
      <c r="D623" s="140" t="s">
        <v>2135</v>
      </c>
      <c r="E623" s="49" t="str">
        <f>VLOOKUP(D623,'03. Insumos'!A:D,2,0)</f>
        <v>Bancada preto são gabriel 1,21 x 0,60</v>
      </c>
      <c r="F623" s="68"/>
      <c r="G623" s="68" t="str">
        <f>VLOOKUP(D623,'03. Insumos'!A:F,3,0)</f>
        <v>vb</v>
      </c>
      <c r="H623" s="69">
        <v>1</v>
      </c>
      <c r="I623" s="141"/>
      <c r="J623" s="70">
        <f t="shared" ref="J623:J628" si="76">IFERROR(IF(K623&lt;&gt;0,K623*$K$5,0),0)</f>
        <v>696.88</v>
      </c>
      <c r="K623" s="54">
        <f>IF(A623=0,VLOOKUP(D623,'03. Insumos'!A:F,4,0),"")</f>
        <v>696.88</v>
      </c>
      <c r="L623" s="338">
        <f t="shared" ref="L623:L628" si="77">H623*J623*I623</f>
        <v>0</v>
      </c>
      <c r="M623" s="153">
        <f t="shared" ca="1" si="75"/>
        <v>0</v>
      </c>
      <c r="O623" s="148"/>
      <c r="R623" s="12"/>
    </row>
    <row r="624" spans="1:18" s="51" customFormat="1" ht="13.5" hidden="1" customHeight="1" outlineLevel="1" x14ac:dyDescent="0.3">
      <c r="A624" s="290">
        <f t="shared" si="74"/>
        <v>0</v>
      </c>
      <c r="B624" s="49"/>
      <c r="C624" s="49"/>
      <c r="D624" s="140" t="s">
        <v>810</v>
      </c>
      <c r="E624" s="49" t="str">
        <f>VLOOKUP(D624,'03. Insumos'!A:D,2,0)</f>
        <v>Material - Frontispício mármore branco Pigues 2,08 x 0,15</v>
      </c>
      <c r="F624" s="68"/>
      <c r="G624" s="68" t="str">
        <f>VLOOKUP(D624,'03. Insumos'!A:F,3,0)</f>
        <v>vb</v>
      </c>
      <c r="H624" s="69">
        <v>1</v>
      </c>
      <c r="I624" s="141"/>
      <c r="J624" s="70">
        <f t="shared" si="76"/>
        <v>515</v>
      </c>
      <c r="K624" s="54">
        <f>IF(A624=0,VLOOKUP(D624,'03. Insumos'!A:F,4,0),"")</f>
        <v>515</v>
      </c>
      <c r="L624" s="338">
        <f t="shared" si="77"/>
        <v>0</v>
      </c>
      <c r="M624" s="153">
        <f t="shared" ca="1" si="75"/>
        <v>0</v>
      </c>
      <c r="O624" s="148"/>
      <c r="R624" s="12"/>
    </row>
    <row r="625" spans="1:18" s="51" customFormat="1" ht="13.5" hidden="1" customHeight="1" outlineLevel="1" x14ac:dyDescent="0.3">
      <c r="A625" s="290">
        <f t="shared" si="74"/>
        <v>0</v>
      </c>
      <c r="B625" s="49"/>
      <c r="C625" s="49"/>
      <c r="D625" s="140" t="s">
        <v>811</v>
      </c>
      <c r="E625" s="49" t="str">
        <f>VLOOKUP(D625,'03. Insumos'!A:D,2,0)</f>
        <v>Material - Tento mármore branco pigues 2,20 x 0,10 m</v>
      </c>
      <c r="F625" s="68"/>
      <c r="G625" s="68" t="str">
        <f>VLOOKUP(D625,'03. Insumos'!A:F,3,0)</f>
        <v>vb</v>
      </c>
      <c r="H625" s="69">
        <v>1</v>
      </c>
      <c r="I625" s="141"/>
      <c r="J625" s="70">
        <f t="shared" si="76"/>
        <v>871</v>
      </c>
      <c r="K625" s="54">
        <f>IF(A625=0,VLOOKUP(D625,'03. Insumos'!A:F,4,0),"")</f>
        <v>871</v>
      </c>
      <c r="L625" s="338">
        <f t="shared" si="77"/>
        <v>0</v>
      </c>
      <c r="M625" s="153">
        <f t="shared" ca="1" si="75"/>
        <v>0</v>
      </c>
      <c r="O625" s="148"/>
      <c r="R625" s="12"/>
    </row>
    <row r="626" spans="1:18" s="51" customFormat="1" ht="13.5" hidden="1" customHeight="1" outlineLevel="1" x14ac:dyDescent="0.3">
      <c r="A626" s="290">
        <f t="shared" si="74"/>
        <v>0</v>
      </c>
      <c r="B626" s="49"/>
      <c r="C626" s="49"/>
      <c r="D626" s="140" t="s">
        <v>800</v>
      </c>
      <c r="E626" s="49" t="str">
        <f>VLOOKUP(D626,'03. Insumos'!A:D,2,0)</f>
        <v>Material - Soleira mármore branco pigues 0,75 x 0,15</v>
      </c>
      <c r="F626" s="68"/>
      <c r="G626" s="68" t="str">
        <f>VLOOKUP(D626,'03. Insumos'!A:F,3,0)</f>
        <v>vb</v>
      </c>
      <c r="H626" s="69">
        <v>1</v>
      </c>
      <c r="I626" s="141"/>
      <c r="J626" s="70">
        <f t="shared" si="76"/>
        <v>185</v>
      </c>
      <c r="K626" s="54">
        <f>IF(A626=0,VLOOKUP(D626,'03. Insumos'!A:F,4,0),"")</f>
        <v>185</v>
      </c>
      <c r="L626" s="338">
        <f t="shared" si="77"/>
        <v>0</v>
      </c>
      <c r="M626" s="153">
        <f t="shared" ca="1" si="75"/>
        <v>0</v>
      </c>
      <c r="O626" s="148"/>
      <c r="R626" s="12"/>
    </row>
    <row r="627" spans="1:18" s="51" customFormat="1" ht="13.5" hidden="1" customHeight="1" outlineLevel="1" x14ac:dyDescent="0.3">
      <c r="A627" s="290">
        <f t="shared" si="74"/>
        <v>0</v>
      </c>
      <c r="B627" s="49"/>
      <c r="C627" s="49"/>
      <c r="D627" s="140" t="s">
        <v>1648</v>
      </c>
      <c r="E627" s="49" t="str">
        <f>VLOOKUP(D627,'03. Insumos'!A:D,2,0)</f>
        <v>Material - Nicho mármore branco Piguês</v>
      </c>
      <c r="F627" s="68"/>
      <c r="G627" s="68" t="str">
        <f>VLOOKUP(D627,'03. Insumos'!A:F,3,0)</f>
        <v>vb</v>
      </c>
      <c r="H627" s="69">
        <v>1</v>
      </c>
      <c r="I627" s="141"/>
      <c r="J627" s="70">
        <f t="shared" si="76"/>
        <v>400</v>
      </c>
      <c r="K627" s="54">
        <f>IF(A627=0,VLOOKUP(D627,'03. Insumos'!A:F,4,0),"")</f>
        <v>400</v>
      </c>
      <c r="L627" s="338">
        <f t="shared" si="77"/>
        <v>0</v>
      </c>
      <c r="M627" s="153">
        <f t="shared" ca="1" si="75"/>
        <v>0</v>
      </c>
      <c r="O627" s="148"/>
      <c r="R627" s="12"/>
    </row>
    <row r="628" spans="1:18" s="51" customFormat="1" ht="13.5" hidden="1" customHeight="1" outlineLevel="1" x14ac:dyDescent="0.3">
      <c r="A628" s="290">
        <f t="shared" si="74"/>
        <v>0</v>
      </c>
      <c r="B628" s="49"/>
      <c r="C628" s="49"/>
      <c r="D628" s="140" t="s">
        <v>812</v>
      </c>
      <c r="E628" s="49" t="str">
        <f>VLOOKUP(D628,'03. Insumos'!A:D,2,0)</f>
        <v>Mão de obra -  Instalação de itens do banheiro suíte 01</v>
      </c>
      <c r="F628" s="68"/>
      <c r="G628" s="68" t="str">
        <f>VLOOKUP(D628,'03. Insumos'!A:F,3,0)</f>
        <v>vb</v>
      </c>
      <c r="H628" s="69">
        <v>1</v>
      </c>
      <c r="I628" s="141"/>
      <c r="J628" s="70">
        <f t="shared" si="76"/>
        <v>1000</v>
      </c>
      <c r="K628" s="54">
        <f>IF(A628=0,VLOOKUP(D628,'03. Insumos'!A:F,4,0),"")</f>
        <v>1000</v>
      </c>
      <c r="L628" s="338">
        <f t="shared" si="77"/>
        <v>0</v>
      </c>
      <c r="M628" s="153">
        <f t="shared" ca="1" si="75"/>
        <v>0</v>
      </c>
      <c r="O628" s="148"/>
      <c r="R628" s="12"/>
    </row>
    <row r="629" spans="1:18" s="51" customFormat="1" ht="13.5" hidden="1" customHeight="1" outlineLevel="1" x14ac:dyDescent="0.3">
      <c r="A629" s="290">
        <f t="shared" si="74"/>
        <v>6</v>
      </c>
      <c r="B629" s="49"/>
      <c r="C629" s="55" t="s">
        <v>1482</v>
      </c>
      <c r="D629" s="55" t="s">
        <v>1488</v>
      </c>
      <c r="E629" s="49"/>
      <c r="F629" s="68"/>
      <c r="G629" s="68"/>
      <c r="H629" s="69"/>
      <c r="I629" s="141"/>
      <c r="J629" s="70"/>
      <c r="K629" s="54"/>
      <c r="L629" s="58">
        <f>SUM(L630:L635)</f>
        <v>0</v>
      </c>
      <c r="M629" s="153">
        <f t="shared" ca="1" si="75"/>
        <v>0</v>
      </c>
      <c r="O629" s="148"/>
      <c r="R629" s="12"/>
    </row>
    <row r="630" spans="1:18" s="51" customFormat="1" ht="13.5" hidden="1" customHeight="1" outlineLevel="1" x14ac:dyDescent="0.3">
      <c r="A630" s="290">
        <f t="shared" si="74"/>
        <v>0</v>
      </c>
      <c r="B630" s="49"/>
      <c r="C630" s="49"/>
      <c r="D630" s="140" t="s">
        <v>813</v>
      </c>
      <c r="E630" s="49" t="str">
        <f>VLOOKUP(D630,'03. Insumos'!A:D,2,0)</f>
        <v>Material -  Bancada mármore branco Pigues 2,03 x 0,60</v>
      </c>
      <c r="F630" s="68"/>
      <c r="G630" s="68" t="str">
        <f>VLOOKUP(D630,'03. Insumos'!A:F,3,0)</f>
        <v>vb</v>
      </c>
      <c r="H630" s="69">
        <v>1</v>
      </c>
      <c r="I630" s="141"/>
      <c r="J630" s="70">
        <f t="shared" ref="J630:J635" si="78">IFERROR(IF(K630&lt;&gt;0,K630*$K$5,0),0)</f>
        <v>2743</v>
      </c>
      <c r="K630" s="54">
        <f>IF(A630=0,VLOOKUP(D630,'03. Insumos'!A:F,4,0),"")</f>
        <v>2743</v>
      </c>
      <c r="L630" s="338">
        <f t="shared" ref="L630:L635" si="79">H630*J630*I630</f>
        <v>0</v>
      </c>
      <c r="M630" s="153">
        <f t="shared" ca="1" si="75"/>
        <v>0</v>
      </c>
      <c r="O630" s="148"/>
      <c r="R630" s="12"/>
    </row>
    <row r="631" spans="1:18" s="51" customFormat="1" ht="13.5" hidden="1" customHeight="1" outlineLevel="1" x14ac:dyDescent="0.3">
      <c r="A631" s="290">
        <f t="shared" si="74"/>
        <v>0</v>
      </c>
      <c r="B631" s="49"/>
      <c r="C631" s="49"/>
      <c r="D631" s="140" t="s">
        <v>814</v>
      </c>
      <c r="E631" s="49" t="str">
        <f>VLOOKUP(D631,'03. Insumos'!A:D,2,0)</f>
        <v>Material - Frontispício mármore branco Pigues 2,63 x 0,15</v>
      </c>
      <c r="F631" s="68"/>
      <c r="G631" s="68" t="str">
        <f>VLOOKUP(D631,'03. Insumos'!A:F,3,0)</f>
        <v>vb</v>
      </c>
      <c r="H631" s="69">
        <v>1</v>
      </c>
      <c r="I631" s="141"/>
      <c r="J631" s="70">
        <f t="shared" si="78"/>
        <v>651</v>
      </c>
      <c r="K631" s="54">
        <f>IF(A631=0,VLOOKUP(D631,'03. Insumos'!A:F,4,0),"")</f>
        <v>651</v>
      </c>
      <c r="L631" s="338">
        <f t="shared" si="79"/>
        <v>0</v>
      </c>
      <c r="M631" s="153">
        <f t="shared" ca="1" si="75"/>
        <v>0</v>
      </c>
      <c r="O631" s="148"/>
      <c r="R631" s="12"/>
    </row>
    <row r="632" spans="1:18" s="51" customFormat="1" ht="13.5" hidden="1" customHeight="1" outlineLevel="1" x14ac:dyDescent="0.3">
      <c r="A632" s="290">
        <f t="shared" si="74"/>
        <v>0</v>
      </c>
      <c r="B632" s="49"/>
      <c r="C632" s="49"/>
      <c r="D632" s="140" t="s">
        <v>815</v>
      </c>
      <c r="E632" s="49" t="str">
        <f>VLOOKUP(D632,'03. Insumos'!A:D,2,0)</f>
        <v>Material - Tento mármore branco pigues 1,80 x 0,10 m</v>
      </c>
      <c r="F632" s="68"/>
      <c r="G632" s="68" t="str">
        <f>VLOOKUP(D632,'03. Insumos'!A:F,3,0)</f>
        <v>vb</v>
      </c>
      <c r="H632" s="69">
        <v>1</v>
      </c>
      <c r="I632" s="141"/>
      <c r="J632" s="70">
        <f t="shared" si="78"/>
        <v>713</v>
      </c>
      <c r="K632" s="54">
        <f>IF(A632=0,VLOOKUP(D632,'03. Insumos'!A:F,4,0),"")</f>
        <v>713</v>
      </c>
      <c r="L632" s="338">
        <f t="shared" si="79"/>
        <v>0</v>
      </c>
      <c r="M632" s="153">
        <f t="shared" ca="1" si="75"/>
        <v>0</v>
      </c>
      <c r="O632" s="148"/>
      <c r="R632" s="12"/>
    </row>
    <row r="633" spans="1:18" s="51" customFormat="1" ht="13.5" hidden="1" customHeight="1" outlineLevel="1" x14ac:dyDescent="0.3">
      <c r="A633" s="290">
        <f t="shared" si="74"/>
        <v>0</v>
      </c>
      <c r="B633" s="49"/>
      <c r="C633" s="49"/>
      <c r="D633" s="140" t="s">
        <v>800</v>
      </c>
      <c r="E633" s="49" t="str">
        <f>VLOOKUP(D633,'03. Insumos'!A:D,2,0)</f>
        <v>Material - Soleira mármore branco pigues 0,75 x 0,15</v>
      </c>
      <c r="F633" s="68"/>
      <c r="G633" s="68" t="str">
        <f>VLOOKUP(D633,'03. Insumos'!A:F,3,0)</f>
        <v>vb</v>
      </c>
      <c r="H633" s="69">
        <v>1</v>
      </c>
      <c r="I633" s="141"/>
      <c r="J633" s="70">
        <f t="shared" si="78"/>
        <v>185</v>
      </c>
      <c r="K633" s="54">
        <f>IF(A633=0,VLOOKUP(D633,'03. Insumos'!A:F,4,0),"")</f>
        <v>185</v>
      </c>
      <c r="L633" s="338">
        <f t="shared" si="79"/>
        <v>0</v>
      </c>
      <c r="M633" s="153">
        <f t="shared" ca="1" si="75"/>
        <v>0</v>
      </c>
      <c r="O633" s="148"/>
      <c r="R633" s="12"/>
    </row>
    <row r="634" spans="1:18" s="51" customFormat="1" ht="13.5" hidden="1" customHeight="1" outlineLevel="1" x14ac:dyDescent="0.3">
      <c r="A634" s="290">
        <f t="shared" si="74"/>
        <v>0</v>
      </c>
      <c r="B634" s="49"/>
      <c r="C634" s="49"/>
      <c r="D634" s="140" t="s">
        <v>1648</v>
      </c>
      <c r="E634" s="49" t="str">
        <f>VLOOKUP(D634,'03. Insumos'!A:D,2,0)</f>
        <v>Material - Nicho mármore branco Piguês</v>
      </c>
      <c r="F634" s="68"/>
      <c r="G634" s="68" t="str">
        <f>VLOOKUP(D634,'03. Insumos'!A:F,3,0)</f>
        <v>vb</v>
      </c>
      <c r="H634" s="69">
        <v>1</v>
      </c>
      <c r="I634" s="141"/>
      <c r="J634" s="70">
        <f t="shared" si="78"/>
        <v>400</v>
      </c>
      <c r="K634" s="54">
        <f>IF(A634=0,VLOOKUP(D634,'03. Insumos'!A:F,4,0),"")</f>
        <v>400</v>
      </c>
      <c r="L634" s="338">
        <f t="shared" si="79"/>
        <v>0</v>
      </c>
      <c r="M634" s="153">
        <f t="shared" ca="1" si="75"/>
        <v>0</v>
      </c>
      <c r="O634" s="148"/>
      <c r="R634" s="12"/>
    </row>
    <row r="635" spans="1:18" s="51" customFormat="1" ht="13.5" hidden="1" customHeight="1" outlineLevel="1" x14ac:dyDescent="0.3">
      <c r="A635" s="290">
        <f t="shared" si="74"/>
        <v>0</v>
      </c>
      <c r="B635" s="49"/>
      <c r="C635" s="49"/>
      <c r="D635" s="140" t="s">
        <v>816</v>
      </c>
      <c r="E635" s="49" t="str">
        <f>VLOOKUP(D635,'03. Insumos'!A:D,2,0)</f>
        <v>Mão de obra -  Instalação de itens do banheiro suíte 02</v>
      </c>
      <c r="F635" s="68"/>
      <c r="G635" s="68" t="str">
        <f>VLOOKUP(D635,'03. Insumos'!A:F,3,0)</f>
        <v>vb</v>
      </c>
      <c r="H635" s="69">
        <v>1</v>
      </c>
      <c r="I635" s="141"/>
      <c r="J635" s="70">
        <f t="shared" si="78"/>
        <v>1000</v>
      </c>
      <c r="K635" s="54">
        <f>IF(A635=0,VLOOKUP(D635,'03. Insumos'!A:F,4,0),"")</f>
        <v>1000</v>
      </c>
      <c r="L635" s="338">
        <f t="shared" si="79"/>
        <v>0</v>
      </c>
      <c r="M635" s="153">
        <f t="shared" ca="1" si="75"/>
        <v>0</v>
      </c>
      <c r="O635" s="148"/>
      <c r="R635" s="12"/>
    </row>
    <row r="636" spans="1:18" s="51" customFormat="1" ht="13.5" hidden="1" customHeight="1" outlineLevel="1" x14ac:dyDescent="0.3">
      <c r="A636" s="290">
        <f t="shared" si="74"/>
        <v>6</v>
      </c>
      <c r="B636" s="49"/>
      <c r="C636" s="55" t="s">
        <v>1487</v>
      </c>
      <c r="D636" s="55" t="s">
        <v>1494</v>
      </c>
      <c r="E636" s="49"/>
      <c r="F636" s="68"/>
      <c r="G636" s="68"/>
      <c r="H636" s="69"/>
      <c r="I636" s="141"/>
      <c r="J636" s="70"/>
      <c r="K636" s="54"/>
      <c r="L636" s="58">
        <f>SUM(L637:L642)</f>
        <v>0</v>
      </c>
      <c r="M636" s="153">
        <f t="shared" ca="1" si="75"/>
        <v>0</v>
      </c>
      <c r="O636" s="148"/>
      <c r="R636" s="12"/>
    </row>
    <row r="637" spans="1:18" s="51" customFormat="1" ht="13.5" hidden="1" customHeight="1" outlineLevel="1" x14ac:dyDescent="0.3">
      <c r="A637" s="290">
        <f t="shared" si="74"/>
        <v>0</v>
      </c>
      <c r="B637" s="49"/>
      <c r="C637" s="49"/>
      <c r="D637" s="140" t="s">
        <v>817</v>
      </c>
      <c r="E637" s="49" t="str">
        <f>VLOOKUP(D637,'03. Insumos'!A:D,2,0)</f>
        <v>Material -  Bancada mármore branco Pigues 1,96 x 0,60</v>
      </c>
      <c r="F637" s="68"/>
      <c r="G637" s="68" t="str">
        <f>VLOOKUP(D637,'03. Insumos'!A:F,3,0)</f>
        <v>vb</v>
      </c>
      <c r="H637" s="69">
        <v>1</v>
      </c>
      <c r="I637" s="141"/>
      <c r="J637" s="70">
        <f t="shared" ref="J637:J642" si="80">IFERROR(IF(K637&lt;&gt;0,K637*$K$5,0),0)</f>
        <v>2661</v>
      </c>
      <c r="K637" s="54">
        <f>IF(A637=0,VLOOKUP(D637,'03. Insumos'!A:F,4,0),"")</f>
        <v>2661</v>
      </c>
      <c r="L637" s="338">
        <f t="shared" ref="L637:L642" si="81">H637*J637*I637</f>
        <v>0</v>
      </c>
      <c r="M637" s="153">
        <f t="shared" ca="1" si="75"/>
        <v>0</v>
      </c>
      <c r="O637" s="148"/>
      <c r="R637" s="12"/>
    </row>
    <row r="638" spans="1:18" s="51" customFormat="1" ht="13.5" hidden="1" customHeight="1" outlineLevel="1" x14ac:dyDescent="0.3">
      <c r="A638" s="290">
        <f t="shared" si="74"/>
        <v>0</v>
      </c>
      <c r="B638" s="49"/>
      <c r="C638" s="49"/>
      <c r="D638" s="140" t="s">
        <v>818</v>
      </c>
      <c r="E638" s="49" t="str">
        <f>VLOOKUP(D638,'03. Insumos'!A:D,2,0)</f>
        <v>Material - Frontispício mármore branco Pigues 2,56 x 0,15</v>
      </c>
      <c r="F638" s="68"/>
      <c r="G638" s="68" t="str">
        <f>VLOOKUP(D638,'03. Insumos'!A:F,3,0)</f>
        <v>vb</v>
      </c>
      <c r="H638" s="69">
        <v>1</v>
      </c>
      <c r="I638" s="141"/>
      <c r="J638" s="70">
        <f t="shared" si="80"/>
        <v>633</v>
      </c>
      <c r="K638" s="54">
        <f>IF(A638=0,VLOOKUP(D638,'03. Insumos'!A:F,4,0),"")</f>
        <v>633</v>
      </c>
      <c r="L638" s="338">
        <f t="shared" si="81"/>
        <v>0</v>
      </c>
      <c r="M638" s="153">
        <f t="shared" ca="1" si="75"/>
        <v>0</v>
      </c>
      <c r="O638" s="148"/>
      <c r="R638" s="12"/>
    </row>
    <row r="639" spans="1:18" s="51" customFormat="1" ht="13.5" hidden="1" customHeight="1" outlineLevel="1" x14ac:dyDescent="0.3">
      <c r="A639" s="290">
        <f t="shared" si="74"/>
        <v>0</v>
      </c>
      <c r="B639" s="49"/>
      <c r="C639" s="49"/>
      <c r="D639" s="140" t="s">
        <v>815</v>
      </c>
      <c r="E639" s="49" t="str">
        <f>VLOOKUP(D639,'03. Insumos'!A:D,2,0)</f>
        <v>Material - Tento mármore branco pigues 1,80 x 0,10 m</v>
      </c>
      <c r="F639" s="68"/>
      <c r="G639" s="68" t="str">
        <f>VLOOKUP(D639,'03. Insumos'!A:F,3,0)</f>
        <v>vb</v>
      </c>
      <c r="H639" s="69">
        <v>1</v>
      </c>
      <c r="I639" s="141"/>
      <c r="J639" s="70">
        <f t="shared" si="80"/>
        <v>713</v>
      </c>
      <c r="K639" s="54">
        <f>IF(A639=0,VLOOKUP(D639,'03. Insumos'!A:F,4,0),"")</f>
        <v>713</v>
      </c>
      <c r="L639" s="338">
        <f t="shared" si="81"/>
        <v>0</v>
      </c>
      <c r="M639" s="153">
        <f t="shared" ca="1" si="75"/>
        <v>0</v>
      </c>
      <c r="O639" s="148"/>
      <c r="R639" s="12"/>
    </row>
    <row r="640" spans="1:18" s="51" customFormat="1" ht="13.5" hidden="1" customHeight="1" outlineLevel="1" x14ac:dyDescent="0.3">
      <c r="A640" s="290">
        <f t="shared" si="74"/>
        <v>0</v>
      </c>
      <c r="B640" s="49"/>
      <c r="C640" s="49"/>
      <c r="D640" s="140" t="s">
        <v>800</v>
      </c>
      <c r="E640" s="49" t="str">
        <f>VLOOKUP(D640,'03. Insumos'!A:D,2,0)</f>
        <v>Material - Soleira mármore branco pigues 0,75 x 0,15</v>
      </c>
      <c r="F640" s="68"/>
      <c r="G640" s="68" t="str">
        <f>VLOOKUP(D640,'03. Insumos'!A:F,3,0)</f>
        <v>vb</v>
      </c>
      <c r="H640" s="69">
        <v>1</v>
      </c>
      <c r="I640" s="141"/>
      <c r="J640" s="70">
        <f t="shared" si="80"/>
        <v>185</v>
      </c>
      <c r="K640" s="54">
        <f>IF(A640=0,VLOOKUP(D640,'03. Insumos'!A:F,4,0),"")</f>
        <v>185</v>
      </c>
      <c r="L640" s="338">
        <f t="shared" si="81"/>
        <v>0</v>
      </c>
      <c r="M640" s="153">
        <f t="shared" ca="1" si="75"/>
        <v>0</v>
      </c>
      <c r="O640" s="148"/>
      <c r="R640" s="12"/>
    </row>
    <row r="641" spans="1:18" s="51" customFormat="1" ht="13.5" hidden="1" customHeight="1" outlineLevel="1" x14ac:dyDescent="0.3">
      <c r="A641" s="290">
        <f t="shared" si="74"/>
        <v>0</v>
      </c>
      <c r="B641" s="49"/>
      <c r="C641" s="49"/>
      <c r="D641" s="140" t="s">
        <v>1648</v>
      </c>
      <c r="E641" s="49" t="str">
        <f>VLOOKUP(D641,'03. Insumos'!A:D,2,0)</f>
        <v>Material - Nicho mármore branco Piguês</v>
      </c>
      <c r="F641" s="68"/>
      <c r="G641" s="68" t="str">
        <f>VLOOKUP(D641,'03. Insumos'!A:F,3,0)</f>
        <v>vb</v>
      </c>
      <c r="H641" s="69">
        <v>1</v>
      </c>
      <c r="I641" s="141"/>
      <c r="J641" s="70">
        <f t="shared" si="80"/>
        <v>400</v>
      </c>
      <c r="K641" s="54">
        <f>IF(A641=0,VLOOKUP(D641,'03. Insumos'!A:F,4,0),"")</f>
        <v>400</v>
      </c>
      <c r="L641" s="338">
        <f t="shared" si="81"/>
        <v>0</v>
      </c>
      <c r="M641" s="153">
        <f t="shared" ca="1" si="75"/>
        <v>0</v>
      </c>
      <c r="O641" s="148"/>
      <c r="R641" s="12"/>
    </row>
    <row r="642" spans="1:18" s="51" customFormat="1" ht="13.5" hidden="1" customHeight="1" outlineLevel="1" x14ac:dyDescent="0.3">
      <c r="A642" s="290">
        <f t="shared" si="74"/>
        <v>0</v>
      </c>
      <c r="B642" s="49"/>
      <c r="C642" s="49"/>
      <c r="D642" s="140" t="s">
        <v>819</v>
      </c>
      <c r="E642" s="49" t="str">
        <f>VLOOKUP(D642,'03. Insumos'!A:D,2,0)</f>
        <v>Mão de obra -  Instalação de itens do banheiro suíte 03</v>
      </c>
      <c r="F642" s="68"/>
      <c r="G642" s="68" t="str">
        <f>VLOOKUP(D642,'03. Insumos'!A:F,3,0)</f>
        <v>vb</v>
      </c>
      <c r="H642" s="69">
        <v>1</v>
      </c>
      <c r="I642" s="141"/>
      <c r="J642" s="70">
        <f t="shared" si="80"/>
        <v>1000</v>
      </c>
      <c r="K642" s="54">
        <f>IF(A642=0,VLOOKUP(D642,'03. Insumos'!A:F,4,0),"")</f>
        <v>1000</v>
      </c>
      <c r="L642" s="338">
        <f t="shared" si="81"/>
        <v>0</v>
      </c>
      <c r="M642" s="153">
        <f t="shared" ca="1" si="75"/>
        <v>0</v>
      </c>
      <c r="O642" s="148"/>
      <c r="R642" s="12"/>
    </row>
    <row r="643" spans="1:18" s="51" customFormat="1" ht="13.5" hidden="1" customHeight="1" outlineLevel="1" x14ac:dyDescent="0.3">
      <c r="A643" s="290">
        <f t="shared" si="74"/>
        <v>6</v>
      </c>
      <c r="B643" s="49"/>
      <c r="C643" s="55" t="s">
        <v>1493</v>
      </c>
      <c r="D643" s="55" t="s">
        <v>1498</v>
      </c>
      <c r="E643" s="49"/>
      <c r="F643" s="68"/>
      <c r="G643" s="68"/>
      <c r="H643" s="69"/>
      <c r="I643" s="141"/>
      <c r="J643" s="70"/>
      <c r="K643" s="54"/>
      <c r="L643" s="58">
        <f>SUM(L644:L649)</f>
        <v>0</v>
      </c>
      <c r="M643" s="153">
        <f t="shared" ca="1" si="75"/>
        <v>0</v>
      </c>
      <c r="O643" s="148"/>
      <c r="R643" s="12"/>
    </row>
    <row r="644" spans="1:18" s="51" customFormat="1" ht="13.5" hidden="1" customHeight="1" outlineLevel="1" x14ac:dyDescent="0.3">
      <c r="A644" s="290">
        <f t="shared" si="74"/>
        <v>0</v>
      </c>
      <c r="B644" s="49"/>
      <c r="C644" s="49"/>
      <c r="D644" s="140" t="s">
        <v>820</v>
      </c>
      <c r="E644" s="49" t="str">
        <f>VLOOKUP(D644,'03. Insumos'!A:D,2,0)</f>
        <v>Material -  Bancada mármore branco Pigues 2,28 x 0,60</v>
      </c>
      <c r="F644" s="68"/>
      <c r="G644" s="68" t="str">
        <f>VLOOKUP(D644,'03. Insumos'!A:F,3,0)</f>
        <v>vb</v>
      </c>
      <c r="H644" s="69">
        <v>1</v>
      </c>
      <c r="I644" s="141"/>
      <c r="J644" s="70">
        <f t="shared" ref="J644:J649" si="82">IFERROR(IF(K644&lt;&gt;0,K644*$K$5,0),0)</f>
        <v>2338</v>
      </c>
      <c r="K644" s="54">
        <f>IF(A644=0,VLOOKUP(D644,'03. Insumos'!A:F,4,0),"")</f>
        <v>2338</v>
      </c>
      <c r="L644" s="338">
        <f t="shared" ref="L644:L649" si="83">H644*J644*I644</f>
        <v>0</v>
      </c>
      <c r="M644" s="153">
        <f t="shared" ca="1" si="75"/>
        <v>0</v>
      </c>
      <c r="O644" s="148"/>
      <c r="R644" s="12"/>
    </row>
    <row r="645" spans="1:18" s="51" customFormat="1" ht="13.5" hidden="1" customHeight="1" outlineLevel="1" x14ac:dyDescent="0.3">
      <c r="A645" s="290">
        <f t="shared" si="74"/>
        <v>0</v>
      </c>
      <c r="B645" s="49"/>
      <c r="C645" s="49"/>
      <c r="D645" s="140" t="s">
        <v>821</v>
      </c>
      <c r="E645" s="49" t="str">
        <f>VLOOKUP(D645,'03. Insumos'!A:D,2,0)</f>
        <v>Material - Frontispício mármore branco Pigues 2,56 x 0,15</v>
      </c>
      <c r="F645" s="68"/>
      <c r="G645" s="68" t="str">
        <f>VLOOKUP(D645,'03. Insumos'!A:F,3,0)</f>
        <v>vb</v>
      </c>
      <c r="H645" s="69">
        <v>1</v>
      </c>
      <c r="I645" s="141"/>
      <c r="J645" s="70">
        <f t="shared" si="82"/>
        <v>564</v>
      </c>
      <c r="K645" s="54">
        <f>IF(A645=0,VLOOKUP(D645,'03. Insumos'!A:F,4,0),"")</f>
        <v>564</v>
      </c>
      <c r="L645" s="338">
        <f t="shared" si="83"/>
        <v>0</v>
      </c>
      <c r="M645" s="153">
        <f t="shared" ca="1" si="75"/>
        <v>0</v>
      </c>
      <c r="O645" s="148"/>
      <c r="R645" s="12"/>
    </row>
    <row r="646" spans="1:18" s="51" customFormat="1" ht="13.5" hidden="1" customHeight="1" outlineLevel="1" x14ac:dyDescent="0.3">
      <c r="A646" s="290">
        <f t="shared" si="74"/>
        <v>0</v>
      </c>
      <c r="B646" s="49"/>
      <c r="C646" s="49"/>
      <c r="D646" s="140" t="s">
        <v>822</v>
      </c>
      <c r="E646" s="49" t="str">
        <f>VLOOKUP(D646,'03. Insumos'!A:D,2,0)</f>
        <v>Material - Tento mármore branco pigues 1,22 x 0,10 m</v>
      </c>
      <c r="F646" s="68"/>
      <c r="G646" s="68" t="str">
        <f>VLOOKUP(D646,'03. Insumos'!A:F,3,0)</f>
        <v>vb</v>
      </c>
      <c r="H646" s="69">
        <v>1</v>
      </c>
      <c r="I646" s="141"/>
      <c r="J646" s="70">
        <f t="shared" si="82"/>
        <v>483</v>
      </c>
      <c r="K646" s="54">
        <f>IF(A646=0,VLOOKUP(D646,'03. Insumos'!A:F,4,0),"")</f>
        <v>483</v>
      </c>
      <c r="L646" s="338">
        <f t="shared" si="83"/>
        <v>0</v>
      </c>
      <c r="M646" s="153">
        <f t="shared" ca="1" si="75"/>
        <v>0</v>
      </c>
      <c r="O646" s="148"/>
      <c r="R646" s="12"/>
    </row>
    <row r="647" spans="1:18" s="51" customFormat="1" ht="13.5" hidden="1" customHeight="1" outlineLevel="1" x14ac:dyDescent="0.3">
      <c r="A647" s="290">
        <f t="shared" si="74"/>
        <v>0</v>
      </c>
      <c r="B647" s="49"/>
      <c r="C647" s="49"/>
      <c r="D647" s="140" t="s">
        <v>800</v>
      </c>
      <c r="E647" s="49" t="str">
        <f>VLOOKUP(D647,'03. Insumos'!A:D,2,0)</f>
        <v>Material - Soleira mármore branco pigues 0,75 x 0,15</v>
      </c>
      <c r="F647" s="68"/>
      <c r="G647" s="68" t="str">
        <f>VLOOKUP(D647,'03. Insumos'!A:F,3,0)</f>
        <v>vb</v>
      </c>
      <c r="H647" s="69">
        <v>1</v>
      </c>
      <c r="I647" s="141"/>
      <c r="J647" s="70">
        <f t="shared" si="82"/>
        <v>185</v>
      </c>
      <c r="K647" s="54">
        <f>IF(A647=0,VLOOKUP(D647,'03. Insumos'!A:F,4,0),"")</f>
        <v>185</v>
      </c>
      <c r="L647" s="338">
        <f t="shared" si="83"/>
        <v>0</v>
      </c>
      <c r="M647" s="153">
        <f t="shared" ca="1" si="75"/>
        <v>0</v>
      </c>
      <c r="O647" s="148"/>
      <c r="R647" s="12"/>
    </row>
    <row r="648" spans="1:18" s="51" customFormat="1" ht="13.5" hidden="1" customHeight="1" outlineLevel="1" x14ac:dyDescent="0.3">
      <c r="A648" s="290">
        <f t="shared" si="74"/>
        <v>0</v>
      </c>
      <c r="B648" s="49"/>
      <c r="C648" s="49"/>
      <c r="D648" s="140" t="s">
        <v>1648</v>
      </c>
      <c r="E648" s="49" t="str">
        <f>VLOOKUP(D648,'03. Insumos'!A:D,2,0)</f>
        <v>Material - Nicho mármore branco Piguês</v>
      </c>
      <c r="F648" s="68"/>
      <c r="G648" s="68" t="str">
        <f>VLOOKUP(D648,'03. Insumos'!A:F,3,0)</f>
        <v>vb</v>
      </c>
      <c r="H648" s="69">
        <v>1</v>
      </c>
      <c r="I648" s="141"/>
      <c r="J648" s="70">
        <f t="shared" si="82"/>
        <v>400</v>
      </c>
      <c r="K648" s="54">
        <f>IF(A648=0,VLOOKUP(D648,'03. Insumos'!A:F,4,0),"")</f>
        <v>400</v>
      </c>
      <c r="L648" s="338">
        <f t="shared" si="83"/>
        <v>0</v>
      </c>
      <c r="M648" s="153">
        <f t="shared" ca="1" si="75"/>
        <v>0</v>
      </c>
      <c r="O648" s="148"/>
      <c r="R648" s="12"/>
    </row>
    <row r="649" spans="1:18" s="51" customFormat="1" ht="13.5" hidden="1" customHeight="1" outlineLevel="1" x14ac:dyDescent="0.3">
      <c r="A649" s="290">
        <f t="shared" si="74"/>
        <v>0</v>
      </c>
      <c r="B649" s="49"/>
      <c r="C649" s="49"/>
      <c r="D649" s="140" t="s">
        <v>823</v>
      </c>
      <c r="E649" s="49" t="str">
        <f>VLOOKUP(D649,'03. Insumos'!A:D,2,0)</f>
        <v>Mão de obra -  Instalação de itens do banheiro 01 suíte master</v>
      </c>
      <c r="F649" s="68"/>
      <c r="G649" s="68" t="str">
        <f>VLOOKUP(D649,'03. Insumos'!A:F,3,0)</f>
        <v>vb</v>
      </c>
      <c r="H649" s="69">
        <v>1</v>
      </c>
      <c r="I649" s="141"/>
      <c r="J649" s="70">
        <f t="shared" si="82"/>
        <v>1000</v>
      </c>
      <c r="K649" s="54">
        <f>IF(A649=0,VLOOKUP(D649,'03. Insumos'!A:F,4,0),"")</f>
        <v>1000</v>
      </c>
      <c r="L649" s="338">
        <f t="shared" si="83"/>
        <v>0</v>
      </c>
      <c r="M649" s="153">
        <f t="shared" ca="1" si="75"/>
        <v>0</v>
      </c>
      <c r="O649" s="148"/>
      <c r="R649" s="12"/>
    </row>
    <row r="650" spans="1:18" s="51" customFormat="1" ht="13.5" hidden="1" customHeight="1" outlineLevel="1" x14ac:dyDescent="0.3">
      <c r="A650" s="290">
        <f t="shared" si="74"/>
        <v>6</v>
      </c>
      <c r="B650" s="49"/>
      <c r="C650" s="55" t="s">
        <v>1493</v>
      </c>
      <c r="D650" s="55" t="s">
        <v>1502</v>
      </c>
      <c r="E650" s="49"/>
      <c r="F650" s="68"/>
      <c r="G650" s="68"/>
      <c r="H650" s="69"/>
      <c r="I650" s="141"/>
      <c r="J650" s="70"/>
      <c r="K650" s="54"/>
      <c r="L650" s="58">
        <f>SUM(L651:L656)</f>
        <v>0</v>
      </c>
      <c r="M650" s="153">
        <f t="shared" ca="1" si="75"/>
        <v>0</v>
      </c>
      <c r="O650" s="148"/>
      <c r="R650" s="12"/>
    </row>
    <row r="651" spans="1:18" s="51" customFormat="1" ht="13.5" hidden="1" customHeight="1" outlineLevel="1" x14ac:dyDescent="0.3">
      <c r="A651" s="290">
        <f t="shared" si="74"/>
        <v>0</v>
      </c>
      <c r="B651" s="49"/>
      <c r="C651" s="49"/>
      <c r="D651" s="140" t="s">
        <v>797</v>
      </c>
      <c r="E651" s="49" t="str">
        <f>VLOOKUP(D651,'03. Insumos'!A:D,2,0)</f>
        <v>Material -  Bancada mármore branco Pigues 2,96 x 0,60</v>
      </c>
      <c r="F651" s="68"/>
      <c r="G651" s="68" t="str">
        <f>VLOOKUP(D651,'03. Insumos'!A:F,3,0)</f>
        <v>vb</v>
      </c>
      <c r="H651" s="69">
        <v>1</v>
      </c>
      <c r="I651" s="141"/>
      <c r="J651" s="70">
        <f t="shared" ref="J651:J656" si="84">IFERROR(IF(K651&lt;&gt;0,K651*$K$5,0),0)</f>
        <v>3816</v>
      </c>
      <c r="K651" s="54">
        <f>IF(A651=0,VLOOKUP(D651,'03. Insumos'!A:F,4,0),"")</f>
        <v>3816</v>
      </c>
      <c r="L651" s="338">
        <f t="shared" ref="L651:L656" si="85">H651*J651*I651</f>
        <v>0</v>
      </c>
      <c r="M651" s="153">
        <f t="shared" ca="1" si="75"/>
        <v>0</v>
      </c>
      <c r="O651" s="148"/>
      <c r="R651" s="12"/>
    </row>
    <row r="652" spans="1:18" s="51" customFormat="1" ht="13.5" hidden="1" customHeight="1" outlineLevel="1" x14ac:dyDescent="0.3">
      <c r="A652" s="290">
        <f t="shared" si="74"/>
        <v>0</v>
      </c>
      <c r="B652" s="49"/>
      <c r="C652" s="49"/>
      <c r="D652" s="140" t="s">
        <v>824</v>
      </c>
      <c r="E652" s="49" t="str">
        <f>VLOOKUP(D652,'03. Insumos'!A:D,2,0)</f>
        <v>Material - Frontispício mármore branco Pigues 3,56 x 0,15</v>
      </c>
      <c r="F652" s="68"/>
      <c r="G652" s="68" t="str">
        <f>VLOOKUP(D652,'03. Insumos'!A:F,3,0)</f>
        <v>vb</v>
      </c>
      <c r="H652" s="69">
        <v>1</v>
      </c>
      <c r="I652" s="141"/>
      <c r="J652" s="70">
        <f t="shared" si="84"/>
        <v>881</v>
      </c>
      <c r="K652" s="54">
        <f>IF(A652=0,VLOOKUP(D652,'03. Insumos'!A:F,4,0),"")</f>
        <v>881</v>
      </c>
      <c r="L652" s="338">
        <f t="shared" si="85"/>
        <v>0</v>
      </c>
      <c r="M652" s="153">
        <f t="shared" ca="1" si="75"/>
        <v>0</v>
      </c>
      <c r="O652" s="148"/>
      <c r="R652" s="12"/>
    </row>
    <row r="653" spans="1:18" s="51" customFormat="1" ht="13.5" hidden="1" customHeight="1" outlineLevel="1" x14ac:dyDescent="0.3">
      <c r="A653" s="290">
        <f t="shared" si="74"/>
        <v>0</v>
      </c>
      <c r="B653" s="49"/>
      <c r="C653" s="49"/>
      <c r="D653" s="140" t="s">
        <v>825</v>
      </c>
      <c r="E653" s="49" t="str">
        <f>VLOOKUP(D653,'03. Insumos'!A:D,2,0)</f>
        <v>Material - Tento mármore branco pigues 4,18 x 0,10 m</v>
      </c>
      <c r="F653" s="68"/>
      <c r="G653" s="68" t="str">
        <f>VLOOKUP(D653,'03. Insumos'!A:F,3,0)</f>
        <v>vb</v>
      </c>
      <c r="H653" s="69">
        <v>1</v>
      </c>
      <c r="I653" s="141"/>
      <c r="J653" s="70">
        <f t="shared" si="84"/>
        <v>1656</v>
      </c>
      <c r="K653" s="54">
        <f>IF(A653=0,VLOOKUP(D653,'03. Insumos'!A:F,4,0),"")</f>
        <v>1656</v>
      </c>
      <c r="L653" s="338">
        <f t="shared" si="85"/>
        <v>0</v>
      </c>
      <c r="M653" s="153">
        <f t="shared" ca="1" si="75"/>
        <v>0</v>
      </c>
      <c r="O653" s="148"/>
      <c r="R653" s="12"/>
    </row>
    <row r="654" spans="1:18" s="51" customFormat="1" ht="13.5" hidden="1" customHeight="1" outlineLevel="1" x14ac:dyDescent="0.3">
      <c r="A654" s="290">
        <f t="shared" si="74"/>
        <v>0</v>
      </c>
      <c r="B654" s="49"/>
      <c r="C654" s="49"/>
      <c r="D654" s="140" t="s">
        <v>826</v>
      </c>
      <c r="E654" s="49" t="str">
        <f>VLOOKUP(D654,'03. Insumos'!A:D,2,0)</f>
        <v>Material - soleira mármore branco piguês 0,90 x 0,15</v>
      </c>
      <c r="F654" s="68"/>
      <c r="G654" s="68" t="str">
        <f>VLOOKUP(D654,'03. Insumos'!A:F,3,0)</f>
        <v>vb</v>
      </c>
      <c r="H654" s="69">
        <v>1</v>
      </c>
      <c r="I654" s="141"/>
      <c r="J654" s="70">
        <f t="shared" si="84"/>
        <v>223</v>
      </c>
      <c r="K654" s="54">
        <f>IF(A654=0,VLOOKUP(D654,'03. Insumos'!A:F,4,0),"")</f>
        <v>223</v>
      </c>
      <c r="L654" s="338">
        <f t="shared" si="85"/>
        <v>0</v>
      </c>
      <c r="M654" s="153">
        <f t="shared" ca="1" si="75"/>
        <v>0</v>
      </c>
      <c r="O654" s="148"/>
      <c r="R654" s="12"/>
    </row>
    <row r="655" spans="1:18" s="51" customFormat="1" ht="13.5" hidden="1" customHeight="1" outlineLevel="1" x14ac:dyDescent="0.3">
      <c r="A655" s="290">
        <f t="shared" si="74"/>
        <v>0</v>
      </c>
      <c r="B655" s="49"/>
      <c r="C655" s="49"/>
      <c r="D655" s="140" t="s">
        <v>1648</v>
      </c>
      <c r="E655" s="49" t="str">
        <f>VLOOKUP(D655,'03. Insumos'!A:D,2,0)</f>
        <v>Material - Nicho mármore branco Piguês</v>
      </c>
      <c r="F655" s="68"/>
      <c r="G655" s="68" t="str">
        <f>VLOOKUP(D655,'03. Insumos'!A:F,3,0)</f>
        <v>vb</v>
      </c>
      <c r="H655" s="69">
        <v>1</v>
      </c>
      <c r="I655" s="141"/>
      <c r="J655" s="70">
        <f t="shared" si="84"/>
        <v>400</v>
      </c>
      <c r="K655" s="54">
        <f>IF(A655=0,VLOOKUP(D655,'03. Insumos'!A:F,4,0),"")</f>
        <v>400</v>
      </c>
      <c r="L655" s="338">
        <f t="shared" si="85"/>
        <v>0</v>
      </c>
      <c r="M655" s="153">
        <f t="shared" ca="1" si="75"/>
        <v>0</v>
      </c>
      <c r="O655" s="148"/>
      <c r="R655" s="12"/>
    </row>
    <row r="656" spans="1:18" s="51" customFormat="1" ht="13.5" hidden="1" customHeight="1" outlineLevel="1" x14ac:dyDescent="0.3">
      <c r="A656" s="290">
        <f t="shared" si="74"/>
        <v>0</v>
      </c>
      <c r="B656" s="49"/>
      <c r="C656" s="49"/>
      <c r="D656" s="140" t="s">
        <v>827</v>
      </c>
      <c r="E656" s="49" t="str">
        <f>VLOOKUP(D656,'03. Insumos'!A:D,2,0)</f>
        <v>Mão de obra -  Instalação de itens do banheiro 02 suíte master</v>
      </c>
      <c r="F656" s="68"/>
      <c r="G656" s="68" t="str">
        <f>VLOOKUP(D656,'03. Insumos'!A:F,3,0)</f>
        <v>vb</v>
      </c>
      <c r="H656" s="69">
        <v>1</v>
      </c>
      <c r="I656" s="141"/>
      <c r="J656" s="70">
        <f t="shared" si="84"/>
        <v>1300</v>
      </c>
      <c r="K656" s="54">
        <f>IF(A656=0,VLOOKUP(D656,'03. Insumos'!A:F,4,0),"")</f>
        <v>1300</v>
      </c>
      <c r="L656" s="338">
        <f t="shared" si="85"/>
        <v>0</v>
      </c>
      <c r="M656" s="153">
        <f t="shared" ca="1" si="75"/>
        <v>0</v>
      </c>
      <c r="O656" s="148"/>
      <c r="R656" s="12"/>
    </row>
    <row r="657" spans="1:18" s="51" customFormat="1" ht="13.5" hidden="1" customHeight="1" outlineLevel="1" x14ac:dyDescent="0.3">
      <c r="A657" s="290">
        <f t="shared" si="74"/>
        <v>6</v>
      </c>
      <c r="B657" s="49"/>
      <c r="C657" s="55" t="s">
        <v>1493</v>
      </c>
      <c r="D657" s="55" t="s">
        <v>1546</v>
      </c>
      <c r="E657" s="49"/>
      <c r="F657" s="68"/>
      <c r="G657" s="68"/>
      <c r="H657" s="69"/>
      <c r="I657" s="141"/>
      <c r="J657" s="70"/>
      <c r="K657" s="54"/>
      <c r="L657" s="58">
        <f>SUM(L658:L663)</f>
        <v>0</v>
      </c>
      <c r="M657" s="153">
        <f t="shared" ca="1" si="75"/>
        <v>0</v>
      </c>
      <c r="O657" s="148"/>
      <c r="R657" s="12"/>
    </row>
    <row r="658" spans="1:18" s="51" customFormat="1" ht="13.5" hidden="1" customHeight="1" outlineLevel="1" x14ac:dyDescent="0.3">
      <c r="A658" s="290">
        <f t="shared" si="74"/>
        <v>0</v>
      </c>
      <c r="B658" s="49"/>
      <c r="C658" s="49"/>
      <c r="D658" s="140" t="s">
        <v>1619</v>
      </c>
      <c r="E658" s="49" t="str">
        <f>VLOOKUP(D658,'03. Insumos'!A:D,2,0)</f>
        <v>Material - Bancada de  preto são gabriel 3,62 x 0,60</v>
      </c>
      <c r="F658" s="68"/>
      <c r="G658" s="68" t="str">
        <f>VLOOKUP(D658,'03. Insumos'!A:F,3,0)</f>
        <v>vb</v>
      </c>
      <c r="H658" s="69">
        <v>1</v>
      </c>
      <c r="I658" s="141"/>
      <c r="J658" s="70">
        <f t="shared" ref="J658:J663" si="86">IFERROR(IF(K658&lt;&gt;0,K658*$K$5,0),0)</f>
        <v>1660</v>
      </c>
      <c r="K658" s="54">
        <f>IF(A658=0,VLOOKUP(D658,'03. Insumos'!A:F,4,0),"")</f>
        <v>1660</v>
      </c>
      <c r="L658" s="338">
        <f t="shared" ref="L658:L663" si="87">H658*J658*I658</f>
        <v>0</v>
      </c>
      <c r="M658" s="153">
        <f t="shared" ca="1" si="75"/>
        <v>0</v>
      </c>
      <c r="O658" s="148"/>
      <c r="R658" s="12"/>
    </row>
    <row r="659" spans="1:18" s="51" customFormat="1" ht="13.5" hidden="1" customHeight="1" outlineLevel="1" x14ac:dyDescent="0.3">
      <c r="A659" s="290">
        <f t="shared" si="74"/>
        <v>0</v>
      </c>
      <c r="B659" s="49"/>
      <c r="C659" s="49"/>
      <c r="D659" s="140" t="s">
        <v>1620</v>
      </c>
      <c r="E659" s="49" t="str">
        <f>VLOOKUP(D659,'03. Insumos'!A:D,2,0)</f>
        <v>Material - Frontispício até h=15cm de preto são gabriel 4,22 x 0,15</v>
      </c>
      <c r="F659" s="68"/>
      <c r="G659" s="68" t="str">
        <f>VLOOKUP(D659,'03. Insumos'!A:F,3,0)</f>
        <v>vb</v>
      </c>
      <c r="H659" s="69">
        <v>1</v>
      </c>
      <c r="I659" s="141"/>
      <c r="J659" s="70">
        <f t="shared" si="86"/>
        <v>348</v>
      </c>
      <c r="K659" s="54">
        <f>IF(A659=0,VLOOKUP(D659,'03. Insumos'!A:F,4,0),"")</f>
        <v>348</v>
      </c>
      <c r="L659" s="338">
        <f t="shared" si="87"/>
        <v>0</v>
      </c>
      <c r="M659" s="153">
        <f t="shared" ca="1" si="75"/>
        <v>0</v>
      </c>
      <c r="O659" s="148"/>
      <c r="R659" s="12"/>
    </row>
    <row r="660" spans="1:18" s="51" customFormat="1" ht="13.5" hidden="1" customHeight="1" outlineLevel="1" x14ac:dyDescent="0.3">
      <c r="A660" s="290">
        <f t="shared" si="74"/>
        <v>0</v>
      </c>
      <c r="B660" s="49"/>
      <c r="C660" s="49"/>
      <c r="D660" s="140" t="s">
        <v>1621</v>
      </c>
      <c r="E660" s="49" t="str">
        <f>VLOOKUP(D660,'03. Insumos'!A:D,2,0)</f>
        <v>Material - Ilhargas dupla de preto são gabriel 0,85 x 0,60</v>
      </c>
      <c r="F660" s="68"/>
      <c r="G660" s="68" t="str">
        <f>VLOOKUP(D660,'03. Insumos'!A:F,3,0)</f>
        <v>vb</v>
      </c>
      <c r="H660" s="69">
        <v>2</v>
      </c>
      <c r="I660" s="141"/>
      <c r="J660" s="70">
        <f t="shared" si="86"/>
        <v>393</v>
      </c>
      <c r="K660" s="54">
        <f>IF(A660=0,VLOOKUP(D660,'03. Insumos'!A:F,4,0),"")</f>
        <v>393</v>
      </c>
      <c r="L660" s="338">
        <f t="shared" si="87"/>
        <v>0</v>
      </c>
      <c r="M660" s="153">
        <f t="shared" ca="1" si="75"/>
        <v>0</v>
      </c>
      <c r="O660" s="148"/>
      <c r="R660" s="12"/>
    </row>
    <row r="661" spans="1:18" s="51" customFormat="1" ht="13.5" hidden="1" customHeight="1" outlineLevel="1" x14ac:dyDescent="0.3">
      <c r="A661" s="290">
        <f t="shared" si="74"/>
        <v>0</v>
      </c>
      <c r="B661" s="49"/>
      <c r="C661" s="49"/>
      <c r="D661" s="140" t="s">
        <v>1622</v>
      </c>
      <c r="E661" s="49" t="str">
        <f>VLOOKUP(D661,'03. Insumos'!A:D,2,0)</f>
        <v>Material - Ilha com saia de 5cm de preto são gabriel 3,15 x 0,85</v>
      </c>
      <c r="F661" s="68"/>
      <c r="G661" s="68" t="str">
        <f>VLOOKUP(D661,'03. Insumos'!A:F,3,0)</f>
        <v>vb</v>
      </c>
      <c r="H661" s="69">
        <v>1</v>
      </c>
      <c r="I661" s="141"/>
      <c r="J661" s="70">
        <f t="shared" si="86"/>
        <v>2410</v>
      </c>
      <c r="K661" s="54">
        <f>IF(A661=0,VLOOKUP(D661,'03. Insumos'!A:F,4,0),"")</f>
        <v>2410</v>
      </c>
      <c r="L661" s="338">
        <f t="shared" si="87"/>
        <v>0</v>
      </c>
      <c r="M661" s="153">
        <f t="shared" ca="1" si="75"/>
        <v>0</v>
      </c>
      <c r="O661" s="148"/>
      <c r="R661" s="12"/>
    </row>
    <row r="662" spans="1:18" s="51" customFormat="1" ht="13.5" hidden="1" customHeight="1" outlineLevel="1" x14ac:dyDescent="0.3">
      <c r="A662" s="290">
        <f t="shared" si="74"/>
        <v>0</v>
      </c>
      <c r="B662" s="49"/>
      <c r="C662" s="49"/>
      <c r="D662" s="140" t="s">
        <v>1623</v>
      </c>
      <c r="E662" s="49" t="str">
        <f>VLOOKUP(D662,'03. Insumos'!A:D,2,0)</f>
        <v>Material - Fechamento da ilha de preto são gabriel 8,1 x 0,85</v>
      </c>
      <c r="F662" s="68"/>
      <c r="G662" s="68" t="str">
        <f>VLOOKUP(D662,'03. Insumos'!A:F,3,0)</f>
        <v>vb</v>
      </c>
      <c r="H662" s="69">
        <v>1</v>
      </c>
      <c r="I662" s="141"/>
      <c r="J662" s="70">
        <f t="shared" si="86"/>
        <v>4009.0000000000005</v>
      </c>
      <c r="K662" s="54">
        <f>IF(A662=0,VLOOKUP(D662,'03. Insumos'!A:F,4,0),"")</f>
        <v>4009.0000000000005</v>
      </c>
      <c r="L662" s="338">
        <f t="shared" si="87"/>
        <v>0</v>
      </c>
      <c r="M662" s="153">
        <f t="shared" ca="1" si="75"/>
        <v>0</v>
      </c>
      <c r="O662" s="148"/>
      <c r="R662" s="12"/>
    </row>
    <row r="663" spans="1:18" s="51" customFormat="1" ht="13.5" hidden="1" customHeight="1" outlineLevel="1" x14ac:dyDescent="0.3">
      <c r="A663" s="290">
        <f t="shared" si="74"/>
        <v>0</v>
      </c>
      <c r="B663" s="49"/>
      <c r="C663" s="49"/>
      <c r="D663" s="140" t="s">
        <v>1624</v>
      </c>
      <c r="E663" s="49" t="str">
        <f>VLOOKUP(D663,'03. Insumos'!A:D,2,0)</f>
        <v>Mão de obra  - Instalação dos itens da cozinha</v>
      </c>
      <c r="F663" s="68"/>
      <c r="G663" s="68" t="str">
        <f>VLOOKUP(D663,'03. Insumos'!A:F,3,0)</f>
        <v>vb</v>
      </c>
      <c r="H663" s="69">
        <v>1</v>
      </c>
      <c r="I663" s="141"/>
      <c r="J663" s="70">
        <f t="shared" si="86"/>
        <v>2840</v>
      </c>
      <c r="K663" s="54">
        <f>IF(A663=0,VLOOKUP(D663,'03. Insumos'!A:F,4,0),"")</f>
        <v>2840</v>
      </c>
      <c r="L663" s="338">
        <f t="shared" si="87"/>
        <v>0</v>
      </c>
      <c r="M663" s="153">
        <f t="shared" ca="1" si="75"/>
        <v>0</v>
      </c>
      <c r="O663" s="148"/>
      <c r="R663" s="12"/>
    </row>
    <row r="664" spans="1:18" s="51" customFormat="1" ht="13.5" hidden="1" customHeight="1" outlineLevel="1" x14ac:dyDescent="0.3">
      <c r="A664" s="290">
        <f t="shared" si="74"/>
        <v>6</v>
      </c>
      <c r="B664" s="49"/>
      <c r="C664" s="55" t="s">
        <v>1493</v>
      </c>
      <c r="D664" s="55" t="s">
        <v>1547</v>
      </c>
      <c r="E664" s="49"/>
      <c r="F664" s="68"/>
      <c r="G664" s="68"/>
      <c r="H664" s="69"/>
      <c r="I664" s="141"/>
      <c r="J664" s="70"/>
      <c r="K664" s="54"/>
      <c r="L664" s="58">
        <f>SUM(L665:L667)</f>
        <v>0</v>
      </c>
      <c r="M664" s="153">
        <f t="shared" ca="1" si="75"/>
        <v>0</v>
      </c>
      <c r="O664" s="148"/>
      <c r="R664" s="12"/>
    </row>
    <row r="665" spans="1:18" s="51" customFormat="1" ht="13.5" hidden="1" customHeight="1" outlineLevel="1" x14ac:dyDescent="0.3">
      <c r="A665" s="290">
        <f t="shared" si="74"/>
        <v>0</v>
      </c>
      <c r="B665" s="49"/>
      <c r="C665" s="49"/>
      <c r="D665" s="140" t="s">
        <v>1628</v>
      </c>
      <c r="E665" s="49" t="str">
        <f>VLOOKUP(D665,'03. Insumos'!A:D,2,0)</f>
        <v>Material - Bancada com furo para tanque preto são gabriel 3,51 x 0,60</v>
      </c>
      <c r="F665" s="68"/>
      <c r="G665" s="68" t="str">
        <f>VLOOKUP(D665,'03. Insumos'!A:F,3,0)</f>
        <v>vb</v>
      </c>
      <c r="H665" s="69">
        <v>1</v>
      </c>
      <c r="I665" s="141"/>
      <c r="J665" s="70">
        <f>IFERROR(IF(K665&lt;&gt;0,K665*$K$5,0),0)</f>
        <v>1518</v>
      </c>
      <c r="K665" s="54">
        <f>IF(A665=0,VLOOKUP(D665,'03. Insumos'!A:F,4,0),"")</f>
        <v>1518</v>
      </c>
      <c r="L665" s="338">
        <f>H665*J665*I665</f>
        <v>0</v>
      </c>
      <c r="M665" s="153">
        <f t="shared" ca="1" si="75"/>
        <v>0</v>
      </c>
      <c r="O665" s="148"/>
      <c r="R665" s="12"/>
    </row>
    <row r="666" spans="1:18" s="51" customFormat="1" ht="13.5" hidden="1" customHeight="1" outlineLevel="1" x14ac:dyDescent="0.3">
      <c r="A666" s="290">
        <f t="shared" si="74"/>
        <v>0</v>
      </c>
      <c r="B666" s="49"/>
      <c r="C666" s="49"/>
      <c r="D666" s="140" t="s">
        <v>1629</v>
      </c>
      <c r="E666" s="49" t="str">
        <f>VLOOKUP(D666,'03. Insumos'!A:D,2,0)</f>
        <v>Material - Frontispício até h=15cm de preto são gabriel 3,63 x 0,15</v>
      </c>
      <c r="F666" s="68"/>
      <c r="G666" s="68" t="str">
        <f>VLOOKUP(D666,'03. Insumos'!A:F,3,0)</f>
        <v>vb</v>
      </c>
      <c r="H666" s="69">
        <v>1</v>
      </c>
      <c r="I666" s="141"/>
      <c r="J666" s="70">
        <f>IFERROR(IF(K666&lt;&gt;0,K666*$K$5,0),0)</f>
        <v>300</v>
      </c>
      <c r="K666" s="54">
        <f>IF(A666=0,VLOOKUP(D666,'03. Insumos'!A:F,4,0),"")</f>
        <v>300</v>
      </c>
      <c r="L666" s="338">
        <f>H666*J666*I666</f>
        <v>0</v>
      </c>
      <c r="M666" s="153">
        <f t="shared" ca="1" si="75"/>
        <v>0</v>
      </c>
      <c r="O666" s="148"/>
      <c r="R666" s="12"/>
    </row>
    <row r="667" spans="1:18" s="51" customFormat="1" ht="13.5" hidden="1" customHeight="1" outlineLevel="1" x14ac:dyDescent="0.3">
      <c r="A667" s="290">
        <f t="shared" si="74"/>
        <v>0</v>
      </c>
      <c r="B667" s="49"/>
      <c r="C667" s="49"/>
      <c r="D667" s="140" t="s">
        <v>1630</v>
      </c>
      <c r="E667" s="49" t="str">
        <f>VLOOKUP(D667,'03. Insumos'!A:D,2,0)</f>
        <v>Mão de obra  - Instalação dos itens da lavanderia</v>
      </c>
      <c r="F667" s="68"/>
      <c r="G667" s="68" t="str">
        <f>VLOOKUP(D667,'03. Insumos'!A:F,3,0)</f>
        <v>vb</v>
      </c>
      <c r="H667" s="69">
        <v>1</v>
      </c>
      <c r="I667" s="141"/>
      <c r="J667" s="70">
        <f>IFERROR(IF(K667&lt;&gt;0,K667*$K$5,0),0)</f>
        <v>600</v>
      </c>
      <c r="K667" s="54">
        <f>IF(A667=0,VLOOKUP(D667,'03. Insumos'!A:F,4,0),"")</f>
        <v>600</v>
      </c>
      <c r="L667" s="338">
        <f>H667*J667*I667</f>
        <v>0</v>
      </c>
      <c r="M667" s="153">
        <f t="shared" ca="1" si="75"/>
        <v>0</v>
      </c>
      <c r="O667" s="148"/>
      <c r="R667" s="12"/>
    </row>
    <row r="668" spans="1:18" s="51" customFormat="1" ht="13.5" hidden="1" customHeight="1" outlineLevel="1" x14ac:dyDescent="0.3">
      <c r="A668" s="290">
        <f t="shared" si="74"/>
        <v>6</v>
      </c>
      <c r="B668" s="49"/>
      <c r="C668" s="55" t="s">
        <v>1493</v>
      </c>
      <c r="D668" s="55" t="s">
        <v>1551</v>
      </c>
      <c r="E668" s="49"/>
      <c r="F668" s="68"/>
      <c r="G668" s="68"/>
      <c r="H668" s="69"/>
      <c r="I668" s="141"/>
      <c r="J668" s="70"/>
      <c r="K668" s="54"/>
      <c r="L668" s="58">
        <f>SUM(L669:L673)</f>
        <v>0</v>
      </c>
      <c r="M668" s="153">
        <f t="shared" ca="1" si="75"/>
        <v>0</v>
      </c>
      <c r="O668" s="148"/>
      <c r="R668" s="12"/>
    </row>
    <row r="669" spans="1:18" s="51" customFormat="1" ht="13.5" hidden="1" customHeight="1" outlineLevel="1" x14ac:dyDescent="0.3">
      <c r="A669" s="290">
        <f t="shared" si="74"/>
        <v>0</v>
      </c>
      <c r="B669" s="49"/>
      <c r="C669" s="49"/>
      <c r="D669" s="140" t="s">
        <v>1633</v>
      </c>
      <c r="E669" s="49" t="str">
        <f>VLOOKUP(D669,'03. Insumos'!A:D,2,0)</f>
        <v>Material - Bancada de  preto são gabriel 4,50 x 0,60</v>
      </c>
      <c r="F669" s="68"/>
      <c r="G669" s="68" t="str">
        <f>VLOOKUP(D669,'03. Insumos'!A:F,3,0)</f>
        <v>vb</v>
      </c>
      <c r="H669" s="69">
        <v>1</v>
      </c>
      <c r="I669" s="141"/>
      <c r="J669" s="70">
        <f>IFERROR(IF(K669&lt;&gt;0,K669*$K$5,0),0)</f>
        <v>2050</v>
      </c>
      <c r="K669" s="54">
        <f>IF(A669=0,VLOOKUP(D669,'03. Insumos'!A:F,4,0),"")</f>
        <v>2050</v>
      </c>
      <c r="L669" s="338">
        <f>H669*J669*I669</f>
        <v>0</v>
      </c>
      <c r="M669" s="153">
        <f t="shared" ca="1" si="75"/>
        <v>0</v>
      </c>
      <c r="O669" s="148"/>
      <c r="R669" s="12"/>
    </row>
    <row r="670" spans="1:18" s="51" customFormat="1" ht="13.5" hidden="1" customHeight="1" outlineLevel="1" x14ac:dyDescent="0.3">
      <c r="A670" s="290">
        <f t="shared" si="74"/>
        <v>0</v>
      </c>
      <c r="B670" s="49"/>
      <c r="C670" s="49"/>
      <c r="D670" s="140" t="s">
        <v>1634</v>
      </c>
      <c r="E670" s="49" t="str">
        <f>VLOOKUP(D670,'03. Insumos'!A:D,2,0)</f>
        <v>Material - Frontispício até h=15cm de preto são gabriel  5,10 x 0,15</v>
      </c>
      <c r="F670" s="68"/>
      <c r="G670" s="68" t="str">
        <f>VLOOKUP(D670,'03. Insumos'!A:F,3,0)</f>
        <v>vb</v>
      </c>
      <c r="H670" s="69">
        <v>1</v>
      </c>
      <c r="I670" s="141"/>
      <c r="J670" s="70">
        <f>IFERROR(IF(K670&lt;&gt;0,K670*$K$5,0),0)</f>
        <v>421</v>
      </c>
      <c r="K670" s="54">
        <f>IF(A670=0,VLOOKUP(D670,'03. Insumos'!A:F,4,0),"")</f>
        <v>421</v>
      </c>
      <c r="L670" s="338">
        <f>H670*J670*I670</f>
        <v>0</v>
      </c>
      <c r="M670" s="153">
        <f t="shared" ca="1" si="75"/>
        <v>0</v>
      </c>
      <c r="O670" s="148"/>
      <c r="R670" s="12"/>
    </row>
    <row r="671" spans="1:18" s="51" customFormat="1" ht="13.5" hidden="1" customHeight="1" outlineLevel="1" x14ac:dyDescent="0.3">
      <c r="A671" s="290">
        <f t="shared" si="74"/>
        <v>0</v>
      </c>
      <c r="B671" s="49"/>
      <c r="C671" s="49"/>
      <c r="D671" s="140" t="s">
        <v>1635</v>
      </c>
      <c r="E671" s="49" t="str">
        <f>VLOOKUP(D671,'03. Insumos'!A:D,2,0)</f>
        <v>Material - Ilhargas dupla de preto são gabriel 0,85 x 0,60</v>
      </c>
      <c r="F671" s="68"/>
      <c r="G671" s="68" t="str">
        <f>VLOOKUP(D671,'03. Insumos'!A:F,3,0)</f>
        <v>vb</v>
      </c>
      <c r="H671" s="69">
        <v>1</v>
      </c>
      <c r="I671" s="141"/>
      <c r="J671" s="70">
        <f>IFERROR(IF(K671&lt;&gt;0,K671*$K$5,0),0)</f>
        <v>393</v>
      </c>
      <c r="K671" s="54">
        <f>IF(A671=0,VLOOKUP(D671,'03. Insumos'!A:F,4,0),"")</f>
        <v>393</v>
      </c>
      <c r="L671" s="338">
        <f>H671*J671*I671</f>
        <v>0</v>
      </c>
      <c r="M671" s="153">
        <f t="shared" ca="1" si="75"/>
        <v>0</v>
      </c>
      <c r="O671" s="148"/>
      <c r="R671" s="12"/>
    </row>
    <row r="672" spans="1:18" s="51" customFormat="1" ht="13.5" hidden="1" customHeight="1" outlineLevel="1" x14ac:dyDescent="0.3">
      <c r="A672" s="290">
        <f t="shared" ref="A672:A757" si="88">LEN(C672)</f>
        <v>0</v>
      </c>
      <c r="B672" s="49"/>
      <c r="C672" s="49"/>
      <c r="D672" s="140" t="s">
        <v>1636</v>
      </c>
      <c r="E672" s="49" t="str">
        <f>VLOOKUP(D672,'03. Insumos'!A:D,2,0)</f>
        <v>Material - Ilha com saia de 5cm de preto são gabriel  6,48 x 0,85</v>
      </c>
      <c r="F672" s="68"/>
      <c r="G672" s="68" t="str">
        <f>VLOOKUP(D672,'03. Insumos'!A:F,3,0)</f>
        <v>vb</v>
      </c>
      <c r="H672" s="69">
        <v>1</v>
      </c>
      <c r="I672" s="141"/>
      <c r="J672" s="70">
        <f>IFERROR(IF(K672&lt;&gt;0,K672*$K$5,0),0)</f>
        <v>4758</v>
      </c>
      <c r="K672" s="54">
        <f>IF(A672=0,VLOOKUP(D672,'03. Insumos'!A:F,4,0),"")</f>
        <v>4758</v>
      </c>
      <c r="L672" s="338">
        <f>H672*J672*I672</f>
        <v>0</v>
      </c>
      <c r="M672" s="153">
        <f t="shared" ca="1" si="75"/>
        <v>0</v>
      </c>
      <c r="O672" s="148"/>
      <c r="R672" s="12"/>
    </row>
    <row r="673" spans="1:18" s="51" customFormat="1" ht="13.5" hidden="1" customHeight="1" outlineLevel="1" x14ac:dyDescent="0.3">
      <c r="A673" s="290">
        <f t="shared" si="88"/>
        <v>0</v>
      </c>
      <c r="B673" s="49"/>
      <c r="C673" s="49"/>
      <c r="D673" s="140" t="s">
        <v>1639</v>
      </c>
      <c r="E673" s="49" t="str">
        <f>VLOOKUP(D673,'03. Insumos'!A:D,2,0)</f>
        <v>Mão de obra  - Instalação dos itens da churrasqueira</v>
      </c>
      <c r="F673" s="68"/>
      <c r="G673" s="68" t="str">
        <f>VLOOKUP(D673,'03. Insumos'!A:F,3,0)</f>
        <v>vb</v>
      </c>
      <c r="H673" s="69">
        <v>1</v>
      </c>
      <c r="I673" s="141"/>
      <c r="J673" s="70">
        <f>IFERROR(IF(K673&lt;&gt;0,K673*$K$5,0),0)</f>
        <v>2340</v>
      </c>
      <c r="K673" s="54">
        <f>IF(A673=0,VLOOKUP(D673,'03. Insumos'!A:F,4,0),"")</f>
        <v>2340</v>
      </c>
      <c r="L673" s="338">
        <f>H673*J673*I673</f>
        <v>0</v>
      </c>
      <c r="M673" s="153">
        <f t="shared" ca="1" si="75"/>
        <v>0</v>
      </c>
      <c r="O673" s="148"/>
      <c r="R673" s="12"/>
    </row>
    <row r="674" spans="1:18" s="51" customFormat="1" ht="13.5" hidden="1" customHeight="1" outlineLevel="1" x14ac:dyDescent="0.3">
      <c r="A674" s="290">
        <f t="shared" si="88"/>
        <v>6</v>
      </c>
      <c r="B674" s="49"/>
      <c r="C674" s="55" t="s">
        <v>1493</v>
      </c>
      <c r="D674" s="55" t="s">
        <v>1640</v>
      </c>
      <c r="E674" s="49"/>
      <c r="F674" s="68"/>
      <c r="G674" s="68"/>
      <c r="H674" s="69"/>
      <c r="I674" s="141"/>
      <c r="J674" s="70"/>
      <c r="K674" s="54"/>
      <c r="L674" s="58">
        <f>SUM(L675:L679)</f>
        <v>0</v>
      </c>
      <c r="M674" s="153">
        <f t="shared" ca="1" si="75"/>
        <v>0</v>
      </c>
      <c r="O674" s="148"/>
      <c r="R674" s="12"/>
    </row>
    <row r="675" spans="1:18" s="51" customFormat="1" ht="13.5" hidden="1" customHeight="1" outlineLevel="1" x14ac:dyDescent="0.3">
      <c r="A675" s="290">
        <f t="shared" si="88"/>
        <v>0</v>
      </c>
      <c r="B675" s="49"/>
      <c r="C675" s="49"/>
      <c r="D675" s="140" t="s">
        <v>1641</v>
      </c>
      <c r="E675" s="49" t="str">
        <f>VLOOKUP(D675,'03. Insumos'!A:D,2,0)</f>
        <v>Material - Bancanda com furo para cuba e saia de 15cm de mármore branco piguês 1,97 x 0,6</v>
      </c>
      <c r="F675" s="68"/>
      <c r="G675" s="68" t="str">
        <f>VLOOKUP(D675,'03. Insumos'!A:F,3,0)</f>
        <v>vb</v>
      </c>
      <c r="H675" s="69">
        <v>1</v>
      </c>
      <c r="I675" s="141"/>
      <c r="J675" s="70">
        <f>IFERROR(IF(K675&lt;&gt;0,K675*$K$5,0),0)</f>
        <v>1171</v>
      </c>
      <c r="K675" s="54">
        <f>IF(A675=0,VLOOKUP(D675,'03. Insumos'!A:F,4,0),"")</f>
        <v>1171</v>
      </c>
      <c r="L675" s="338">
        <f>H675*J675*I675</f>
        <v>0</v>
      </c>
      <c r="M675" s="153">
        <f t="shared" ca="1" si="75"/>
        <v>0</v>
      </c>
      <c r="O675" s="148"/>
      <c r="R675" s="12"/>
    </row>
    <row r="676" spans="1:18" s="51" customFormat="1" ht="13.5" hidden="1" customHeight="1" outlineLevel="1" x14ac:dyDescent="0.3">
      <c r="A676" s="290">
        <f t="shared" si="88"/>
        <v>0</v>
      </c>
      <c r="B676" s="49"/>
      <c r="C676" s="49"/>
      <c r="D676" s="140" t="s">
        <v>1642</v>
      </c>
      <c r="E676" s="49" t="str">
        <f>VLOOKUP(D676,'03. Insumos'!A:D,2,0)</f>
        <v>Material - Frontispício até h=15cm de mármore branco piguês 3,17 x 0,15</v>
      </c>
      <c r="F676" s="68"/>
      <c r="G676" s="68" t="str">
        <f>VLOOKUP(D676,'03. Insumos'!A:F,3,0)</f>
        <v>vb</v>
      </c>
      <c r="H676" s="69">
        <v>1</v>
      </c>
      <c r="I676" s="141"/>
      <c r="J676" s="70">
        <f>IFERROR(IF(K676&lt;&gt;0,K676*$K$5,0),0)</f>
        <v>262</v>
      </c>
      <c r="K676" s="54">
        <f>IF(A676=0,VLOOKUP(D676,'03. Insumos'!A:F,4,0),"")</f>
        <v>262</v>
      </c>
      <c r="L676" s="338">
        <f>H676*J676*I676</f>
        <v>0</v>
      </c>
      <c r="M676" s="153">
        <f t="shared" ca="1" si="75"/>
        <v>0</v>
      </c>
      <c r="O676" s="148"/>
      <c r="R676" s="12"/>
    </row>
    <row r="677" spans="1:18" s="51" customFormat="1" ht="13.5" hidden="1" customHeight="1" outlineLevel="1" x14ac:dyDescent="0.3">
      <c r="A677" s="290">
        <f t="shared" si="88"/>
        <v>0</v>
      </c>
      <c r="B677" s="49"/>
      <c r="C677" s="49"/>
      <c r="D677" s="140" t="s">
        <v>1648</v>
      </c>
      <c r="E677" s="49" t="str">
        <f>VLOOKUP(D677,'03. Insumos'!A:D,2,0)</f>
        <v>Material - Nicho mármore branco Piguês</v>
      </c>
      <c r="F677" s="68"/>
      <c r="G677" s="68" t="str">
        <f>VLOOKUP(D677,'03. Insumos'!A:F,3,0)</f>
        <v>vb</v>
      </c>
      <c r="H677" s="69">
        <v>1</v>
      </c>
      <c r="I677" s="141"/>
      <c r="J677" s="70">
        <f>IFERROR(IF(K677&lt;&gt;0,K677*$K$5,0),0)</f>
        <v>400</v>
      </c>
      <c r="K677" s="54">
        <f>IF(A677=0,VLOOKUP(D677,'03. Insumos'!A:F,4,0),"")</f>
        <v>400</v>
      </c>
      <c r="L677" s="338">
        <f>H677*J677*I677</f>
        <v>0</v>
      </c>
      <c r="M677" s="153">
        <f t="shared" ref="M677:M740" ca="1" si="89">L677/$L$7</f>
        <v>0</v>
      </c>
      <c r="O677" s="148"/>
      <c r="R677" s="12"/>
    </row>
    <row r="678" spans="1:18" s="51" customFormat="1" ht="13.5" hidden="1" customHeight="1" outlineLevel="1" x14ac:dyDescent="0.3">
      <c r="A678" s="290">
        <f t="shared" si="88"/>
        <v>0</v>
      </c>
      <c r="B678" s="49"/>
      <c r="C678" s="49"/>
      <c r="D678" s="140" t="s">
        <v>808</v>
      </c>
      <c r="E678" s="49" t="str">
        <f>VLOOKUP(D678,'03. Insumos'!A:D,2,0)</f>
        <v>Material - soleira mármore branco piguês 0,65 x 0,15</v>
      </c>
      <c r="F678" s="68"/>
      <c r="G678" s="68" t="str">
        <f>VLOOKUP(D678,'03. Insumos'!A:F,3,0)</f>
        <v>vb</v>
      </c>
      <c r="H678" s="69">
        <v>1</v>
      </c>
      <c r="I678" s="141"/>
      <c r="J678" s="70">
        <f>IFERROR(IF(K678&lt;&gt;0,K678*$K$5,0),0)</f>
        <v>161</v>
      </c>
      <c r="K678" s="54">
        <f>IF(A678=0,VLOOKUP(D678,'03. Insumos'!A:F,4,0),"")</f>
        <v>161</v>
      </c>
      <c r="L678" s="338">
        <f>H678*J678*I678</f>
        <v>0</v>
      </c>
      <c r="M678" s="153">
        <f t="shared" ca="1" si="89"/>
        <v>0</v>
      </c>
      <c r="O678" s="148"/>
      <c r="R678" s="12"/>
    </row>
    <row r="679" spans="1:18" s="51" customFormat="1" ht="13.5" hidden="1" customHeight="1" outlineLevel="1" x14ac:dyDescent="0.3">
      <c r="A679" s="290">
        <f t="shared" si="88"/>
        <v>0</v>
      </c>
      <c r="B679" s="49"/>
      <c r="C679" s="49"/>
      <c r="D679" s="140" t="s">
        <v>1643</v>
      </c>
      <c r="E679" s="49" t="str">
        <f>VLOOKUP(D679,'03. Insumos'!A:D,2,0)</f>
        <v>Mão de obra  - Instalação dos itens do banheiro da churrasqueira</v>
      </c>
      <c r="F679" s="68"/>
      <c r="G679" s="68" t="str">
        <f>VLOOKUP(D679,'03. Insumos'!A:F,3,0)</f>
        <v>vb</v>
      </c>
      <c r="H679" s="69">
        <v>1</v>
      </c>
      <c r="I679" s="141"/>
      <c r="J679" s="70">
        <f>IFERROR(IF(K679&lt;&gt;0,K679*$K$5,0),0)</f>
        <v>1800</v>
      </c>
      <c r="K679" s="54">
        <f>IF(A679=0,VLOOKUP(D679,'03. Insumos'!A:F,4,0),"")</f>
        <v>1800</v>
      </c>
      <c r="L679" s="338">
        <f>H679*J679*I679</f>
        <v>0</v>
      </c>
      <c r="M679" s="153">
        <f t="shared" ca="1" si="89"/>
        <v>0</v>
      </c>
      <c r="O679" s="148"/>
      <c r="R679" s="12"/>
    </row>
    <row r="680" spans="1:18" s="51" customFormat="1" ht="13.5" hidden="1" customHeight="1" outlineLevel="1" x14ac:dyDescent="0.3">
      <c r="A680" s="290">
        <f t="shared" si="88"/>
        <v>6</v>
      </c>
      <c r="B680" s="49"/>
      <c r="C680" s="55" t="s">
        <v>1493</v>
      </c>
      <c r="D680" s="55" t="s">
        <v>1650</v>
      </c>
      <c r="E680" s="49"/>
      <c r="F680" s="68"/>
      <c r="G680" s="68"/>
      <c r="H680" s="69"/>
      <c r="I680" s="141"/>
      <c r="J680" s="70"/>
      <c r="K680" s="54"/>
      <c r="L680" s="58">
        <f>SUM(L681:L682)</f>
        <v>0</v>
      </c>
      <c r="M680" s="153">
        <f t="shared" ca="1" si="89"/>
        <v>0</v>
      </c>
      <c r="O680" s="148"/>
      <c r="R680" s="12"/>
    </row>
    <row r="681" spans="1:18" s="51" customFormat="1" ht="13.5" hidden="1" customHeight="1" outlineLevel="1" x14ac:dyDescent="0.3">
      <c r="A681" s="290">
        <f t="shared" si="88"/>
        <v>0</v>
      </c>
      <c r="B681" s="49"/>
      <c r="C681" s="49"/>
      <c r="D681" s="140" t="s">
        <v>805</v>
      </c>
      <c r="E681" s="49" t="str">
        <f>VLOOKUP(D681,'03. Insumos'!A:D,2,0)</f>
        <v>Material - rodapé granito cinza andorinha altura de  10 cm</v>
      </c>
      <c r="F681" s="68"/>
      <c r="G681" s="68" t="str">
        <f>VLOOKUP(D681,'03. Insumos'!A:F,3,0)</f>
        <v>m</v>
      </c>
      <c r="H681" s="69">
        <v>1</v>
      </c>
      <c r="I681" s="141"/>
      <c r="J681" s="70">
        <f>IFERROR(IF(K681&lt;&gt;0,K681*$K$5,0),0)</f>
        <v>25.05</v>
      </c>
      <c r="K681" s="54">
        <f>IF(A681=0,VLOOKUP(D681,'03. Insumos'!A:F,4,0),"")</f>
        <v>25.05</v>
      </c>
      <c r="L681" s="338">
        <f>H681*J681*I681</f>
        <v>0</v>
      </c>
      <c r="M681" s="153">
        <f t="shared" ca="1" si="89"/>
        <v>0</v>
      </c>
      <c r="O681" s="148"/>
      <c r="R681" s="12"/>
    </row>
    <row r="682" spans="1:18" s="51" customFormat="1" ht="13.5" hidden="1" customHeight="1" outlineLevel="1" x14ac:dyDescent="0.3">
      <c r="A682" s="290">
        <f t="shared" si="88"/>
        <v>0</v>
      </c>
      <c r="B682" s="49"/>
      <c r="C682" s="49"/>
      <c r="D682" s="140" t="s">
        <v>802</v>
      </c>
      <c r="E682" s="49" t="str">
        <f>VLOOKUP(D682,'03. Insumos'!A:D,2,0)</f>
        <v>Mão de obra - instalação rodapé da escada / varanda suíte 03 / varanda suíte master / mirante</v>
      </c>
      <c r="F682" s="68"/>
      <c r="G682" s="68" t="str">
        <f>VLOOKUP(D682,'03. Insumos'!A:F,3,0)</f>
        <v>vb</v>
      </c>
      <c r="H682" s="69">
        <v>2</v>
      </c>
      <c r="I682" s="141"/>
      <c r="J682" s="70">
        <f>IFERROR(IF(K682&lt;&gt;0,K682*$K$5,0),0)</f>
        <v>1389</v>
      </c>
      <c r="K682" s="54">
        <f>IF(A682=0,VLOOKUP(D682,'03. Insumos'!A:F,4,0),"")</f>
        <v>1389</v>
      </c>
      <c r="L682" s="338">
        <f>H682*J682*I682</f>
        <v>0</v>
      </c>
      <c r="M682" s="153">
        <f t="shared" ca="1" si="89"/>
        <v>0</v>
      </c>
      <c r="O682" s="148"/>
      <c r="R682" s="12"/>
    </row>
    <row r="683" spans="1:18" s="18" customFormat="1" ht="13.5" customHeight="1" x14ac:dyDescent="0.3">
      <c r="A683" s="290">
        <f t="shared" si="88"/>
        <v>3</v>
      </c>
      <c r="B683" s="35"/>
      <c r="C683" s="35" t="s">
        <v>84</v>
      </c>
      <c r="D683" s="35" t="s">
        <v>307</v>
      </c>
      <c r="E683" s="35"/>
      <c r="F683" s="323"/>
      <c r="G683" s="323"/>
      <c r="H683" s="324"/>
      <c r="I683" s="37"/>
      <c r="J683" s="333"/>
      <c r="K683" s="38"/>
      <c r="L683" s="333">
        <f>SUMIF(A684:A727,4,L684:L727)</f>
        <v>545631.18818649999</v>
      </c>
      <c r="M683" s="153">
        <f t="shared" ca="1" si="89"/>
        <v>9.422352482446026E-3</v>
      </c>
      <c r="O683" s="148">
        <f>IF(I683&lt;&gt;0,I683*H683*K683,)</f>
        <v>0</v>
      </c>
      <c r="R683" s="12">
        <f>IF(J683&lt;&gt;0,J683/1.03-K683,0)</f>
        <v>0</v>
      </c>
    </row>
    <row r="684" spans="1:18" s="18" customFormat="1" ht="5.25" customHeight="1" outlineLevel="1" x14ac:dyDescent="0.3">
      <c r="A684" s="290">
        <f t="shared" si="88"/>
        <v>0</v>
      </c>
      <c r="B684" s="63"/>
      <c r="C684" s="63"/>
      <c r="D684" s="63"/>
      <c r="E684" s="63"/>
      <c r="F684" s="325"/>
      <c r="G684" s="325"/>
      <c r="H684" s="326"/>
      <c r="I684" s="65"/>
      <c r="J684" s="334">
        <f>IFERROR(IF(K684&lt;&gt;0,K684*$K$5,0),0)</f>
        <v>0</v>
      </c>
      <c r="K684" s="66" t="e">
        <f>IF(A684=0,VLOOKUP(D684,'03. Insumos'!A:F,4,0),"")</f>
        <v>#N/A</v>
      </c>
      <c r="L684" s="334"/>
      <c r="M684" s="153">
        <f t="shared" ca="1" si="89"/>
        <v>0</v>
      </c>
      <c r="O684" s="148">
        <f>IF(I684&lt;&gt;0,I684*H684*K684,)</f>
        <v>0</v>
      </c>
      <c r="R684" s="12">
        <f>IF(J684&lt;&gt;0,J684/1.03-K684,0)</f>
        <v>0</v>
      </c>
    </row>
    <row r="685" spans="1:18" s="18" customFormat="1" ht="13.5" customHeight="1" outlineLevel="1" x14ac:dyDescent="0.3">
      <c r="A685" s="290">
        <f t="shared" si="88"/>
        <v>4</v>
      </c>
      <c r="B685" s="45"/>
      <c r="C685" s="45" t="s">
        <v>327</v>
      </c>
      <c r="D685" s="45" t="s">
        <v>307</v>
      </c>
      <c r="E685" s="45"/>
      <c r="F685" s="327"/>
      <c r="G685" s="327"/>
      <c r="H685" s="328"/>
      <c r="I685" s="61"/>
      <c r="J685" s="335"/>
      <c r="K685" s="62" t="str">
        <f>IF(A685=0,VLOOKUP(D685,'03. Insumos'!A:F,4,0),"")</f>
        <v/>
      </c>
      <c r="L685" s="335">
        <f>SUMIF(A686:A727,6,L686:L727)</f>
        <v>545631.18818649999</v>
      </c>
      <c r="M685" s="153">
        <f t="shared" ca="1" si="89"/>
        <v>9.422352482446026E-3</v>
      </c>
      <c r="O685" s="148">
        <f>IF(I685&lt;&gt;0,I685*H685*K685,)</f>
        <v>0</v>
      </c>
      <c r="R685" s="12">
        <f>IF(J685&lt;&gt;0,J685/1.03-K685,0)</f>
        <v>0</v>
      </c>
    </row>
    <row r="686" spans="1:18" s="59" customFormat="1" ht="13.5" customHeight="1" outlineLevel="1" x14ac:dyDescent="0.3">
      <c r="A686" s="290">
        <f t="shared" si="88"/>
        <v>6</v>
      </c>
      <c r="B686" s="55"/>
      <c r="C686" s="55" t="s">
        <v>280</v>
      </c>
      <c r="D686" s="55" t="s">
        <v>2507</v>
      </c>
      <c r="E686" s="55"/>
      <c r="F686" s="56"/>
      <c r="G686" s="56"/>
      <c r="H686" s="57"/>
      <c r="I686" s="57"/>
      <c r="J686" s="58"/>
      <c r="K686" s="58" t="str">
        <f>IF(A686=0,VLOOKUP(D686,'03. Insumos'!A:F,4,0),"")</f>
        <v/>
      </c>
      <c r="L686" s="58">
        <f>SUM(L687:L698)</f>
        <v>144336.83818650001</v>
      </c>
      <c r="M686" s="153">
        <f t="shared" ca="1" si="89"/>
        <v>2.4925125158537036E-3</v>
      </c>
      <c r="O686" s="148">
        <f>IF(I686&lt;&gt;0,I686*H686*K686,)</f>
        <v>0</v>
      </c>
      <c r="R686" s="12">
        <f>IF(J686&lt;&gt;0,J686/1.03-K686,0)</f>
        <v>0</v>
      </c>
    </row>
    <row r="687" spans="1:18" s="51" customFormat="1" ht="13.5" hidden="1" customHeight="1" outlineLevel="1" x14ac:dyDescent="0.3">
      <c r="A687" s="290">
        <f t="shared" si="88"/>
        <v>0</v>
      </c>
      <c r="B687" s="49"/>
      <c r="C687" s="49"/>
      <c r="D687" s="140" t="s">
        <v>2496</v>
      </c>
      <c r="E687" s="370" t="str">
        <f>VLOOKUP(D687,'03. Insumos'!A:D,2,0)</f>
        <v>P17 - PORTA DE CORRER DE DUAS 
FOLHAS E BANDEIRA FIXA
EM ALUMÍNIO E MIOLOS EM
TELA EXPANDIDA</v>
      </c>
      <c r="F687" s="344" t="s">
        <v>2599</v>
      </c>
      <c r="G687" s="344" t="str">
        <f>VLOOKUP(D687,'03. Insumos'!A:F,3,0)</f>
        <v>vb</v>
      </c>
      <c r="H687" s="345"/>
      <c r="I687" s="345">
        <v>2</v>
      </c>
      <c r="J687" s="342">
        <f t="shared" ref="J687:J698" si="90">IFERROR(IF(K687&lt;&gt;0,K687*$K$5,0),0)</f>
        <v>0</v>
      </c>
      <c r="K687" s="342">
        <f>IF(A687=0,VLOOKUP(D687,'03. Insumos'!A:F,4,0),"")</f>
        <v>0</v>
      </c>
      <c r="L687" s="342">
        <f>H687*J687*I687</f>
        <v>0</v>
      </c>
      <c r="M687" s="153">
        <f t="shared" ca="1" si="89"/>
        <v>0</v>
      </c>
      <c r="O687" s="148">
        <f>IF(I687&lt;&gt;0,I687*H687*K687,)</f>
        <v>0</v>
      </c>
      <c r="R687" s="12">
        <f>IF(J687&lt;&gt;0,J687/1.03-K687,0)</f>
        <v>0</v>
      </c>
    </row>
    <row r="688" spans="1:18" s="51" customFormat="1" ht="13.5" hidden="1" customHeight="1" outlineLevel="1" x14ac:dyDescent="0.3">
      <c r="A688" s="290">
        <f t="shared" si="88"/>
        <v>0</v>
      </c>
      <c r="B688" s="49"/>
      <c r="C688" s="49"/>
      <c r="D688" s="140" t="s">
        <v>2497</v>
      </c>
      <c r="E688" s="370" t="str">
        <f>VLOOKUP(D688,'03. Insumos'!A:D,2,0)</f>
        <v>P18 - PORTA DE ABRIR E 
BANDEIRA FIXA EM 
ALUMÍNIO E MIOLOS EM 
TELA EXPANDIDA</v>
      </c>
      <c r="F688" s="344" t="s">
        <v>2599</v>
      </c>
      <c r="G688" s="344" t="str">
        <f>VLOOKUP(D688,'03. Insumos'!A:F,3,0)</f>
        <v>vb</v>
      </c>
      <c r="H688" s="345"/>
      <c r="I688" s="345">
        <v>1</v>
      </c>
      <c r="J688" s="342">
        <f t="shared" si="90"/>
        <v>0</v>
      </c>
      <c r="K688" s="342">
        <f>IF(A688=0,VLOOKUP(D688,'03. Insumos'!A:F,4,0),"")</f>
        <v>0</v>
      </c>
      <c r="L688" s="342">
        <f t="shared" ref="L688:L698" si="91">H688*J688*I688</f>
        <v>0</v>
      </c>
      <c r="M688" s="153">
        <f t="shared" ca="1" si="89"/>
        <v>0</v>
      </c>
      <c r="O688" s="148"/>
      <c r="R688" s="12"/>
    </row>
    <row r="689" spans="1:18" s="51" customFormat="1" ht="13.5" hidden="1" customHeight="1" outlineLevel="1" x14ac:dyDescent="0.3">
      <c r="A689" s="290">
        <f t="shared" si="88"/>
        <v>0</v>
      </c>
      <c r="B689" s="49"/>
      <c r="C689" s="49"/>
      <c r="D689" s="140" t="s">
        <v>2498</v>
      </c>
      <c r="E689" s="370" t="str">
        <f>VLOOKUP(D689,'03. Insumos'!A:D,2,0)</f>
        <v>Vidro fixo vitral</v>
      </c>
      <c r="F689" s="344" t="s">
        <v>2599</v>
      </c>
      <c r="G689" s="344" t="str">
        <f>VLOOKUP(D689,'03. Insumos'!A:F,3,0)</f>
        <v>vb</v>
      </c>
      <c r="H689" s="345"/>
      <c r="I689" s="345">
        <v>1</v>
      </c>
      <c r="J689" s="342">
        <f t="shared" si="90"/>
        <v>0</v>
      </c>
      <c r="K689" s="342">
        <f>IF(A689=0,VLOOKUP(D689,'03. Insumos'!A:F,4,0),"")</f>
        <v>0</v>
      </c>
      <c r="L689" s="342">
        <f t="shared" si="91"/>
        <v>0</v>
      </c>
      <c r="M689" s="153">
        <f t="shared" ca="1" si="89"/>
        <v>0</v>
      </c>
      <c r="O689" s="148"/>
      <c r="R689" s="12"/>
    </row>
    <row r="690" spans="1:18" s="51" customFormat="1" ht="13.5" hidden="1" customHeight="1" outlineLevel="1" x14ac:dyDescent="0.3">
      <c r="A690" s="290">
        <f t="shared" si="88"/>
        <v>0</v>
      </c>
      <c r="B690" s="49"/>
      <c r="C690" s="49"/>
      <c r="D690" s="140" t="s">
        <v>2499</v>
      </c>
      <c r="E690" s="370" t="str">
        <f>VLOOKUP(D690,'03. Insumos'!A:D,2,0)</f>
        <v>Vidros Translúcidos Portas de Madeira</v>
      </c>
      <c r="F690" s="344" t="s">
        <v>2599</v>
      </c>
      <c r="G690" s="344" t="str">
        <f>VLOOKUP(D690,'03. Insumos'!A:F,3,0)</f>
        <v>m²</v>
      </c>
      <c r="H690" s="345"/>
      <c r="I690" s="345">
        <v>1</v>
      </c>
      <c r="J690" s="342">
        <f t="shared" si="90"/>
        <v>75</v>
      </c>
      <c r="K690" s="342">
        <f>IF(A690=0,VLOOKUP(D690,'03. Insumos'!A:F,4,0),"")</f>
        <v>75</v>
      </c>
      <c r="L690" s="342">
        <f t="shared" si="91"/>
        <v>0</v>
      </c>
      <c r="M690" s="153">
        <f t="shared" ca="1" si="89"/>
        <v>0</v>
      </c>
      <c r="O690" s="148"/>
      <c r="R690" s="12"/>
    </row>
    <row r="691" spans="1:18" s="51" customFormat="1" ht="13.5" customHeight="1" outlineLevel="1" x14ac:dyDescent="0.3">
      <c r="A691" s="290">
        <f t="shared" si="88"/>
        <v>0</v>
      </c>
      <c r="B691" s="49"/>
      <c r="C691" s="49"/>
      <c r="D691" s="140" t="s">
        <v>2500</v>
      </c>
      <c r="E691" s="67" t="str">
        <f>VLOOKUP(D691,'03. Insumos'!A:D,2,0)</f>
        <v>Janelas de alumínio</v>
      </c>
      <c r="F691" s="68" t="s">
        <v>2599</v>
      </c>
      <c r="G691" s="68" t="str">
        <f>VLOOKUP(D691,'03. Insumos'!A:F,3,0)</f>
        <v>m²</v>
      </c>
      <c r="H691" s="69">
        <v>1</v>
      </c>
      <c r="I691" s="141">
        <f>31.2+(2*0.3)</f>
        <v>31.8</v>
      </c>
      <c r="J691" s="70">
        <f t="shared" si="90"/>
        <v>750</v>
      </c>
      <c r="K691" s="54">
        <f>IF(A691=0,VLOOKUP(D691,'03. Insumos'!A:F,4,0),"")</f>
        <v>750</v>
      </c>
      <c r="L691" s="70">
        <f t="shared" si="91"/>
        <v>23850</v>
      </c>
      <c r="M691" s="153">
        <f t="shared" ca="1" si="89"/>
        <v>4.1185898381880255E-4</v>
      </c>
      <c r="O691" s="148"/>
      <c r="R691" s="12"/>
    </row>
    <row r="692" spans="1:18" s="51" customFormat="1" ht="13.5" customHeight="1" outlineLevel="1" x14ac:dyDescent="0.3">
      <c r="A692" s="290">
        <f t="shared" si="88"/>
        <v>0</v>
      </c>
      <c r="B692" s="49"/>
      <c r="C692" s="49"/>
      <c r="D692" s="140" t="s">
        <v>2501</v>
      </c>
      <c r="E692" s="67" t="str">
        <f>VLOOKUP(D692,'03. Insumos'!A:D,2,0)</f>
        <v>Porta de Vidro Automatizada -  Vão de 2.80 x 2.40</v>
      </c>
      <c r="F692" s="68" t="s">
        <v>2599</v>
      </c>
      <c r="G692" s="68" t="str">
        <f>VLOOKUP(D692,'03. Insumos'!A:F,3,0)</f>
        <v>unid</v>
      </c>
      <c r="H692" s="69">
        <v>1</v>
      </c>
      <c r="I692" s="141">
        <v>10.199999999999999</v>
      </c>
      <c r="J692" s="70">
        <f t="shared" si="90"/>
        <v>11000</v>
      </c>
      <c r="K692" s="54">
        <f>IF(A692=0,VLOOKUP(D692,'03. Insumos'!A:F,4,0),"")</f>
        <v>11000</v>
      </c>
      <c r="L692" s="70">
        <f t="shared" si="91"/>
        <v>112199.99999999999</v>
      </c>
      <c r="M692" s="153">
        <f t="shared" ca="1" si="89"/>
        <v>1.9375504396004044E-3</v>
      </c>
      <c r="O692" s="148"/>
      <c r="R692" s="12"/>
    </row>
    <row r="693" spans="1:18" s="51" customFormat="1" ht="13.5" hidden="1" customHeight="1" outlineLevel="1" x14ac:dyDescent="0.3">
      <c r="A693" s="290">
        <f t="shared" si="88"/>
        <v>0</v>
      </c>
      <c r="B693" s="49"/>
      <c r="C693" s="49"/>
      <c r="D693" s="140" t="s">
        <v>2502</v>
      </c>
      <c r="E693" s="67" t="str">
        <f>VLOOKUP(D693,'03. Insumos'!A:D,2,0)</f>
        <v>Porta veneziana de alumínio casa de máquinas e visita</v>
      </c>
      <c r="F693" s="68" t="s">
        <v>2599</v>
      </c>
      <c r="G693" s="68" t="str">
        <f>VLOOKUP(D693,'03. Insumos'!A:F,3,0)</f>
        <v>vb</v>
      </c>
      <c r="H693" s="69">
        <v>1</v>
      </c>
      <c r="I693" s="141"/>
      <c r="J693" s="70">
        <f t="shared" si="90"/>
        <v>844.2</v>
      </c>
      <c r="K693" s="54">
        <f>IF(A693=0,VLOOKUP(D693,'03. Insumos'!A:F,4,0),"")</f>
        <v>844.2</v>
      </c>
      <c r="L693" s="70">
        <f t="shared" si="91"/>
        <v>0</v>
      </c>
      <c r="M693" s="153">
        <f t="shared" ca="1" si="89"/>
        <v>0</v>
      </c>
      <c r="O693" s="148"/>
      <c r="R693" s="12"/>
    </row>
    <row r="694" spans="1:18" s="51" customFormat="1" ht="13.5" hidden="1" customHeight="1" outlineLevel="1" x14ac:dyDescent="0.3">
      <c r="A694" s="290">
        <f t="shared" si="88"/>
        <v>0</v>
      </c>
      <c r="B694" s="49"/>
      <c r="C694" s="49"/>
      <c r="D694" s="140" t="s">
        <v>2503</v>
      </c>
      <c r="E694" s="67" t="str">
        <f>VLOOKUP(D694,'03. Insumos'!A:D,2,0)</f>
        <v>Fechamento em Vidro temperado Phone boot</v>
      </c>
      <c r="F694" s="68" t="s">
        <v>2599</v>
      </c>
      <c r="G694" s="68" t="str">
        <f>VLOOKUP(D694,'03. Insumos'!A:F,3,0)</f>
        <v>m²</v>
      </c>
      <c r="H694" s="69">
        <v>1</v>
      </c>
      <c r="I694" s="141"/>
      <c r="J694" s="70">
        <f t="shared" si="90"/>
        <v>440</v>
      </c>
      <c r="K694" s="54">
        <f>IF(A694=0,VLOOKUP(D694,'03. Insumos'!A:F,4,0),"")</f>
        <v>440</v>
      </c>
      <c r="L694" s="70">
        <f t="shared" si="91"/>
        <v>0</v>
      </c>
      <c r="M694" s="153">
        <f t="shared" ca="1" si="89"/>
        <v>0</v>
      </c>
      <c r="O694" s="148"/>
      <c r="R694" s="12"/>
    </row>
    <row r="695" spans="1:18" s="51" customFormat="1" outlineLevel="1" x14ac:dyDescent="0.3">
      <c r="A695" s="290">
        <f t="shared" si="88"/>
        <v>0</v>
      </c>
      <c r="B695" s="49"/>
      <c r="C695" s="49"/>
      <c r="D695" s="140" t="s">
        <v>2809</v>
      </c>
      <c r="E695" s="67" t="str">
        <f>VLOOKUP(D695,'03. Insumos'!A:D,2,0)</f>
        <v>Guarda corpo vidro embutido - escada</v>
      </c>
      <c r="F695" s="68" t="s">
        <v>2599</v>
      </c>
      <c r="G695" s="68" t="str">
        <f>VLOOKUP(D695,'03. Insumos'!A:F,3,0)</f>
        <v>m²</v>
      </c>
      <c r="H695" s="69">
        <v>1</v>
      </c>
      <c r="I695" s="141">
        <f>(2*2*1.05)+(2.65*1.05)+(0.9*2.26)</f>
        <v>9.0165000000000006</v>
      </c>
      <c r="J695" s="70">
        <f t="shared" si="90"/>
        <v>487.30099999999999</v>
      </c>
      <c r="K695" s="54">
        <f>IF(A695=0,VLOOKUP(D695,'03. Insumos'!A:F,4,0),"")</f>
        <v>487.30099999999999</v>
      </c>
      <c r="L695" s="70">
        <f t="shared" si="91"/>
        <v>4393.7494665000004</v>
      </c>
      <c r="M695" s="153">
        <f t="shared" ca="1" si="89"/>
        <v>7.5874431464448478E-5</v>
      </c>
      <c r="O695" s="148"/>
      <c r="R695" s="12"/>
    </row>
    <row r="696" spans="1:18" s="51" customFormat="1" hidden="1" outlineLevel="1" x14ac:dyDescent="0.3">
      <c r="A696" s="290">
        <f t="shared" si="88"/>
        <v>0</v>
      </c>
      <c r="B696" s="49"/>
      <c r="C696" s="49"/>
      <c r="D696" s="140" t="s">
        <v>2505</v>
      </c>
      <c r="E696" s="67" t="str">
        <f>VLOOKUP(D696,'03. Insumos'!A:D,2,0)</f>
        <v>Guarda corpo varandas</v>
      </c>
      <c r="F696" s="68" t="s">
        <v>2599</v>
      </c>
      <c r="G696" s="68" t="str">
        <f>VLOOKUP(D696,'03. Insumos'!A:F,3,0)</f>
        <v>m²</v>
      </c>
      <c r="H696" s="69">
        <v>1</v>
      </c>
      <c r="I696" s="141"/>
      <c r="J696" s="70">
        <f t="shared" si="90"/>
        <v>1086.3242009132423</v>
      </c>
      <c r="K696" s="54">
        <f>IF(A696=0,VLOOKUP(D696,'03. Insumos'!A:F,4,0),"")</f>
        <v>1086.3242009132423</v>
      </c>
      <c r="L696" s="70">
        <f t="shared" si="91"/>
        <v>0</v>
      </c>
      <c r="M696" s="153">
        <f t="shared" ca="1" si="89"/>
        <v>0</v>
      </c>
      <c r="O696" s="148"/>
      <c r="R696" s="12"/>
    </row>
    <row r="697" spans="1:18" s="51" customFormat="1" outlineLevel="1" x14ac:dyDescent="0.3">
      <c r="A697" s="290">
        <f t="shared" si="88"/>
        <v>0</v>
      </c>
      <c r="B697" s="49"/>
      <c r="C697" s="49"/>
      <c r="D697" s="140" t="s">
        <v>2807</v>
      </c>
      <c r="E697" s="67" t="str">
        <f>VLOOKUP(D697,'03. Insumos'!A:D,2,0)</f>
        <v>Ambientes: Escritório 1, Escritório 2, Lavabo Social)  (Mat + Mo - Revestimento de Piso Madeira Cumarú com réguas de 20 - Piso Existente C/ aplicação de Verniz Fosco</v>
      </c>
      <c r="F697" s="68" t="s">
        <v>2599</v>
      </c>
      <c r="G697" s="68" t="str">
        <f>VLOOKUP(D697,'03. Insumos'!A:F,3,0)</f>
        <v>m²</v>
      </c>
      <c r="H697" s="69">
        <v>1</v>
      </c>
      <c r="I697" s="141">
        <f>1.095*1.2*2</f>
        <v>2.6279999999999997</v>
      </c>
      <c r="J697" s="70">
        <f>IFERROR(IF(K697&lt;&gt;0,K697*$K$5,0),0)</f>
        <v>423.74</v>
      </c>
      <c r="K697" s="54">
        <f>IF(A697=0,VLOOKUP(D697,'03. Insumos'!A:F,4,0),"")</f>
        <v>423.74</v>
      </c>
      <c r="L697" s="70">
        <f>H697*J697*I697</f>
        <v>1113.58872</v>
      </c>
      <c r="M697" s="153">
        <f ca="1">L697/$L$7</f>
        <v>1.923025235267426E-5</v>
      </c>
      <c r="O697" s="148"/>
      <c r="R697" s="12"/>
    </row>
    <row r="698" spans="1:18" s="51" customFormat="1" outlineLevel="1" x14ac:dyDescent="0.3">
      <c r="A698" s="290">
        <f t="shared" si="88"/>
        <v>0</v>
      </c>
      <c r="B698" s="49"/>
      <c r="C698" s="49"/>
      <c r="D698" s="140" t="s">
        <v>2810</v>
      </c>
      <c r="E698" s="67" t="str">
        <f>VLOOKUP(D698,'03. Insumos'!A:D,2,0)</f>
        <v>Frete de Entrega no Joá - RJ</v>
      </c>
      <c r="F698" s="68" t="s">
        <v>2599</v>
      </c>
      <c r="G698" s="68" t="str">
        <f>VLOOKUP(D698,'03. Insumos'!A:F,3,0)</f>
        <v>vb</v>
      </c>
      <c r="H698" s="69">
        <v>1</v>
      </c>
      <c r="I698" s="141">
        <f>10.9*1.7</f>
        <v>18.53</v>
      </c>
      <c r="J698" s="70">
        <f t="shared" si="90"/>
        <v>150</v>
      </c>
      <c r="K698" s="54">
        <f>IF(A698=0,VLOOKUP(D698,'03. Insumos'!A:F,4,0),"")</f>
        <v>150</v>
      </c>
      <c r="L698" s="70">
        <f t="shared" si="91"/>
        <v>2779.5</v>
      </c>
      <c r="M698" s="153">
        <f t="shared" ca="1" si="89"/>
        <v>4.7998408617373658E-5</v>
      </c>
      <c r="O698" s="148"/>
      <c r="R698" s="12"/>
    </row>
    <row r="699" spans="1:18" s="51" customFormat="1" hidden="1" outlineLevel="1" x14ac:dyDescent="0.3">
      <c r="A699" s="290">
        <f t="shared" si="88"/>
        <v>6</v>
      </c>
      <c r="B699" s="49"/>
      <c r="C699" s="55" t="s">
        <v>366</v>
      </c>
      <c r="D699" s="55" t="s">
        <v>1951</v>
      </c>
      <c r="E699" s="67"/>
      <c r="F699" s="68"/>
      <c r="G699" s="68"/>
      <c r="H699" s="69"/>
      <c r="I699" s="141"/>
      <c r="J699" s="70"/>
      <c r="K699" s="54"/>
      <c r="L699" s="58">
        <f>SUM(L700:L701)</f>
        <v>0</v>
      </c>
      <c r="M699" s="153">
        <f t="shared" ca="1" si="89"/>
        <v>0</v>
      </c>
      <c r="O699" s="148"/>
      <c r="R699" s="12"/>
    </row>
    <row r="700" spans="1:18" s="51" customFormat="1" hidden="1" outlineLevel="1" x14ac:dyDescent="0.3">
      <c r="A700" s="290">
        <f t="shared" si="88"/>
        <v>0</v>
      </c>
      <c r="B700" s="49"/>
      <c r="C700" s="49"/>
      <c r="D700" s="140" t="s">
        <v>1953</v>
      </c>
      <c r="E700" s="67" t="str">
        <f>VLOOKUP(D700,'03. Insumos'!A:D,2,0)</f>
        <v xml:space="preserve">Material - Jardineira - caixa metálica </v>
      </c>
      <c r="F700" s="68"/>
      <c r="G700" s="68" t="str">
        <f>VLOOKUP(D700,'03. Insumos'!A:F,3,0)</f>
        <v>unid</v>
      </c>
      <c r="H700" s="69">
        <v>1</v>
      </c>
      <c r="I700" s="141"/>
      <c r="J700" s="70">
        <f>IFERROR(IF(K700&lt;&gt;0,K700*$K$5,0),0)</f>
        <v>1490</v>
      </c>
      <c r="K700" s="54">
        <f>IF(A700=0,VLOOKUP(D700,'03. Insumos'!A:F,4,0),"")</f>
        <v>1490</v>
      </c>
      <c r="L700" s="338">
        <f>H700*J700*I700</f>
        <v>0</v>
      </c>
      <c r="M700" s="153">
        <f t="shared" ca="1" si="89"/>
        <v>0</v>
      </c>
      <c r="O700" s="148"/>
      <c r="R700" s="12"/>
    </row>
    <row r="701" spans="1:18" s="51" customFormat="1" hidden="1" outlineLevel="1" x14ac:dyDescent="0.3">
      <c r="A701" s="290">
        <f t="shared" si="88"/>
        <v>0</v>
      </c>
      <c r="B701" s="49"/>
      <c r="C701" s="49"/>
      <c r="D701" s="140" t="s">
        <v>1956</v>
      </c>
      <c r="E701" s="67" t="str">
        <f>VLOOKUP(D701,'03. Insumos'!A:D,2,0)</f>
        <v xml:space="preserve">Mão de obra - Jardineira - caixa metálica </v>
      </c>
      <c r="F701" s="68"/>
      <c r="G701" s="68" t="str">
        <f>VLOOKUP(D701,'03. Insumos'!A:F,3,0)</f>
        <v>unid</v>
      </c>
      <c r="H701" s="69">
        <v>1</v>
      </c>
      <c r="I701" s="141"/>
      <c r="J701" s="70">
        <f>IFERROR(IF(K701&lt;&gt;0,K701*$K$5,0),0)</f>
        <v>300</v>
      </c>
      <c r="K701" s="54">
        <f>IF(A701=0,VLOOKUP(D701,'03. Insumos'!A:F,4,0),"")</f>
        <v>300</v>
      </c>
      <c r="L701" s="338">
        <f>H701*J701*I701</f>
        <v>0</v>
      </c>
      <c r="M701" s="153">
        <f t="shared" ca="1" si="89"/>
        <v>0</v>
      </c>
      <c r="O701" s="148"/>
      <c r="R701" s="12"/>
    </row>
    <row r="702" spans="1:18" s="59" customFormat="1" hidden="1" outlineLevel="1" x14ac:dyDescent="0.3">
      <c r="A702" s="290">
        <f t="shared" si="88"/>
        <v>6</v>
      </c>
      <c r="B702" s="55"/>
      <c r="C702" s="55" t="s">
        <v>366</v>
      </c>
      <c r="D702" s="55" t="s">
        <v>1612</v>
      </c>
      <c r="E702" s="55"/>
      <c r="F702" s="56"/>
      <c r="G702" s="56"/>
      <c r="H702" s="57"/>
      <c r="I702" s="57"/>
      <c r="J702" s="58"/>
      <c r="K702" s="58" t="str">
        <f>IF(A702=0,VLOOKUP(D702,'03. Insumos'!A:F,4,0),"")</f>
        <v/>
      </c>
      <c r="L702" s="58">
        <f>SUM(L703:L706)</f>
        <v>0</v>
      </c>
      <c r="M702" s="153">
        <f t="shared" ca="1" si="89"/>
        <v>0</v>
      </c>
      <c r="O702" s="148">
        <f>IF(I702&lt;&gt;0,I702*H702*K702,)</f>
        <v>0</v>
      </c>
      <c r="R702" s="12">
        <f>IF(J702&lt;&gt;0,J702/1.03-K702,0)</f>
        <v>0</v>
      </c>
    </row>
    <row r="703" spans="1:18" s="51" customFormat="1" hidden="1" outlineLevel="1" x14ac:dyDescent="0.3">
      <c r="A703" s="290">
        <f t="shared" si="88"/>
        <v>0</v>
      </c>
      <c r="B703" s="49"/>
      <c r="C703" s="49"/>
      <c r="D703" s="140" t="s">
        <v>2158</v>
      </c>
      <c r="E703" s="67" t="str">
        <f>VLOOKUP(D703,'03. Insumos'!A:D,2,0)</f>
        <v>Execução de pergolado</v>
      </c>
      <c r="F703" s="68"/>
      <c r="G703" s="68" t="str">
        <f>VLOOKUP(D703,'03. Insumos'!A:F,3,0)</f>
        <v>vb</v>
      </c>
      <c r="H703" s="69">
        <v>1</v>
      </c>
      <c r="I703" s="141"/>
      <c r="J703" s="70">
        <f>IFERROR(IF(K703&lt;&gt;0,K703*$K$5,0),0)</f>
        <v>7670</v>
      </c>
      <c r="K703" s="54">
        <f>IF(A703=0,VLOOKUP(D703,'03. Insumos'!A:F,4,0),"")</f>
        <v>7670</v>
      </c>
      <c r="L703" s="338">
        <f>H703*J703*I703</f>
        <v>0</v>
      </c>
      <c r="M703" s="153">
        <f t="shared" ca="1" si="89"/>
        <v>0</v>
      </c>
      <c r="O703" s="148">
        <f>IF(I703&lt;&gt;0,I703*H703*K703,)</f>
        <v>0</v>
      </c>
      <c r="R703" s="12">
        <f>IF(J703&lt;&gt;0,J703/1.03-K703,0)</f>
        <v>-223.39805825242729</v>
      </c>
    </row>
    <row r="704" spans="1:18" s="51" customFormat="1" hidden="1" outlineLevel="1" x14ac:dyDescent="0.3">
      <c r="A704" s="290">
        <f t="shared" si="88"/>
        <v>0</v>
      </c>
      <c r="B704" s="49"/>
      <c r="C704" s="49"/>
      <c r="D704" s="140" t="s">
        <v>1608</v>
      </c>
      <c r="E704" s="67" t="str">
        <f>VLOOKUP(D704,'03. Insumos'!A:D,2,0)</f>
        <v>Mão de obra - Execução pergolado varanda living</v>
      </c>
      <c r="F704" s="68"/>
      <c r="G704" s="68" t="str">
        <f>VLOOKUP(D704,'03. Insumos'!A:F,3,0)</f>
        <v>vb</v>
      </c>
      <c r="H704" s="69">
        <v>1</v>
      </c>
      <c r="I704" s="141"/>
      <c r="J704" s="70">
        <f>IFERROR(IF(K704&lt;&gt;0,K704*$K$5,0),0)</f>
        <v>2300</v>
      </c>
      <c r="K704" s="54">
        <f>IF(A704=0,VLOOKUP(D704,'03. Insumos'!A:F,4,0),"")</f>
        <v>2300</v>
      </c>
      <c r="L704" s="338">
        <f>H704*J704*I704</f>
        <v>0</v>
      </c>
      <c r="M704" s="153">
        <f t="shared" ca="1" si="89"/>
        <v>0</v>
      </c>
      <c r="O704" s="148">
        <f>IF(I704&lt;&gt;0,I704*H704*K704,)</f>
        <v>0</v>
      </c>
      <c r="R704" s="12"/>
    </row>
    <row r="705" spans="1:18" s="51" customFormat="1" hidden="1" outlineLevel="1" x14ac:dyDescent="0.3">
      <c r="A705" s="290">
        <f t="shared" si="88"/>
        <v>0</v>
      </c>
      <c r="B705" s="49"/>
      <c r="C705" s="49"/>
      <c r="D705" s="140" t="s">
        <v>1609</v>
      </c>
      <c r="E705" s="67" t="str">
        <f>VLOOKUP(D705,'03. Insumos'!A:D,2,0)</f>
        <v>Material - Execução pergolado varanda suíte 03</v>
      </c>
      <c r="F705" s="68"/>
      <c r="G705" s="68" t="str">
        <f>VLOOKUP(D705,'03. Insumos'!A:F,3,0)</f>
        <v>vb</v>
      </c>
      <c r="H705" s="69">
        <v>1</v>
      </c>
      <c r="I705" s="141"/>
      <c r="J705" s="70">
        <f>IFERROR(IF(K705&lt;&gt;0,K705*$K$5,0),0)</f>
        <v>5370</v>
      </c>
      <c r="K705" s="54">
        <f>IF(A705=0,VLOOKUP(D705,'03. Insumos'!A:F,4,0),"")</f>
        <v>5370</v>
      </c>
      <c r="L705" s="338">
        <f>H705*J705*I705</f>
        <v>0</v>
      </c>
      <c r="M705" s="153">
        <f t="shared" ca="1" si="89"/>
        <v>0</v>
      </c>
      <c r="O705" s="148">
        <f>IF(I705&lt;&gt;0,I705*H705*K705,)</f>
        <v>0</v>
      </c>
      <c r="R705" s="12"/>
    </row>
    <row r="706" spans="1:18" s="51" customFormat="1" hidden="1" outlineLevel="1" x14ac:dyDescent="0.3">
      <c r="A706" s="290">
        <f t="shared" si="88"/>
        <v>0</v>
      </c>
      <c r="B706" s="49"/>
      <c r="C706" s="49"/>
      <c r="D706" s="140" t="s">
        <v>1610</v>
      </c>
      <c r="E706" s="67" t="str">
        <f>VLOOKUP(D706,'03. Insumos'!A:D,2,0)</f>
        <v>Mão de obra - Execução pergolado varanda suíte 03</v>
      </c>
      <c r="F706" s="68"/>
      <c r="G706" s="68" t="str">
        <f>VLOOKUP(D706,'03. Insumos'!A:F,3,0)</f>
        <v>vb</v>
      </c>
      <c r="H706" s="69">
        <v>1</v>
      </c>
      <c r="I706" s="141"/>
      <c r="J706" s="70">
        <f>IFERROR(IF(K706&lt;&gt;0,K706*$K$5,0),0)</f>
        <v>1300</v>
      </c>
      <c r="K706" s="54">
        <f>IF(A706=0,VLOOKUP(D706,'03. Insumos'!A:F,4,0),"")</f>
        <v>1300</v>
      </c>
      <c r="L706" s="338">
        <f>H706*J706*I706</f>
        <v>0</v>
      </c>
      <c r="M706" s="153">
        <f t="shared" ca="1" si="89"/>
        <v>0</v>
      </c>
      <c r="O706" s="148">
        <f>IF(I706&lt;&gt;0,I706*H706*K706,)</f>
        <v>0</v>
      </c>
      <c r="R706" s="12"/>
    </row>
    <row r="707" spans="1:18" s="51" customFormat="1" hidden="1" outlineLevel="1" x14ac:dyDescent="0.3">
      <c r="A707" s="290">
        <f t="shared" si="88"/>
        <v>6</v>
      </c>
      <c r="B707" s="49"/>
      <c r="C707" s="55" t="s">
        <v>365</v>
      </c>
      <c r="D707" s="55" t="s">
        <v>1868</v>
      </c>
      <c r="E707" s="67"/>
      <c r="F707" s="68"/>
      <c r="G707" s="68"/>
      <c r="H707" s="69"/>
      <c r="I707" s="141"/>
      <c r="J707" s="70"/>
      <c r="K707" s="54"/>
      <c r="L707" s="58">
        <f>SUM(L708:L708)</f>
        <v>0</v>
      </c>
      <c r="M707" s="153">
        <f t="shared" ca="1" si="89"/>
        <v>0</v>
      </c>
      <c r="O707" s="148"/>
      <c r="R707" s="12"/>
    </row>
    <row r="708" spans="1:18" s="51" customFormat="1" hidden="1" outlineLevel="1" x14ac:dyDescent="0.3">
      <c r="A708" s="290">
        <f t="shared" si="88"/>
        <v>0</v>
      </c>
      <c r="B708" s="49"/>
      <c r="C708" s="49"/>
      <c r="D708" s="140" t="s">
        <v>1870</v>
      </c>
      <c r="E708" s="67" t="str">
        <f>VLOOKUP(D708,'03. Insumos'!A:D,2,0)</f>
        <v>Blindex portas dos hidrantes</v>
      </c>
      <c r="F708" s="68"/>
      <c r="G708" s="68" t="str">
        <f>VLOOKUP(D708,'03. Insumos'!A:F,3,0)</f>
        <v>unid</v>
      </c>
      <c r="H708" s="69">
        <v>1</v>
      </c>
      <c r="I708" s="141"/>
      <c r="J708" s="70">
        <f>IFERROR(IF(K708&lt;&gt;0,K708*$K$5,0),0)</f>
        <v>0</v>
      </c>
      <c r="K708" s="54">
        <f>IF(A708=0,VLOOKUP(D708,'03. Insumos'!A:F,4,0),"")</f>
        <v>0</v>
      </c>
      <c r="L708" s="338">
        <f>H708*J708*I708</f>
        <v>0</v>
      </c>
      <c r="M708" s="153">
        <f t="shared" ca="1" si="89"/>
        <v>0</v>
      </c>
      <c r="O708" s="148"/>
      <c r="R708" s="12"/>
    </row>
    <row r="709" spans="1:18" s="59" customFormat="1" hidden="1" outlineLevel="1" x14ac:dyDescent="0.3">
      <c r="A709" s="290">
        <f t="shared" si="88"/>
        <v>6</v>
      </c>
      <c r="B709" s="55"/>
      <c r="C709" s="55" t="s">
        <v>366</v>
      </c>
      <c r="D709" s="55" t="s">
        <v>1871</v>
      </c>
      <c r="E709" s="55"/>
      <c r="F709" s="56"/>
      <c r="G709" s="56"/>
      <c r="H709" s="57"/>
      <c r="I709" s="57"/>
      <c r="J709" s="58"/>
      <c r="K709" s="58" t="str">
        <f>IF(A709=0,VLOOKUP(D709,'03. Insumos'!A:F,4,0),"")</f>
        <v/>
      </c>
      <c r="L709" s="58">
        <f>SUM(L710:L711)</f>
        <v>0</v>
      </c>
      <c r="M709" s="153">
        <f t="shared" ca="1" si="89"/>
        <v>0</v>
      </c>
      <c r="O709" s="148">
        <f>IF(I709&lt;&gt;0,I709*H709*K709,)</f>
        <v>0</v>
      </c>
      <c r="R709" s="12">
        <f>IF(J709&lt;&gt;0,J709/1.03-K709,0)</f>
        <v>0</v>
      </c>
    </row>
    <row r="710" spans="1:18" s="59" customFormat="1" hidden="1" outlineLevel="1" x14ac:dyDescent="0.3">
      <c r="A710" s="290">
        <f t="shared" si="88"/>
        <v>0</v>
      </c>
      <c r="B710" s="55"/>
      <c r="C710" s="55"/>
      <c r="D710" s="140" t="s">
        <v>1904</v>
      </c>
      <c r="E710" s="67" t="str">
        <f>VLOOKUP(D710,'03. Insumos'!A:D,2,0)</f>
        <v>Porta Corta Fogo 0,80 x 2,10</v>
      </c>
      <c r="F710" s="68"/>
      <c r="G710" s="68" t="str">
        <f>VLOOKUP(D710,'03. Insumos'!A:F,3,0)</f>
        <v>unid</v>
      </c>
      <c r="H710" s="69">
        <v>1</v>
      </c>
      <c r="I710" s="141"/>
      <c r="J710" s="70">
        <f>IFERROR(IF(K710&lt;&gt;0,K710*$K$5,0),0)</f>
        <v>650</v>
      </c>
      <c r="K710" s="54">
        <f>IF(A710=0,VLOOKUP(D710,'03. Insumos'!A:F,4,0),"")</f>
        <v>650</v>
      </c>
      <c r="L710" s="338">
        <f>H710*J710*I710</f>
        <v>0</v>
      </c>
      <c r="M710" s="153">
        <f t="shared" ca="1" si="89"/>
        <v>0</v>
      </c>
      <c r="O710" s="148"/>
      <c r="R710" s="12"/>
    </row>
    <row r="711" spans="1:18" s="51" customFormat="1" hidden="1" outlineLevel="1" x14ac:dyDescent="0.3">
      <c r="A711" s="290">
        <f t="shared" si="88"/>
        <v>0</v>
      </c>
      <c r="B711" s="49"/>
      <c r="C711" s="49"/>
      <c r="D711" s="140" t="s">
        <v>1905</v>
      </c>
      <c r="E711" s="67" t="str">
        <f>VLOOKUP(D711,'03. Insumos'!A:D,2,0)</f>
        <v>Porta Corta Fogo 1,60 x 2,10</v>
      </c>
      <c r="F711" s="68"/>
      <c r="G711" s="68" t="str">
        <f>VLOOKUP(D711,'03. Insumos'!A:F,3,0)</f>
        <v>unid</v>
      </c>
      <c r="H711" s="69">
        <v>1</v>
      </c>
      <c r="I711" s="141"/>
      <c r="J711" s="70">
        <f>IFERROR(IF(K711&lt;&gt;0,K711*$K$5,0),0)</f>
        <v>1960</v>
      </c>
      <c r="K711" s="54">
        <f>IF(A711=0,VLOOKUP(D711,'03. Insumos'!A:F,4,0),"")</f>
        <v>1960</v>
      </c>
      <c r="L711" s="338">
        <f>H711*J711*I711</f>
        <v>0</v>
      </c>
      <c r="M711" s="153">
        <f t="shared" ca="1" si="89"/>
        <v>0</v>
      </c>
      <c r="O711" s="148">
        <f>IF(I711&lt;&gt;0,I711*H711*K711,)</f>
        <v>0</v>
      </c>
      <c r="R711" s="12">
        <f>IF(J711&lt;&gt;0,J711/1.03-K711,0)</f>
        <v>-57.087378640776706</v>
      </c>
    </row>
    <row r="712" spans="1:18" s="59" customFormat="1" hidden="1" outlineLevel="1" x14ac:dyDescent="0.3">
      <c r="A712" s="290">
        <f t="shared" si="88"/>
        <v>6</v>
      </c>
      <c r="B712" s="55"/>
      <c r="C712" s="55" t="s">
        <v>952</v>
      </c>
      <c r="D712" s="55" t="s">
        <v>1366</v>
      </c>
      <c r="E712" s="55"/>
      <c r="F712" s="56"/>
      <c r="G712" s="56" t="s">
        <v>73</v>
      </c>
      <c r="H712" s="57"/>
      <c r="I712" s="57"/>
      <c r="J712" s="58"/>
      <c r="K712" s="58" t="str">
        <f>IF(A712=0,VLOOKUP(D712,'03. Insumos'!A:F,4,0),"")</f>
        <v/>
      </c>
      <c r="L712" s="58">
        <f>SUM(L713:L713)</f>
        <v>0</v>
      </c>
      <c r="M712" s="153">
        <f t="shared" ca="1" si="89"/>
        <v>0</v>
      </c>
      <c r="O712" s="148">
        <f>IF(I712&lt;&gt;0,I712*H712*K712,)</f>
        <v>0</v>
      </c>
      <c r="R712" s="12">
        <f>IF(J712&lt;&gt;0,J712/1.03-K712,0)</f>
        <v>0</v>
      </c>
    </row>
    <row r="713" spans="1:18" s="51" customFormat="1" hidden="1" outlineLevel="1" x14ac:dyDescent="0.3">
      <c r="A713" s="290">
        <f t="shared" si="88"/>
        <v>0</v>
      </c>
      <c r="B713" s="49"/>
      <c r="C713" s="49"/>
      <c r="D713" s="140" t="s">
        <v>696</v>
      </c>
      <c r="E713" s="67" t="str">
        <f>VLOOKUP(D713,'03. Insumos'!A:D,2,0)</f>
        <v>Divisórias Tipo Escritório - Policarbonato Alveolar Translúcido</v>
      </c>
      <c r="F713" s="68"/>
      <c r="G713" s="68" t="str">
        <f>VLOOKUP(D713,'03. Insumos'!A:F,3,0)</f>
        <v>m²</v>
      </c>
      <c r="H713" s="69">
        <v>1</v>
      </c>
      <c r="I713" s="141"/>
      <c r="J713" s="70">
        <f>IFERROR(IF(K713&lt;&gt;0,K713*$K$5,0),0)</f>
        <v>324</v>
      </c>
      <c r="K713" s="54">
        <f>IF(A713=0,VLOOKUP(D713,'03. Insumos'!A:F,4,0),"")</f>
        <v>324</v>
      </c>
      <c r="L713" s="338">
        <f>H713*J713*I713</f>
        <v>0</v>
      </c>
      <c r="M713" s="153">
        <f t="shared" ca="1" si="89"/>
        <v>0</v>
      </c>
      <c r="O713" s="148">
        <f>IF(I713&lt;&gt;0,I713*H713*K713,)</f>
        <v>0</v>
      </c>
      <c r="R713" s="12">
        <f>IF(J713&lt;&gt;0,J713/1.03-K713,0)</f>
        <v>-9.4368932038835283</v>
      </c>
    </row>
    <row r="714" spans="1:18" s="51" customFormat="1" outlineLevel="1" x14ac:dyDescent="0.3">
      <c r="A714" s="290">
        <f t="shared" si="88"/>
        <v>6</v>
      </c>
      <c r="B714" s="49"/>
      <c r="C714" s="55" t="s">
        <v>1333</v>
      </c>
      <c r="D714" s="55" t="s">
        <v>2159</v>
      </c>
      <c r="E714" s="67"/>
      <c r="F714" s="68"/>
      <c r="G714" s="68"/>
      <c r="H714" s="69"/>
      <c r="I714" s="141"/>
      <c r="J714" s="70"/>
      <c r="K714" s="54"/>
      <c r="L714" s="58">
        <f>SUM(L715:L719)</f>
        <v>401294.35</v>
      </c>
      <c r="M714" s="153">
        <f t="shared" ca="1" si="89"/>
        <v>6.9298399665923219E-3</v>
      </c>
      <c r="O714" s="148"/>
      <c r="R714" s="12"/>
    </row>
    <row r="715" spans="1:18" s="51" customFormat="1" ht="13.5" customHeight="1" outlineLevel="1" x14ac:dyDescent="0.3">
      <c r="A715" s="290">
        <f t="shared" si="88"/>
        <v>0</v>
      </c>
      <c r="B715" s="49"/>
      <c r="C715" s="49"/>
      <c r="D715" s="140" t="s">
        <v>693</v>
      </c>
      <c r="E715" s="67" t="str">
        <f>VLOOKUP(D715,'03. Insumos'!A:D,2,0)</f>
        <v>Kit Porta com Batente 7,5cm Colmeia Primer 210x80x35 Direito Eucatex
 - Material + MO</v>
      </c>
      <c r="F715" s="68" t="s">
        <v>2599</v>
      </c>
      <c r="G715" s="68" t="str">
        <f>VLOOKUP(D715,'03. Insumos'!A:F,3,0)</f>
        <v>Unid</v>
      </c>
      <c r="H715" s="69">
        <v>1</v>
      </c>
      <c r="I715" s="141">
        <v>2</v>
      </c>
      <c r="J715" s="70">
        <f>IFERROR(IF(K715&lt;&gt;0,K715*$K$5,0),0)</f>
        <v>802.9</v>
      </c>
      <c r="K715" s="54">
        <f>IF(A715=0,VLOOKUP(D715,'03. Insumos'!A:F,4,0),"")</f>
        <v>802.9</v>
      </c>
      <c r="L715" s="70">
        <f>H715*J715*I715</f>
        <v>1605.8</v>
      </c>
      <c r="M715" s="153">
        <f t="shared" ca="1" si="89"/>
        <v>2.7730111371749819E-5</v>
      </c>
      <c r="O715" s="148"/>
      <c r="R715" s="12"/>
    </row>
    <row r="716" spans="1:18" s="51" customFormat="1" ht="13.5" customHeight="1" outlineLevel="1" x14ac:dyDescent="0.3">
      <c r="A716" s="290">
        <f t="shared" si="88"/>
        <v>0</v>
      </c>
      <c r="B716" s="49"/>
      <c r="C716" s="49"/>
      <c r="D716" s="140" t="s">
        <v>694</v>
      </c>
      <c r="E716" s="67" t="str">
        <f>VLOOKUP(D716,'03. Insumos'!A:D,2,0)</f>
        <v>Esquadrias de Madeira - Mão de Obra</v>
      </c>
      <c r="F716" s="68" t="s">
        <v>2599</v>
      </c>
      <c r="G716" s="68" t="str">
        <f>VLOOKUP(D716,'03. Insumos'!A:F,3,0)</f>
        <v>Vb</v>
      </c>
      <c r="H716" s="69">
        <v>1</v>
      </c>
      <c r="I716" s="141">
        <v>7</v>
      </c>
      <c r="J716" s="70">
        <f>IFERROR(IF(K716&lt;&gt;0,K716*$K$5,0),0)</f>
        <v>55620</v>
      </c>
      <c r="K716" s="54">
        <f>IF(A716=0,VLOOKUP(D716,'03. Insumos'!A:F,4,0),"")</f>
        <v>55620</v>
      </c>
      <c r="L716" s="70">
        <f>H716*J716*I716</f>
        <v>389340</v>
      </c>
      <c r="M716" s="153">
        <f t="shared" ca="1" si="89"/>
        <v>6.7234036377363769E-3</v>
      </c>
      <c r="O716" s="148"/>
      <c r="R716" s="12"/>
    </row>
    <row r="717" spans="1:18" s="51" customFormat="1" ht="13.5" customHeight="1" outlineLevel="1" x14ac:dyDescent="0.3">
      <c r="A717" s="290">
        <f t="shared" si="88"/>
        <v>0</v>
      </c>
      <c r="B717" s="49"/>
      <c r="C717" s="49"/>
      <c r="D717" s="140" t="s">
        <v>2628</v>
      </c>
      <c r="E717" s="67" t="str">
        <f>VLOOKUP(D717,'03. Insumos'!A:D,2,0)</f>
        <v>Porta Madeira Semi-oca 0,80x2,10m, com bandeira até o forro, ferragenas, pintura e colocação</v>
      </c>
      <c r="F717" s="68" t="s">
        <v>2599</v>
      </c>
      <c r="G717" s="68" t="str">
        <f>VLOOKUP(D717,'03. Insumos'!A:F,3,0)</f>
        <v>uni</v>
      </c>
      <c r="H717" s="69">
        <v>1</v>
      </c>
      <c r="I717" s="141">
        <v>1</v>
      </c>
      <c r="J717" s="70">
        <f>IFERROR(IF(K717&lt;&gt;0,K717*$K$5,0),0)</f>
        <v>2080.5</v>
      </c>
      <c r="K717" s="54">
        <f>IF(A717=0,VLOOKUP(D717,'03. Insumos'!A:F,4,0),"")</f>
        <v>2080.5</v>
      </c>
      <c r="L717" s="70">
        <f>H717*J717*I717</f>
        <v>2080.5</v>
      </c>
      <c r="M717" s="153">
        <f t="shared" ca="1" si="89"/>
        <v>3.592757299098611E-5</v>
      </c>
      <c r="O717" s="148"/>
      <c r="R717" s="12"/>
    </row>
    <row r="718" spans="1:18" s="51" customFormat="1" ht="13.5" customHeight="1" outlineLevel="1" x14ac:dyDescent="0.3">
      <c r="A718" s="290">
        <f t="shared" si="88"/>
        <v>0</v>
      </c>
      <c r="B718" s="49"/>
      <c r="C718" s="49"/>
      <c r="D718" s="140" t="s">
        <v>2816</v>
      </c>
      <c r="E718" s="67" t="str">
        <f>VLOOKUP(D718,'03. Insumos'!A:D,2,0)</f>
        <v>Porta Madeira Semi-oca 0,80x2,10m, ferragenas, pintura e colocação</v>
      </c>
      <c r="F718" s="68" t="s">
        <v>2599</v>
      </c>
      <c r="G718" s="68" t="str">
        <f>VLOOKUP(D718,'03. Insumos'!A:F,3,0)</f>
        <v>unid</v>
      </c>
      <c r="H718" s="69">
        <v>1</v>
      </c>
      <c r="I718" s="141">
        <v>3</v>
      </c>
      <c r="J718" s="70">
        <f>IFERROR(IF(K718&lt;&gt;0,K718*$K$5,0),0)</f>
        <v>1589.35</v>
      </c>
      <c r="K718" s="54">
        <f>IF(A718=0,VLOOKUP(D718,'03. Insumos'!A:F,4,0),"")</f>
        <v>1589.35</v>
      </c>
      <c r="L718" s="70">
        <f>H718*J718*I718</f>
        <v>4768.0499999999993</v>
      </c>
      <c r="M718" s="153">
        <f t="shared" ca="1" si="89"/>
        <v>8.2338122758794188E-5</v>
      </c>
      <c r="O718" s="148"/>
      <c r="R718" s="12"/>
    </row>
    <row r="719" spans="1:18" s="51" customFormat="1" ht="13.5" customHeight="1" outlineLevel="1" x14ac:dyDescent="0.3">
      <c r="A719" s="290">
        <f>LEN(C719)</f>
        <v>0</v>
      </c>
      <c r="B719" s="49"/>
      <c r="C719" s="49"/>
      <c r="D719" s="140" t="s">
        <v>2831</v>
      </c>
      <c r="E719" s="67" t="str">
        <f>VLOOKUP(D719,'03. Insumos'!A:D,2,0)</f>
        <v>Porta acústica 70cm</v>
      </c>
      <c r="F719" s="68" t="s">
        <v>2599</v>
      </c>
      <c r="G719" s="68" t="str">
        <f>VLOOKUP(D719,'03. Insumos'!A:F,3,0)</f>
        <v>unid</v>
      </c>
      <c r="H719" s="69">
        <v>1</v>
      </c>
      <c r="I719" s="141">
        <v>1</v>
      </c>
      <c r="J719" s="70">
        <f>IFERROR(IF(K719&lt;&gt;0,K719*$K$5,0),0)</f>
        <v>3500</v>
      </c>
      <c r="K719" s="54">
        <f>IF(A719=0,VLOOKUP(D719,'03. Insumos'!A:F,4,0),"")</f>
        <v>3500</v>
      </c>
      <c r="L719" s="70">
        <f>H719*J719*I719</f>
        <v>3500</v>
      </c>
      <c r="M719" s="153">
        <f ca="1">L719/$L$7</f>
        <v>6.0440521734415474E-5</v>
      </c>
      <c r="O719" s="148"/>
      <c r="R719" s="12"/>
    </row>
    <row r="720" spans="1:18" s="59" customFormat="1" ht="13.5" hidden="1" customHeight="1" outlineLevel="1" x14ac:dyDescent="0.3">
      <c r="A720" s="290">
        <f t="shared" si="88"/>
        <v>6</v>
      </c>
      <c r="B720" s="55"/>
      <c r="C720" s="55" t="s">
        <v>1339</v>
      </c>
      <c r="D720" s="55" t="s">
        <v>2136</v>
      </c>
      <c r="E720" s="55"/>
      <c r="F720" s="56"/>
      <c r="G720" s="56"/>
      <c r="H720" s="57"/>
      <c r="I720" s="57"/>
      <c r="J720" s="58"/>
      <c r="K720" s="58" t="str">
        <f>IF(A720=0,VLOOKUP(D720,'03. Insumos'!A:F,4,0),"")</f>
        <v/>
      </c>
      <c r="L720" s="58">
        <f>SUM(L721:L724)</f>
        <v>0</v>
      </c>
      <c r="M720" s="153">
        <f t="shared" ca="1" si="89"/>
        <v>0</v>
      </c>
      <c r="O720" s="148">
        <f>IF(I720&lt;&gt;0,I720*H720*K720,)</f>
        <v>0</v>
      </c>
      <c r="R720" s="12">
        <f>IF(J720&lt;&gt;0,J720/1.03-K720,0)</f>
        <v>0</v>
      </c>
    </row>
    <row r="721" spans="1:18" s="51" customFormat="1" ht="13.5" hidden="1" customHeight="1" outlineLevel="1" x14ac:dyDescent="0.3">
      <c r="A721" s="290">
        <f t="shared" si="88"/>
        <v>0</v>
      </c>
      <c r="B721" s="49"/>
      <c r="C721" s="49"/>
      <c r="D721" s="140" t="s">
        <v>2142</v>
      </c>
      <c r="E721" s="49" t="str">
        <f>VLOOKUP(D721,'03. Insumos'!A:D,2,0)</f>
        <v>Porta de alumínio da varanda</v>
      </c>
      <c r="F721" s="68"/>
      <c r="G721" s="68" t="str">
        <f>VLOOKUP(D721,'03. Insumos'!A:F,3,0)</f>
        <v>vb</v>
      </c>
      <c r="H721" s="69">
        <v>1</v>
      </c>
      <c r="I721" s="141"/>
      <c r="J721" s="70">
        <f>IFERROR(IF(K721&lt;&gt;0,K721*$K$5,0),0)</f>
        <v>4038.2500000000005</v>
      </c>
      <c r="K721" s="54">
        <f>IF(A721=0,VLOOKUP(D721,'03. Insumos'!A:F,4,0),"")</f>
        <v>4038.2500000000005</v>
      </c>
      <c r="L721" s="338">
        <f>H721*J721*I721</f>
        <v>0</v>
      </c>
      <c r="M721" s="153">
        <f t="shared" ca="1" si="89"/>
        <v>0</v>
      </c>
      <c r="O721" s="148">
        <f>IF(I721&lt;&gt;0,I721*H721*K721,)</f>
        <v>0</v>
      </c>
      <c r="R721" s="12">
        <f>IF(J721&lt;&gt;0,J721/1.03-K721,0)</f>
        <v>-117.61893203883528</v>
      </c>
    </row>
    <row r="722" spans="1:18" s="51" customFormat="1" ht="13.5" hidden="1" customHeight="1" outlineLevel="1" x14ac:dyDescent="0.3">
      <c r="A722" s="290">
        <f t="shared" si="88"/>
        <v>0</v>
      </c>
      <c r="B722" s="49"/>
      <c r="C722" s="49"/>
      <c r="D722" s="140" t="s">
        <v>2143</v>
      </c>
      <c r="E722" s="49" t="str">
        <f>VLOOKUP(D722,'03. Insumos'!A:D,2,0)</f>
        <v>Janela de alumínio da cozinha</v>
      </c>
      <c r="F722" s="68"/>
      <c r="G722" s="68" t="str">
        <f>VLOOKUP(D722,'03. Insumos'!A:F,3,0)</f>
        <v>vb</v>
      </c>
      <c r="H722" s="69">
        <v>1</v>
      </c>
      <c r="I722" s="141"/>
      <c r="J722" s="70">
        <f>IFERROR(IF(K722&lt;&gt;0,K722*$K$5,0),0)</f>
        <v>2366.48</v>
      </c>
      <c r="K722" s="54">
        <f>IF(A722=0,VLOOKUP(D722,'03. Insumos'!A:F,4,0),"")</f>
        <v>2366.48</v>
      </c>
      <c r="L722" s="338">
        <f>H722*J722*I722</f>
        <v>0</v>
      </c>
      <c r="M722" s="153">
        <f t="shared" ca="1" si="89"/>
        <v>0</v>
      </c>
      <c r="O722" s="148"/>
      <c r="R722" s="12"/>
    </row>
    <row r="723" spans="1:18" s="51" customFormat="1" ht="13.5" hidden="1" customHeight="1" outlineLevel="1" x14ac:dyDescent="0.3">
      <c r="A723" s="290">
        <f t="shared" si="88"/>
        <v>0</v>
      </c>
      <c r="B723" s="49"/>
      <c r="C723" s="49"/>
      <c r="D723" s="140" t="s">
        <v>2144</v>
      </c>
      <c r="E723" s="49" t="str">
        <f>VLOOKUP(D723,'03. Insumos'!A:D,2,0)</f>
        <v>Janela de alumínio do quarto extra</v>
      </c>
      <c r="F723" s="68"/>
      <c r="G723" s="68" t="str">
        <f>VLOOKUP(D723,'03. Insumos'!A:F,3,0)</f>
        <v>vb</v>
      </c>
      <c r="H723" s="69">
        <v>1</v>
      </c>
      <c r="I723" s="141"/>
      <c r="J723" s="70">
        <f>IFERROR(IF(K723&lt;&gt;0,K723*$K$5,0),0)</f>
        <v>1379.45</v>
      </c>
      <c r="K723" s="54">
        <f>IF(A723=0,VLOOKUP(D723,'03. Insumos'!A:F,4,0),"")</f>
        <v>1379.45</v>
      </c>
      <c r="L723" s="338">
        <f>H723*J723*I723</f>
        <v>0</v>
      </c>
      <c r="M723" s="153">
        <f t="shared" ca="1" si="89"/>
        <v>0</v>
      </c>
      <c r="O723" s="148"/>
      <c r="R723" s="12"/>
    </row>
    <row r="724" spans="1:18" s="51" customFormat="1" ht="13.5" hidden="1" customHeight="1" outlineLevel="1" x14ac:dyDescent="0.3">
      <c r="A724" s="290">
        <f t="shared" si="88"/>
        <v>0</v>
      </c>
      <c r="B724" s="49"/>
      <c r="C724" s="49"/>
      <c r="D724" s="140" t="s">
        <v>2145</v>
      </c>
      <c r="E724" s="49" t="str">
        <f>VLOOKUP(D724,'03. Insumos'!A:D,2,0)</f>
        <v>Retirada e recolocação das esquadrias existentes dos quartos</v>
      </c>
      <c r="F724" s="68"/>
      <c r="G724" s="68" t="str">
        <f>VLOOKUP(D724,'03. Insumos'!A:F,3,0)</f>
        <v>vb</v>
      </c>
      <c r="H724" s="69">
        <v>1</v>
      </c>
      <c r="I724" s="141"/>
      <c r="J724" s="70">
        <f>IFERROR(IF(K724&lt;&gt;0,K724*$K$5,0),0)</f>
        <v>1566</v>
      </c>
      <c r="K724" s="54">
        <f>IF(A724=0,VLOOKUP(D724,'03. Insumos'!A:F,4,0),"")</f>
        <v>1566</v>
      </c>
      <c r="L724" s="338">
        <f>H724*J724*I724</f>
        <v>0</v>
      </c>
      <c r="M724" s="153">
        <f t="shared" ca="1" si="89"/>
        <v>0</v>
      </c>
      <c r="O724" s="148"/>
      <c r="R724" s="12"/>
    </row>
    <row r="725" spans="1:18" s="59" customFormat="1" ht="13.5" hidden="1" customHeight="1" outlineLevel="1" x14ac:dyDescent="0.3">
      <c r="A725" s="290">
        <f t="shared" si="88"/>
        <v>6</v>
      </c>
      <c r="B725" s="55"/>
      <c r="C725" s="55" t="s">
        <v>2160</v>
      </c>
      <c r="D725" s="55" t="s">
        <v>2146</v>
      </c>
      <c r="E725" s="55"/>
      <c r="F725" s="56"/>
      <c r="G725" s="56"/>
      <c r="H725" s="57"/>
      <c r="I725" s="57"/>
      <c r="J725" s="58"/>
      <c r="K725" s="58" t="str">
        <f>IF(A725=0,VLOOKUP(D725,'03. Insumos'!A:F,4,0),"")</f>
        <v/>
      </c>
      <c r="L725" s="58">
        <f>SUM(L726:L727)</f>
        <v>0</v>
      </c>
      <c r="M725" s="153">
        <f t="shared" ca="1" si="89"/>
        <v>0</v>
      </c>
      <c r="O725" s="148">
        <f>IF(I725&lt;&gt;0,I725*H725*K725,)</f>
        <v>0</v>
      </c>
      <c r="R725" s="12">
        <f>IF(J725&lt;&gt;0,J725/1.03-K725,0)</f>
        <v>0</v>
      </c>
    </row>
    <row r="726" spans="1:18" s="59" customFormat="1" ht="13.5" hidden="1" customHeight="1" outlineLevel="1" x14ac:dyDescent="0.3">
      <c r="A726" s="290">
        <f t="shared" si="88"/>
        <v>0</v>
      </c>
      <c r="B726" s="55"/>
      <c r="C726" s="55"/>
      <c r="D726" s="140" t="s">
        <v>2149</v>
      </c>
      <c r="E726" s="49" t="str">
        <f>VLOOKUP(D726,'03. Insumos'!A:D,2,0)</f>
        <v>Espelhos 4 mm B. suíte, B. social e lavabo</v>
      </c>
      <c r="F726" s="68"/>
      <c r="G726" s="68" t="str">
        <f>VLOOKUP(D726,'03. Insumos'!A:F,3,0)</f>
        <v>vb</v>
      </c>
      <c r="H726" s="69">
        <v>1</v>
      </c>
      <c r="I726" s="141"/>
      <c r="J726" s="70">
        <f>IFERROR(IF(K726&lt;&gt;0,K726*$K$5,0),0)</f>
        <v>1364</v>
      </c>
      <c r="K726" s="54">
        <f>IF(A726=0,VLOOKUP(D726,'03. Insumos'!A:F,4,0),"")</f>
        <v>1364</v>
      </c>
      <c r="L726" s="338">
        <f>H726*J726*I726</f>
        <v>0</v>
      </c>
      <c r="M726" s="153">
        <f t="shared" ca="1" si="89"/>
        <v>0</v>
      </c>
      <c r="O726" s="148"/>
      <c r="R726" s="12"/>
    </row>
    <row r="727" spans="1:18" s="51" customFormat="1" ht="13.5" hidden="1" customHeight="1" outlineLevel="1" x14ac:dyDescent="0.3">
      <c r="A727" s="290">
        <f t="shared" si="88"/>
        <v>0</v>
      </c>
      <c r="B727" s="49"/>
      <c r="C727" s="49"/>
      <c r="D727" s="140" t="s">
        <v>2150</v>
      </c>
      <c r="E727" s="49" t="str">
        <f>VLOOKUP(D727,'03. Insumos'!A:D,2,0)</f>
        <v>Box para B. suíte e B. social</v>
      </c>
      <c r="F727" s="68"/>
      <c r="G727" s="68" t="str">
        <f>VLOOKUP(D727,'03. Insumos'!A:F,3,0)</f>
        <v>vb</v>
      </c>
      <c r="H727" s="69">
        <v>1</v>
      </c>
      <c r="I727" s="141"/>
      <c r="J727" s="70">
        <f>IFERROR(IF(K727&lt;&gt;0,K727*$K$5,0),0)</f>
        <v>2268</v>
      </c>
      <c r="K727" s="54">
        <f>IF(A727=0,VLOOKUP(D727,'03. Insumos'!A:F,4,0),"")</f>
        <v>2268</v>
      </c>
      <c r="L727" s="338">
        <f>H727*J727*I727</f>
        <v>0</v>
      </c>
      <c r="M727" s="153">
        <f t="shared" ca="1" si="89"/>
        <v>0</v>
      </c>
      <c r="O727" s="148">
        <f t="shared" ref="O727:O739" si="92">IF(I727&lt;&gt;0,I727*H727*K727,)</f>
        <v>0</v>
      </c>
      <c r="R727" s="12">
        <f t="shared" ref="R727:R739" si="93">IF(J727&lt;&gt;0,J727/1.03-K727,0)</f>
        <v>-66.05825242718447</v>
      </c>
    </row>
    <row r="728" spans="1:18" s="18" customFormat="1" x14ac:dyDescent="0.3">
      <c r="A728" s="290">
        <f t="shared" si="88"/>
        <v>3</v>
      </c>
      <c r="B728" s="35"/>
      <c r="C728" s="35" t="s">
        <v>328</v>
      </c>
      <c r="D728" s="35" t="s">
        <v>888</v>
      </c>
      <c r="E728" s="35"/>
      <c r="F728" s="323"/>
      <c r="G728" s="323"/>
      <c r="H728" s="324"/>
      <c r="I728" s="37"/>
      <c r="J728" s="333"/>
      <c r="K728" s="38"/>
      <c r="L728" s="333">
        <f>SUMIF(A729:A731,4,L729:L731)</f>
        <v>0</v>
      </c>
      <c r="M728" s="153">
        <f t="shared" ca="1" si="89"/>
        <v>0</v>
      </c>
      <c r="O728" s="148">
        <f t="shared" si="92"/>
        <v>0</v>
      </c>
      <c r="R728" s="12">
        <f t="shared" si="93"/>
        <v>0</v>
      </c>
    </row>
    <row r="729" spans="1:18" s="18" customFormat="1" hidden="1" outlineLevel="1" x14ac:dyDescent="0.3">
      <c r="A729" s="290">
        <f t="shared" si="88"/>
        <v>4</v>
      </c>
      <c r="B729" s="45"/>
      <c r="C729" s="45" t="s">
        <v>329</v>
      </c>
      <c r="D729" s="45" t="s">
        <v>888</v>
      </c>
      <c r="E729" s="45"/>
      <c r="F729" s="327"/>
      <c r="G729" s="327"/>
      <c r="H729" s="328"/>
      <c r="I729" s="61"/>
      <c r="J729" s="335"/>
      <c r="K729" s="62" t="str">
        <f>IF(A729=0,VLOOKUP(D729,'03. Insumos'!A:F,4,0),"")</f>
        <v/>
      </c>
      <c r="L729" s="335">
        <f>SUMIF(A730:A731,6,L730:L731)</f>
        <v>0</v>
      </c>
      <c r="M729" s="153">
        <f t="shared" ca="1" si="89"/>
        <v>0</v>
      </c>
      <c r="O729" s="148">
        <f t="shared" si="92"/>
        <v>0</v>
      </c>
      <c r="R729" s="12">
        <f t="shared" si="93"/>
        <v>0</v>
      </c>
    </row>
    <row r="730" spans="1:18" s="59" customFormat="1" hidden="1" outlineLevel="1" x14ac:dyDescent="0.3">
      <c r="A730" s="290">
        <f t="shared" si="88"/>
        <v>6</v>
      </c>
      <c r="B730" s="55"/>
      <c r="C730" s="55" t="s">
        <v>330</v>
      </c>
      <c r="D730" s="343" t="s">
        <v>2649</v>
      </c>
      <c r="E730" s="343"/>
      <c r="F730" s="56"/>
      <c r="G730" s="56"/>
      <c r="H730" s="57"/>
      <c r="I730" s="57"/>
      <c r="J730" s="58"/>
      <c r="K730" s="58" t="str">
        <f>IF(A730=0,VLOOKUP(D730,'03. Insumos'!A:F,4,0),"")</f>
        <v/>
      </c>
      <c r="L730" s="58">
        <f>SUM(L731:L731)</f>
        <v>0</v>
      </c>
      <c r="M730" s="153">
        <f t="shared" ca="1" si="89"/>
        <v>0</v>
      </c>
      <c r="O730" s="148">
        <f t="shared" si="92"/>
        <v>0</v>
      </c>
      <c r="R730" s="12">
        <f t="shared" si="93"/>
        <v>0</v>
      </c>
    </row>
    <row r="731" spans="1:18" s="51" customFormat="1" hidden="1" outlineLevel="1" x14ac:dyDescent="0.3">
      <c r="A731" s="290">
        <f t="shared" si="88"/>
        <v>0</v>
      </c>
      <c r="B731" s="49"/>
      <c r="C731" s="49"/>
      <c r="D731" s="140" t="s">
        <v>2648</v>
      </c>
      <c r="E731" s="49" t="str">
        <f>VLOOKUP(D731,'03. Insumos'!A:D,2,0)</f>
        <v>Reforço estrutural em metálica</v>
      </c>
      <c r="F731" s="68"/>
      <c r="G731" s="68" t="str">
        <f>VLOOKUP(D731,'03. Insumos'!A:F,3,0)</f>
        <v>kg</v>
      </c>
      <c r="H731" s="69">
        <v>1</v>
      </c>
      <c r="I731" s="141"/>
      <c r="J731" s="70">
        <f>IFERROR(IF(K731&lt;&gt;0,K731*$K$5,0),0)</f>
        <v>15</v>
      </c>
      <c r="K731" s="54">
        <f>IF(A731=0,VLOOKUP(D731,'03. Insumos'!A:F,4,0),"")</f>
        <v>15</v>
      </c>
      <c r="L731" s="70">
        <f>H731*J731*I731</f>
        <v>0</v>
      </c>
      <c r="M731" s="153">
        <f t="shared" ca="1" si="89"/>
        <v>0</v>
      </c>
      <c r="O731" s="148">
        <f t="shared" si="92"/>
        <v>0</v>
      </c>
      <c r="R731" s="12">
        <f t="shared" si="93"/>
        <v>-0.43689320388349628</v>
      </c>
    </row>
    <row r="732" spans="1:18" s="18" customFormat="1" collapsed="1" x14ac:dyDescent="0.3">
      <c r="A732" s="290">
        <f t="shared" si="88"/>
        <v>3</v>
      </c>
      <c r="B732" s="35"/>
      <c r="C732" s="35" t="s">
        <v>346</v>
      </c>
      <c r="D732" s="35" t="s">
        <v>337</v>
      </c>
      <c r="E732" s="35"/>
      <c r="F732" s="323"/>
      <c r="G732" s="323"/>
      <c r="H732" s="324"/>
      <c r="I732" s="37"/>
      <c r="J732" s="333"/>
      <c r="K732" s="38"/>
      <c r="L732" s="333">
        <f>SUMIF(A733:A735,4,L733:L735)</f>
        <v>0</v>
      </c>
      <c r="M732" s="153">
        <f t="shared" ca="1" si="89"/>
        <v>0</v>
      </c>
      <c r="O732" s="148">
        <f t="shared" si="92"/>
        <v>0</v>
      </c>
      <c r="R732" s="12">
        <f t="shared" si="93"/>
        <v>0</v>
      </c>
    </row>
    <row r="733" spans="1:18" s="18" customFormat="1" hidden="1" outlineLevel="1" x14ac:dyDescent="0.3">
      <c r="A733" s="290">
        <f t="shared" si="88"/>
        <v>4</v>
      </c>
      <c r="B733" s="45"/>
      <c r="C733" s="45" t="s">
        <v>367</v>
      </c>
      <c r="D733" s="45" t="s">
        <v>349</v>
      </c>
      <c r="E733" s="45"/>
      <c r="F733" s="327"/>
      <c r="G733" s="327"/>
      <c r="H733" s="328"/>
      <c r="I733" s="61"/>
      <c r="J733" s="335"/>
      <c r="K733" s="62" t="str">
        <f>IF(A733=0,VLOOKUP(D733,'03. Insumos'!A:F,4,0),"")</f>
        <v/>
      </c>
      <c r="L733" s="335">
        <f>SUMIF(A734:A735,6,L734:L735)</f>
        <v>0</v>
      </c>
      <c r="M733" s="153">
        <f t="shared" ca="1" si="89"/>
        <v>0</v>
      </c>
      <c r="O733" s="148">
        <f t="shared" si="92"/>
        <v>0</v>
      </c>
      <c r="R733" s="12">
        <f t="shared" si="93"/>
        <v>0</v>
      </c>
    </row>
    <row r="734" spans="1:18" s="59" customFormat="1" ht="13.5" hidden="1" customHeight="1" outlineLevel="1" x14ac:dyDescent="0.3">
      <c r="A734" s="290">
        <f t="shared" si="88"/>
        <v>6</v>
      </c>
      <c r="B734" s="55"/>
      <c r="C734" s="55" t="s">
        <v>368</v>
      </c>
      <c r="D734" s="55" t="s">
        <v>1351</v>
      </c>
      <c r="E734" s="55"/>
      <c r="F734" s="56"/>
      <c r="G734" s="56" t="s">
        <v>241</v>
      </c>
      <c r="H734" s="57">
        <v>1</v>
      </c>
      <c r="I734" s="57"/>
      <c r="J734" s="58"/>
      <c r="K734" s="58"/>
      <c r="L734" s="58">
        <f>SUM(L735:L735)</f>
        <v>0</v>
      </c>
      <c r="M734" s="153">
        <f t="shared" ca="1" si="89"/>
        <v>0</v>
      </c>
      <c r="O734" s="148">
        <f t="shared" si="92"/>
        <v>0</v>
      </c>
      <c r="R734" s="12">
        <f t="shared" si="93"/>
        <v>0</v>
      </c>
    </row>
    <row r="735" spans="1:18" s="51" customFormat="1" ht="13.5" hidden="1" customHeight="1" outlineLevel="1" x14ac:dyDescent="0.3">
      <c r="A735" s="290">
        <f t="shared" si="88"/>
        <v>0</v>
      </c>
      <c r="B735" s="49"/>
      <c r="C735" s="49"/>
      <c r="D735" s="140" t="s">
        <v>698</v>
      </c>
      <c r="E735" s="49" t="str">
        <f>VLOOKUP(D735,'03. Insumos'!A:D,2,0)</f>
        <v xml:space="preserve">Elevador Plataforma de Acessibilidade </v>
      </c>
      <c r="F735" s="68"/>
      <c r="G735" s="68" t="str">
        <f>VLOOKUP(D735,'03. Insumos'!A:F,3,0)</f>
        <v>Unidade</v>
      </c>
      <c r="H735" s="69">
        <v>1</v>
      </c>
      <c r="I735" s="141"/>
      <c r="J735" s="70">
        <f>IFERROR(IF(K735&lt;&gt;0,K735*$K$5,0),0)</f>
        <v>51970</v>
      </c>
      <c r="K735" s="54">
        <f>IF(A735=0,VLOOKUP(D735,'03. Insumos'!A:F,4,0),"")</f>
        <v>51970</v>
      </c>
      <c r="L735" s="338">
        <f>H735*J735*I735</f>
        <v>0</v>
      </c>
      <c r="M735" s="153">
        <f t="shared" ca="1" si="89"/>
        <v>0</v>
      </c>
      <c r="O735" s="148">
        <f t="shared" si="92"/>
        <v>0</v>
      </c>
      <c r="R735" s="12">
        <f t="shared" si="93"/>
        <v>-1513.6893203883519</v>
      </c>
    </row>
    <row r="736" spans="1:18" s="18" customFormat="1" ht="13.5" customHeight="1" collapsed="1" x14ac:dyDescent="0.3">
      <c r="A736" s="290">
        <f t="shared" si="88"/>
        <v>3</v>
      </c>
      <c r="B736" s="35"/>
      <c r="C736" s="35" t="s">
        <v>347</v>
      </c>
      <c r="D736" s="35" t="s">
        <v>85</v>
      </c>
      <c r="E736" s="35"/>
      <c r="F736" s="323"/>
      <c r="G736" s="323"/>
      <c r="H736" s="324"/>
      <c r="I736" s="37"/>
      <c r="J736" s="333"/>
      <c r="K736" s="38"/>
      <c r="L736" s="333">
        <f>SUMIF(A737:A748,4,L737:L748)</f>
        <v>38078.31</v>
      </c>
      <c r="M736" s="153">
        <f t="shared" ca="1" si="89"/>
        <v>6.5756369233280286E-4</v>
      </c>
      <c r="O736" s="148">
        <f t="shared" si="92"/>
        <v>0</v>
      </c>
      <c r="R736" s="12">
        <f t="shared" si="93"/>
        <v>0</v>
      </c>
    </row>
    <row r="737" spans="1:18" s="18" customFormat="1" ht="5.25" customHeight="1" x14ac:dyDescent="0.3">
      <c r="A737" s="290">
        <f t="shared" si="88"/>
        <v>0</v>
      </c>
      <c r="B737" s="63"/>
      <c r="C737" s="63"/>
      <c r="D737" s="63"/>
      <c r="E737" s="63"/>
      <c r="F737" s="325"/>
      <c r="G737" s="325"/>
      <c r="H737" s="326"/>
      <c r="I737" s="65"/>
      <c r="J737" s="334">
        <f>IFERROR(IF(K737&lt;&gt;0,K737*$K$5,0),0)</f>
        <v>0</v>
      </c>
      <c r="K737" s="66" t="e">
        <f>IF(A737=0,VLOOKUP(D737,'03. Insumos'!A:F,4,0),"")</f>
        <v>#N/A</v>
      </c>
      <c r="L737" s="334"/>
      <c r="M737" s="153">
        <f t="shared" ca="1" si="89"/>
        <v>0</v>
      </c>
      <c r="O737" s="148">
        <f t="shared" si="92"/>
        <v>0</v>
      </c>
      <c r="R737" s="12">
        <f t="shared" si="93"/>
        <v>0</v>
      </c>
    </row>
    <row r="738" spans="1:18" s="18" customFormat="1" ht="13.5" customHeight="1" x14ac:dyDescent="0.3">
      <c r="A738" s="290">
        <f t="shared" si="88"/>
        <v>4</v>
      </c>
      <c r="B738" s="45"/>
      <c r="C738" s="45" t="s">
        <v>369</v>
      </c>
      <c r="D738" s="45" t="s">
        <v>276</v>
      </c>
      <c r="E738" s="45"/>
      <c r="F738" s="327"/>
      <c r="G738" s="327"/>
      <c r="H738" s="328"/>
      <c r="I738" s="61"/>
      <c r="J738" s="335"/>
      <c r="K738" s="62" t="str">
        <f>IF(A738=0,VLOOKUP(D738,'03. Insumos'!A:F,4,0),"")</f>
        <v/>
      </c>
      <c r="L738" s="335">
        <f>SUMIF(A739:A761,6,L739:L761)</f>
        <v>38078.31</v>
      </c>
      <c r="M738" s="153">
        <f t="shared" ca="1" si="89"/>
        <v>6.5756369233280286E-4</v>
      </c>
      <c r="O738" s="148">
        <f t="shared" si="92"/>
        <v>0</v>
      </c>
      <c r="R738" s="12">
        <f t="shared" si="93"/>
        <v>0</v>
      </c>
    </row>
    <row r="739" spans="1:18" s="59" customFormat="1" ht="13.5" customHeight="1" outlineLevel="1" x14ac:dyDescent="0.3">
      <c r="A739" s="290">
        <f t="shared" si="88"/>
        <v>6</v>
      </c>
      <c r="B739" s="55"/>
      <c r="C739" s="55" t="s">
        <v>370</v>
      </c>
      <c r="D739" s="55" t="s">
        <v>2523</v>
      </c>
      <c r="E739" s="55"/>
      <c r="F739" s="56"/>
      <c r="G739" s="56" t="s">
        <v>73</v>
      </c>
      <c r="H739" s="57">
        <v>571.55999999999995</v>
      </c>
      <c r="I739" s="57"/>
      <c r="J739" s="58"/>
      <c r="K739" s="58" t="str">
        <f>IF(A739=0,VLOOKUP(D739,'03. Insumos'!A:F,4,0),"")</f>
        <v/>
      </c>
      <c r="L739" s="58">
        <f>SUM(L740:L742)</f>
        <v>18575.699999999997</v>
      </c>
      <c r="M739" s="153">
        <f t="shared" ca="1" si="89"/>
        <v>3.207785713091375E-4</v>
      </c>
      <c r="O739" s="148">
        <f t="shared" si="92"/>
        <v>0</v>
      </c>
      <c r="R739" s="12">
        <f t="shared" si="93"/>
        <v>0</v>
      </c>
    </row>
    <row r="740" spans="1:18" s="51" customFormat="1" ht="13.5" customHeight="1" outlineLevel="1" x14ac:dyDescent="0.3">
      <c r="A740" s="290">
        <f t="shared" si="88"/>
        <v>0</v>
      </c>
      <c r="B740" s="49"/>
      <c r="C740" s="49"/>
      <c r="D740" s="140" t="s">
        <v>1961</v>
      </c>
      <c r="E740" s="67" t="str">
        <f>VLOOKUP(D740,'03. Insumos'!A:D,2,0)</f>
        <v>Mat - Pintura Acrílica Fosca Branco c/ Emassamento</v>
      </c>
      <c r="F740" s="68" t="s">
        <v>2607</v>
      </c>
      <c r="G740" s="68" t="str">
        <f>VLOOKUP(D740,'03. Insumos'!A:F,3,0)</f>
        <v>m²</v>
      </c>
      <c r="H740" s="69">
        <v>1</v>
      </c>
      <c r="I740" s="141">
        <f>H739</f>
        <v>571.55999999999995</v>
      </c>
      <c r="J740" s="70">
        <f>IFERROR(IF(K740&lt;&gt;0,K740*$K$5,0),0)</f>
        <v>19.5</v>
      </c>
      <c r="K740" s="54">
        <f>IF(A740=0,VLOOKUP(D740,'03. Insumos'!A:F,4,0),"")</f>
        <v>19.5</v>
      </c>
      <c r="L740" s="70">
        <f>H740*J740*I740</f>
        <v>11145.419999999998</v>
      </c>
      <c r="M740" s="153">
        <f t="shared" ca="1" si="89"/>
        <v>1.9246714278548251E-4</v>
      </c>
      <c r="O740" s="148"/>
      <c r="R740" s="12"/>
    </row>
    <row r="741" spans="1:18" s="51" customFormat="1" ht="13.5" customHeight="1" outlineLevel="1" x14ac:dyDescent="0.3">
      <c r="A741" s="290">
        <f t="shared" si="88"/>
        <v>0</v>
      </c>
      <c r="B741" s="49"/>
      <c r="C741" s="49"/>
      <c r="D741" s="140" t="s">
        <v>2605</v>
      </c>
      <c r="E741" s="67" t="str">
        <f>VLOOKUP(D741,'03. Insumos'!A:D,2,0)</f>
        <v>Material - Pintura PVA com emassamento sobre paredes emboçadas</v>
      </c>
      <c r="F741" s="68" t="s">
        <v>2613</v>
      </c>
      <c r="G741" s="68" t="str">
        <f>VLOOKUP(D741,'03. Insumos'!A:F,3,0)</f>
        <v>m²</v>
      </c>
      <c r="H741" s="69">
        <v>1</v>
      </c>
      <c r="I741" s="141">
        <f>H739</f>
        <v>571.55999999999995</v>
      </c>
      <c r="J741" s="70">
        <f>IFERROR(IF(K741&lt;&gt;0,K741*$K$5,0),0)</f>
        <v>13</v>
      </c>
      <c r="K741" s="54">
        <f>IF(A741=0,VLOOKUP(D741,'03. Insumos'!A:F,4,0),"")</f>
        <v>13</v>
      </c>
      <c r="L741" s="70">
        <f>H741*J741*I741</f>
        <v>7430.2799999999988</v>
      </c>
      <c r="M741" s="153">
        <f t="shared" ref="M741:M804" ca="1" si="94">L741/$L$7</f>
        <v>1.2831142852365499E-4</v>
      </c>
      <c r="O741" s="148"/>
      <c r="R741" s="12"/>
    </row>
    <row r="742" spans="1:18" s="51" customFormat="1" ht="13.5" hidden="1" customHeight="1" outlineLevel="1" x14ac:dyDescent="0.3">
      <c r="A742" s="290">
        <f t="shared" si="88"/>
        <v>0</v>
      </c>
      <c r="B742" s="49"/>
      <c r="C742" s="49"/>
      <c r="D742" s="140" t="s">
        <v>1854</v>
      </c>
      <c r="E742" s="67" t="str">
        <f>VLOOKUP(D742,'03. Insumos'!A:D,2,0)</f>
        <v>Material - Tinta Coral</v>
      </c>
      <c r="F742" s="68"/>
      <c r="G742" s="68" t="str">
        <f>VLOOKUP(D742,'03. Insumos'!A:F,3,0)</f>
        <v>Lata 18L</v>
      </c>
      <c r="H742" s="69">
        <v>1</v>
      </c>
      <c r="I742" s="141"/>
      <c r="J742" s="70">
        <f>IFERROR(IF(K742&lt;&gt;0,K742*$K$5,0),0)</f>
        <v>172.35</v>
      </c>
      <c r="K742" s="54">
        <f>IF(A742=0,VLOOKUP(D742,'03. Insumos'!A:F,4,0),"")</f>
        <v>172.35</v>
      </c>
      <c r="L742" s="70">
        <f>H742*J742*I742</f>
        <v>0</v>
      </c>
      <c r="M742" s="153">
        <f t="shared" ca="1" si="94"/>
        <v>0</v>
      </c>
      <c r="O742" s="148"/>
      <c r="R742" s="12"/>
    </row>
    <row r="743" spans="1:18" s="51" customFormat="1" ht="13.5" customHeight="1" outlineLevel="1" x14ac:dyDescent="0.3">
      <c r="A743" s="290">
        <f t="shared" si="88"/>
        <v>6</v>
      </c>
      <c r="B743" s="49"/>
      <c r="C743" s="55" t="s">
        <v>371</v>
      </c>
      <c r="D743" s="55" t="s">
        <v>2524</v>
      </c>
      <c r="E743" s="55"/>
      <c r="F743" s="56"/>
      <c r="G743" s="56" t="s">
        <v>73</v>
      </c>
      <c r="H743" s="57">
        <f>H361</f>
        <v>277.70999999999998</v>
      </c>
      <c r="I743" s="57"/>
      <c r="J743" s="58"/>
      <c r="K743" s="58" t="str">
        <f>IF(A743=0,VLOOKUP(D743,'03. Insumos'!A:F,4,0),"")</f>
        <v/>
      </c>
      <c r="L743" s="58">
        <f>SUM(L744:L747)</f>
        <v>8609.01</v>
      </c>
      <c r="M743" s="153">
        <f t="shared" ca="1" si="94"/>
        <v>1.4866658743337147E-4</v>
      </c>
      <c r="O743" s="148">
        <f>IF(I743&lt;&gt;0,I743*H743*K743,)</f>
        <v>0</v>
      </c>
      <c r="R743" s="12">
        <f>IF(J743&lt;&gt;0,J743/1.03-K743,0)</f>
        <v>0</v>
      </c>
    </row>
    <row r="744" spans="1:18" s="59" customFormat="1" ht="13.5" customHeight="1" outlineLevel="1" x14ac:dyDescent="0.3">
      <c r="A744" s="290">
        <f t="shared" si="88"/>
        <v>0</v>
      </c>
      <c r="B744" s="55"/>
      <c r="C744" s="49"/>
      <c r="D744" s="140" t="s">
        <v>2525</v>
      </c>
      <c r="E744" s="67" t="str">
        <f>VLOOKUP(D744,'03. Insumos'!A:D,2,0)</f>
        <v>Mat - Pintura PVA Fosca Branca c/ emassamento</v>
      </c>
      <c r="F744" s="68" t="s">
        <v>2607</v>
      </c>
      <c r="G744" s="68" t="str">
        <f>VLOOKUP(D744,'03. Insumos'!A:F,3,0)</f>
        <v>m²</v>
      </c>
      <c r="H744" s="69">
        <v>1</v>
      </c>
      <c r="I744" s="141">
        <f>H743</f>
        <v>277.70999999999998</v>
      </c>
      <c r="J744" s="70">
        <f>IFERROR(IF(K744&lt;&gt;0,K744*$K$5,0),0)</f>
        <v>15.5</v>
      </c>
      <c r="K744" s="54">
        <f>IF(A744=0,VLOOKUP(D744,'03. Insumos'!A:F,4,0),"")</f>
        <v>15.5</v>
      </c>
      <c r="L744" s="70">
        <f>H744*J744*I744</f>
        <v>4304.5050000000001</v>
      </c>
      <c r="M744" s="153">
        <f t="shared" ca="1" si="94"/>
        <v>7.4333293716685733E-5</v>
      </c>
      <c r="O744" s="148">
        <f>IF(I744&lt;&gt;0,I744*H744*K744,)</f>
        <v>4304.5050000000001</v>
      </c>
      <c r="R744" s="12">
        <f>IF(J744&lt;&gt;0,J744/1.03-K744,0)</f>
        <v>-0.45145631067961212</v>
      </c>
    </row>
    <row r="745" spans="1:18" s="59" customFormat="1" ht="13.5" customHeight="1" outlineLevel="1" x14ac:dyDescent="0.3">
      <c r="A745" s="290">
        <f t="shared" si="88"/>
        <v>0</v>
      </c>
      <c r="B745" s="55"/>
      <c r="C745" s="49"/>
      <c r="D745" s="140" t="s">
        <v>2604</v>
      </c>
      <c r="E745" s="67" t="str">
        <f>VLOOKUP(D745,'03. Insumos'!A:D,2,0)</f>
        <v>MO - Pintura PVA Fosca Branca  c/ emassamento</v>
      </c>
      <c r="F745" s="68" t="s">
        <v>2613</v>
      </c>
      <c r="G745" s="68" t="str">
        <f>VLOOKUP(D745,'03. Insumos'!A:F,3,0)</f>
        <v>m²</v>
      </c>
      <c r="H745" s="69">
        <v>1</v>
      </c>
      <c r="I745" s="141">
        <f>H743</f>
        <v>277.70999999999998</v>
      </c>
      <c r="J745" s="70">
        <f>IFERROR(IF(K745&lt;&gt;0,K745*$K$5,0),0)</f>
        <v>15.5</v>
      </c>
      <c r="K745" s="54">
        <f>IF(A745=0,VLOOKUP(D745,'03. Insumos'!A:F,4,0),"")</f>
        <v>15.5</v>
      </c>
      <c r="L745" s="70">
        <f>H745*J745*I745</f>
        <v>4304.5050000000001</v>
      </c>
      <c r="M745" s="153">
        <f t="shared" ca="1" si="94"/>
        <v>7.4333293716685733E-5</v>
      </c>
      <c r="O745" s="148"/>
      <c r="R745" s="12"/>
    </row>
    <row r="746" spans="1:18" s="59" customFormat="1" ht="13.5" hidden="1" customHeight="1" outlineLevel="1" x14ac:dyDescent="0.3">
      <c r="A746" s="290">
        <f t="shared" si="88"/>
        <v>0</v>
      </c>
      <c r="B746" s="55"/>
      <c r="C746" s="49"/>
      <c r="D746" s="140" t="s">
        <v>841</v>
      </c>
      <c r="E746" s="67" t="str">
        <f>VLOOKUP(D746,'03. Insumos'!A:D,2,0)</f>
        <v>Massa corrida Nova massa</v>
      </c>
      <c r="F746" s="68"/>
      <c r="G746" s="68" t="str">
        <f>VLOOKUP(D746,'03. Insumos'!A:F,3,0)</f>
        <v>Barrica 21 Kg</v>
      </c>
      <c r="H746" s="69">
        <v>1</v>
      </c>
      <c r="I746" s="141"/>
      <c r="J746" s="70">
        <f>IFERROR(IF(K746&lt;&gt;0,K746*$K$5,0),0)</f>
        <v>88.96</v>
      </c>
      <c r="K746" s="54">
        <f>IF(A746=0,VLOOKUP(D746,'03. Insumos'!A:F,4,0),"")</f>
        <v>88.96</v>
      </c>
      <c r="L746" s="70">
        <f>H746*J746*I746</f>
        <v>0</v>
      </c>
      <c r="M746" s="153">
        <f t="shared" ca="1" si="94"/>
        <v>0</v>
      </c>
      <c r="O746" s="148"/>
      <c r="R746" s="12"/>
    </row>
    <row r="747" spans="1:18" s="59" customFormat="1" ht="13.5" hidden="1" customHeight="1" outlineLevel="1" x14ac:dyDescent="0.3">
      <c r="A747" s="290">
        <f t="shared" si="88"/>
        <v>0</v>
      </c>
      <c r="B747" s="55"/>
      <c r="C747" s="49"/>
      <c r="D747" s="140" t="s">
        <v>1767</v>
      </c>
      <c r="E747" s="67" t="str">
        <f>VLOOKUP(D747,'03. Insumos'!A:D,2,0)</f>
        <v>Material  - Textura cor de elefante efeito mármore</v>
      </c>
      <c r="F747" s="68"/>
      <c r="G747" s="68" t="str">
        <f>VLOOKUP(D747,'03. Insumos'!A:F,3,0)</f>
        <v>Galão 2,8 L</v>
      </c>
      <c r="H747" s="69">
        <v>1</v>
      </c>
      <c r="I747" s="141"/>
      <c r="J747" s="70">
        <f>IFERROR(IF(K747&lt;&gt;0,K747*$K$5,0),0)</f>
        <v>113.87</v>
      </c>
      <c r="K747" s="54">
        <f>IF(A747=0,VLOOKUP(D747,'03. Insumos'!A:F,4,0),"")</f>
        <v>113.87</v>
      </c>
      <c r="L747" s="70">
        <f>H747*J747*I747</f>
        <v>0</v>
      </c>
      <c r="M747" s="153">
        <f t="shared" ca="1" si="94"/>
        <v>0</v>
      </c>
      <c r="O747" s="148"/>
      <c r="R747" s="12"/>
    </row>
    <row r="748" spans="1:18" s="59" customFormat="1" ht="13.5" customHeight="1" outlineLevel="1" x14ac:dyDescent="0.3">
      <c r="A748" s="290">
        <f t="shared" si="88"/>
        <v>6</v>
      </c>
      <c r="B748" s="55"/>
      <c r="C748" s="55" t="s">
        <v>1525</v>
      </c>
      <c r="D748" s="55" t="s">
        <v>2752</v>
      </c>
      <c r="E748" s="55"/>
      <c r="F748" s="56"/>
      <c r="G748" s="56" t="s">
        <v>73</v>
      </c>
      <c r="H748" s="57">
        <f>19.45+((3.2*12)-(4*2.5))+(2.5*1.4)</f>
        <v>51.350000000000009</v>
      </c>
      <c r="I748" s="57"/>
      <c r="J748" s="58"/>
      <c r="K748" s="58" t="str">
        <f>IF(A748=0,VLOOKUP(D748,'03. Insumos'!A:F,4,0),"")</f>
        <v/>
      </c>
      <c r="L748" s="58">
        <f>SUM(L749:L750)</f>
        <v>5844.5</v>
      </c>
      <c r="M748" s="153">
        <f t="shared" ca="1" si="94"/>
        <v>1.0092703693622607E-4</v>
      </c>
      <c r="O748" s="148">
        <f>IF(I748&lt;&gt;0,I748*H748*K748,)</f>
        <v>0</v>
      </c>
      <c r="R748" s="12">
        <f>IF(J748&lt;&gt;0,J748/1.03-K748,0)</f>
        <v>0</v>
      </c>
    </row>
    <row r="749" spans="1:18" s="51" customFormat="1" ht="13.5" customHeight="1" outlineLevel="1" x14ac:dyDescent="0.3">
      <c r="A749" s="290">
        <f t="shared" si="88"/>
        <v>0</v>
      </c>
      <c r="B749" s="49"/>
      <c r="C749" s="49"/>
      <c r="D749" s="140" t="s">
        <v>2731</v>
      </c>
      <c r="E749" s="67" t="str">
        <f>VLOOKUP(D749,'03. Insumos'!A:D,2,0)</f>
        <v>Coverstone Cinza - Lantai Revestimentos - mat</v>
      </c>
      <c r="F749" s="68" t="s">
        <v>2613</v>
      </c>
      <c r="G749" s="68" t="str">
        <f>VLOOKUP(D749,'03. Insumos'!A:F,3,0)</f>
        <v>balde</v>
      </c>
      <c r="H749" s="69">
        <v>1</v>
      </c>
      <c r="I749" s="141">
        <f>ROUNDUP((H748*1.15/10),0)</f>
        <v>6</v>
      </c>
      <c r="J749" s="70">
        <f>IFERROR(IF(K749&lt;&gt;0,K749*$K$5,0),0)</f>
        <v>631.75</v>
      </c>
      <c r="K749" s="54">
        <f>IF(A749=0,VLOOKUP(D749,'03. Insumos'!A:F,4,0),"")</f>
        <v>631.75</v>
      </c>
      <c r="L749" s="70">
        <f>H749*J749*I749</f>
        <v>3790.5</v>
      </c>
      <c r="M749" s="153">
        <f t="shared" ca="1" si="94"/>
        <v>6.5457085038371954E-5</v>
      </c>
      <c r="O749" s="148"/>
      <c r="R749" s="12"/>
    </row>
    <row r="750" spans="1:18" s="51" customFormat="1" ht="13.5" customHeight="1" outlineLevel="1" x14ac:dyDescent="0.3">
      <c r="A750" s="290">
        <f t="shared" si="88"/>
        <v>0</v>
      </c>
      <c r="B750" s="49"/>
      <c r="C750" s="49"/>
      <c r="D750" s="140" t="s">
        <v>2736</v>
      </c>
      <c r="E750" s="67" t="str">
        <f>VLOOKUP(D750,'03. Insumos'!A:D,2,0)</f>
        <v>Coverstone Cinza - Lantai Revestimentos - mo</v>
      </c>
      <c r="F750" s="68" t="s">
        <v>2607</v>
      </c>
      <c r="G750" s="68" t="str">
        <f>VLOOKUP(D750,'03. Insumos'!A:F,3,0)</f>
        <v>m²</v>
      </c>
      <c r="H750" s="69">
        <v>1</v>
      </c>
      <c r="I750" s="141">
        <f>H748</f>
        <v>51.350000000000009</v>
      </c>
      <c r="J750" s="70">
        <f>IFERROR(IF(K750&lt;&gt;0,K750*$K$5,0),0)</f>
        <v>40</v>
      </c>
      <c r="K750" s="54">
        <f>IF(A750=0,VLOOKUP(D750,'03. Insumos'!A:F,4,0),"")</f>
        <v>40</v>
      </c>
      <c r="L750" s="70">
        <f>H750*J750*I750</f>
        <v>2054.0000000000005</v>
      </c>
      <c r="M750" s="153">
        <f t="shared" ca="1" si="94"/>
        <v>3.5469951897854115E-5</v>
      </c>
      <c r="O750" s="148"/>
      <c r="R750" s="12"/>
    </row>
    <row r="751" spans="1:18" s="51" customFormat="1" ht="13.5" customHeight="1" outlineLevel="1" x14ac:dyDescent="0.3">
      <c r="A751" s="290">
        <f t="shared" si="88"/>
        <v>6</v>
      </c>
      <c r="B751" s="49"/>
      <c r="C751" s="55" t="s">
        <v>372</v>
      </c>
      <c r="D751" s="55" t="s">
        <v>2668</v>
      </c>
      <c r="E751" s="67"/>
      <c r="F751" s="68"/>
      <c r="G751" s="56" t="s">
        <v>73</v>
      </c>
      <c r="H751" s="57">
        <f>49.4</f>
        <v>49.4</v>
      </c>
      <c r="I751" s="141"/>
      <c r="J751" s="70"/>
      <c r="K751" s="54"/>
      <c r="L751" s="58">
        <f>SUM(L752:L753)</f>
        <v>2026.6</v>
      </c>
      <c r="M751" s="153">
        <f t="shared" ca="1" si="94"/>
        <v>3.4996788956276112E-5</v>
      </c>
      <c r="O751" s="148"/>
      <c r="R751" s="12"/>
    </row>
    <row r="752" spans="1:18" s="51" customFormat="1" ht="13.5" customHeight="1" outlineLevel="1" x14ac:dyDescent="0.3">
      <c r="A752" s="290">
        <f t="shared" si="88"/>
        <v>0</v>
      </c>
      <c r="B752" s="49"/>
      <c r="C752" s="49"/>
      <c r="D752" s="140" t="s">
        <v>2774</v>
      </c>
      <c r="E752" s="67" t="str">
        <f>VLOOKUP(D752,'03. Insumos'!A:D,2,0)</f>
        <v>Revestimento Mr Cryl PU Cinza - material</v>
      </c>
      <c r="F752" s="68" t="s">
        <v>2613</v>
      </c>
      <c r="G752" s="68" t="str">
        <f>VLOOKUP(D752,'03. Insumos'!A:F,3,0)</f>
        <v>m²</v>
      </c>
      <c r="H752" s="69">
        <v>1</v>
      </c>
      <c r="I752" s="141">
        <f>H751</f>
        <v>49.4</v>
      </c>
      <c r="J752" s="70">
        <f>IFERROR(IF(K752&lt;&gt;0,K752*$K$5,0),0)</f>
        <v>39</v>
      </c>
      <c r="K752" s="54">
        <f>IF(A752=0,VLOOKUP(D752,'03. Insumos'!A:F,4,0),"")</f>
        <v>39</v>
      </c>
      <c r="L752" s="70">
        <f>H752*J752*I752</f>
        <v>1926.6</v>
      </c>
      <c r="M752" s="153">
        <f t="shared" ca="1" si="94"/>
        <v>3.3269916906721382E-5</v>
      </c>
      <c r="O752" s="148"/>
      <c r="R752" s="12"/>
    </row>
    <row r="753" spans="1:18" s="51" customFormat="1" ht="13.5" customHeight="1" outlineLevel="1" x14ac:dyDescent="0.3">
      <c r="A753" s="290">
        <f t="shared" si="88"/>
        <v>0</v>
      </c>
      <c r="B753" s="49"/>
      <c r="C753" s="49"/>
      <c r="D753" s="140" t="s">
        <v>2780</v>
      </c>
      <c r="E753" s="67" t="str">
        <f>VLOOKUP(D753,'03. Insumos'!A:D,2,0)</f>
        <v>Revestimento Mr Cryl PU Cinza - mão de obra</v>
      </c>
      <c r="F753" s="68" t="s">
        <v>2607</v>
      </c>
      <c r="G753" s="68" t="str">
        <f>VLOOKUP(D753,'03. Insumos'!A:F,3,0)</f>
        <v>m²</v>
      </c>
      <c r="H753" s="69">
        <v>1</v>
      </c>
      <c r="I753" s="141">
        <f>ROUND(H751/27,0)</f>
        <v>2</v>
      </c>
      <c r="J753" s="70">
        <f>IFERROR(IF(K753&lt;&gt;0,K753*$K$5,0),0)</f>
        <v>50</v>
      </c>
      <c r="K753" s="54">
        <f>IF(A753=0,VLOOKUP(D753,'03. Insumos'!A:F,4,0),"")</f>
        <v>50</v>
      </c>
      <c r="L753" s="70">
        <f>H753*J753*I753</f>
        <v>100</v>
      </c>
      <c r="M753" s="153">
        <f t="shared" ca="1" si="94"/>
        <v>1.7268720495547277E-6</v>
      </c>
      <c r="O753" s="148"/>
      <c r="R753" s="12"/>
    </row>
    <row r="754" spans="1:18" s="59" customFormat="1" ht="13.5" customHeight="1" outlineLevel="1" x14ac:dyDescent="0.3">
      <c r="A754" s="290">
        <f t="shared" si="88"/>
        <v>6</v>
      </c>
      <c r="B754" s="55"/>
      <c r="C754" s="55" t="s">
        <v>370</v>
      </c>
      <c r="D754" s="55" t="s">
        <v>2823</v>
      </c>
      <c r="E754" s="55"/>
      <c r="F754" s="68"/>
      <c r="G754" s="56" t="s">
        <v>73</v>
      </c>
      <c r="H754" s="57">
        <f>H748+H751</f>
        <v>100.75</v>
      </c>
      <c r="I754" s="57"/>
      <c r="J754" s="58"/>
      <c r="K754" s="58" t="str">
        <f>IF(A754=0,VLOOKUP(D754,'03. Insumos'!A:F,4,0),"")</f>
        <v/>
      </c>
      <c r="L754" s="58">
        <f>SUM(L755:L757)</f>
        <v>3022.5</v>
      </c>
      <c r="M754" s="153">
        <f ca="1">L754/$L$7</f>
        <v>5.2194707697791647E-5</v>
      </c>
      <c r="O754" s="148">
        <f>IF(I754&lt;&gt;0,I754*H754*K754,)</f>
        <v>0</v>
      </c>
      <c r="R754" s="12">
        <f>IF(J754&lt;&gt;0,J754/1.03-K754,0)</f>
        <v>0</v>
      </c>
    </row>
    <row r="755" spans="1:18" s="51" customFormat="1" ht="13.5" customHeight="1" outlineLevel="1" x14ac:dyDescent="0.3">
      <c r="A755" s="290">
        <f t="shared" si="88"/>
        <v>0</v>
      </c>
      <c r="B755" s="49"/>
      <c r="C755" s="49"/>
      <c r="D755" s="140" t="s">
        <v>2783</v>
      </c>
      <c r="E755" s="67" t="str">
        <f>VLOOKUP(D755,'03. Insumos'!A:D,2,0)</f>
        <v xml:space="preserve">Mão de obra - Execução de emassamento acrílico sobre paredes internas </v>
      </c>
      <c r="F755" s="68" t="s">
        <v>2607</v>
      </c>
      <c r="G755" s="68" t="str">
        <f>VLOOKUP(D755,'03. Insumos'!A:F,3,0)</f>
        <v>m²</v>
      </c>
      <c r="H755" s="69">
        <v>1</v>
      </c>
      <c r="I755" s="141">
        <f>H754</f>
        <v>100.75</v>
      </c>
      <c r="J755" s="70">
        <f>IFERROR(IF(K755&lt;&gt;0,K755*$K$5,0),0)</f>
        <v>15</v>
      </c>
      <c r="K755" s="54">
        <f>IF(A755=0,VLOOKUP(D755,'03. Insumos'!A:F,4,0),"")</f>
        <v>15</v>
      </c>
      <c r="L755" s="70">
        <f>H755*J755*I755</f>
        <v>1511.25</v>
      </c>
      <c r="M755" s="153">
        <f ca="1">L755/$L$7</f>
        <v>2.6097353848895823E-5</v>
      </c>
      <c r="O755" s="148"/>
      <c r="R755" s="12"/>
    </row>
    <row r="756" spans="1:18" s="51" customFormat="1" ht="13.5" customHeight="1" outlineLevel="1" x14ac:dyDescent="0.3">
      <c r="A756" s="290">
        <f t="shared" si="88"/>
        <v>0</v>
      </c>
      <c r="B756" s="49"/>
      <c r="C756" s="49"/>
      <c r="D756" s="140" t="s">
        <v>2784</v>
      </c>
      <c r="E756" s="67" t="str">
        <f>VLOOKUP(D756,'03. Insumos'!A:D,2,0)</f>
        <v xml:space="preserve">Material - Execução emassamento acrílico sobre paredes internas </v>
      </c>
      <c r="F756" s="68" t="s">
        <v>2613</v>
      </c>
      <c r="G756" s="68" t="str">
        <f>VLOOKUP(D756,'03. Insumos'!A:F,3,0)</f>
        <v>m²</v>
      </c>
      <c r="H756" s="69">
        <v>1</v>
      </c>
      <c r="I756" s="141">
        <f>H754</f>
        <v>100.75</v>
      </c>
      <c r="J756" s="70">
        <f>IFERROR(IF(K756&lt;&gt;0,K756*$K$5,0),0)</f>
        <v>15</v>
      </c>
      <c r="K756" s="54">
        <f>IF(A756=0,VLOOKUP(D756,'03. Insumos'!A:F,4,0),"")</f>
        <v>15</v>
      </c>
      <c r="L756" s="70">
        <f>H756*J756*I756</f>
        <v>1511.25</v>
      </c>
      <c r="M756" s="153">
        <f ca="1">L756/$L$7</f>
        <v>2.6097353848895823E-5</v>
      </c>
      <c r="O756" s="148"/>
      <c r="R756" s="12"/>
    </row>
    <row r="757" spans="1:18" s="51" customFormat="1" ht="13.5" hidden="1" customHeight="1" outlineLevel="1" x14ac:dyDescent="0.3">
      <c r="A757" s="290">
        <f t="shared" si="88"/>
        <v>6</v>
      </c>
      <c r="B757" s="49"/>
      <c r="C757" s="55" t="s">
        <v>1529</v>
      </c>
      <c r="D757" s="55" t="s">
        <v>1528</v>
      </c>
      <c r="E757" s="49"/>
      <c r="F757" s="68"/>
      <c r="G757" s="56" t="s">
        <v>1376</v>
      </c>
      <c r="H757" s="57">
        <v>15</v>
      </c>
      <c r="I757" s="141"/>
      <c r="J757" s="70"/>
      <c r="K757" s="54"/>
      <c r="L757" s="58">
        <f>SUM(L758:L761)</f>
        <v>0</v>
      </c>
      <c r="M757" s="153">
        <f t="shared" ca="1" si="94"/>
        <v>0</v>
      </c>
      <c r="O757" s="148"/>
      <c r="R757" s="12"/>
    </row>
    <row r="758" spans="1:18" s="51" customFormat="1" ht="13.5" hidden="1" customHeight="1" outlineLevel="1" x14ac:dyDescent="0.3">
      <c r="A758" s="290">
        <f t="shared" ref="A758:A863" si="95">LEN(C758)</f>
        <v>0</v>
      </c>
      <c r="B758" s="49"/>
      <c r="C758" s="49"/>
      <c r="D758" s="140" t="s">
        <v>2601</v>
      </c>
      <c r="E758" s="49" t="str">
        <f>VLOOKUP(D758,'03. Insumos'!A:D,2,0)</f>
        <v>Material - Execução de pintura esmalte sobre esquadrias de madeira</v>
      </c>
      <c r="F758" s="68"/>
      <c r="G758" s="68" t="str">
        <f>VLOOKUP(D758,'03. Insumos'!A:F,3,0)</f>
        <v>Unid</v>
      </c>
      <c r="H758" s="69">
        <v>1</v>
      </c>
      <c r="I758" s="141"/>
      <c r="J758" s="70">
        <f>IFERROR(IF(K758&lt;&gt;0,K758*$K$5,0),0)</f>
        <v>53</v>
      </c>
      <c r="K758" s="54">
        <f>IF(A758=0,VLOOKUP(D758,'03. Insumos'!A:F,4,0),"")</f>
        <v>53</v>
      </c>
      <c r="L758" s="70">
        <f>H758*J758*I758</f>
        <v>0</v>
      </c>
      <c r="M758" s="153">
        <f t="shared" ca="1" si="94"/>
        <v>0</v>
      </c>
      <c r="O758" s="148"/>
      <c r="R758" s="12"/>
    </row>
    <row r="759" spans="1:18" s="51" customFormat="1" ht="13.5" hidden="1" customHeight="1" outlineLevel="1" x14ac:dyDescent="0.3">
      <c r="A759" s="290">
        <f t="shared" si="95"/>
        <v>0</v>
      </c>
      <c r="B759" s="49"/>
      <c r="C759" s="49"/>
      <c r="D759" s="140" t="s">
        <v>837</v>
      </c>
      <c r="E759" s="49" t="str">
        <f>VLOOKUP(D759,'03. Insumos'!A:D,2,0)</f>
        <v>Mão de obra - Execução de pintura esmalte sobre esquadrias de madeira</v>
      </c>
      <c r="F759" s="68"/>
      <c r="G759" s="68" t="str">
        <f>VLOOKUP(D759,'03. Insumos'!A:F,3,0)</f>
        <v>Unid</v>
      </c>
      <c r="H759" s="69">
        <v>1</v>
      </c>
      <c r="I759" s="141"/>
      <c r="J759" s="70">
        <f>IFERROR(IF(K759&lt;&gt;0,K759*$K$5,0),0)</f>
        <v>53</v>
      </c>
      <c r="K759" s="54">
        <f>IF(A759=0,VLOOKUP(D759,'03. Insumos'!A:F,4,0),"")</f>
        <v>53</v>
      </c>
      <c r="L759" s="70">
        <f>H759*J759*I759</f>
        <v>0</v>
      </c>
      <c r="M759" s="153">
        <f t="shared" ca="1" si="94"/>
        <v>0</v>
      </c>
      <c r="O759" s="148"/>
      <c r="R759" s="12"/>
    </row>
    <row r="760" spans="1:18" s="51" customFormat="1" ht="13.5" hidden="1" customHeight="1" outlineLevel="1" x14ac:dyDescent="0.3">
      <c r="A760" s="290">
        <f t="shared" si="95"/>
        <v>0</v>
      </c>
      <c r="B760" s="49"/>
      <c r="C760" s="49"/>
      <c r="D760" s="140" t="s">
        <v>845</v>
      </c>
      <c r="E760" s="49" t="str">
        <f>VLOOKUP(D760,'03. Insumos'!A:D,2,0)</f>
        <v>Esmalte sintético Suvinil</v>
      </c>
      <c r="F760" s="68"/>
      <c r="G760" s="68" t="str">
        <f>VLOOKUP(D760,'03. Insumos'!A:F,3,0)</f>
        <v>Galão 3,6 L</v>
      </c>
      <c r="H760" s="69">
        <v>1</v>
      </c>
      <c r="I760" s="141"/>
      <c r="J760" s="70">
        <f>IFERROR(IF(K760&lt;&gt;0,K760*$K$5,0),0)</f>
        <v>160.9</v>
      </c>
      <c r="K760" s="54">
        <f>IF(A760=0,VLOOKUP(D760,'03. Insumos'!A:F,4,0),"")</f>
        <v>160.9</v>
      </c>
      <c r="L760" s="70">
        <f>H760*J760*I760</f>
        <v>0</v>
      </c>
      <c r="M760" s="153">
        <f t="shared" ca="1" si="94"/>
        <v>0</v>
      </c>
      <c r="O760" s="148"/>
      <c r="R760" s="12"/>
    </row>
    <row r="761" spans="1:18" s="51" customFormat="1" ht="13.5" hidden="1" customHeight="1" outlineLevel="1" x14ac:dyDescent="0.3">
      <c r="A761" s="290">
        <f t="shared" si="95"/>
        <v>0</v>
      </c>
      <c r="B761" s="49"/>
      <c r="C761" s="49"/>
      <c r="D761" s="140" t="s">
        <v>846</v>
      </c>
      <c r="E761" s="49" t="str">
        <f>VLOOKUP(D761,'03. Insumos'!A:D,2,0)</f>
        <v>Massa corrida para madeira Coral</v>
      </c>
      <c r="F761" s="68"/>
      <c r="G761" s="68" t="str">
        <f>VLOOKUP(D761,'03. Insumos'!A:F,3,0)</f>
        <v>Galão 1,5 Kg</v>
      </c>
      <c r="H761" s="69">
        <v>1</v>
      </c>
      <c r="I761" s="141"/>
      <c r="J761" s="70">
        <f>IFERROR(IF(K761&lt;&gt;0,K761*$K$5,0),0)</f>
        <v>24.99</v>
      </c>
      <c r="K761" s="54">
        <f>IF(A761=0,VLOOKUP(D761,'03. Insumos'!A:F,4,0),"")</f>
        <v>24.99</v>
      </c>
      <c r="L761" s="70">
        <f>H761*J761*I761</f>
        <v>0</v>
      </c>
      <c r="M761" s="153">
        <f t="shared" ca="1" si="94"/>
        <v>0</v>
      </c>
      <c r="O761" s="148"/>
      <c r="R761" s="12"/>
    </row>
    <row r="762" spans="1:18" s="18" customFormat="1" ht="13.5" customHeight="1" x14ac:dyDescent="0.3">
      <c r="A762" s="290">
        <f t="shared" si="95"/>
        <v>3</v>
      </c>
      <c r="B762" s="35"/>
      <c r="C762" s="35" t="s">
        <v>350</v>
      </c>
      <c r="D762" s="35" t="s">
        <v>83</v>
      </c>
      <c r="E762" s="35"/>
      <c r="F762" s="323"/>
      <c r="G762" s="323"/>
      <c r="H762" s="324"/>
      <c r="I762" s="37"/>
      <c r="J762" s="333"/>
      <c r="K762" s="38"/>
      <c r="L762" s="333">
        <f>SUMIF(A763:A863,4,L763:L863)</f>
        <v>68231.31</v>
      </c>
      <c r="M762" s="153">
        <f t="shared" ca="1" si="94"/>
        <v>1.1782674214350398E-3</v>
      </c>
      <c r="O762" s="148">
        <f t="shared" ref="O762:O773" si="96">IF(I762&lt;&gt;0,I762*H762*K762,)</f>
        <v>0</v>
      </c>
      <c r="R762" s="12">
        <f t="shared" ref="R762:R768" si="97">IF(J762&lt;&gt;0,J762/1.03-K762,0)</f>
        <v>0</v>
      </c>
    </row>
    <row r="763" spans="1:18" s="18" customFormat="1" ht="13.5" customHeight="1" outlineLevel="1" x14ac:dyDescent="0.3">
      <c r="A763" s="290">
        <f t="shared" si="95"/>
        <v>4</v>
      </c>
      <c r="B763" s="45"/>
      <c r="C763" s="45" t="s">
        <v>373</v>
      </c>
      <c r="D763" s="45" t="s">
        <v>83</v>
      </c>
      <c r="E763" s="45"/>
      <c r="F763" s="327"/>
      <c r="G763" s="327"/>
      <c r="H763" s="328"/>
      <c r="I763" s="61"/>
      <c r="J763" s="335"/>
      <c r="K763" s="62" t="str">
        <f>IF(A763=0,VLOOKUP(D763,'03. Insumos'!A:F,4,0),"")</f>
        <v/>
      </c>
      <c r="L763" s="335">
        <f>SUMIF(A764:A863,6,L764:L863)</f>
        <v>68231.31</v>
      </c>
      <c r="M763" s="153">
        <f t="shared" ca="1" si="94"/>
        <v>1.1782674214350398E-3</v>
      </c>
      <c r="O763" s="148">
        <f t="shared" si="96"/>
        <v>0</v>
      </c>
      <c r="R763" s="12">
        <f t="shared" si="97"/>
        <v>0</v>
      </c>
    </row>
    <row r="764" spans="1:18" s="59" customFormat="1" ht="13.5" customHeight="1" outlineLevel="1" x14ac:dyDescent="0.3">
      <c r="A764" s="290">
        <f t="shared" si="95"/>
        <v>6</v>
      </c>
      <c r="B764" s="55"/>
      <c r="C764" s="55" t="s">
        <v>374</v>
      </c>
      <c r="D764" s="55" t="s">
        <v>83</v>
      </c>
      <c r="E764" s="55"/>
      <c r="F764" s="56"/>
      <c r="G764" s="56"/>
      <c r="H764" s="57"/>
      <c r="I764" s="57"/>
      <c r="J764" s="58"/>
      <c r="K764" s="58" t="str">
        <f>IF(A764=0,VLOOKUP(D764,'03. Insumos'!A:F,4,0),"")</f>
        <v/>
      </c>
      <c r="L764" s="58">
        <f>SUM(L765:L825)</f>
        <v>64792.30999999999</v>
      </c>
      <c r="M764" s="153">
        <f t="shared" ca="1" si="94"/>
        <v>1.1188802916508526E-3</v>
      </c>
      <c r="O764" s="148">
        <f t="shared" si="96"/>
        <v>0</v>
      </c>
      <c r="R764" s="12">
        <f t="shared" si="97"/>
        <v>0</v>
      </c>
    </row>
    <row r="765" spans="1:18" s="51" customFormat="1" ht="13.5" customHeight="1" outlineLevel="1" x14ac:dyDescent="0.3">
      <c r="A765" s="290">
        <f t="shared" si="95"/>
        <v>0</v>
      </c>
      <c r="B765" s="49"/>
      <c r="C765" s="49"/>
      <c r="D765" s="140" t="s">
        <v>2669</v>
      </c>
      <c r="E765" s="67" t="str">
        <f>VLOOKUP(D765,'03. Insumos'!A:D,2,0)</f>
        <v>Louças e Metais - Continuação -  Ralos Lineares Ocultos, Monocomando, Mekal, entre outros</v>
      </c>
      <c r="F765" s="68" t="s">
        <v>2613</v>
      </c>
      <c r="G765" s="68" t="str">
        <f>VLOOKUP(D765,'03. Insumos'!A:F,3,0)</f>
        <v>vb</v>
      </c>
      <c r="H765" s="69">
        <v>1</v>
      </c>
      <c r="I765" s="141">
        <v>4</v>
      </c>
      <c r="J765" s="70">
        <f t="shared" ref="J765:J825" si="98">IFERROR(IF(K765&lt;&gt;0,K765*$K$5,0),0)</f>
        <v>0</v>
      </c>
      <c r="K765" s="54">
        <f>IF(A765=0,VLOOKUP(D765,'03. Insumos'!A:F,4,0),"")</f>
        <v>0</v>
      </c>
      <c r="L765" s="70">
        <f t="shared" ref="L765:L825" si="99">H765*J765*I765</f>
        <v>0</v>
      </c>
      <c r="M765" s="153">
        <f t="shared" ca="1" si="94"/>
        <v>0</v>
      </c>
      <c r="O765" s="148">
        <f t="shared" si="96"/>
        <v>0</v>
      </c>
      <c r="R765" s="12">
        <f t="shared" si="97"/>
        <v>0</v>
      </c>
    </row>
    <row r="766" spans="1:18" s="51" customFormat="1" ht="13.5" customHeight="1" outlineLevel="1" x14ac:dyDescent="0.3">
      <c r="A766" s="290">
        <f t="shared" si="95"/>
        <v>0</v>
      </c>
      <c r="B766" s="49"/>
      <c r="C766" s="49"/>
      <c r="D766" s="140" t="s">
        <v>2670</v>
      </c>
      <c r="E766" s="67" t="str">
        <f>VLOOKUP(D766,'03. Insumos'!A:D,2,0)</f>
        <v>Cuba Inox de Semiencaixe simples com grelha/escorredor KOHLER Vault 3943BR-NA</v>
      </c>
      <c r="F766" s="68" t="s">
        <v>2613</v>
      </c>
      <c r="G766" s="68" t="str">
        <f>VLOOKUP(D766,'03. Insumos'!A:F,3,0)</f>
        <v>unid</v>
      </c>
      <c r="H766" s="69">
        <v>1</v>
      </c>
      <c r="I766" s="141">
        <v>6</v>
      </c>
      <c r="J766" s="70">
        <f t="shared" si="98"/>
        <v>9125.2099999999991</v>
      </c>
      <c r="K766" s="54">
        <f>IF(A766=0,VLOOKUP(D766,'03. Insumos'!A:F,4,0),"")</f>
        <v>9125.2099999999991</v>
      </c>
      <c r="L766" s="70">
        <f t="shared" si="99"/>
        <v>54751.259999999995</v>
      </c>
      <c r="M766" s="153">
        <f t="shared" ca="1" si="94"/>
        <v>9.4548420571903774E-4</v>
      </c>
      <c r="O766" s="148">
        <f t="shared" si="96"/>
        <v>54751.259999999995</v>
      </c>
      <c r="R766" s="12">
        <f t="shared" si="97"/>
        <v>-265.78281553398119</v>
      </c>
    </row>
    <row r="767" spans="1:18" s="51" customFormat="1" ht="13.5" customHeight="1" outlineLevel="1" x14ac:dyDescent="0.3">
      <c r="A767" s="290">
        <f t="shared" si="95"/>
        <v>0</v>
      </c>
      <c r="B767" s="49"/>
      <c r="C767" s="49"/>
      <c r="D767" s="140" t="s">
        <v>2671</v>
      </c>
      <c r="E767" s="67" t="str">
        <f>VLOOKUP(D767,'03. Insumos'!A:D,2,0)</f>
        <v>Louças e Metais -</v>
      </c>
      <c r="F767" s="68" t="s">
        <v>2613</v>
      </c>
      <c r="G767" s="68" t="str">
        <f>VLOOKUP(D767,'03. Insumos'!A:F,3,0)</f>
        <v>unid</v>
      </c>
      <c r="H767" s="69">
        <v>1</v>
      </c>
      <c r="I767" s="141">
        <v>4</v>
      </c>
      <c r="J767" s="70">
        <f t="shared" si="98"/>
        <v>0</v>
      </c>
      <c r="K767" s="54">
        <f>IF(A767=0,VLOOKUP(D767,'03. Insumos'!A:F,4,0),"")</f>
        <v>0</v>
      </c>
      <c r="L767" s="70">
        <f t="shared" si="99"/>
        <v>0</v>
      </c>
      <c r="M767" s="153">
        <f t="shared" ca="1" si="94"/>
        <v>0</v>
      </c>
      <c r="O767" s="148">
        <f t="shared" si="96"/>
        <v>0</v>
      </c>
      <c r="R767" s="12">
        <f t="shared" si="97"/>
        <v>0</v>
      </c>
    </row>
    <row r="768" spans="1:18" s="51" customFormat="1" ht="13.5" customHeight="1" outlineLevel="1" x14ac:dyDescent="0.3">
      <c r="A768" s="290">
        <f t="shared" si="95"/>
        <v>0</v>
      </c>
      <c r="B768" s="49"/>
      <c r="C768" s="49"/>
      <c r="D768" s="140" t="s">
        <v>2672</v>
      </c>
      <c r="E768" s="67" t="str">
        <f>VLOOKUP(D768,'03. Insumos'!A:D,2,0)</f>
        <v>Cuba Mekal Linha CT 60 ESC</v>
      </c>
      <c r="F768" s="68" t="s">
        <v>2613</v>
      </c>
      <c r="G768" s="68" t="str">
        <f>VLOOKUP(D768,'03. Insumos'!A:F,3,0)</f>
        <v>unid</v>
      </c>
      <c r="H768" s="69">
        <v>1</v>
      </c>
      <c r="I768" s="141">
        <v>2</v>
      </c>
      <c r="J768" s="70">
        <f t="shared" si="98"/>
        <v>411.01</v>
      </c>
      <c r="K768" s="54">
        <f>IF(A768=0,VLOOKUP(D768,'03. Insumos'!A:F,4,0),"")</f>
        <v>411.01</v>
      </c>
      <c r="L768" s="70">
        <f t="shared" si="99"/>
        <v>822.02</v>
      </c>
      <c r="M768" s="153">
        <f t="shared" ca="1" si="94"/>
        <v>1.4195233621749772E-5</v>
      </c>
      <c r="O768" s="148">
        <f t="shared" si="96"/>
        <v>822.02</v>
      </c>
      <c r="R768" s="12">
        <f t="shared" si="97"/>
        <v>-11.971165048543696</v>
      </c>
    </row>
    <row r="769" spans="1:18" s="51" customFormat="1" ht="13.5" customHeight="1" outlineLevel="1" x14ac:dyDescent="0.3">
      <c r="A769" s="290">
        <f t="shared" si="95"/>
        <v>0</v>
      </c>
      <c r="B769" s="49"/>
      <c r="C769" s="49"/>
      <c r="D769" s="140" t="s">
        <v>2673</v>
      </c>
      <c r="E769" s="67" t="str">
        <f>VLOOKUP(D769,'03. Insumos'!A:D,2,0)</f>
        <v>Lavatório Ref: 58004 e Coluna Ref: 58201 Linha Clássica CELITE + Coluna</v>
      </c>
      <c r="F769" s="68" t="s">
        <v>2613</v>
      </c>
      <c r="G769" s="68" t="str">
        <f>VLOOKUP(D769,'03. Insumos'!A:F,3,0)</f>
        <v>unid</v>
      </c>
      <c r="H769" s="69">
        <v>1</v>
      </c>
      <c r="I769" s="141">
        <v>6</v>
      </c>
      <c r="J769" s="70">
        <f t="shared" si="98"/>
        <v>681.71</v>
      </c>
      <c r="K769" s="54">
        <f>IF(A769=0,VLOOKUP(D769,'03. Insumos'!A:F,4,0),"")</f>
        <v>681.71</v>
      </c>
      <c r="L769" s="70">
        <f t="shared" si="99"/>
        <v>4090.26</v>
      </c>
      <c r="M769" s="153">
        <f t="shared" ca="1" si="94"/>
        <v>7.0633556694117209E-5</v>
      </c>
      <c r="O769" s="148">
        <f t="shared" si="96"/>
        <v>4090.26</v>
      </c>
      <c r="R769" s="12"/>
    </row>
    <row r="770" spans="1:18" s="51" customFormat="1" ht="13.5" customHeight="1" outlineLevel="1" x14ac:dyDescent="0.3">
      <c r="A770" s="290">
        <f t="shared" si="95"/>
        <v>0</v>
      </c>
      <c r="B770" s="49"/>
      <c r="C770" s="49"/>
      <c r="D770" s="140" t="s">
        <v>2674</v>
      </c>
      <c r="E770" s="67" t="str">
        <f>VLOOKUP(D770,'03. Insumos'!A:D,2,0)</f>
        <v>Misturador de mesa bica alta para lavatório Izy Deca, 1877.C37;</v>
      </c>
      <c r="F770" s="68" t="s">
        <v>2613</v>
      </c>
      <c r="G770" s="68" t="str">
        <f>VLOOKUP(D770,'03. Insumos'!A:F,3,0)</f>
        <v>unid</v>
      </c>
      <c r="H770" s="69">
        <v>1</v>
      </c>
      <c r="I770" s="141">
        <v>2</v>
      </c>
      <c r="J770" s="70">
        <f t="shared" si="98"/>
        <v>0</v>
      </c>
      <c r="K770" s="54">
        <f>IF(A770=0,VLOOKUP(D770,'03. Insumos'!A:F,4,0),"")</f>
        <v>0</v>
      </c>
      <c r="L770" s="70">
        <f t="shared" si="99"/>
        <v>0</v>
      </c>
      <c r="M770" s="153">
        <f t="shared" ca="1" si="94"/>
        <v>0</v>
      </c>
      <c r="O770" s="148">
        <f t="shared" si="96"/>
        <v>0</v>
      </c>
      <c r="R770" s="12"/>
    </row>
    <row r="771" spans="1:18" s="51" customFormat="1" ht="13.5" customHeight="1" outlineLevel="1" x14ac:dyDescent="0.3">
      <c r="A771" s="290">
        <f t="shared" si="95"/>
        <v>0</v>
      </c>
      <c r="B771" s="49"/>
      <c r="C771" s="49"/>
      <c r="D771" s="140" t="s">
        <v>2675</v>
      </c>
      <c r="E771" s="67" t="str">
        <f>VLOOKUP(D771,'03. Insumos'!A:D,2,0)</f>
        <v>Bacia convencional Vogue Plus Deca, P.5.17;</v>
      </c>
      <c r="F771" s="68" t="s">
        <v>2613</v>
      </c>
      <c r="G771" s="68" t="str">
        <f>VLOOKUP(D771,'03. Insumos'!A:F,3,0)</f>
        <v>unid</v>
      </c>
      <c r="H771" s="69">
        <v>1</v>
      </c>
      <c r="I771" s="141">
        <v>1</v>
      </c>
      <c r="J771" s="70">
        <f t="shared" si="98"/>
        <v>0</v>
      </c>
      <c r="K771" s="54">
        <f>IF(A771=0,VLOOKUP(D771,'03. Insumos'!A:F,4,0),"")</f>
        <v>0</v>
      </c>
      <c r="L771" s="70">
        <f t="shared" si="99"/>
        <v>0</v>
      </c>
      <c r="M771" s="153">
        <f t="shared" ca="1" si="94"/>
        <v>0</v>
      </c>
      <c r="O771" s="148">
        <f t="shared" si="96"/>
        <v>0</v>
      </c>
      <c r="R771" s="12"/>
    </row>
    <row r="772" spans="1:18" s="51" customFormat="1" ht="13.5" customHeight="1" outlineLevel="1" x14ac:dyDescent="0.3">
      <c r="A772" s="290">
        <f t="shared" si="95"/>
        <v>0</v>
      </c>
      <c r="B772" s="49"/>
      <c r="C772" s="49"/>
      <c r="D772" s="140" t="s">
        <v>2676</v>
      </c>
      <c r="E772" s="67" t="str">
        <f>VLOOKUP(D772,'03. Insumos'!A:D,2,0)</f>
        <v>Ducha higiênica com registro e derivação Izy Deca, 1984.C37.ACT.CR;</v>
      </c>
      <c r="F772" s="68" t="s">
        <v>2613</v>
      </c>
      <c r="G772" s="68" t="str">
        <f>VLOOKUP(D772,'03. Insumos'!A:F,3,0)</f>
        <v>unid</v>
      </c>
      <c r="H772" s="69">
        <v>1</v>
      </c>
      <c r="I772" s="141">
        <v>1</v>
      </c>
      <c r="J772" s="70">
        <f t="shared" si="98"/>
        <v>0</v>
      </c>
      <c r="K772" s="54">
        <f>IF(A772=0,VLOOKUP(D772,'03. Insumos'!A:F,4,0),"")</f>
        <v>0</v>
      </c>
      <c r="L772" s="70">
        <f t="shared" si="99"/>
        <v>0</v>
      </c>
      <c r="M772" s="153">
        <f t="shared" ca="1" si="94"/>
        <v>0</v>
      </c>
      <c r="O772" s="148">
        <f t="shared" si="96"/>
        <v>0</v>
      </c>
      <c r="R772" s="12"/>
    </row>
    <row r="773" spans="1:18" s="51" customFormat="1" ht="13.5" customHeight="1" outlineLevel="1" x14ac:dyDescent="0.3">
      <c r="A773" s="290">
        <f t="shared" si="95"/>
        <v>0</v>
      </c>
      <c r="B773" s="49"/>
      <c r="C773" s="49"/>
      <c r="D773" s="140" t="s">
        <v>2677</v>
      </c>
      <c r="E773" s="67" t="str">
        <f>VLOOKUP(D773,'03. Insumos'!A:D,2,0)</f>
        <v>Hydra Clean Deca, 4900.C.CLN;</v>
      </c>
      <c r="F773" s="68" t="s">
        <v>2613</v>
      </c>
      <c r="G773" s="68" t="str">
        <f>VLOOKUP(D773,'03. Insumos'!A:F,3,0)</f>
        <v>unid</v>
      </c>
      <c r="H773" s="69">
        <v>1</v>
      </c>
      <c r="I773" s="141">
        <v>3</v>
      </c>
      <c r="J773" s="70">
        <f t="shared" si="98"/>
        <v>0</v>
      </c>
      <c r="K773" s="54">
        <f>IF(A773=0,VLOOKUP(D773,'03. Insumos'!A:F,4,0),"")</f>
        <v>0</v>
      </c>
      <c r="L773" s="70">
        <f t="shared" si="99"/>
        <v>0</v>
      </c>
      <c r="M773" s="153">
        <f t="shared" ca="1" si="94"/>
        <v>0</v>
      </c>
      <c r="O773" s="148">
        <f t="shared" si="96"/>
        <v>0</v>
      </c>
      <c r="R773" s="12">
        <f>IF(J773&lt;&gt;0,J773/1.03-K773,0)</f>
        <v>0</v>
      </c>
    </row>
    <row r="774" spans="1:18" s="51" customFormat="1" ht="13.5" customHeight="1" outlineLevel="1" x14ac:dyDescent="0.3">
      <c r="A774" s="290">
        <f t="shared" si="95"/>
        <v>0</v>
      </c>
      <c r="B774" s="49"/>
      <c r="C774" s="49"/>
      <c r="D774" s="140" t="s">
        <v>2678</v>
      </c>
      <c r="E774" s="67" t="str">
        <f>VLOOKUP(D774,'03. Insumos'!A:D,2,0)</f>
        <v>Chuveiro com tubo de parede Acqua Plus Deca, 1990.C.STD</v>
      </c>
      <c r="F774" s="68" t="s">
        <v>2613</v>
      </c>
      <c r="G774" s="68" t="str">
        <f>VLOOKUP(D774,'03. Insumos'!A:F,3,0)</f>
        <v>unid</v>
      </c>
      <c r="H774" s="69">
        <v>1</v>
      </c>
      <c r="I774" s="141">
        <v>1</v>
      </c>
      <c r="J774" s="70">
        <f t="shared" si="98"/>
        <v>0</v>
      </c>
      <c r="K774" s="54">
        <f>IF(A774=0,VLOOKUP(D774,'03. Insumos'!A:F,4,0),"")</f>
        <v>0</v>
      </c>
      <c r="L774" s="70">
        <f t="shared" si="99"/>
        <v>0</v>
      </c>
      <c r="M774" s="153">
        <f t="shared" ca="1" si="94"/>
        <v>0</v>
      </c>
      <c r="O774" s="148"/>
      <c r="R774" s="12"/>
    </row>
    <row r="775" spans="1:18" s="51" customFormat="1" ht="13.5" customHeight="1" outlineLevel="1" x14ac:dyDescent="0.3">
      <c r="A775" s="290">
        <f t="shared" si="95"/>
        <v>0</v>
      </c>
      <c r="B775" s="49"/>
      <c r="C775" s="49"/>
      <c r="D775" s="140" t="s">
        <v>2679</v>
      </c>
      <c r="E775" s="67" t="str">
        <f>VLOOKUP(D775,'03. Insumos'!A:D,2,0)</f>
        <v>Cuba de embutir L129, Deca;</v>
      </c>
      <c r="F775" s="68" t="s">
        <v>2613</v>
      </c>
      <c r="G775" s="68" t="str">
        <f>VLOOKUP(D775,'03. Insumos'!A:F,3,0)</f>
        <v>unid</v>
      </c>
      <c r="H775" s="69">
        <v>1</v>
      </c>
      <c r="I775" s="141">
        <v>1</v>
      </c>
      <c r="J775" s="70">
        <f t="shared" si="98"/>
        <v>0</v>
      </c>
      <c r="K775" s="54">
        <f>IF(A775=0,VLOOKUP(D775,'03. Insumos'!A:F,4,0),"")</f>
        <v>0</v>
      </c>
      <c r="L775" s="70">
        <f t="shared" si="99"/>
        <v>0</v>
      </c>
      <c r="M775" s="153">
        <f t="shared" ca="1" si="94"/>
        <v>0</v>
      </c>
      <c r="O775" s="148"/>
      <c r="R775" s="12"/>
    </row>
    <row r="776" spans="1:18" s="51" customFormat="1" ht="13.5" customHeight="1" outlineLevel="1" x14ac:dyDescent="0.3">
      <c r="A776" s="290">
        <f t="shared" si="95"/>
        <v>0</v>
      </c>
      <c r="B776" s="49"/>
      <c r="C776" s="49"/>
      <c r="D776" s="140" t="s">
        <v>2680</v>
      </c>
      <c r="E776" s="67" t="str">
        <f>VLOOKUP(D776,'03. Insumos'!A:D,2,0)</f>
        <v>Misturador de mesa bica alta para lavatório Izy Plus Deca, 1877.C37</v>
      </c>
      <c r="F776" s="68" t="s">
        <v>2613</v>
      </c>
      <c r="G776" s="68" t="str">
        <f>VLOOKUP(D776,'03. Insumos'!A:F,3,0)</f>
        <v>unid</v>
      </c>
      <c r="H776" s="69">
        <v>1</v>
      </c>
      <c r="I776" s="141">
        <v>1</v>
      </c>
      <c r="J776" s="70">
        <f t="shared" si="98"/>
        <v>0</v>
      </c>
      <c r="K776" s="54">
        <f>IF(A776=0,VLOOKUP(D776,'03. Insumos'!A:F,4,0),"")</f>
        <v>0</v>
      </c>
      <c r="L776" s="70">
        <f t="shared" si="99"/>
        <v>0</v>
      </c>
      <c r="M776" s="153">
        <f t="shared" ca="1" si="94"/>
        <v>0</v>
      </c>
      <c r="O776" s="148">
        <f>IF(I776&lt;&gt;0,I776*H776*K776,)</f>
        <v>0</v>
      </c>
      <c r="R776" s="12">
        <f>IF(J776&lt;&gt;0,J776/1.03-K776,0)</f>
        <v>0</v>
      </c>
    </row>
    <row r="777" spans="1:18" s="51" customFormat="1" ht="13.5" customHeight="1" outlineLevel="1" x14ac:dyDescent="0.3">
      <c r="A777" s="290">
        <f t="shared" si="95"/>
        <v>0</v>
      </c>
      <c r="B777" s="49"/>
      <c r="C777" s="49"/>
      <c r="D777" s="140" t="s">
        <v>2681</v>
      </c>
      <c r="E777" s="67" t="str">
        <f>VLOOKUP(D777,'03. Insumos'!A:D,2,0)</f>
        <v>Barra deslizante moderna 1981.c com ducha manual aspen 4867.c</v>
      </c>
      <c r="F777" s="68" t="s">
        <v>2613</v>
      </c>
      <c r="G777" s="68" t="str">
        <f>VLOOKUP(D777,'03. Insumos'!A:F,3,0)</f>
        <v>unid</v>
      </c>
      <c r="H777" s="69">
        <v>1</v>
      </c>
      <c r="I777" s="141">
        <v>1</v>
      </c>
      <c r="J777" s="70">
        <f t="shared" si="98"/>
        <v>0</v>
      </c>
      <c r="K777" s="54">
        <f>IF(A777=0,VLOOKUP(D777,'03. Insumos'!A:F,4,0),"")</f>
        <v>0</v>
      </c>
      <c r="L777" s="70">
        <f t="shared" si="99"/>
        <v>0</v>
      </c>
      <c r="M777" s="153">
        <f t="shared" ca="1" si="94"/>
        <v>0</v>
      </c>
      <c r="O777" s="148">
        <f>IF(I777&lt;&gt;0,I777*H777*K777,)</f>
        <v>0</v>
      </c>
      <c r="R777" s="12">
        <f>IF(J777&lt;&gt;0,J777/1.03-K777,0)</f>
        <v>0</v>
      </c>
    </row>
    <row r="778" spans="1:18" s="51" customFormat="1" ht="13.5" customHeight="1" outlineLevel="1" x14ac:dyDescent="0.3">
      <c r="A778" s="290">
        <f t="shared" si="95"/>
        <v>0</v>
      </c>
      <c r="B778" s="49"/>
      <c r="C778" s="49"/>
      <c r="D778" s="140" t="s">
        <v>2682</v>
      </c>
      <c r="E778" s="67" t="str">
        <f>VLOOKUP(D778,'03. Insumos'!A:D,2,0)</f>
        <v>Bacia Carrara P60, Deca</v>
      </c>
      <c r="F778" s="68" t="s">
        <v>2613</v>
      </c>
      <c r="G778" s="68" t="str">
        <f>VLOOKUP(D778,'03. Insumos'!A:F,3,0)</f>
        <v>unid</v>
      </c>
      <c r="H778" s="69">
        <v>1</v>
      </c>
      <c r="I778" s="141">
        <v>2</v>
      </c>
      <c r="J778" s="70">
        <f t="shared" si="98"/>
        <v>0</v>
      </c>
      <c r="K778" s="54">
        <f>IF(A778=0,VLOOKUP(D778,'03. Insumos'!A:F,4,0),"")</f>
        <v>0</v>
      </c>
      <c r="L778" s="70">
        <f t="shared" si="99"/>
        <v>0</v>
      </c>
      <c r="M778" s="153">
        <f t="shared" ca="1" si="94"/>
        <v>0</v>
      </c>
      <c r="O778" s="148">
        <f>IF(I778&lt;&gt;0,I778*H778*K778,)</f>
        <v>0</v>
      </c>
      <c r="R778" s="12">
        <f>IF(J778&lt;&gt;0,J778/1.03-K778,0)</f>
        <v>0</v>
      </c>
    </row>
    <row r="779" spans="1:18" s="51" customFormat="1" ht="13.5" customHeight="1" outlineLevel="1" x14ac:dyDescent="0.3">
      <c r="A779" s="290">
        <f t="shared" si="95"/>
        <v>0</v>
      </c>
      <c r="B779" s="49"/>
      <c r="C779" s="49"/>
      <c r="D779" s="140" t="s">
        <v>2683</v>
      </c>
      <c r="E779" s="67" t="str">
        <f>VLOOKUP(D779,'03. Insumos'!A:D,2,0)</f>
        <v>Ducha higiênica com registro e derivação Izy Plus Deca, 1984.C37.ACT.CR</v>
      </c>
      <c r="F779" s="68" t="s">
        <v>2613</v>
      </c>
      <c r="G779" s="68" t="str">
        <f>VLOOKUP(D779,'03. Insumos'!A:F,3,0)</f>
        <v>unid</v>
      </c>
      <c r="H779" s="69">
        <v>1</v>
      </c>
      <c r="I779" s="141">
        <v>1</v>
      </c>
      <c r="J779" s="70">
        <f t="shared" si="98"/>
        <v>0</v>
      </c>
      <c r="K779" s="54">
        <f>IF(A779=0,VLOOKUP(D779,'03. Insumos'!A:F,4,0),"")</f>
        <v>0</v>
      </c>
      <c r="L779" s="70">
        <f t="shared" si="99"/>
        <v>0</v>
      </c>
      <c r="M779" s="153">
        <f t="shared" ca="1" si="94"/>
        <v>0</v>
      </c>
      <c r="O779" s="148">
        <f t="shared" ref="O779:O822" si="100">IF(I779&lt;&gt;0,I779*H779*K779,)</f>
        <v>0</v>
      </c>
      <c r="R779" s="12">
        <f t="shared" ref="R779:R819" si="101">IF(J779&lt;&gt;0,J779/1.03-K779,0)</f>
        <v>0</v>
      </c>
    </row>
    <row r="780" spans="1:18" s="51" customFormat="1" ht="13.5" customHeight="1" outlineLevel="1" x14ac:dyDescent="0.3">
      <c r="A780" s="290">
        <f t="shared" si="95"/>
        <v>0</v>
      </c>
      <c r="B780" s="49"/>
      <c r="C780" s="49"/>
      <c r="D780" s="140" t="s">
        <v>2684</v>
      </c>
      <c r="E780" s="67" t="str">
        <f>VLOOKUP(D780,'03. Insumos'!A:D,2,0)</f>
        <v>Válvula SLIM 2553.C.112 DECA</v>
      </c>
      <c r="F780" s="68" t="s">
        <v>2613</v>
      </c>
      <c r="G780" s="68" t="str">
        <f>VLOOKUP(D780,'03. Insumos'!A:F,3,0)</f>
        <v>unid</v>
      </c>
      <c r="H780" s="69">
        <v>1</v>
      </c>
      <c r="I780" s="141">
        <v>2</v>
      </c>
      <c r="J780" s="70">
        <f t="shared" si="98"/>
        <v>0</v>
      </c>
      <c r="K780" s="54">
        <f>IF(A780=0,VLOOKUP(D780,'03. Insumos'!A:F,4,0),"")</f>
        <v>0</v>
      </c>
      <c r="L780" s="70">
        <f t="shared" si="99"/>
        <v>0</v>
      </c>
      <c r="M780" s="153">
        <f t="shared" ca="1" si="94"/>
        <v>0</v>
      </c>
      <c r="O780" s="148">
        <f t="shared" si="100"/>
        <v>0</v>
      </c>
      <c r="R780" s="12">
        <f t="shared" si="101"/>
        <v>0</v>
      </c>
    </row>
    <row r="781" spans="1:18" s="51" customFormat="1" ht="13.5" customHeight="1" outlineLevel="1" x14ac:dyDescent="0.3">
      <c r="A781" s="290">
        <f t="shared" si="95"/>
        <v>0</v>
      </c>
      <c r="B781" s="49"/>
      <c r="C781" s="49"/>
      <c r="D781" s="140" t="s">
        <v>2685</v>
      </c>
      <c r="E781" s="67" t="str">
        <f>VLOOKUP(D781,'03. Insumos'!A:D,2,0)</f>
        <v>Cuba de embutir L375, Deca;</v>
      </c>
      <c r="F781" s="68" t="s">
        <v>2613</v>
      </c>
      <c r="G781" s="68" t="str">
        <f>VLOOKUP(D781,'03. Insumos'!A:F,3,0)</f>
        <v>unid</v>
      </c>
      <c r="H781" s="69">
        <v>1</v>
      </c>
      <c r="I781" s="141">
        <v>2</v>
      </c>
      <c r="J781" s="70">
        <f t="shared" si="98"/>
        <v>0</v>
      </c>
      <c r="K781" s="54">
        <f>IF(A781=0,VLOOKUP(D781,'03. Insumos'!A:F,4,0),"")</f>
        <v>0</v>
      </c>
      <c r="L781" s="70">
        <f t="shared" si="99"/>
        <v>0</v>
      </c>
      <c r="M781" s="153">
        <f t="shared" ca="1" si="94"/>
        <v>0</v>
      </c>
      <c r="O781" s="148">
        <f t="shared" si="100"/>
        <v>0</v>
      </c>
      <c r="R781" s="12">
        <f t="shared" si="101"/>
        <v>0</v>
      </c>
    </row>
    <row r="782" spans="1:18" s="51" customFormat="1" ht="13.5" customHeight="1" outlineLevel="1" x14ac:dyDescent="0.3">
      <c r="A782" s="290">
        <f t="shared" si="95"/>
        <v>0</v>
      </c>
      <c r="B782" s="49"/>
      <c r="C782" s="49"/>
      <c r="D782" s="140" t="s">
        <v>2686</v>
      </c>
      <c r="E782" s="67" t="str">
        <f>VLOOKUP(D782,'03. Insumos'!A:D,2,0)</f>
        <v>Misturador de parede para lavatório Izy Plus Deca, 1878.C37</v>
      </c>
      <c r="F782" s="68" t="s">
        <v>2613</v>
      </c>
      <c r="G782" s="68" t="str">
        <f>VLOOKUP(D782,'03. Insumos'!A:F,3,0)</f>
        <v>unid</v>
      </c>
      <c r="H782" s="69">
        <v>1</v>
      </c>
      <c r="I782" s="141">
        <v>1</v>
      </c>
      <c r="J782" s="70">
        <f t="shared" si="98"/>
        <v>0</v>
      </c>
      <c r="K782" s="54">
        <f>IF(A782=0,VLOOKUP(D782,'03. Insumos'!A:F,4,0),"")</f>
        <v>0</v>
      </c>
      <c r="L782" s="70">
        <f t="shared" si="99"/>
        <v>0</v>
      </c>
      <c r="M782" s="153">
        <f t="shared" ca="1" si="94"/>
        <v>0</v>
      </c>
      <c r="O782" s="148">
        <f t="shared" si="100"/>
        <v>0</v>
      </c>
      <c r="R782" s="12">
        <f t="shared" si="101"/>
        <v>0</v>
      </c>
    </row>
    <row r="783" spans="1:18" s="51" customFormat="1" ht="13.5" customHeight="1" outlineLevel="1" x14ac:dyDescent="0.3">
      <c r="A783" s="290">
        <f t="shared" si="95"/>
        <v>0</v>
      </c>
      <c r="B783" s="49"/>
      <c r="C783" s="49"/>
      <c r="D783" s="140" t="s">
        <v>2687</v>
      </c>
      <c r="E783" s="67" t="str">
        <f>VLOOKUP(D783,'03. Insumos'!A:D,2,0)</f>
        <v>Barra deslizante moderna 1981.c com ducha manual aspen 4867.c</v>
      </c>
      <c r="F783" s="68" t="s">
        <v>2613</v>
      </c>
      <c r="G783" s="68" t="str">
        <f>VLOOKUP(D783,'03. Insumos'!A:F,3,0)</f>
        <v>unid</v>
      </c>
      <c r="H783" s="69">
        <v>1</v>
      </c>
      <c r="I783" s="141">
        <v>2</v>
      </c>
      <c r="J783" s="70">
        <f t="shared" si="98"/>
        <v>0</v>
      </c>
      <c r="K783" s="54">
        <f>IF(A783=0,VLOOKUP(D783,'03. Insumos'!A:F,4,0),"")</f>
        <v>0</v>
      </c>
      <c r="L783" s="70">
        <f t="shared" si="99"/>
        <v>0</v>
      </c>
      <c r="M783" s="153">
        <f t="shared" ca="1" si="94"/>
        <v>0</v>
      </c>
      <c r="O783" s="148">
        <f t="shared" si="100"/>
        <v>0</v>
      </c>
      <c r="R783" s="12">
        <f t="shared" si="101"/>
        <v>0</v>
      </c>
    </row>
    <row r="784" spans="1:18" s="51" customFormat="1" ht="13.5" customHeight="1" outlineLevel="1" x14ac:dyDescent="0.3">
      <c r="A784" s="290">
        <f t="shared" si="95"/>
        <v>0</v>
      </c>
      <c r="B784" s="49"/>
      <c r="C784" s="49"/>
      <c r="D784" s="140" t="s">
        <v>2688</v>
      </c>
      <c r="E784" s="67" t="str">
        <f>VLOOKUP(D784,'03. Insumos'!A:D,2,0)</f>
        <v>Bacia Carrara P60, Deca</v>
      </c>
      <c r="F784" s="68" t="s">
        <v>2613</v>
      </c>
      <c r="G784" s="68" t="str">
        <f>VLOOKUP(D784,'03. Insumos'!A:F,3,0)</f>
        <v>unid</v>
      </c>
      <c r="H784" s="69">
        <v>1</v>
      </c>
      <c r="I784" s="141">
        <v>1</v>
      </c>
      <c r="J784" s="70">
        <f t="shared" si="98"/>
        <v>0</v>
      </c>
      <c r="K784" s="54">
        <f>IF(A784=0,VLOOKUP(D784,'03. Insumos'!A:F,4,0),"")</f>
        <v>0</v>
      </c>
      <c r="L784" s="70">
        <f t="shared" si="99"/>
        <v>0</v>
      </c>
      <c r="M784" s="153">
        <f t="shared" ca="1" si="94"/>
        <v>0</v>
      </c>
      <c r="O784" s="148">
        <f t="shared" si="100"/>
        <v>0</v>
      </c>
      <c r="R784" s="12">
        <f t="shared" si="101"/>
        <v>0</v>
      </c>
    </row>
    <row r="785" spans="1:18" s="51" customFormat="1" ht="13.5" customHeight="1" outlineLevel="1" x14ac:dyDescent="0.3">
      <c r="A785" s="290">
        <f t="shared" si="95"/>
        <v>0</v>
      </c>
      <c r="B785" s="49"/>
      <c r="C785" s="49"/>
      <c r="D785" s="140" t="s">
        <v>2689</v>
      </c>
      <c r="E785" s="67" t="str">
        <f>VLOOKUP(D785,'03. Insumos'!A:D,2,0)</f>
        <v>Ducha higiênica com registro e derivação Izy Plus Deca, 1984.C37.ACT.CR</v>
      </c>
      <c r="F785" s="68" t="s">
        <v>2613</v>
      </c>
      <c r="G785" s="68" t="str">
        <f>VLOOKUP(D785,'03. Insumos'!A:F,3,0)</f>
        <v>unid</v>
      </c>
      <c r="H785" s="69">
        <v>1</v>
      </c>
      <c r="I785" s="141">
        <v>1</v>
      </c>
      <c r="J785" s="70">
        <f t="shared" si="98"/>
        <v>0</v>
      </c>
      <c r="K785" s="54">
        <f>IF(A785=0,VLOOKUP(D785,'03. Insumos'!A:F,4,0),"")</f>
        <v>0</v>
      </c>
      <c r="L785" s="70">
        <f t="shared" si="99"/>
        <v>0</v>
      </c>
      <c r="M785" s="153">
        <f t="shared" ca="1" si="94"/>
        <v>0</v>
      </c>
      <c r="O785" s="148">
        <f t="shared" si="100"/>
        <v>0</v>
      </c>
      <c r="R785" s="12">
        <f t="shared" si="101"/>
        <v>0</v>
      </c>
    </row>
    <row r="786" spans="1:18" s="51" customFormat="1" ht="13.5" customHeight="1" outlineLevel="1" x14ac:dyDescent="0.3">
      <c r="A786" s="290">
        <f t="shared" si="95"/>
        <v>0</v>
      </c>
      <c r="B786" s="49"/>
      <c r="C786" s="49"/>
      <c r="D786" s="140" t="s">
        <v>2690</v>
      </c>
      <c r="E786" s="67" t="str">
        <f>VLOOKUP(D786,'03. Insumos'!A:D,2,0)</f>
        <v>Válvula SLIM 2553.C.112 DECA</v>
      </c>
      <c r="F786" s="68" t="s">
        <v>2613</v>
      </c>
      <c r="G786" s="68" t="str">
        <f>VLOOKUP(D786,'03. Insumos'!A:F,3,0)</f>
        <v>unid</v>
      </c>
      <c r="H786" s="69">
        <v>1</v>
      </c>
      <c r="I786" s="141">
        <v>2</v>
      </c>
      <c r="J786" s="70">
        <f t="shared" si="98"/>
        <v>0</v>
      </c>
      <c r="K786" s="54">
        <f>IF(A786=0,VLOOKUP(D786,'03. Insumos'!A:F,4,0),"")</f>
        <v>0</v>
      </c>
      <c r="L786" s="70">
        <f t="shared" si="99"/>
        <v>0</v>
      </c>
      <c r="M786" s="153">
        <f t="shared" ca="1" si="94"/>
        <v>0</v>
      </c>
      <c r="O786" s="148">
        <f t="shared" si="100"/>
        <v>0</v>
      </c>
      <c r="R786" s="12">
        <f t="shared" si="101"/>
        <v>0</v>
      </c>
    </row>
    <row r="787" spans="1:18" s="51" customFormat="1" ht="13.5" customHeight="1" outlineLevel="1" x14ac:dyDescent="0.3">
      <c r="A787" s="290">
        <f t="shared" si="95"/>
        <v>0</v>
      </c>
      <c r="B787" s="49"/>
      <c r="C787" s="49"/>
      <c r="D787" s="140" t="s">
        <v>2691</v>
      </c>
      <c r="E787" s="67" t="str">
        <f>VLOOKUP(D787,'03. Insumos'!A:D,2,0)</f>
        <v>Cuba de embutir L375, Deca</v>
      </c>
      <c r="F787" s="68" t="s">
        <v>2613</v>
      </c>
      <c r="G787" s="68" t="str">
        <f>VLOOKUP(D787,'03. Insumos'!A:F,3,0)</f>
        <v>unid</v>
      </c>
      <c r="H787" s="69">
        <v>1</v>
      </c>
      <c r="I787" s="141">
        <v>1</v>
      </c>
      <c r="J787" s="70">
        <f t="shared" si="98"/>
        <v>0</v>
      </c>
      <c r="K787" s="54">
        <f>IF(A787=0,VLOOKUP(D787,'03. Insumos'!A:F,4,0),"")</f>
        <v>0</v>
      </c>
      <c r="L787" s="70">
        <f t="shared" si="99"/>
        <v>0</v>
      </c>
      <c r="M787" s="153">
        <f t="shared" ca="1" si="94"/>
        <v>0</v>
      </c>
      <c r="O787" s="148">
        <f t="shared" si="100"/>
        <v>0</v>
      </c>
      <c r="R787" s="12">
        <f t="shared" si="101"/>
        <v>0</v>
      </c>
    </row>
    <row r="788" spans="1:18" s="51" customFormat="1" ht="13.5" customHeight="1" outlineLevel="1" x14ac:dyDescent="0.3">
      <c r="A788" s="290">
        <f t="shared" si="95"/>
        <v>0</v>
      </c>
      <c r="B788" s="49"/>
      <c r="C788" s="49"/>
      <c r="D788" s="140" t="s">
        <v>2692</v>
      </c>
      <c r="E788" s="67" t="str">
        <f>VLOOKUP(D788,'03. Insumos'!A:D,2,0)</f>
        <v>Misturador de parede para lavatório Izy Plus Deca, 1878.C37</v>
      </c>
      <c r="F788" s="68" t="s">
        <v>2613</v>
      </c>
      <c r="G788" s="68" t="str">
        <f>VLOOKUP(D788,'03. Insumos'!A:F,3,0)</f>
        <v>unid</v>
      </c>
      <c r="H788" s="69">
        <v>1</v>
      </c>
      <c r="I788" s="141">
        <v>1</v>
      </c>
      <c r="J788" s="70">
        <f t="shared" si="98"/>
        <v>0</v>
      </c>
      <c r="K788" s="54">
        <f>IF(A788=0,VLOOKUP(D788,'03. Insumos'!A:F,4,0),"")</f>
        <v>0</v>
      </c>
      <c r="L788" s="70">
        <f t="shared" si="99"/>
        <v>0</v>
      </c>
      <c r="M788" s="153">
        <f t="shared" ca="1" si="94"/>
        <v>0</v>
      </c>
      <c r="O788" s="148">
        <f t="shared" si="100"/>
        <v>0</v>
      </c>
      <c r="R788" s="12">
        <f t="shared" si="101"/>
        <v>0</v>
      </c>
    </row>
    <row r="789" spans="1:18" s="51" customFormat="1" ht="13.5" customHeight="1" outlineLevel="1" x14ac:dyDescent="0.3">
      <c r="A789" s="290">
        <f t="shared" si="95"/>
        <v>0</v>
      </c>
      <c r="B789" s="49"/>
      <c r="C789" s="49"/>
      <c r="D789" s="140" t="s">
        <v>2693</v>
      </c>
      <c r="E789" s="67" t="str">
        <f>VLOOKUP(D789,'03. Insumos'!A:D,2,0)</f>
        <v>Barra deslizante moderna 1981.c com ducha manual aspen 4867.c</v>
      </c>
      <c r="F789" s="68" t="s">
        <v>2613</v>
      </c>
      <c r="G789" s="68" t="str">
        <f>VLOOKUP(D789,'03. Insumos'!A:F,3,0)</f>
        <v>unid</v>
      </c>
      <c r="H789" s="69">
        <v>1</v>
      </c>
      <c r="I789" s="141">
        <v>1</v>
      </c>
      <c r="J789" s="70">
        <f t="shared" si="98"/>
        <v>0</v>
      </c>
      <c r="K789" s="54">
        <f>IF(A789=0,VLOOKUP(D789,'03. Insumos'!A:F,4,0),"")</f>
        <v>0</v>
      </c>
      <c r="L789" s="70">
        <f t="shared" si="99"/>
        <v>0</v>
      </c>
      <c r="M789" s="153">
        <f t="shared" ca="1" si="94"/>
        <v>0</v>
      </c>
      <c r="O789" s="148">
        <f t="shared" si="100"/>
        <v>0</v>
      </c>
      <c r="R789" s="12">
        <f t="shared" si="101"/>
        <v>0</v>
      </c>
    </row>
    <row r="790" spans="1:18" s="51" customFormat="1" ht="13.5" customHeight="1" outlineLevel="1" x14ac:dyDescent="0.3">
      <c r="A790" s="290">
        <f t="shared" si="95"/>
        <v>0</v>
      </c>
      <c r="B790" s="49"/>
      <c r="C790" s="49"/>
      <c r="D790" s="140" t="s">
        <v>2694</v>
      </c>
      <c r="E790" s="67" t="str">
        <f>VLOOKUP(D790,'03. Insumos'!A:D,2,0)</f>
        <v>Bacia Carrara P60, Deca</v>
      </c>
      <c r="F790" s="68" t="s">
        <v>2613</v>
      </c>
      <c r="G790" s="68" t="str">
        <f>VLOOKUP(D790,'03. Insumos'!A:F,3,0)</f>
        <v>unid</v>
      </c>
      <c r="H790" s="69">
        <v>1</v>
      </c>
      <c r="I790" s="141">
        <v>3</v>
      </c>
      <c r="J790" s="70">
        <f t="shared" si="98"/>
        <v>0</v>
      </c>
      <c r="K790" s="54">
        <f>IF(A790=0,VLOOKUP(D790,'03. Insumos'!A:F,4,0),"")</f>
        <v>0</v>
      </c>
      <c r="L790" s="70">
        <f t="shared" si="99"/>
        <v>0</v>
      </c>
      <c r="M790" s="153">
        <f t="shared" ca="1" si="94"/>
        <v>0</v>
      </c>
      <c r="O790" s="148">
        <f t="shared" si="100"/>
        <v>0</v>
      </c>
      <c r="R790" s="12">
        <f t="shared" si="101"/>
        <v>0</v>
      </c>
    </row>
    <row r="791" spans="1:18" s="51" customFormat="1" ht="13.5" customHeight="1" outlineLevel="1" x14ac:dyDescent="0.3">
      <c r="A791" s="290">
        <f t="shared" si="95"/>
        <v>0</v>
      </c>
      <c r="B791" s="49"/>
      <c r="C791" s="49"/>
      <c r="D791" s="140" t="s">
        <v>2695</v>
      </c>
      <c r="E791" s="67" t="str">
        <f>VLOOKUP(D791,'03. Insumos'!A:D,2,0)</f>
        <v>Ducha higiênica com registro e derivação Izy Plus Deca, 1984.C37.ACT.CR</v>
      </c>
      <c r="F791" s="68" t="s">
        <v>2613</v>
      </c>
      <c r="G791" s="68" t="str">
        <f>VLOOKUP(D791,'03. Insumos'!A:F,3,0)</f>
        <v>unid</v>
      </c>
      <c r="H791" s="69">
        <v>1</v>
      </c>
      <c r="I791" s="141">
        <v>2</v>
      </c>
      <c r="J791" s="70">
        <f t="shared" si="98"/>
        <v>0</v>
      </c>
      <c r="K791" s="54">
        <f>IF(A791=0,VLOOKUP(D791,'03. Insumos'!A:F,4,0),"")</f>
        <v>0</v>
      </c>
      <c r="L791" s="70">
        <f t="shared" si="99"/>
        <v>0</v>
      </c>
      <c r="M791" s="153">
        <f t="shared" ca="1" si="94"/>
        <v>0</v>
      </c>
      <c r="O791" s="148">
        <f t="shared" si="100"/>
        <v>0</v>
      </c>
      <c r="R791" s="12">
        <f t="shared" si="101"/>
        <v>0</v>
      </c>
    </row>
    <row r="792" spans="1:18" s="51" customFormat="1" ht="13.5" customHeight="1" outlineLevel="1" x14ac:dyDescent="0.3">
      <c r="A792" s="290">
        <f t="shared" si="95"/>
        <v>0</v>
      </c>
      <c r="B792" s="49"/>
      <c r="C792" s="49"/>
      <c r="D792" s="140" t="s">
        <v>2696</v>
      </c>
      <c r="E792" s="67" t="str">
        <f>VLOOKUP(D792,'03. Insumos'!A:D,2,0)</f>
        <v>Válvula SLIM 2553.C.112 DECA</v>
      </c>
      <c r="F792" s="68" t="s">
        <v>2613</v>
      </c>
      <c r="G792" s="68" t="str">
        <f>VLOOKUP(D792,'03. Insumos'!A:F,3,0)</f>
        <v>unid</v>
      </c>
      <c r="H792" s="69">
        <v>1</v>
      </c>
      <c r="I792" s="141">
        <v>1</v>
      </c>
      <c r="J792" s="70">
        <f t="shared" si="98"/>
        <v>0</v>
      </c>
      <c r="K792" s="54">
        <f>IF(A792=0,VLOOKUP(D792,'03. Insumos'!A:F,4,0),"")</f>
        <v>0</v>
      </c>
      <c r="L792" s="70">
        <f t="shared" si="99"/>
        <v>0</v>
      </c>
      <c r="M792" s="153">
        <f t="shared" ca="1" si="94"/>
        <v>0</v>
      </c>
      <c r="O792" s="148">
        <f t="shared" si="100"/>
        <v>0</v>
      </c>
      <c r="R792" s="12">
        <f t="shared" si="101"/>
        <v>0</v>
      </c>
    </row>
    <row r="793" spans="1:18" s="51" customFormat="1" ht="13.5" customHeight="1" outlineLevel="1" x14ac:dyDescent="0.3">
      <c r="A793" s="290">
        <f t="shared" si="95"/>
        <v>0</v>
      </c>
      <c r="B793" s="49"/>
      <c r="C793" s="49"/>
      <c r="D793" s="140" t="s">
        <v>2697</v>
      </c>
      <c r="E793" s="67" t="str">
        <f>VLOOKUP(D793,'03. Insumos'!A:D,2,0)</f>
        <v>Lavatório Ref: 58004 e Coluna Ref: 58201 Linha Clássica CELITE</v>
      </c>
      <c r="F793" s="68" t="s">
        <v>2613</v>
      </c>
      <c r="G793" s="68" t="str">
        <f>VLOOKUP(D793,'03. Insumos'!A:F,3,0)</f>
        <v>unid</v>
      </c>
      <c r="H793" s="69">
        <v>1</v>
      </c>
      <c r="I793" s="141">
        <v>5</v>
      </c>
      <c r="J793" s="70">
        <f t="shared" si="98"/>
        <v>0</v>
      </c>
      <c r="K793" s="54">
        <f>IF(A793=0,VLOOKUP(D793,'03. Insumos'!A:F,4,0),"")</f>
        <v>0</v>
      </c>
      <c r="L793" s="70">
        <f t="shared" si="99"/>
        <v>0</v>
      </c>
      <c r="M793" s="153">
        <f t="shared" ca="1" si="94"/>
        <v>0</v>
      </c>
      <c r="O793" s="148">
        <f t="shared" si="100"/>
        <v>0</v>
      </c>
      <c r="R793" s="12">
        <f t="shared" si="101"/>
        <v>0</v>
      </c>
    </row>
    <row r="794" spans="1:18" s="51" customFormat="1" ht="13.5" customHeight="1" outlineLevel="1" x14ac:dyDescent="0.3">
      <c r="A794" s="290">
        <f t="shared" si="95"/>
        <v>0</v>
      </c>
      <c r="B794" s="49"/>
      <c r="C794" s="49"/>
      <c r="D794" s="140" t="s">
        <v>2698</v>
      </c>
      <c r="E794" s="67" t="str">
        <f>VLOOKUP(D794,'03. Insumos'!A:D,2,0)</f>
        <v>Misturador de mesa bica alta para lavatório Belle Epoque 1877.C52 DECA</v>
      </c>
      <c r="F794" s="68" t="s">
        <v>2613</v>
      </c>
      <c r="G794" s="68" t="str">
        <f>VLOOKUP(D794,'03. Insumos'!A:F,3,0)</f>
        <v>unid</v>
      </c>
      <c r="H794" s="69">
        <v>1</v>
      </c>
      <c r="I794" s="141">
        <v>2</v>
      </c>
      <c r="J794" s="70">
        <f t="shared" si="98"/>
        <v>0</v>
      </c>
      <c r="K794" s="54">
        <f>IF(A794=0,VLOOKUP(D794,'03. Insumos'!A:F,4,0),"")</f>
        <v>0</v>
      </c>
      <c r="L794" s="70">
        <f t="shared" si="99"/>
        <v>0</v>
      </c>
      <c r="M794" s="153">
        <f t="shared" ca="1" si="94"/>
        <v>0</v>
      </c>
      <c r="O794" s="148">
        <f t="shared" si="100"/>
        <v>0</v>
      </c>
      <c r="R794" s="12">
        <f t="shared" si="101"/>
        <v>0</v>
      </c>
    </row>
    <row r="795" spans="1:18" s="51" customFormat="1" ht="13.5" customHeight="1" outlineLevel="1" x14ac:dyDescent="0.3">
      <c r="A795" s="290">
        <f t="shared" si="95"/>
        <v>0</v>
      </c>
      <c r="B795" s="49"/>
      <c r="C795" s="49"/>
      <c r="D795" s="140" t="s">
        <v>2699</v>
      </c>
      <c r="E795" s="67" t="str">
        <f>VLOOKUP(D795,'03. Insumos'!A:D,2,0)</f>
        <v>Acabamento para registro Belle Epoque 4900.C52. PQ DECA</v>
      </c>
      <c r="F795" s="68" t="s">
        <v>2613</v>
      </c>
      <c r="G795" s="68" t="str">
        <f>VLOOKUP(D795,'03. Insumos'!A:F,3,0)</f>
        <v>unid</v>
      </c>
      <c r="H795" s="69">
        <v>1</v>
      </c>
      <c r="I795" s="141">
        <v>1</v>
      </c>
      <c r="J795" s="70">
        <f t="shared" si="98"/>
        <v>0</v>
      </c>
      <c r="K795" s="54">
        <f>IF(A795=0,VLOOKUP(D795,'03. Insumos'!A:F,4,0),"")</f>
        <v>0</v>
      </c>
      <c r="L795" s="70">
        <f t="shared" si="99"/>
        <v>0</v>
      </c>
      <c r="M795" s="153">
        <f t="shared" ca="1" si="94"/>
        <v>0</v>
      </c>
      <c r="O795" s="148">
        <f t="shared" si="100"/>
        <v>0</v>
      </c>
      <c r="R795" s="12">
        <f t="shared" si="101"/>
        <v>0</v>
      </c>
    </row>
    <row r="796" spans="1:18" s="51" customFormat="1" ht="13.5" customHeight="1" outlineLevel="1" x14ac:dyDescent="0.3">
      <c r="A796" s="290">
        <f t="shared" si="95"/>
        <v>0</v>
      </c>
      <c r="B796" s="49"/>
      <c r="C796" s="49"/>
      <c r="D796" s="140" t="s">
        <v>2700</v>
      </c>
      <c r="E796" s="67" t="str">
        <f>VLOOKUP(D796,'03. Insumos'!A:D,2,0)</f>
        <v>Bacia Convencional Carrara P60 DECA</v>
      </c>
      <c r="F796" s="68" t="s">
        <v>2613</v>
      </c>
      <c r="G796" s="68" t="str">
        <f>VLOOKUP(D796,'03. Insumos'!A:F,3,0)</f>
        <v>unid</v>
      </c>
      <c r="H796" s="69">
        <v>1</v>
      </c>
      <c r="I796" s="141">
        <v>1</v>
      </c>
      <c r="J796" s="70">
        <f t="shared" si="98"/>
        <v>0</v>
      </c>
      <c r="K796" s="54">
        <f>IF(A796=0,VLOOKUP(D796,'03. Insumos'!A:F,4,0),"")</f>
        <v>0</v>
      </c>
      <c r="L796" s="70">
        <f t="shared" si="99"/>
        <v>0</v>
      </c>
      <c r="M796" s="153">
        <f t="shared" ca="1" si="94"/>
        <v>0</v>
      </c>
      <c r="O796" s="148">
        <f t="shared" si="100"/>
        <v>0</v>
      </c>
      <c r="R796" s="12">
        <f t="shared" si="101"/>
        <v>0</v>
      </c>
    </row>
    <row r="797" spans="1:18" s="51" customFormat="1" ht="13.5" customHeight="1" outlineLevel="1" x14ac:dyDescent="0.3">
      <c r="A797" s="290">
        <f t="shared" si="95"/>
        <v>0</v>
      </c>
      <c r="B797" s="49"/>
      <c r="C797" s="49"/>
      <c r="D797" s="140" t="s">
        <v>2701</v>
      </c>
      <c r="E797" s="67" t="str">
        <f>VLOOKUP(D797,'03. Insumos'!A:D,2,0)</f>
        <v>Ducha Higiênica com registro e derivação Belle Epoque 1984.C52. Act DECA</v>
      </c>
      <c r="F797" s="68" t="s">
        <v>2613</v>
      </c>
      <c r="G797" s="68" t="str">
        <f>VLOOKUP(D797,'03. Insumos'!A:F,3,0)</f>
        <v>unid</v>
      </c>
      <c r="H797" s="69">
        <v>1</v>
      </c>
      <c r="I797" s="141">
        <v>1</v>
      </c>
      <c r="J797" s="70">
        <f t="shared" si="98"/>
        <v>0</v>
      </c>
      <c r="K797" s="54">
        <f>IF(A797=0,VLOOKUP(D797,'03. Insumos'!A:F,4,0),"")</f>
        <v>0</v>
      </c>
      <c r="L797" s="70">
        <f t="shared" si="99"/>
        <v>0</v>
      </c>
      <c r="M797" s="153">
        <f t="shared" ca="1" si="94"/>
        <v>0</v>
      </c>
      <c r="O797" s="148">
        <f t="shared" si="100"/>
        <v>0</v>
      </c>
      <c r="R797" s="12">
        <f t="shared" si="101"/>
        <v>0</v>
      </c>
    </row>
    <row r="798" spans="1:18" s="51" customFormat="1" ht="13.5" customHeight="1" outlineLevel="1" x14ac:dyDescent="0.3">
      <c r="A798" s="290">
        <f t="shared" si="95"/>
        <v>0</v>
      </c>
      <c r="B798" s="49"/>
      <c r="C798" s="49"/>
      <c r="D798" s="140" t="s">
        <v>2702</v>
      </c>
      <c r="E798" s="67" t="str">
        <f>VLOOKUP(D798,'03. Insumos'!A:D,2,0)</f>
        <v>Chuveiro com tubo de teto Acqua Plus Deca, 1990.TET.STD;</v>
      </c>
      <c r="F798" s="68" t="s">
        <v>2613</v>
      </c>
      <c r="G798" s="68" t="str">
        <f>VLOOKUP(D798,'03. Insumos'!A:F,3,0)</f>
        <v>unid</v>
      </c>
      <c r="H798" s="69">
        <v>1</v>
      </c>
      <c r="I798" s="141">
        <v>1</v>
      </c>
      <c r="J798" s="70">
        <f t="shared" si="98"/>
        <v>0</v>
      </c>
      <c r="K798" s="54">
        <f>IF(A798=0,VLOOKUP(D798,'03. Insumos'!A:F,4,0),"")</f>
        <v>0</v>
      </c>
      <c r="L798" s="70">
        <f t="shared" si="99"/>
        <v>0</v>
      </c>
      <c r="M798" s="153">
        <f t="shared" ca="1" si="94"/>
        <v>0</v>
      </c>
      <c r="O798" s="148">
        <f t="shared" si="100"/>
        <v>0</v>
      </c>
      <c r="R798" s="12">
        <f t="shared" si="101"/>
        <v>0</v>
      </c>
    </row>
    <row r="799" spans="1:18" s="51" customFormat="1" ht="13.5" customHeight="1" outlineLevel="1" x14ac:dyDescent="0.3">
      <c r="A799" s="290">
        <f t="shared" si="95"/>
        <v>0</v>
      </c>
      <c r="B799" s="49"/>
      <c r="C799" s="49"/>
      <c r="D799" s="140" t="s">
        <v>2703</v>
      </c>
      <c r="E799" s="67" t="str">
        <f>VLOOKUP(D799,'03. Insumos'!A:D,2,0)</f>
        <v>Válvula De Descarga Deca Hydramax DECA</v>
      </c>
      <c r="F799" s="68" t="s">
        <v>2613</v>
      </c>
      <c r="G799" s="68" t="str">
        <f>VLOOKUP(D799,'03. Insumos'!A:F,3,0)</f>
        <v>unid</v>
      </c>
      <c r="H799" s="69">
        <v>1</v>
      </c>
      <c r="I799" s="141">
        <v>4</v>
      </c>
      <c r="J799" s="70">
        <f t="shared" si="98"/>
        <v>0</v>
      </c>
      <c r="K799" s="54">
        <f>IF(A799=0,VLOOKUP(D799,'03. Insumos'!A:F,4,0),"")</f>
        <v>0</v>
      </c>
      <c r="L799" s="70">
        <f t="shared" si="99"/>
        <v>0</v>
      </c>
      <c r="M799" s="153">
        <f t="shared" ca="1" si="94"/>
        <v>0</v>
      </c>
      <c r="O799" s="148">
        <f t="shared" si="100"/>
        <v>0</v>
      </c>
      <c r="R799" s="12">
        <f t="shared" si="101"/>
        <v>0</v>
      </c>
    </row>
    <row r="800" spans="1:18" s="51" customFormat="1" ht="13.5" customHeight="1" outlineLevel="1" x14ac:dyDescent="0.3">
      <c r="A800" s="290">
        <f t="shared" si="95"/>
        <v>0</v>
      </c>
      <c r="B800" s="49"/>
      <c r="C800" s="49"/>
      <c r="D800" s="140" t="s">
        <v>2704</v>
      </c>
      <c r="E800" s="67" t="str">
        <f>VLOOKUP(D800,'03. Insumos'!A:D,2,0)</f>
        <v>Lavatório Ref: 58004 e Coluna Ref: 58201 Linha Clássica CELITE</v>
      </c>
      <c r="F800" s="68" t="s">
        <v>2613</v>
      </c>
      <c r="G800" s="68" t="str">
        <f>VLOOKUP(D800,'03. Insumos'!A:F,3,0)</f>
        <v>unid</v>
      </c>
      <c r="H800" s="69">
        <v>1</v>
      </c>
      <c r="I800" s="141">
        <v>1</v>
      </c>
      <c r="J800" s="70">
        <f t="shared" si="98"/>
        <v>0</v>
      </c>
      <c r="K800" s="54">
        <f>IF(A800=0,VLOOKUP(D800,'03. Insumos'!A:F,4,0),"")</f>
        <v>0</v>
      </c>
      <c r="L800" s="70">
        <f t="shared" si="99"/>
        <v>0</v>
      </c>
      <c r="M800" s="153">
        <f t="shared" ca="1" si="94"/>
        <v>0</v>
      </c>
      <c r="O800" s="148">
        <f t="shared" si="100"/>
        <v>0</v>
      </c>
      <c r="R800" s="12">
        <f t="shared" si="101"/>
        <v>0</v>
      </c>
    </row>
    <row r="801" spans="1:18" s="51" customFormat="1" ht="13.5" customHeight="1" outlineLevel="1" x14ac:dyDescent="0.3">
      <c r="A801" s="290">
        <f t="shared" si="95"/>
        <v>0</v>
      </c>
      <c r="B801" s="49"/>
      <c r="C801" s="49"/>
      <c r="D801" s="140" t="s">
        <v>2705</v>
      </c>
      <c r="E801" s="67" t="str">
        <f>VLOOKUP(D801,'03. Insumos'!A:D,2,0)</f>
        <v>Misturador de mesa bica alta para lavatório Belle Epoque 1877.C52 DECA</v>
      </c>
      <c r="F801" s="68" t="s">
        <v>2613</v>
      </c>
      <c r="G801" s="68" t="str">
        <f>VLOOKUP(D801,'03. Insumos'!A:F,3,0)</f>
        <v>unid</v>
      </c>
      <c r="H801" s="69">
        <v>1</v>
      </c>
      <c r="I801" s="141">
        <v>1</v>
      </c>
      <c r="J801" s="70">
        <f t="shared" si="98"/>
        <v>0</v>
      </c>
      <c r="K801" s="54">
        <f>IF(A801=0,VLOOKUP(D801,'03. Insumos'!A:F,4,0),"")</f>
        <v>0</v>
      </c>
      <c r="L801" s="70">
        <f t="shared" si="99"/>
        <v>0</v>
      </c>
      <c r="M801" s="153">
        <f t="shared" ca="1" si="94"/>
        <v>0</v>
      </c>
      <c r="O801" s="148">
        <f t="shared" si="100"/>
        <v>0</v>
      </c>
      <c r="R801" s="12">
        <f t="shared" si="101"/>
        <v>0</v>
      </c>
    </row>
    <row r="802" spans="1:18" s="51" customFormat="1" ht="13.5" customHeight="1" outlineLevel="1" x14ac:dyDescent="0.3">
      <c r="A802" s="290">
        <f t="shared" si="95"/>
        <v>0</v>
      </c>
      <c r="B802" s="49"/>
      <c r="C802" s="49"/>
      <c r="D802" s="140" t="s">
        <v>2706</v>
      </c>
      <c r="E802" s="67" t="str">
        <f>VLOOKUP(D802,'03. Insumos'!A:D,2,0)</f>
        <v>Acabamento para registro Belle Epoque 4900.C52. PQ DECA</v>
      </c>
      <c r="F802" s="68" t="s">
        <v>2613</v>
      </c>
      <c r="G802" s="68" t="str">
        <f>VLOOKUP(D802,'03. Insumos'!A:F,3,0)</f>
        <v>unid</v>
      </c>
      <c r="H802" s="69">
        <v>1</v>
      </c>
      <c r="I802" s="141">
        <v>19</v>
      </c>
      <c r="J802" s="70">
        <f t="shared" si="98"/>
        <v>0</v>
      </c>
      <c r="K802" s="54">
        <f>IF(A802=0,VLOOKUP(D802,'03. Insumos'!A:F,4,0),"")</f>
        <v>0</v>
      </c>
      <c r="L802" s="70">
        <f t="shared" si="99"/>
        <v>0</v>
      </c>
      <c r="M802" s="153">
        <f t="shared" ca="1" si="94"/>
        <v>0</v>
      </c>
      <c r="O802" s="148">
        <f t="shared" si="100"/>
        <v>0</v>
      </c>
      <c r="R802" s="12">
        <f t="shared" si="101"/>
        <v>0</v>
      </c>
    </row>
    <row r="803" spans="1:18" s="51" customFormat="1" ht="13.5" customHeight="1" outlineLevel="1" x14ac:dyDescent="0.3">
      <c r="A803" s="290">
        <f t="shared" si="95"/>
        <v>0</v>
      </c>
      <c r="B803" s="49"/>
      <c r="C803" s="49"/>
      <c r="D803" s="140" t="s">
        <v>2707</v>
      </c>
      <c r="E803" s="67" t="str">
        <f>VLOOKUP(D803,'03. Insumos'!A:D,2,0)</f>
        <v>Bacia Convencional Carrara P60 DECA</v>
      </c>
      <c r="F803" s="68" t="s">
        <v>2613</v>
      </c>
      <c r="G803" s="68" t="str">
        <f>VLOOKUP(D803,'03. Insumos'!A:F,3,0)</f>
        <v>unid</v>
      </c>
      <c r="H803" s="69">
        <v>1</v>
      </c>
      <c r="I803" s="141">
        <v>3</v>
      </c>
      <c r="J803" s="70">
        <f t="shared" si="98"/>
        <v>0</v>
      </c>
      <c r="K803" s="54">
        <f>IF(A803=0,VLOOKUP(D803,'03. Insumos'!A:F,4,0),"")</f>
        <v>0</v>
      </c>
      <c r="L803" s="70">
        <f t="shared" si="99"/>
        <v>0</v>
      </c>
      <c r="M803" s="153">
        <f t="shared" ca="1" si="94"/>
        <v>0</v>
      </c>
      <c r="O803" s="148">
        <f t="shared" si="100"/>
        <v>0</v>
      </c>
      <c r="R803" s="12">
        <f t="shared" si="101"/>
        <v>0</v>
      </c>
    </row>
    <row r="804" spans="1:18" s="51" customFormat="1" ht="13.5" customHeight="1" outlineLevel="1" x14ac:dyDescent="0.3">
      <c r="A804" s="290">
        <f t="shared" si="95"/>
        <v>0</v>
      </c>
      <c r="B804" s="49"/>
      <c r="C804" s="49"/>
      <c r="D804" s="140" t="s">
        <v>2708</v>
      </c>
      <c r="E804" s="67" t="str">
        <f>VLOOKUP(D804,'03. Insumos'!A:D,2,0)</f>
        <v>Ducha Higiênica com registro e derivação Belle Epoque 1984.C52. Act DECA</v>
      </c>
      <c r="F804" s="68" t="s">
        <v>2613</v>
      </c>
      <c r="G804" s="68" t="str">
        <f>VLOOKUP(D804,'03. Insumos'!A:F,3,0)</f>
        <v>unid</v>
      </c>
      <c r="H804" s="69">
        <v>1</v>
      </c>
      <c r="I804" s="141">
        <v>1</v>
      </c>
      <c r="J804" s="70">
        <f t="shared" si="98"/>
        <v>0</v>
      </c>
      <c r="K804" s="54">
        <f>IF(A804=0,VLOOKUP(D804,'03. Insumos'!A:F,4,0),"")</f>
        <v>0</v>
      </c>
      <c r="L804" s="70">
        <f t="shared" si="99"/>
        <v>0</v>
      </c>
      <c r="M804" s="153">
        <f t="shared" ca="1" si="94"/>
        <v>0</v>
      </c>
      <c r="O804" s="148">
        <f t="shared" si="100"/>
        <v>0</v>
      </c>
      <c r="R804" s="12">
        <f t="shared" si="101"/>
        <v>0</v>
      </c>
    </row>
    <row r="805" spans="1:18" s="51" customFormat="1" ht="13.5" customHeight="1" outlineLevel="1" x14ac:dyDescent="0.3">
      <c r="A805" s="290">
        <f t="shared" si="95"/>
        <v>0</v>
      </c>
      <c r="B805" s="49"/>
      <c r="C805" s="49"/>
      <c r="D805" s="140" t="s">
        <v>2709</v>
      </c>
      <c r="E805" s="67" t="str">
        <f>VLOOKUP(D805,'03. Insumos'!A:D,2,0)</f>
        <v>Válvula De Descarga Deca Hydramax DECA</v>
      </c>
      <c r="F805" s="68" t="s">
        <v>2613</v>
      </c>
      <c r="G805" s="68" t="str">
        <f>VLOOKUP(D805,'03. Insumos'!A:F,3,0)</f>
        <v>unid</v>
      </c>
      <c r="H805" s="69">
        <v>1</v>
      </c>
      <c r="I805" s="141">
        <v>5</v>
      </c>
      <c r="J805" s="70">
        <f t="shared" si="98"/>
        <v>0</v>
      </c>
      <c r="K805" s="54">
        <f>IF(A805=0,VLOOKUP(D805,'03. Insumos'!A:F,4,0),"")</f>
        <v>0</v>
      </c>
      <c r="L805" s="70">
        <f t="shared" si="99"/>
        <v>0</v>
      </c>
      <c r="M805" s="153">
        <f t="shared" ref="M805:M868" ca="1" si="102">L805/$L$7</f>
        <v>0</v>
      </c>
      <c r="O805" s="148">
        <f t="shared" si="100"/>
        <v>0</v>
      </c>
      <c r="R805" s="12">
        <f t="shared" si="101"/>
        <v>0</v>
      </c>
    </row>
    <row r="806" spans="1:18" s="51" customFormat="1" ht="13.5" customHeight="1" outlineLevel="1" x14ac:dyDescent="0.3">
      <c r="A806" s="290">
        <f t="shared" si="95"/>
        <v>0</v>
      </c>
      <c r="B806" s="49"/>
      <c r="C806" s="49"/>
      <c r="D806" s="140" t="s">
        <v>2710</v>
      </c>
      <c r="E806" s="67" t="str">
        <f>VLOOKUP(D806,'03. Insumos'!A:D,2,0)</f>
        <v>Chuveiro com tubo de teto Acqua Plus Deca, 1990.TET.STD;</v>
      </c>
      <c r="F806" s="68" t="s">
        <v>2613</v>
      </c>
      <c r="G806" s="68" t="str">
        <f>VLOOKUP(D806,'03. Insumos'!A:F,3,0)</f>
        <v>unid</v>
      </c>
      <c r="H806" s="69">
        <v>1</v>
      </c>
      <c r="I806" s="141">
        <v>1</v>
      </c>
      <c r="J806" s="70">
        <f t="shared" si="98"/>
        <v>0</v>
      </c>
      <c r="K806" s="54">
        <f>IF(A806=0,VLOOKUP(D806,'03. Insumos'!A:F,4,0),"")</f>
        <v>0</v>
      </c>
      <c r="L806" s="70">
        <f t="shared" si="99"/>
        <v>0</v>
      </c>
      <c r="M806" s="153">
        <f t="shared" ca="1" si="102"/>
        <v>0</v>
      </c>
      <c r="O806" s="148">
        <f t="shared" si="100"/>
        <v>0</v>
      </c>
      <c r="R806" s="12">
        <f t="shared" si="101"/>
        <v>0</v>
      </c>
    </row>
    <row r="807" spans="1:18" s="51" customFormat="1" ht="13.5" customHeight="1" outlineLevel="1" x14ac:dyDescent="0.3">
      <c r="A807" s="290">
        <f t="shared" si="95"/>
        <v>0</v>
      </c>
      <c r="B807" s="49"/>
      <c r="C807" s="49"/>
      <c r="D807" s="140" t="s">
        <v>2711</v>
      </c>
      <c r="E807" s="67" t="str">
        <f>VLOOKUP(D807,'03. Insumos'!A:D,2,0)</f>
        <v>Lavatório Ref: 58004 e Coluna Ref: 58201 Linha Clássica CELITE</v>
      </c>
      <c r="F807" s="68" t="s">
        <v>2613</v>
      </c>
      <c r="G807" s="68" t="str">
        <f>VLOOKUP(D807,'03. Insumos'!A:F,3,0)</f>
        <v>unid</v>
      </c>
      <c r="H807" s="69">
        <v>1</v>
      </c>
      <c r="I807" s="141">
        <v>1</v>
      </c>
      <c r="J807" s="70">
        <f t="shared" si="98"/>
        <v>0</v>
      </c>
      <c r="K807" s="54">
        <f>IF(A807=0,VLOOKUP(D807,'03. Insumos'!A:F,4,0),"")</f>
        <v>0</v>
      </c>
      <c r="L807" s="70">
        <f t="shared" si="99"/>
        <v>0</v>
      </c>
      <c r="M807" s="153">
        <f t="shared" ca="1" si="102"/>
        <v>0</v>
      </c>
      <c r="O807" s="148">
        <f t="shared" si="100"/>
        <v>0</v>
      </c>
      <c r="R807" s="12">
        <f t="shared" si="101"/>
        <v>0</v>
      </c>
    </row>
    <row r="808" spans="1:18" s="51" customFormat="1" ht="13.5" customHeight="1" outlineLevel="1" x14ac:dyDescent="0.3">
      <c r="A808" s="290">
        <f t="shared" si="95"/>
        <v>0</v>
      </c>
      <c r="B808" s="49"/>
      <c r="C808" s="49"/>
      <c r="D808" s="140" t="s">
        <v>2712</v>
      </c>
      <c r="E808" s="67" t="str">
        <f>VLOOKUP(D808,'03. Insumos'!A:D,2,0)</f>
        <v>Bacia Convencional Carrara P60 DECA</v>
      </c>
      <c r="F808" s="68" t="s">
        <v>2613</v>
      </c>
      <c r="G808" s="68" t="str">
        <f>VLOOKUP(D808,'03. Insumos'!A:F,3,0)</f>
        <v>unid</v>
      </c>
      <c r="H808" s="69">
        <v>1</v>
      </c>
      <c r="I808" s="141">
        <v>1</v>
      </c>
      <c r="J808" s="70">
        <f t="shared" si="98"/>
        <v>0</v>
      </c>
      <c r="K808" s="54">
        <f>IF(A808=0,VLOOKUP(D808,'03. Insumos'!A:F,4,0),"")</f>
        <v>0</v>
      </c>
      <c r="L808" s="70">
        <f t="shared" si="99"/>
        <v>0</v>
      </c>
      <c r="M808" s="153">
        <f t="shared" ca="1" si="102"/>
        <v>0</v>
      </c>
      <c r="O808" s="148">
        <f t="shared" si="100"/>
        <v>0</v>
      </c>
      <c r="R808" s="12">
        <f t="shared" si="101"/>
        <v>0</v>
      </c>
    </row>
    <row r="809" spans="1:18" s="51" customFormat="1" ht="13.5" customHeight="1" outlineLevel="1" x14ac:dyDescent="0.3">
      <c r="A809" s="290">
        <f t="shared" si="95"/>
        <v>0</v>
      </c>
      <c r="B809" s="49"/>
      <c r="C809" s="49"/>
      <c r="D809" s="140" t="s">
        <v>2713</v>
      </c>
      <c r="E809" s="67" t="str">
        <f>VLOOKUP(D809,'03. Insumos'!A:D,2,0)</f>
        <v>Cuba Mekal Linha Retta LR-50 500x400</v>
      </c>
      <c r="F809" s="68" t="s">
        <v>2613</v>
      </c>
      <c r="G809" s="68" t="str">
        <f>VLOOKUP(D809,'03. Insumos'!A:F,3,0)</f>
        <v>unid</v>
      </c>
      <c r="H809" s="69">
        <v>1</v>
      </c>
      <c r="I809" s="141">
        <v>1</v>
      </c>
      <c r="J809" s="70">
        <f t="shared" si="98"/>
        <v>0</v>
      </c>
      <c r="K809" s="54">
        <f>IF(A809=0,VLOOKUP(D809,'03. Insumos'!A:F,4,0),"")</f>
        <v>0</v>
      </c>
      <c r="L809" s="70">
        <f t="shared" si="99"/>
        <v>0</v>
      </c>
      <c r="M809" s="153">
        <f t="shared" ca="1" si="102"/>
        <v>0</v>
      </c>
      <c r="O809" s="148">
        <f t="shared" si="100"/>
        <v>0</v>
      </c>
      <c r="R809" s="12">
        <f t="shared" si="101"/>
        <v>0</v>
      </c>
    </row>
    <row r="810" spans="1:18" s="51" customFormat="1" ht="13.5" customHeight="1" outlineLevel="1" x14ac:dyDescent="0.3">
      <c r="A810" s="290">
        <f t="shared" si="95"/>
        <v>0</v>
      </c>
      <c r="B810" s="49"/>
      <c r="C810" s="49"/>
      <c r="D810" s="140" t="s">
        <v>2714</v>
      </c>
      <c r="E810" s="67" t="str">
        <f>VLOOKUP(D810,'03. Insumos'!A:D,2,0)</f>
        <v>Misturador Para Cozinha Spin Gourmet de Mesa Monocomando Cromado 2281.C DECA [Cuba Kohler];</v>
      </c>
      <c r="F810" s="68" t="s">
        <v>2613</v>
      </c>
      <c r="G810" s="68" t="str">
        <f>VLOOKUP(D810,'03. Insumos'!A:F,3,0)</f>
        <v>unid</v>
      </c>
      <c r="H810" s="69">
        <v>1</v>
      </c>
      <c r="I810" s="141">
        <v>5</v>
      </c>
      <c r="J810" s="70">
        <f t="shared" si="98"/>
        <v>0</v>
      </c>
      <c r="K810" s="54">
        <f>IF(A810=0,VLOOKUP(D810,'03. Insumos'!A:F,4,0),"")</f>
        <v>0</v>
      </c>
      <c r="L810" s="70">
        <f t="shared" si="99"/>
        <v>0</v>
      </c>
      <c r="M810" s="153">
        <f t="shared" ca="1" si="102"/>
        <v>0</v>
      </c>
      <c r="O810" s="148">
        <f t="shared" si="100"/>
        <v>0</v>
      </c>
      <c r="R810" s="12">
        <f t="shared" si="101"/>
        <v>0</v>
      </c>
    </row>
    <row r="811" spans="1:18" s="51" customFormat="1" ht="13.5" customHeight="1" outlineLevel="1" x14ac:dyDescent="0.3">
      <c r="A811" s="290">
        <f t="shared" si="95"/>
        <v>0</v>
      </c>
      <c r="B811" s="49"/>
      <c r="C811" s="49"/>
      <c r="D811" s="140" t="s">
        <v>2715</v>
      </c>
      <c r="E811" s="67" t="str">
        <f>VLOOKUP(D811,'03. Insumos'!A:D,2,0)</f>
        <v>Lavatório Ref: 58004 e Coluna Ref: 58201 Linha Clássica CELITE</v>
      </c>
      <c r="F811" s="68" t="s">
        <v>2613</v>
      </c>
      <c r="G811" s="68" t="str">
        <f>VLOOKUP(D811,'03. Insumos'!A:F,3,0)</f>
        <v>unid</v>
      </c>
      <c r="H811" s="69">
        <v>1</v>
      </c>
      <c r="I811" s="141">
        <v>1</v>
      </c>
      <c r="J811" s="70">
        <f t="shared" si="98"/>
        <v>0</v>
      </c>
      <c r="K811" s="54">
        <f>IF(A811=0,VLOOKUP(D811,'03. Insumos'!A:F,4,0),"")</f>
        <v>0</v>
      </c>
      <c r="L811" s="70">
        <f t="shared" si="99"/>
        <v>0</v>
      </c>
      <c r="M811" s="153">
        <f t="shared" ca="1" si="102"/>
        <v>0</v>
      </c>
      <c r="O811" s="148">
        <f t="shared" si="100"/>
        <v>0</v>
      </c>
      <c r="R811" s="12">
        <f t="shared" si="101"/>
        <v>0</v>
      </c>
    </row>
    <row r="812" spans="1:18" s="51" customFormat="1" ht="13.5" customHeight="1" outlineLevel="1" x14ac:dyDescent="0.3">
      <c r="A812" s="290">
        <f t="shared" si="95"/>
        <v>0</v>
      </c>
      <c r="B812" s="49"/>
      <c r="C812" s="49"/>
      <c r="D812" s="140" t="s">
        <v>2716</v>
      </c>
      <c r="E812" s="67" t="str">
        <f>VLOOKUP(D812,'03. Insumos'!A:D,2,0)</f>
        <v>Misturador de mesa bica alta para lavatório Belle Epoque 1877.C52 DECA</v>
      </c>
      <c r="F812" s="68" t="s">
        <v>2613</v>
      </c>
      <c r="G812" s="68" t="str">
        <f>VLOOKUP(D812,'03. Insumos'!A:F,3,0)</f>
        <v>unid</v>
      </c>
      <c r="H812" s="69">
        <v>1</v>
      </c>
      <c r="I812" s="141">
        <v>5</v>
      </c>
      <c r="J812" s="70">
        <f t="shared" si="98"/>
        <v>0</v>
      </c>
      <c r="K812" s="54">
        <f>IF(A812=0,VLOOKUP(D812,'03. Insumos'!A:F,4,0),"")</f>
        <v>0</v>
      </c>
      <c r="L812" s="70">
        <f t="shared" si="99"/>
        <v>0</v>
      </c>
      <c r="M812" s="153">
        <f t="shared" ca="1" si="102"/>
        <v>0</v>
      </c>
      <c r="O812" s="148">
        <f t="shared" si="100"/>
        <v>0</v>
      </c>
      <c r="R812" s="12">
        <f t="shared" si="101"/>
        <v>0</v>
      </c>
    </row>
    <row r="813" spans="1:18" s="51" customFormat="1" ht="13.5" customHeight="1" outlineLevel="1" x14ac:dyDescent="0.3">
      <c r="A813" s="290">
        <f t="shared" si="95"/>
        <v>0</v>
      </c>
      <c r="B813" s="49"/>
      <c r="C813" s="49"/>
      <c r="D813" s="140" t="s">
        <v>2717</v>
      </c>
      <c r="E813" s="67" t="str">
        <f>VLOOKUP(D813,'03. Insumos'!A:D,2,0)</f>
        <v>Acabamento para registro Belle Epoque 4900.C52. PQ DECA</v>
      </c>
      <c r="F813" s="68" t="s">
        <v>2613</v>
      </c>
      <c r="G813" s="68" t="str">
        <f>VLOOKUP(D813,'03. Insumos'!A:F,3,0)</f>
        <v>unid</v>
      </c>
      <c r="H813" s="69">
        <v>1</v>
      </c>
      <c r="I813" s="141">
        <v>1</v>
      </c>
      <c r="J813" s="70">
        <f t="shared" si="98"/>
        <v>0</v>
      </c>
      <c r="K813" s="54">
        <f>IF(A813=0,VLOOKUP(D813,'03. Insumos'!A:F,4,0),"")</f>
        <v>0</v>
      </c>
      <c r="L813" s="70">
        <f t="shared" si="99"/>
        <v>0</v>
      </c>
      <c r="M813" s="153">
        <f t="shared" ca="1" si="102"/>
        <v>0</v>
      </c>
      <c r="O813" s="148">
        <f t="shared" si="100"/>
        <v>0</v>
      </c>
      <c r="R813" s="12">
        <f t="shared" si="101"/>
        <v>0</v>
      </c>
    </row>
    <row r="814" spans="1:18" s="51" customFormat="1" ht="13.5" customHeight="1" outlineLevel="1" x14ac:dyDescent="0.3">
      <c r="A814" s="290">
        <f t="shared" si="95"/>
        <v>0</v>
      </c>
      <c r="B814" s="49"/>
      <c r="C814" s="49"/>
      <c r="D814" s="140" t="s">
        <v>2718</v>
      </c>
      <c r="E814" s="67" t="str">
        <f>VLOOKUP(D814,'03. Insumos'!A:D,2,0)</f>
        <v>Bacia Convencional Carrara P60 DECA</v>
      </c>
      <c r="F814" s="68" t="s">
        <v>2613</v>
      </c>
      <c r="G814" s="68" t="str">
        <f>VLOOKUP(D814,'03. Insumos'!A:F,3,0)</f>
        <v>unid</v>
      </c>
      <c r="H814" s="69">
        <v>1</v>
      </c>
      <c r="I814" s="141">
        <v>1</v>
      </c>
      <c r="J814" s="70">
        <f t="shared" si="98"/>
        <v>0</v>
      </c>
      <c r="K814" s="54">
        <f>IF(A814=0,VLOOKUP(D814,'03. Insumos'!A:F,4,0),"")</f>
        <v>0</v>
      </c>
      <c r="L814" s="70">
        <f t="shared" si="99"/>
        <v>0</v>
      </c>
      <c r="M814" s="153">
        <f t="shared" ca="1" si="102"/>
        <v>0</v>
      </c>
      <c r="O814" s="148">
        <f t="shared" si="100"/>
        <v>0</v>
      </c>
      <c r="R814" s="12">
        <f t="shared" si="101"/>
        <v>0</v>
      </c>
    </row>
    <row r="815" spans="1:18" s="51" customFormat="1" ht="13.5" customHeight="1" outlineLevel="1" x14ac:dyDescent="0.3">
      <c r="A815" s="290">
        <f t="shared" si="95"/>
        <v>0</v>
      </c>
      <c r="B815" s="49"/>
      <c r="C815" s="49"/>
      <c r="D815" s="140" t="s">
        <v>2719</v>
      </c>
      <c r="E815" s="67" t="str">
        <f>VLOOKUP(D815,'03. Insumos'!A:D,2,0)</f>
        <v>Ducha Higiênica com registro e derivação Belle Epoque 1984.C52. Act DECA</v>
      </c>
      <c r="F815" s="68" t="s">
        <v>2613</v>
      </c>
      <c r="G815" s="68" t="str">
        <f>VLOOKUP(D815,'03. Insumos'!A:F,3,0)</f>
        <v>unid</v>
      </c>
      <c r="H815" s="69">
        <v>1</v>
      </c>
      <c r="I815" s="141">
        <v>1</v>
      </c>
      <c r="J815" s="70">
        <f t="shared" si="98"/>
        <v>0</v>
      </c>
      <c r="K815" s="54">
        <f>IF(A815=0,VLOOKUP(D815,'03. Insumos'!A:F,4,0),"")</f>
        <v>0</v>
      </c>
      <c r="L815" s="70">
        <f t="shared" si="99"/>
        <v>0</v>
      </c>
      <c r="M815" s="153">
        <f t="shared" ca="1" si="102"/>
        <v>0</v>
      </c>
      <c r="O815" s="148">
        <f t="shared" si="100"/>
        <v>0</v>
      </c>
      <c r="R815" s="12">
        <f t="shared" si="101"/>
        <v>0</v>
      </c>
    </row>
    <row r="816" spans="1:18" s="51" customFormat="1" ht="13.5" customHeight="1" outlineLevel="1" x14ac:dyDescent="0.3">
      <c r="A816" s="290">
        <f t="shared" si="95"/>
        <v>0</v>
      </c>
      <c r="B816" s="49"/>
      <c r="C816" s="49"/>
      <c r="D816" s="140" t="s">
        <v>2720</v>
      </c>
      <c r="E816" s="67" t="str">
        <f>VLOOKUP(D816,'03. Insumos'!A:D,2,0)</f>
        <v>Válvula De Descarga Deca Hydramax DECA</v>
      </c>
      <c r="F816" s="68" t="s">
        <v>2613</v>
      </c>
      <c r="G816" s="68" t="str">
        <f>VLOOKUP(D816,'03. Insumos'!A:F,3,0)</f>
        <v>unid</v>
      </c>
      <c r="H816" s="69">
        <v>1</v>
      </c>
      <c r="I816" s="141">
        <v>1</v>
      </c>
      <c r="J816" s="70">
        <f t="shared" si="98"/>
        <v>0</v>
      </c>
      <c r="K816" s="54">
        <f>IF(A816=0,VLOOKUP(D816,'03. Insumos'!A:F,4,0),"")</f>
        <v>0</v>
      </c>
      <c r="L816" s="70">
        <f t="shared" si="99"/>
        <v>0</v>
      </c>
      <c r="M816" s="153">
        <f t="shared" ca="1" si="102"/>
        <v>0</v>
      </c>
      <c r="O816" s="148">
        <f t="shared" si="100"/>
        <v>0</v>
      </c>
      <c r="R816" s="12">
        <f t="shared" si="101"/>
        <v>0</v>
      </c>
    </row>
    <row r="817" spans="1:18" s="51" customFormat="1" ht="13.5" customHeight="1" outlineLevel="1" x14ac:dyDescent="0.3">
      <c r="A817" s="290">
        <f t="shared" si="95"/>
        <v>0</v>
      </c>
      <c r="B817" s="49"/>
      <c r="C817" s="49"/>
      <c r="D817" s="140" t="s">
        <v>2721</v>
      </c>
      <c r="E817" s="67" t="str">
        <f>VLOOKUP(D817,'03. Insumos'!A:D,2,0)</f>
        <v>Chuveiro com tubo de teto Acqua Plus Deca, 1990.TET.STD;</v>
      </c>
      <c r="F817" s="68" t="s">
        <v>2613</v>
      </c>
      <c r="G817" s="68" t="str">
        <f>VLOOKUP(D817,'03. Insumos'!A:F,3,0)</f>
        <v>unid</v>
      </c>
      <c r="H817" s="69">
        <v>1</v>
      </c>
      <c r="I817" s="141">
        <v>1</v>
      </c>
      <c r="J817" s="70">
        <f t="shared" si="98"/>
        <v>484.7</v>
      </c>
      <c r="K817" s="54">
        <f>IF(A817=0,VLOOKUP(D817,'03. Insumos'!A:F,4,0),"")</f>
        <v>484.7</v>
      </c>
      <c r="L817" s="70">
        <f t="shared" si="99"/>
        <v>484.7</v>
      </c>
      <c r="M817" s="153">
        <f t="shared" ca="1" si="102"/>
        <v>8.3701488241917647E-6</v>
      </c>
      <c r="O817" s="148">
        <f t="shared" si="100"/>
        <v>484.7</v>
      </c>
      <c r="R817" s="12">
        <f t="shared" si="101"/>
        <v>-14.117475728155341</v>
      </c>
    </row>
    <row r="818" spans="1:18" s="51" customFormat="1" ht="13.5" customHeight="1" outlineLevel="1" x14ac:dyDescent="0.3">
      <c r="A818" s="290">
        <f t="shared" si="95"/>
        <v>0</v>
      </c>
      <c r="B818" s="49"/>
      <c r="C818" s="49"/>
      <c r="D818" s="140" t="s">
        <v>2722</v>
      </c>
      <c r="E818" s="67" t="str">
        <f>VLOOKUP(D818,'03. Insumos'!A:D,2,0)</f>
        <v>Misturador Monocomando Tramontina Monde Filter em Aço Inox com Saída Adicional para Água Filtrada</v>
      </c>
      <c r="F818" s="68" t="s">
        <v>2613</v>
      </c>
      <c r="G818" s="68" t="str">
        <f>VLOOKUP(D818,'03. Insumos'!A:F,3,0)</f>
        <v>unid</v>
      </c>
      <c r="H818" s="69">
        <v>1</v>
      </c>
      <c r="I818" s="141">
        <v>1</v>
      </c>
      <c r="J818" s="70">
        <f t="shared" si="98"/>
        <v>1354</v>
      </c>
      <c r="K818" s="54">
        <f>IF(A818=0,VLOOKUP(D818,'03. Insumos'!A:F,4,0),"")</f>
        <v>1354</v>
      </c>
      <c r="L818" s="70">
        <f t="shared" si="99"/>
        <v>1354</v>
      </c>
      <c r="M818" s="153">
        <f t="shared" ca="1" si="102"/>
        <v>2.3381847550971014E-5</v>
      </c>
      <c r="O818" s="148">
        <f t="shared" si="100"/>
        <v>1354</v>
      </c>
      <c r="R818" s="12">
        <f t="shared" si="101"/>
        <v>-39.436893203883528</v>
      </c>
    </row>
    <row r="819" spans="1:18" s="51" customFormat="1" ht="13.5" customHeight="1" outlineLevel="1" x14ac:dyDescent="0.3">
      <c r="A819" s="290">
        <f t="shared" si="95"/>
        <v>0</v>
      </c>
      <c r="B819" s="49"/>
      <c r="C819" s="49"/>
      <c r="D819" s="140" t="s">
        <v>2723</v>
      </c>
      <c r="E819" s="67" t="str">
        <f>VLOOKUP(D819,'03. Insumos'!A:D,2,0)</f>
        <v>Misturador Docol Monocomando para cozinha de mesa Orbit Cód 00738816</v>
      </c>
      <c r="F819" s="68" t="s">
        <v>2613</v>
      </c>
      <c r="G819" s="68" t="str">
        <f>VLOOKUP(D819,'03. Insumos'!A:F,3,0)</f>
        <v>unid</v>
      </c>
      <c r="H819" s="69">
        <v>1</v>
      </c>
      <c r="I819" s="141">
        <v>1</v>
      </c>
      <c r="J819" s="70">
        <f t="shared" si="98"/>
        <v>1475.9</v>
      </c>
      <c r="K819" s="54">
        <f>IF(A819=0,VLOOKUP(D819,'03. Insumos'!A:F,4,0),"")</f>
        <v>1475.9</v>
      </c>
      <c r="L819" s="70">
        <f t="shared" si="99"/>
        <v>1475.9</v>
      </c>
      <c r="M819" s="153">
        <f t="shared" ca="1" si="102"/>
        <v>2.548690457937823E-5</v>
      </c>
      <c r="O819" s="148">
        <f t="shared" si="100"/>
        <v>1475.9</v>
      </c>
      <c r="R819" s="12">
        <f t="shared" si="101"/>
        <v>-42.987378640776797</v>
      </c>
    </row>
    <row r="820" spans="1:18" s="51" customFormat="1" ht="13.5" customHeight="1" outlineLevel="1" x14ac:dyDescent="0.3">
      <c r="A820" s="290">
        <f t="shared" si="95"/>
        <v>0</v>
      </c>
      <c r="B820" s="49"/>
      <c r="C820" s="49"/>
      <c r="D820" s="140" t="s">
        <v>854</v>
      </c>
      <c r="E820" s="67" t="str">
        <f>VLOOKUP(D820,'03. Insumos'!A:D,2,0)</f>
        <v>Ralo 15 x 15</v>
      </c>
      <c r="F820" s="68" t="s">
        <v>2613</v>
      </c>
      <c r="G820" s="68" t="str">
        <f>VLOOKUP(D820,'03. Insumos'!A:F,3,0)</f>
        <v>unid</v>
      </c>
      <c r="H820" s="69">
        <v>1</v>
      </c>
      <c r="I820" s="141">
        <v>15</v>
      </c>
      <c r="J820" s="70">
        <f t="shared" si="98"/>
        <v>75.59</v>
      </c>
      <c r="K820" s="54">
        <f>IF(A820=0,VLOOKUP(D820,'03. Insumos'!A:F,4,0),"")</f>
        <v>75.59</v>
      </c>
      <c r="L820" s="70">
        <f t="shared" si="99"/>
        <v>1133.8500000000001</v>
      </c>
      <c r="M820" s="153">
        <f t="shared" ca="1" si="102"/>
        <v>1.9580138733876284E-5</v>
      </c>
      <c r="O820" s="148">
        <f t="shared" si="100"/>
        <v>1133.8500000000001</v>
      </c>
      <c r="R820" s="12"/>
    </row>
    <row r="821" spans="1:18" s="51" customFormat="1" ht="13.5" customHeight="1" outlineLevel="1" x14ac:dyDescent="0.3">
      <c r="A821" s="290">
        <f t="shared" si="95"/>
        <v>0</v>
      </c>
      <c r="B821" s="49"/>
      <c r="C821" s="49"/>
      <c r="D821" s="140" t="s">
        <v>2822</v>
      </c>
      <c r="E821" s="67" t="str">
        <f>VLOOKUP(D821,'03. Insumos'!A:D,2,0)</f>
        <v>Base para para válvula de descarga Hydra Max, 4550.114</v>
      </c>
      <c r="F821" s="68" t="s">
        <v>2613</v>
      </c>
      <c r="G821" s="68" t="str">
        <f>VLOOKUP(D821,'03. Insumos'!A:F,3,0)</f>
        <v>unid</v>
      </c>
      <c r="H821" s="69">
        <v>1</v>
      </c>
      <c r="I821" s="141">
        <v>2</v>
      </c>
      <c r="J821" s="70">
        <f t="shared" si="98"/>
        <v>76.31</v>
      </c>
      <c r="K821" s="54">
        <f>IF(A821=0,VLOOKUP(D821,'03. Insumos'!A:F,4,0),"")</f>
        <v>76.31</v>
      </c>
      <c r="L821" s="70">
        <f t="shared" si="99"/>
        <v>152.62</v>
      </c>
      <c r="M821" s="153">
        <f t="shared" ca="1" si="102"/>
        <v>2.6355521220304254E-6</v>
      </c>
      <c r="O821" s="148">
        <f t="shared" si="100"/>
        <v>152.62</v>
      </c>
      <c r="R821" s="12"/>
    </row>
    <row r="822" spans="1:18" s="51" customFormat="1" ht="13.5" customHeight="1" outlineLevel="1" x14ac:dyDescent="0.3">
      <c r="A822" s="290">
        <f t="shared" si="95"/>
        <v>0</v>
      </c>
      <c r="B822" s="49"/>
      <c r="C822" s="49"/>
      <c r="D822" s="140" t="s">
        <v>2839</v>
      </c>
      <c r="E822" s="67" t="str">
        <f>VLOOKUP(D822,'03. Insumos'!A:D,2,0)</f>
        <v>Ralo Square 15x15 revestido com o revestimento do piso</v>
      </c>
      <c r="F822" s="68" t="s">
        <v>2613</v>
      </c>
      <c r="G822" s="68" t="str">
        <f>VLOOKUP(D822,'03. Insumos'!A:F,3,0)</f>
        <v>unid</v>
      </c>
      <c r="H822" s="69">
        <v>1</v>
      </c>
      <c r="I822" s="141">
        <v>3</v>
      </c>
      <c r="J822" s="70">
        <f t="shared" si="98"/>
        <v>175.9</v>
      </c>
      <c r="K822" s="54">
        <f>IF(A822=0,VLOOKUP(D822,'03. Insumos'!A:F,4,0),"")</f>
        <v>175.9</v>
      </c>
      <c r="L822" s="70">
        <f t="shared" si="99"/>
        <v>527.70000000000005</v>
      </c>
      <c r="M822" s="153">
        <f t="shared" ca="1" si="102"/>
        <v>9.1127038055002993E-6</v>
      </c>
      <c r="O822" s="148">
        <f t="shared" si="100"/>
        <v>527.70000000000005</v>
      </c>
      <c r="R822" s="12"/>
    </row>
    <row r="823" spans="1:18" s="51" customFormat="1" ht="13.5" hidden="1" customHeight="1" outlineLevel="1" x14ac:dyDescent="0.3">
      <c r="A823" s="290">
        <f t="shared" si="95"/>
        <v>0</v>
      </c>
      <c r="B823" s="49"/>
      <c r="C823" s="49"/>
      <c r="D823" s="140"/>
      <c r="E823" s="67" t="e">
        <f>VLOOKUP(D823,'03. Insumos'!A:D,2,0)</f>
        <v>#N/A</v>
      </c>
      <c r="F823" s="68" t="s">
        <v>2613</v>
      </c>
      <c r="G823" s="68" t="e">
        <f>VLOOKUP(D823,'03. Insumos'!A:F,3,0)</f>
        <v>#N/A</v>
      </c>
      <c r="H823" s="141">
        <v>1</v>
      </c>
      <c r="I823" s="141"/>
      <c r="J823" s="70">
        <f t="shared" si="98"/>
        <v>0</v>
      </c>
      <c r="K823" s="54" t="e">
        <f>IF(A823=0,VLOOKUP(D823,'03. Insumos'!A:F,4,0),"")</f>
        <v>#N/A</v>
      </c>
      <c r="L823" s="70">
        <f t="shared" si="99"/>
        <v>0</v>
      </c>
      <c r="M823" s="153">
        <f t="shared" ca="1" si="102"/>
        <v>0</v>
      </c>
      <c r="O823" s="148">
        <f>IF(I823&lt;&gt;0,I823*H823*K823,)</f>
        <v>0</v>
      </c>
      <c r="R823" s="12">
        <f>IF(J823&lt;&gt;0,J823/1.03-K823,0)</f>
        <v>0</v>
      </c>
    </row>
    <row r="824" spans="1:18" s="51" customFormat="1" ht="13.5" hidden="1" customHeight="1" outlineLevel="1" x14ac:dyDescent="0.3">
      <c r="A824" s="290">
        <f t="shared" si="95"/>
        <v>0</v>
      </c>
      <c r="B824" s="49"/>
      <c r="C824" s="49"/>
      <c r="D824" s="140"/>
      <c r="E824" s="67" t="e">
        <f>VLOOKUP(D824,'03. Insumos'!A:D,2,0)</f>
        <v>#N/A</v>
      </c>
      <c r="F824" s="68" t="s">
        <v>2613</v>
      </c>
      <c r="G824" s="68" t="e">
        <f>VLOOKUP(D824,'03. Insumos'!A:F,3,0)</f>
        <v>#N/A</v>
      </c>
      <c r="H824" s="141">
        <v>1</v>
      </c>
      <c r="I824" s="141"/>
      <c r="J824" s="70">
        <f t="shared" si="98"/>
        <v>0</v>
      </c>
      <c r="K824" s="54" t="e">
        <f>IF(A824=0,VLOOKUP(D824,'03. Insumos'!A:F,4,0),"")</f>
        <v>#N/A</v>
      </c>
      <c r="L824" s="70">
        <f t="shared" si="99"/>
        <v>0</v>
      </c>
      <c r="M824" s="153">
        <f t="shared" ca="1" si="102"/>
        <v>0</v>
      </c>
      <c r="O824" s="148">
        <f>IF(I824&lt;&gt;0,I824*H824*K824,)</f>
        <v>0</v>
      </c>
      <c r="R824" s="12"/>
    </row>
    <row r="825" spans="1:18" s="51" customFormat="1" ht="13.5" hidden="1" customHeight="1" outlineLevel="1" x14ac:dyDescent="0.3">
      <c r="A825" s="290">
        <f t="shared" si="95"/>
        <v>0</v>
      </c>
      <c r="B825" s="49"/>
      <c r="C825" s="49"/>
      <c r="D825" s="140"/>
      <c r="E825" s="67" t="e">
        <f>VLOOKUP(D825,'03. Insumos'!A:D,2,0)</f>
        <v>#N/A</v>
      </c>
      <c r="F825" s="68" t="s">
        <v>2613</v>
      </c>
      <c r="G825" s="68" t="e">
        <f>VLOOKUP(D825,'03. Insumos'!A:F,3,0)</f>
        <v>#N/A</v>
      </c>
      <c r="H825" s="141">
        <v>1</v>
      </c>
      <c r="I825" s="141"/>
      <c r="J825" s="70">
        <f t="shared" si="98"/>
        <v>0</v>
      </c>
      <c r="K825" s="54" t="e">
        <f>IF(A825=0,VLOOKUP(D825,'03. Insumos'!A:F,4,0),"")</f>
        <v>#N/A</v>
      </c>
      <c r="L825" s="70">
        <f t="shared" si="99"/>
        <v>0</v>
      </c>
      <c r="M825" s="153">
        <f t="shared" ca="1" si="102"/>
        <v>0</v>
      </c>
      <c r="O825" s="148">
        <f>IF(I825&lt;&gt;0,I825*H825*K825,)</f>
        <v>0</v>
      </c>
      <c r="R825" s="12"/>
    </row>
    <row r="826" spans="1:18" s="51" customFormat="1" ht="13.5" customHeight="1" outlineLevel="1" x14ac:dyDescent="0.3">
      <c r="A826" s="290">
        <f t="shared" si="95"/>
        <v>6</v>
      </c>
      <c r="B826" s="49"/>
      <c r="C826" s="55" t="s">
        <v>1545</v>
      </c>
      <c r="D826" s="55" t="s">
        <v>2735</v>
      </c>
      <c r="E826" s="67"/>
      <c r="F826" s="68"/>
      <c r="G826" s="68"/>
      <c r="H826" s="69"/>
      <c r="I826" s="141"/>
      <c r="J826" s="70"/>
      <c r="K826" s="54"/>
      <c r="L826" s="58">
        <f>SUM(L827:L832)</f>
        <v>3439</v>
      </c>
      <c r="M826" s="153">
        <f t="shared" ca="1" si="102"/>
        <v>5.9387129784187086E-5</v>
      </c>
      <c r="O826" s="148"/>
      <c r="R826" s="12"/>
    </row>
    <row r="827" spans="1:18" s="51" customFormat="1" ht="13.5" customHeight="1" outlineLevel="1" x14ac:dyDescent="0.3">
      <c r="A827" s="290">
        <f t="shared" si="95"/>
        <v>0</v>
      </c>
      <c r="B827" s="49"/>
      <c r="C827" s="49"/>
      <c r="D827" s="140" t="s">
        <v>2727</v>
      </c>
      <c r="E827" s="67" t="str">
        <f>VLOOKUP(D827,'03. Insumos'!A:D,2,0)</f>
        <v>Purificador Duplimax 5" DM5BR Springway sem torneira (sob bancada)</v>
      </c>
      <c r="F827" s="68" t="s">
        <v>2613</v>
      </c>
      <c r="G827" s="68" t="str">
        <f>VLOOKUP(D827,'03. Insumos'!A:F,3,0)</f>
        <v>unid</v>
      </c>
      <c r="H827" s="69">
        <v>1</v>
      </c>
      <c r="I827" s="141">
        <v>1</v>
      </c>
      <c r="J827" s="70">
        <f t="shared" ref="J827:J832" si="103">IFERROR(IF(K827&lt;&gt;0,K827*$K$5,0),0)</f>
        <v>449</v>
      </c>
      <c r="K827" s="54">
        <f>IF(A827=0,VLOOKUP(D827,'03. Insumos'!A:F,4,0),"")</f>
        <v>449</v>
      </c>
      <c r="L827" s="70">
        <f t="shared" ref="L827:L832" si="104">H827*J827*I827</f>
        <v>449</v>
      </c>
      <c r="M827" s="153">
        <f t="shared" ca="1" si="102"/>
        <v>7.7536555025007275E-6</v>
      </c>
      <c r="O827" s="148"/>
      <c r="R827" s="12"/>
    </row>
    <row r="828" spans="1:18" s="51" customFormat="1" ht="13.5" customHeight="1" outlineLevel="1" x14ac:dyDescent="0.3">
      <c r="A828" s="290">
        <f t="shared" si="95"/>
        <v>0</v>
      </c>
      <c r="B828" s="49"/>
      <c r="C828" s="49"/>
      <c r="D828" s="140" t="s">
        <v>2728</v>
      </c>
      <c r="E828" s="67" t="str">
        <f>VLOOKUP(D828,'03. Insumos'!A:D,2,0)</f>
        <v>Triturador Insinkerator Evolution 200 com acionamento pneumático</v>
      </c>
      <c r="F828" s="68" t="s">
        <v>2613</v>
      </c>
      <c r="G828" s="68" t="str">
        <f>VLOOKUP(D828,'03. Insumos'!A:F,3,0)</f>
        <v>unid</v>
      </c>
      <c r="H828" s="69">
        <v>1</v>
      </c>
      <c r="I828" s="141">
        <v>1</v>
      </c>
      <c r="J828" s="70">
        <f t="shared" si="103"/>
        <v>2990</v>
      </c>
      <c r="K828" s="54">
        <f>IF(A828=0,VLOOKUP(D828,'03. Insumos'!A:F,4,0),"")</f>
        <v>2990</v>
      </c>
      <c r="L828" s="70">
        <f t="shared" si="104"/>
        <v>2990</v>
      </c>
      <c r="M828" s="153">
        <f t="shared" ca="1" si="102"/>
        <v>5.1633474281686358E-5</v>
      </c>
      <c r="O828" s="148"/>
      <c r="R828" s="12"/>
    </row>
    <row r="829" spans="1:18" s="51" customFormat="1" ht="13.5" hidden="1" customHeight="1" outlineLevel="1" x14ac:dyDescent="0.3">
      <c r="A829" s="290">
        <f t="shared" si="95"/>
        <v>0</v>
      </c>
      <c r="B829" s="49"/>
      <c r="C829" s="49"/>
      <c r="D829" s="140" t="s">
        <v>859</v>
      </c>
      <c r="E829" s="49" t="str">
        <f>VLOOKUP(D829,'03. Insumos'!A:D,2,0)</f>
        <v>Acabamento de registro linha Spin 1/2 a 3/4</v>
      </c>
      <c r="F829" s="68"/>
      <c r="G829" s="68" t="str">
        <f>VLOOKUP(D829,'03. Insumos'!A:F,3,0)</f>
        <v>unid</v>
      </c>
      <c r="H829" s="69">
        <v>1</v>
      </c>
      <c r="I829" s="141"/>
      <c r="J829" s="70">
        <f t="shared" si="103"/>
        <v>170.05</v>
      </c>
      <c r="K829" s="54">
        <f>IF(A829=0,VLOOKUP(D829,'03. Insumos'!A:F,4,0),"")</f>
        <v>170.05</v>
      </c>
      <c r="L829" s="338">
        <f t="shared" si="104"/>
        <v>0</v>
      </c>
      <c r="M829" s="153">
        <f t="shared" ca="1" si="102"/>
        <v>0</v>
      </c>
      <c r="O829" s="148"/>
      <c r="R829" s="12"/>
    </row>
    <row r="830" spans="1:18" s="51" customFormat="1" ht="13.5" hidden="1" customHeight="1" outlineLevel="1" x14ac:dyDescent="0.3">
      <c r="A830" s="290">
        <f t="shared" si="95"/>
        <v>0</v>
      </c>
      <c r="B830" s="49"/>
      <c r="C830" s="49"/>
      <c r="D830" s="140" t="s">
        <v>860</v>
      </c>
      <c r="E830" s="49" t="str">
        <f>VLOOKUP(D830,'03. Insumos'!A:D,2,0)</f>
        <v xml:space="preserve">Sifão para Cozinha 11/2"X11/2" Cromado </v>
      </c>
      <c r="F830" s="68"/>
      <c r="G830" s="68" t="str">
        <f>VLOOKUP(D830,'03. Insumos'!A:F,3,0)</f>
        <v>unid</v>
      </c>
      <c r="H830" s="69">
        <v>1</v>
      </c>
      <c r="I830" s="141"/>
      <c r="J830" s="70">
        <f t="shared" si="103"/>
        <v>77.63</v>
      </c>
      <c r="K830" s="54">
        <f>IF(A830=0,VLOOKUP(D830,'03. Insumos'!A:F,4,0),"")</f>
        <v>77.63</v>
      </c>
      <c r="L830" s="338">
        <f t="shared" si="104"/>
        <v>0</v>
      </c>
      <c r="M830" s="153">
        <f t="shared" ca="1" si="102"/>
        <v>0</v>
      </c>
      <c r="O830" s="148"/>
      <c r="R830" s="12"/>
    </row>
    <row r="831" spans="1:18" s="51" customFormat="1" ht="13.5" hidden="1" customHeight="1" outlineLevel="1" x14ac:dyDescent="0.3">
      <c r="A831" s="290">
        <f t="shared" si="95"/>
        <v>0</v>
      </c>
      <c r="B831" s="49"/>
      <c r="C831" s="49"/>
      <c r="D831" s="140" t="s">
        <v>872</v>
      </c>
      <c r="E831" s="49" t="str">
        <f>VLOOKUP(D831,'03. Insumos'!A:D,2,0)</f>
        <v>Válvula americana para pia de cozinha</v>
      </c>
      <c r="F831" s="68"/>
      <c r="G831" s="68" t="str">
        <f>VLOOKUP(D831,'03. Insumos'!A:F,3,0)</f>
        <v>unid</v>
      </c>
      <c r="H831" s="69">
        <v>1</v>
      </c>
      <c r="I831" s="141"/>
      <c r="J831" s="70">
        <f t="shared" si="103"/>
        <v>36.18</v>
      </c>
      <c r="K831" s="54">
        <f>IF(A831=0,VLOOKUP(D831,'03. Insumos'!A:F,4,0),"")</f>
        <v>36.18</v>
      </c>
      <c r="L831" s="338">
        <f t="shared" si="104"/>
        <v>0</v>
      </c>
      <c r="M831" s="153">
        <f t="shared" ca="1" si="102"/>
        <v>0</v>
      </c>
      <c r="O831" s="148"/>
      <c r="R831" s="12"/>
    </row>
    <row r="832" spans="1:18" s="51" customFormat="1" ht="13.5" hidden="1" customHeight="1" outlineLevel="1" x14ac:dyDescent="0.3">
      <c r="A832" s="290">
        <f t="shared" si="95"/>
        <v>0</v>
      </c>
      <c r="B832" s="49"/>
      <c r="C832" s="49"/>
      <c r="D832" s="140" t="s">
        <v>856</v>
      </c>
      <c r="E832" s="49" t="str">
        <f>VLOOKUP(D832,'03. Insumos'!A:D,2,0)</f>
        <v>Flexível 40 cm</v>
      </c>
      <c r="F832" s="68"/>
      <c r="G832" s="68" t="str">
        <f>VLOOKUP(D832,'03. Insumos'!A:F,3,0)</f>
        <v>unid</v>
      </c>
      <c r="H832" s="69">
        <v>1</v>
      </c>
      <c r="I832" s="141"/>
      <c r="J832" s="70">
        <f t="shared" si="103"/>
        <v>16.2</v>
      </c>
      <c r="K832" s="54">
        <f>IF(A832=0,VLOOKUP(D832,'03. Insumos'!A:F,4,0),"")</f>
        <v>16.2</v>
      </c>
      <c r="L832" s="338">
        <f t="shared" si="104"/>
        <v>0</v>
      </c>
      <c r="M832" s="153">
        <f t="shared" ca="1" si="102"/>
        <v>0</v>
      </c>
      <c r="O832" s="148"/>
      <c r="R832" s="12"/>
    </row>
    <row r="833" spans="1:18" s="51" customFormat="1" ht="13.5" hidden="1" customHeight="1" outlineLevel="1" x14ac:dyDescent="0.3">
      <c r="A833" s="13">
        <f t="shared" si="95"/>
        <v>6</v>
      </c>
      <c r="B833" s="49"/>
      <c r="C833" s="55" t="s">
        <v>1204</v>
      </c>
      <c r="D833" s="55" t="s">
        <v>1547</v>
      </c>
      <c r="E833" s="49"/>
      <c r="F833" s="68"/>
      <c r="G833" s="68"/>
      <c r="H833" s="69"/>
      <c r="I833" s="141"/>
      <c r="J833" s="70"/>
      <c r="K833" s="54"/>
      <c r="L833" s="58">
        <f>SUM(L834:L839)</f>
        <v>0</v>
      </c>
      <c r="M833" s="355">
        <f t="shared" ca="1" si="102"/>
        <v>0</v>
      </c>
      <c r="O833" s="148"/>
      <c r="R833" s="356"/>
    </row>
    <row r="834" spans="1:18" s="51" customFormat="1" ht="13.5" hidden="1" customHeight="1" outlineLevel="1" x14ac:dyDescent="0.3">
      <c r="A834" s="13">
        <f t="shared" si="95"/>
        <v>0</v>
      </c>
      <c r="B834" s="49"/>
      <c r="C834" s="49"/>
      <c r="D834" s="140" t="s">
        <v>861</v>
      </c>
      <c r="E834" s="49" t="str">
        <f>VLOOKUP(D834,'03. Insumos'!A:D,2,0)</f>
        <v>Tanque inox 50 x 40 alto brilho 32 L</v>
      </c>
      <c r="F834" s="68"/>
      <c r="G834" s="68" t="str">
        <f>VLOOKUP(D834,'03. Insumos'!A:F,3,0)</f>
        <v>unid</v>
      </c>
      <c r="H834" s="69">
        <v>1</v>
      </c>
      <c r="I834" s="141"/>
      <c r="J834" s="70">
        <f t="shared" ref="J834:J839" si="105">IFERROR(IF(K834&lt;&gt;0,K834*$K$5,0),0)</f>
        <v>396.08</v>
      </c>
      <c r="K834" s="54">
        <f>IF(A834=0,VLOOKUP(D834,'03. Insumos'!A:F,4,0),"")</f>
        <v>396.08</v>
      </c>
      <c r="L834" s="70">
        <f t="shared" ref="L834:L839" si="106">H834*J834*I834</f>
        <v>0</v>
      </c>
      <c r="M834" s="355">
        <f t="shared" ca="1" si="102"/>
        <v>0</v>
      </c>
      <c r="O834" s="148"/>
      <c r="R834" s="356"/>
    </row>
    <row r="835" spans="1:18" s="51" customFormat="1" ht="13.5" hidden="1" customHeight="1" outlineLevel="1" x14ac:dyDescent="0.3">
      <c r="A835" s="13">
        <f t="shared" si="95"/>
        <v>0</v>
      </c>
      <c r="B835" s="49"/>
      <c r="C835" s="49"/>
      <c r="D835" s="140" t="s">
        <v>862</v>
      </c>
      <c r="E835" s="49" t="str">
        <f>VLOOKUP(D835,'03. Insumos'!A:D,2,0)</f>
        <v>Torneira de mesa bica móvel Link para tanque 1166 C.LNK</v>
      </c>
      <c r="F835" s="68"/>
      <c r="G835" s="68" t="str">
        <f>VLOOKUP(D835,'03. Insumos'!A:F,3,0)</f>
        <v>unid</v>
      </c>
      <c r="H835" s="69">
        <v>1</v>
      </c>
      <c r="I835" s="141"/>
      <c r="J835" s="70">
        <f t="shared" si="105"/>
        <v>236.38</v>
      </c>
      <c r="K835" s="54">
        <f>IF(A835=0,VLOOKUP(D835,'03. Insumos'!A:F,4,0),"")</f>
        <v>236.38</v>
      </c>
      <c r="L835" s="70">
        <f t="shared" si="106"/>
        <v>0</v>
      </c>
      <c r="M835" s="355">
        <f t="shared" ca="1" si="102"/>
        <v>0</v>
      </c>
      <c r="O835" s="148"/>
      <c r="R835" s="356"/>
    </row>
    <row r="836" spans="1:18" s="51" customFormat="1" ht="13.5" hidden="1" customHeight="1" outlineLevel="1" x14ac:dyDescent="0.3">
      <c r="A836" s="13">
        <f t="shared" si="95"/>
        <v>0</v>
      </c>
      <c r="B836" s="49"/>
      <c r="C836" s="49"/>
      <c r="D836" s="140" t="s">
        <v>859</v>
      </c>
      <c r="E836" s="49" t="str">
        <f>VLOOKUP(D836,'03. Insumos'!A:D,2,0)</f>
        <v>Acabamento de registro linha Spin 1/2 a 3/4</v>
      </c>
      <c r="F836" s="68"/>
      <c r="G836" s="68" t="str">
        <f>VLOOKUP(D836,'03. Insumos'!A:F,3,0)</f>
        <v>unid</v>
      </c>
      <c r="H836" s="69">
        <v>1</v>
      </c>
      <c r="I836" s="141"/>
      <c r="J836" s="70">
        <f t="shared" si="105"/>
        <v>170.05</v>
      </c>
      <c r="K836" s="54">
        <f>IF(A836=0,VLOOKUP(D836,'03. Insumos'!A:F,4,0),"")</f>
        <v>170.05</v>
      </c>
      <c r="L836" s="70">
        <f t="shared" si="106"/>
        <v>0</v>
      </c>
      <c r="M836" s="355">
        <f t="shared" ca="1" si="102"/>
        <v>0</v>
      </c>
      <c r="O836" s="148"/>
      <c r="R836" s="356"/>
    </row>
    <row r="837" spans="1:18" s="51" customFormat="1" ht="13.5" hidden="1" customHeight="1" outlineLevel="1" x14ac:dyDescent="0.3">
      <c r="A837" s="13">
        <f t="shared" si="95"/>
        <v>0</v>
      </c>
      <c r="B837" s="49"/>
      <c r="C837" s="49"/>
      <c r="D837" s="140" t="s">
        <v>860</v>
      </c>
      <c r="E837" s="49" t="str">
        <f>VLOOKUP(D837,'03. Insumos'!A:D,2,0)</f>
        <v xml:space="preserve">Sifão para Cozinha 11/2"X11/2" Cromado </v>
      </c>
      <c r="F837" s="68"/>
      <c r="G837" s="68" t="str">
        <f>VLOOKUP(D837,'03. Insumos'!A:F,3,0)</f>
        <v>unid</v>
      </c>
      <c r="H837" s="69">
        <v>1</v>
      </c>
      <c r="I837" s="141"/>
      <c r="J837" s="70">
        <f t="shared" si="105"/>
        <v>77.63</v>
      </c>
      <c r="K837" s="54">
        <f>IF(A837=0,VLOOKUP(D837,'03. Insumos'!A:F,4,0),"")</f>
        <v>77.63</v>
      </c>
      <c r="L837" s="70">
        <f t="shared" si="106"/>
        <v>0</v>
      </c>
      <c r="M837" s="355">
        <f t="shared" ca="1" si="102"/>
        <v>0</v>
      </c>
      <c r="O837" s="148"/>
      <c r="R837" s="356"/>
    </row>
    <row r="838" spans="1:18" s="51" customFormat="1" ht="13.5" hidden="1" customHeight="1" outlineLevel="1" x14ac:dyDescent="0.3">
      <c r="A838" s="13">
        <f t="shared" si="95"/>
        <v>0</v>
      </c>
      <c r="B838" s="49"/>
      <c r="C838" s="49"/>
      <c r="D838" s="140" t="s">
        <v>872</v>
      </c>
      <c r="E838" s="49" t="str">
        <f>VLOOKUP(D838,'03. Insumos'!A:D,2,0)</f>
        <v>Válvula americana para pia de cozinha</v>
      </c>
      <c r="F838" s="68"/>
      <c r="G838" s="68" t="str">
        <f>VLOOKUP(D838,'03. Insumos'!A:F,3,0)</f>
        <v>unid</v>
      </c>
      <c r="H838" s="69">
        <v>1</v>
      </c>
      <c r="I838" s="141"/>
      <c r="J838" s="70">
        <f t="shared" si="105"/>
        <v>36.18</v>
      </c>
      <c r="K838" s="54">
        <f>IF(A838=0,VLOOKUP(D838,'03. Insumos'!A:F,4,0),"")</f>
        <v>36.18</v>
      </c>
      <c r="L838" s="70">
        <f t="shared" si="106"/>
        <v>0</v>
      </c>
      <c r="M838" s="355">
        <f t="shared" ca="1" si="102"/>
        <v>0</v>
      </c>
      <c r="O838" s="148"/>
      <c r="R838" s="356"/>
    </row>
    <row r="839" spans="1:18" s="51" customFormat="1" ht="13.5" hidden="1" customHeight="1" outlineLevel="1" x14ac:dyDescent="0.3">
      <c r="A839" s="13">
        <f t="shared" si="95"/>
        <v>0</v>
      </c>
      <c r="B839" s="49"/>
      <c r="C839" s="49"/>
      <c r="D839" s="140" t="s">
        <v>856</v>
      </c>
      <c r="E839" s="49" t="str">
        <f>VLOOKUP(D839,'03. Insumos'!A:D,2,0)</f>
        <v>Flexível 40 cm</v>
      </c>
      <c r="F839" s="68"/>
      <c r="G839" s="68" t="str">
        <f>VLOOKUP(D839,'03. Insumos'!A:F,3,0)</f>
        <v>unid</v>
      </c>
      <c r="H839" s="69">
        <v>1</v>
      </c>
      <c r="I839" s="141"/>
      <c r="J839" s="70">
        <f t="shared" si="105"/>
        <v>16.2</v>
      </c>
      <c r="K839" s="54">
        <f>IF(A839=0,VLOOKUP(D839,'03. Insumos'!A:F,4,0),"")</f>
        <v>16.2</v>
      </c>
      <c r="L839" s="70">
        <f t="shared" si="106"/>
        <v>0</v>
      </c>
      <c r="M839" s="355">
        <f t="shared" ca="1" si="102"/>
        <v>0</v>
      </c>
      <c r="O839" s="148"/>
      <c r="R839" s="356"/>
    </row>
    <row r="840" spans="1:18" s="51" customFormat="1" ht="13.5" hidden="1" customHeight="1" outlineLevel="1" x14ac:dyDescent="0.3">
      <c r="A840" s="13">
        <f t="shared" si="95"/>
        <v>6</v>
      </c>
      <c r="B840" s="49"/>
      <c r="C840" s="55" t="s">
        <v>1548</v>
      </c>
      <c r="D840" s="55" t="s">
        <v>1549</v>
      </c>
      <c r="E840" s="49"/>
      <c r="F840" s="68"/>
      <c r="G840" s="68"/>
      <c r="H840" s="69"/>
      <c r="I840" s="141"/>
      <c r="J840" s="70"/>
      <c r="K840" s="54"/>
      <c r="L840" s="58">
        <f>SUM(L841:L853)</f>
        <v>0</v>
      </c>
      <c r="M840" s="355">
        <f t="shared" ca="1" si="102"/>
        <v>0</v>
      </c>
      <c r="O840" s="148"/>
      <c r="R840" s="356"/>
    </row>
    <row r="841" spans="1:18" s="51" customFormat="1" ht="13.5" hidden="1" customHeight="1" outlineLevel="1" x14ac:dyDescent="0.3">
      <c r="A841" s="13">
        <f t="shared" si="95"/>
        <v>0</v>
      </c>
      <c r="B841" s="49"/>
      <c r="C841" s="55"/>
      <c r="D841" s="140" t="s">
        <v>848</v>
      </c>
      <c r="E841" s="49" t="str">
        <f>VLOOKUP(D841,'03. Insumos'!A:D,2,0)</f>
        <v>Bacia convencional linha Duna P7.17</v>
      </c>
      <c r="F841" s="68"/>
      <c r="G841" s="68" t="str">
        <f>VLOOKUP(D841,'03. Insumos'!A:F,3,0)</f>
        <v>unid</v>
      </c>
      <c r="H841" s="69">
        <v>1</v>
      </c>
      <c r="I841" s="141"/>
      <c r="J841" s="70">
        <f t="shared" ref="J841:J853" si="107">IFERROR(IF(K841&lt;&gt;0,K841*$K$5,0),0)</f>
        <v>266.5</v>
      </c>
      <c r="K841" s="54">
        <f>IF(A841=0,VLOOKUP(D841,'03. Insumos'!A:F,4,0),"")</f>
        <v>266.5</v>
      </c>
      <c r="L841" s="70">
        <f t="shared" ref="L841:L853" si="108">H841*J841*I841</f>
        <v>0</v>
      </c>
      <c r="M841" s="355">
        <f t="shared" ca="1" si="102"/>
        <v>0</v>
      </c>
      <c r="O841" s="148"/>
      <c r="R841" s="356"/>
    </row>
    <row r="842" spans="1:18" s="51" customFormat="1" ht="13.5" hidden="1" customHeight="1" outlineLevel="1" x14ac:dyDescent="0.3">
      <c r="A842" s="13">
        <f t="shared" si="95"/>
        <v>0</v>
      </c>
      <c r="B842" s="49"/>
      <c r="C842" s="55"/>
      <c r="D842" s="140" t="s">
        <v>863</v>
      </c>
      <c r="E842" s="49" t="str">
        <f>VLOOKUP(D842,'03. Insumos'!A:D,2,0)</f>
        <v>Cuba quadrada de embutir L701</v>
      </c>
      <c r="F842" s="68"/>
      <c r="G842" s="68" t="str">
        <f>VLOOKUP(D842,'03. Insumos'!A:F,3,0)</f>
        <v>unid</v>
      </c>
      <c r="H842" s="69">
        <v>1</v>
      </c>
      <c r="I842" s="141"/>
      <c r="J842" s="70">
        <f t="shared" si="107"/>
        <v>300.31</v>
      </c>
      <c r="K842" s="54">
        <f>IF(A842=0,VLOOKUP(D842,'03. Insumos'!A:F,4,0),"")</f>
        <v>300.31</v>
      </c>
      <c r="L842" s="70">
        <f t="shared" si="108"/>
        <v>0</v>
      </c>
      <c r="M842" s="355">
        <f t="shared" ca="1" si="102"/>
        <v>0</v>
      </c>
      <c r="O842" s="148"/>
      <c r="R842" s="356"/>
    </row>
    <row r="843" spans="1:18" s="51" customFormat="1" ht="13.5" hidden="1" customHeight="1" outlineLevel="1" x14ac:dyDescent="0.3">
      <c r="A843" s="13">
        <f t="shared" si="95"/>
        <v>0</v>
      </c>
      <c r="B843" s="49"/>
      <c r="C843" s="55"/>
      <c r="D843" s="140" t="s">
        <v>864</v>
      </c>
      <c r="E843" s="49" t="str">
        <f>VLOOKUP(D843,'03. Insumos'!A:D,2,0)</f>
        <v>Misturador lavatório mesa bica alta linha Polo clássica 1877 C32</v>
      </c>
      <c r="F843" s="68"/>
      <c r="G843" s="68" t="str">
        <f>VLOOKUP(D843,'03. Insumos'!A:F,3,0)</f>
        <v>unid</v>
      </c>
      <c r="H843" s="69">
        <v>1</v>
      </c>
      <c r="I843" s="141"/>
      <c r="J843" s="70">
        <f t="shared" si="107"/>
        <v>476.08</v>
      </c>
      <c r="K843" s="54">
        <f>IF(A843=0,VLOOKUP(D843,'03. Insumos'!A:F,4,0),"")</f>
        <v>476.08</v>
      </c>
      <c r="L843" s="70">
        <f t="shared" si="108"/>
        <v>0</v>
      </c>
      <c r="M843" s="355">
        <f t="shared" ca="1" si="102"/>
        <v>0</v>
      </c>
      <c r="O843" s="148"/>
      <c r="R843" s="356"/>
    </row>
    <row r="844" spans="1:18" s="51" customFormat="1" ht="13.5" hidden="1" customHeight="1" outlineLevel="1" x14ac:dyDescent="0.3">
      <c r="A844" s="13">
        <f t="shared" si="95"/>
        <v>0</v>
      </c>
      <c r="B844" s="49"/>
      <c r="C844" s="55"/>
      <c r="D844" s="140" t="s">
        <v>850</v>
      </c>
      <c r="E844" s="49" t="str">
        <f>VLOOKUP(D844,'03. Insumos'!A:D,2,0)</f>
        <v>Válvula de descarga Hydra Plus Deca 2555 C114</v>
      </c>
      <c r="F844" s="68"/>
      <c r="G844" s="68" t="str">
        <f>VLOOKUP(D844,'03. Insumos'!A:F,3,0)</f>
        <v>unid</v>
      </c>
      <c r="H844" s="69">
        <v>1</v>
      </c>
      <c r="I844" s="141"/>
      <c r="J844" s="70">
        <f t="shared" si="107"/>
        <v>226.05</v>
      </c>
      <c r="K844" s="54">
        <f>IF(A844=0,VLOOKUP(D844,'03. Insumos'!A:F,4,0),"")</f>
        <v>226.05</v>
      </c>
      <c r="L844" s="70">
        <f t="shared" si="108"/>
        <v>0</v>
      </c>
      <c r="M844" s="355">
        <f t="shared" ca="1" si="102"/>
        <v>0</v>
      </c>
      <c r="O844" s="148"/>
      <c r="R844" s="356"/>
    </row>
    <row r="845" spans="1:18" s="51" customFormat="1" ht="13.5" hidden="1" customHeight="1" outlineLevel="1" x14ac:dyDescent="0.3">
      <c r="A845" s="13">
        <f t="shared" si="95"/>
        <v>0</v>
      </c>
      <c r="B845" s="49"/>
      <c r="C845" s="55"/>
      <c r="D845" s="140" t="s">
        <v>865</v>
      </c>
      <c r="E845" s="49" t="str">
        <f>VLOOKUP(D845,'03. Insumos'!A:D,2,0)</f>
        <v>Chuveiro Acqua plus sem tubo 1990CST</v>
      </c>
      <c r="F845" s="68"/>
      <c r="G845" s="68" t="str">
        <f>VLOOKUP(D845,'03. Insumos'!A:F,3,0)</f>
        <v>unid</v>
      </c>
      <c r="H845" s="69">
        <v>1</v>
      </c>
      <c r="I845" s="141"/>
      <c r="J845" s="70">
        <f t="shared" si="107"/>
        <v>309.69</v>
      </c>
      <c r="K845" s="54">
        <f>IF(A845=0,VLOOKUP(D845,'03. Insumos'!A:F,4,0),"")</f>
        <v>309.69</v>
      </c>
      <c r="L845" s="70">
        <f t="shared" si="108"/>
        <v>0</v>
      </c>
      <c r="M845" s="355">
        <f t="shared" ca="1" si="102"/>
        <v>0</v>
      </c>
      <c r="O845" s="148"/>
      <c r="R845" s="356"/>
    </row>
    <row r="846" spans="1:18" s="51" customFormat="1" ht="13.5" hidden="1" customHeight="1" outlineLevel="1" x14ac:dyDescent="0.3">
      <c r="A846" s="13">
        <f t="shared" si="95"/>
        <v>0</v>
      </c>
      <c r="B846" s="49"/>
      <c r="C846" s="55"/>
      <c r="D846" s="140" t="s">
        <v>866</v>
      </c>
      <c r="E846" s="49" t="str">
        <f>VLOOKUP(D846,'03. Insumos'!A:D,2,0)</f>
        <v>Ducha Higiênica linha polo clássica 1984.C32.ACT.CR</v>
      </c>
      <c r="F846" s="68"/>
      <c r="G846" s="68" t="str">
        <f>VLOOKUP(D846,'03. Insumos'!A:F,3,0)</f>
        <v>unid</v>
      </c>
      <c r="H846" s="69">
        <v>1</v>
      </c>
      <c r="I846" s="141"/>
      <c r="J846" s="70">
        <f t="shared" si="107"/>
        <v>219.73</v>
      </c>
      <c r="K846" s="54">
        <f>IF(A846=0,VLOOKUP(D846,'03. Insumos'!A:F,4,0),"")</f>
        <v>219.73</v>
      </c>
      <c r="L846" s="70">
        <f t="shared" si="108"/>
        <v>0</v>
      </c>
      <c r="M846" s="355">
        <f t="shared" ca="1" si="102"/>
        <v>0</v>
      </c>
      <c r="O846" s="148"/>
      <c r="R846" s="356"/>
    </row>
    <row r="847" spans="1:18" s="51" customFormat="1" ht="13.5" hidden="1" customHeight="1" outlineLevel="1" x14ac:dyDescent="0.3">
      <c r="A847" s="13">
        <f t="shared" si="95"/>
        <v>0</v>
      </c>
      <c r="B847" s="49"/>
      <c r="C847" s="55"/>
      <c r="D847" s="140" t="s">
        <v>851</v>
      </c>
      <c r="E847" s="49" t="str">
        <f>VLOOKUP(D847,'03. Insumos'!A:D,2,0)</f>
        <v>Acabamento de registro linha Polo Classica 1/2 a 3/4</v>
      </c>
      <c r="F847" s="68"/>
      <c r="G847" s="68" t="str">
        <f>VLOOKUP(D847,'03. Insumos'!A:F,3,0)</f>
        <v>unid</v>
      </c>
      <c r="H847" s="69">
        <v>1</v>
      </c>
      <c r="I847" s="141"/>
      <c r="J847" s="70">
        <f t="shared" si="107"/>
        <v>120.82</v>
      </c>
      <c r="K847" s="54">
        <f>IF(A847=0,VLOOKUP(D847,'03. Insumos'!A:F,4,0),"")</f>
        <v>120.82</v>
      </c>
      <c r="L847" s="70">
        <f t="shared" si="108"/>
        <v>0</v>
      </c>
      <c r="M847" s="355">
        <f t="shared" ca="1" si="102"/>
        <v>0</v>
      </c>
      <c r="O847" s="148"/>
      <c r="R847" s="356"/>
    </row>
    <row r="848" spans="1:18" s="51" customFormat="1" ht="13.5" hidden="1" customHeight="1" outlineLevel="1" x14ac:dyDescent="0.3">
      <c r="A848" s="13">
        <f t="shared" si="95"/>
        <v>0</v>
      </c>
      <c r="B848" s="49"/>
      <c r="C848" s="55"/>
      <c r="D848" s="140" t="s">
        <v>852</v>
      </c>
      <c r="E848" s="49" t="str">
        <f>VLOOKUP(D848,'03. Insumos'!A:D,2,0)</f>
        <v>Sifão para lavatório 1 x 11/2</v>
      </c>
      <c r="F848" s="68"/>
      <c r="G848" s="68" t="str">
        <f>VLOOKUP(D848,'03. Insumos'!A:F,3,0)</f>
        <v>unid</v>
      </c>
      <c r="H848" s="69">
        <v>1</v>
      </c>
      <c r="I848" s="141"/>
      <c r="J848" s="70">
        <f t="shared" si="107"/>
        <v>72.400000000000006</v>
      </c>
      <c r="K848" s="54">
        <f>IF(A848=0,VLOOKUP(D848,'03. Insumos'!A:F,4,0),"")</f>
        <v>72.400000000000006</v>
      </c>
      <c r="L848" s="70">
        <f t="shared" si="108"/>
        <v>0</v>
      </c>
      <c r="M848" s="355">
        <f t="shared" ca="1" si="102"/>
        <v>0</v>
      </c>
      <c r="O848" s="148"/>
      <c r="R848" s="356"/>
    </row>
    <row r="849" spans="1:18" s="51" customFormat="1" ht="13.5" hidden="1" customHeight="1" outlineLevel="1" x14ac:dyDescent="0.3">
      <c r="A849" s="13">
        <f t="shared" si="95"/>
        <v>0</v>
      </c>
      <c r="B849" s="49"/>
      <c r="C849" s="55"/>
      <c r="D849" s="140" t="s">
        <v>853</v>
      </c>
      <c r="E849" s="49" t="str">
        <f>VLOOKUP(D849,'03. Insumos'!A:D,2,0)</f>
        <v>Válvula para lavatório</v>
      </c>
      <c r="F849" s="68"/>
      <c r="G849" s="68" t="str">
        <f>VLOOKUP(D849,'03. Insumos'!A:F,3,0)</f>
        <v>unid</v>
      </c>
      <c r="H849" s="69">
        <v>1</v>
      </c>
      <c r="I849" s="141"/>
      <c r="J849" s="70">
        <f t="shared" si="107"/>
        <v>16.57</v>
      </c>
      <c r="K849" s="54">
        <f>IF(A849=0,VLOOKUP(D849,'03. Insumos'!A:F,4,0),"")</f>
        <v>16.57</v>
      </c>
      <c r="L849" s="70">
        <f t="shared" si="108"/>
        <v>0</v>
      </c>
      <c r="M849" s="355">
        <f t="shared" ca="1" si="102"/>
        <v>0</v>
      </c>
      <c r="O849" s="148"/>
      <c r="R849" s="356"/>
    </row>
    <row r="850" spans="1:18" s="51" customFormat="1" ht="13.5" hidden="1" customHeight="1" outlineLevel="1" x14ac:dyDescent="0.3">
      <c r="A850" s="13">
        <f t="shared" si="95"/>
        <v>0</v>
      </c>
      <c r="B850" s="49"/>
      <c r="C850" s="55"/>
      <c r="D850" s="140" t="s">
        <v>854</v>
      </c>
      <c r="E850" s="49" t="str">
        <f>VLOOKUP(D850,'03. Insumos'!A:D,2,0)</f>
        <v>Ralo 15 x 15</v>
      </c>
      <c r="F850" s="68"/>
      <c r="G850" s="68" t="str">
        <f>VLOOKUP(D850,'03. Insumos'!A:F,3,0)</f>
        <v>unid</v>
      </c>
      <c r="H850" s="69">
        <v>1</v>
      </c>
      <c r="I850" s="141"/>
      <c r="J850" s="70">
        <f t="shared" si="107"/>
        <v>75.59</v>
      </c>
      <c r="K850" s="54">
        <f>IF(A850=0,VLOOKUP(D850,'03. Insumos'!A:F,4,0),"")</f>
        <v>75.59</v>
      </c>
      <c r="L850" s="70">
        <f t="shared" si="108"/>
        <v>0</v>
      </c>
      <c r="M850" s="355">
        <f t="shared" ca="1" si="102"/>
        <v>0</v>
      </c>
      <c r="O850" s="148"/>
      <c r="R850" s="356"/>
    </row>
    <row r="851" spans="1:18" s="51" customFormat="1" ht="13.5" hidden="1" customHeight="1" outlineLevel="1" x14ac:dyDescent="0.3">
      <c r="A851" s="13">
        <f t="shared" si="95"/>
        <v>0</v>
      </c>
      <c r="B851" s="49"/>
      <c r="C851" s="55"/>
      <c r="D851" s="140" t="s">
        <v>855</v>
      </c>
      <c r="E851" s="49" t="str">
        <f>VLOOKUP(D851,'03. Insumos'!A:D,2,0)</f>
        <v>Anel de vedação para bacia sanitária</v>
      </c>
      <c r="F851" s="68"/>
      <c r="G851" s="68" t="str">
        <f>VLOOKUP(D851,'03. Insumos'!A:F,3,0)</f>
        <v>unid</v>
      </c>
      <c r="H851" s="69">
        <v>1</v>
      </c>
      <c r="I851" s="141"/>
      <c r="J851" s="70">
        <f t="shared" si="107"/>
        <v>19.79</v>
      </c>
      <c r="K851" s="54">
        <f>IF(A851=0,VLOOKUP(D851,'03. Insumos'!A:F,4,0),"")</f>
        <v>19.79</v>
      </c>
      <c r="L851" s="70">
        <f t="shared" si="108"/>
        <v>0</v>
      </c>
      <c r="M851" s="355">
        <f t="shared" ca="1" si="102"/>
        <v>0</v>
      </c>
      <c r="O851" s="148"/>
      <c r="R851" s="356"/>
    </row>
    <row r="852" spans="1:18" s="51" customFormat="1" ht="13.5" hidden="1" customHeight="1" outlineLevel="1" x14ac:dyDescent="0.3">
      <c r="A852" s="13">
        <f t="shared" si="95"/>
        <v>0</v>
      </c>
      <c r="B852" s="49"/>
      <c r="C852" s="55"/>
      <c r="D852" s="140" t="s">
        <v>856</v>
      </c>
      <c r="E852" s="49" t="str">
        <f>VLOOKUP(D852,'03. Insumos'!A:D,2,0)</f>
        <v>Flexível 40 cm</v>
      </c>
      <c r="F852" s="68"/>
      <c r="G852" s="68" t="str">
        <f>VLOOKUP(D852,'03. Insumos'!A:F,3,0)</f>
        <v>unid</v>
      </c>
      <c r="H852" s="69">
        <v>1</v>
      </c>
      <c r="I852" s="141"/>
      <c r="J852" s="70">
        <f t="shared" si="107"/>
        <v>16.2</v>
      </c>
      <c r="K852" s="54">
        <f>IF(A852=0,VLOOKUP(D852,'03. Insumos'!A:F,4,0),"")</f>
        <v>16.2</v>
      </c>
      <c r="L852" s="70">
        <f t="shared" si="108"/>
        <v>0</v>
      </c>
      <c r="M852" s="355">
        <f t="shared" ca="1" si="102"/>
        <v>0</v>
      </c>
      <c r="O852" s="148"/>
      <c r="R852" s="356"/>
    </row>
    <row r="853" spans="1:18" s="51" customFormat="1" ht="13.5" hidden="1" customHeight="1" outlineLevel="1" x14ac:dyDescent="0.3">
      <c r="A853" s="13">
        <f t="shared" si="95"/>
        <v>0</v>
      </c>
      <c r="B853" s="49"/>
      <c r="C853" s="55"/>
      <c r="D853" s="140" t="s">
        <v>867</v>
      </c>
      <c r="E853" s="49" t="str">
        <f>VLOOKUP(D853,'03. Insumos'!A:D,2,0)</f>
        <v>Ralo 10 x 10</v>
      </c>
      <c r="F853" s="68"/>
      <c r="G853" s="68" t="str">
        <f>VLOOKUP(D853,'03. Insumos'!A:F,3,0)</f>
        <v>unid</v>
      </c>
      <c r="H853" s="69">
        <v>1</v>
      </c>
      <c r="I853" s="141"/>
      <c r="J853" s="70">
        <f t="shared" si="107"/>
        <v>95.7</v>
      </c>
      <c r="K853" s="54">
        <f>IF(A853=0,VLOOKUP(D853,'03. Insumos'!A:F,4,0),"")</f>
        <v>95.7</v>
      </c>
      <c r="L853" s="70">
        <f t="shared" si="108"/>
        <v>0</v>
      </c>
      <c r="M853" s="355">
        <f t="shared" ca="1" si="102"/>
        <v>0</v>
      </c>
      <c r="O853" s="148"/>
      <c r="R853" s="356"/>
    </row>
    <row r="854" spans="1:18" s="51" customFormat="1" ht="13.5" hidden="1" customHeight="1" outlineLevel="1" x14ac:dyDescent="0.3">
      <c r="A854" s="13">
        <f t="shared" si="95"/>
        <v>0</v>
      </c>
      <c r="B854" s="49"/>
      <c r="C854" s="55"/>
      <c r="D854" s="140" t="s">
        <v>867</v>
      </c>
      <c r="E854" s="49" t="str">
        <f>VLOOKUP(D854,'03. Insumos'!A:D,2,0)</f>
        <v>Ralo 10 x 10</v>
      </c>
      <c r="F854" s="68"/>
      <c r="G854" s="68" t="str">
        <f>VLOOKUP(D854,'03. Insumos'!A:F,3,0)</f>
        <v>unid</v>
      </c>
      <c r="H854" s="69">
        <v>1</v>
      </c>
      <c r="I854" s="141"/>
      <c r="J854" s="70">
        <f>IFERROR(IF(K854&lt;&gt;0,K854*$K$5,0),0)</f>
        <v>95.7</v>
      </c>
      <c r="K854" s="54">
        <f>IF(A854=0,VLOOKUP(D854,'03. Insumos'!A:F,4,0),"")</f>
        <v>95.7</v>
      </c>
      <c r="L854" s="70">
        <f>H854*J854*I854</f>
        <v>0</v>
      </c>
      <c r="M854" s="355">
        <f t="shared" ca="1" si="102"/>
        <v>0</v>
      </c>
      <c r="O854" s="148"/>
      <c r="R854" s="356"/>
    </row>
    <row r="855" spans="1:18" s="51" customFormat="1" ht="13.5" hidden="1" customHeight="1" outlineLevel="1" x14ac:dyDescent="0.3">
      <c r="A855" s="13">
        <f t="shared" si="95"/>
        <v>0</v>
      </c>
      <c r="B855" s="49"/>
      <c r="C855" s="55"/>
      <c r="D855" s="140" t="s">
        <v>854</v>
      </c>
      <c r="E855" s="49" t="str">
        <f>VLOOKUP(D855,'03. Insumos'!A:D,2,0)</f>
        <v>Ralo 15 x 15</v>
      </c>
      <c r="F855" s="68"/>
      <c r="G855" s="68" t="str">
        <f>VLOOKUP(D855,'03. Insumos'!A:F,3,0)</f>
        <v>unid</v>
      </c>
      <c r="H855" s="69">
        <v>1</v>
      </c>
      <c r="I855" s="141"/>
      <c r="J855" s="70">
        <f>IFERROR(IF(K855&lt;&gt;0,K855*$K$5,0),0)</f>
        <v>75.59</v>
      </c>
      <c r="K855" s="54">
        <f>IF(A855=0,VLOOKUP(D855,'03. Insumos'!A:F,4,0),"")</f>
        <v>75.59</v>
      </c>
      <c r="L855" s="70">
        <f>H855*J855*I855</f>
        <v>0</v>
      </c>
      <c r="M855" s="355">
        <f t="shared" ca="1" si="102"/>
        <v>0</v>
      </c>
      <c r="O855" s="148"/>
      <c r="R855" s="356"/>
    </row>
    <row r="856" spans="1:18" s="51" customFormat="1" ht="13.5" hidden="1" customHeight="1" outlineLevel="1" x14ac:dyDescent="0.3">
      <c r="A856" s="13">
        <f t="shared" si="95"/>
        <v>0</v>
      </c>
      <c r="B856" s="49"/>
      <c r="C856" s="55"/>
      <c r="D856" s="140" t="s">
        <v>855</v>
      </c>
      <c r="E856" s="49" t="str">
        <f>VLOOKUP(D856,'03. Insumos'!A:D,2,0)</f>
        <v>Anel de vedação para bacia sanitária</v>
      </c>
      <c r="F856" s="68"/>
      <c r="G856" s="68" t="str">
        <f>VLOOKUP(D856,'03. Insumos'!A:F,3,0)</f>
        <v>unid</v>
      </c>
      <c r="H856" s="69">
        <v>1</v>
      </c>
      <c r="I856" s="141"/>
      <c r="J856" s="70">
        <f>IFERROR(IF(K856&lt;&gt;0,K856*$K$5,0),0)</f>
        <v>19.79</v>
      </c>
      <c r="K856" s="54">
        <f>IF(A856=0,VLOOKUP(D856,'03. Insumos'!A:F,4,0),"")</f>
        <v>19.79</v>
      </c>
      <c r="L856" s="70">
        <f>H856*J856*I856</f>
        <v>0</v>
      </c>
      <c r="M856" s="355">
        <f t="shared" ca="1" si="102"/>
        <v>0</v>
      </c>
      <c r="O856" s="148"/>
      <c r="R856" s="356"/>
    </row>
    <row r="857" spans="1:18" s="51" customFormat="1" ht="13.5" hidden="1" customHeight="1" outlineLevel="1" x14ac:dyDescent="0.3">
      <c r="A857" s="13">
        <f t="shared" si="95"/>
        <v>0</v>
      </c>
      <c r="B857" s="49"/>
      <c r="C857" s="55"/>
      <c r="D857" s="140" t="s">
        <v>856</v>
      </c>
      <c r="E857" s="49" t="str">
        <f>VLOOKUP(D857,'03. Insumos'!A:D,2,0)</f>
        <v>Flexível 40 cm</v>
      </c>
      <c r="F857" s="68"/>
      <c r="G857" s="68" t="str">
        <f>VLOOKUP(D857,'03. Insumos'!A:F,3,0)</f>
        <v>unid</v>
      </c>
      <c r="H857" s="69">
        <v>1</v>
      </c>
      <c r="I857" s="141"/>
      <c r="J857" s="70">
        <f>IFERROR(IF(K857&lt;&gt;0,K857*$K$5,0),0)</f>
        <v>16.2</v>
      </c>
      <c r="K857" s="54">
        <f>IF(A857=0,VLOOKUP(D857,'03. Insumos'!A:F,4,0),"")</f>
        <v>16.2</v>
      </c>
      <c r="L857" s="70">
        <f>H857*J857*I857</f>
        <v>0</v>
      </c>
      <c r="M857" s="355">
        <f t="shared" ca="1" si="102"/>
        <v>0</v>
      </c>
      <c r="O857" s="148"/>
      <c r="R857" s="356"/>
    </row>
    <row r="858" spans="1:18" s="51" customFormat="1" ht="13.5" hidden="1" customHeight="1" outlineLevel="1" x14ac:dyDescent="0.3">
      <c r="A858" s="13">
        <f t="shared" si="95"/>
        <v>0</v>
      </c>
      <c r="B858" s="49"/>
      <c r="C858" s="55"/>
      <c r="D858" s="140" t="s">
        <v>867</v>
      </c>
      <c r="E858" s="49" t="str">
        <f>VLOOKUP(D858,'03. Insumos'!A:D,2,0)</f>
        <v>Ralo 10 x 10</v>
      </c>
      <c r="F858" s="68"/>
      <c r="G858" s="68" t="str">
        <f>VLOOKUP(D858,'03. Insumos'!A:F,3,0)</f>
        <v>unid</v>
      </c>
      <c r="H858" s="69">
        <v>1</v>
      </c>
      <c r="I858" s="141"/>
      <c r="J858" s="70">
        <f>IFERROR(IF(K858&lt;&gt;0,K858*$K$5,0),0)</f>
        <v>95.7</v>
      </c>
      <c r="K858" s="54">
        <f>IF(A858=0,VLOOKUP(D858,'03. Insumos'!A:F,4,0),"")</f>
        <v>95.7</v>
      </c>
      <c r="L858" s="70">
        <f>H858*J858*I858</f>
        <v>0</v>
      </c>
      <c r="M858" s="355">
        <f t="shared" ca="1" si="102"/>
        <v>0</v>
      </c>
      <c r="O858" s="148"/>
      <c r="R858" s="356"/>
    </row>
    <row r="859" spans="1:18" s="51" customFormat="1" ht="13.5" hidden="1" customHeight="1" outlineLevel="1" x14ac:dyDescent="0.3">
      <c r="A859" s="13">
        <f t="shared" si="95"/>
        <v>6</v>
      </c>
      <c r="B859" s="49"/>
      <c r="C859" s="55" t="s">
        <v>1556</v>
      </c>
      <c r="D859" s="55" t="s">
        <v>1557</v>
      </c>
      <c r="E859" s="49"/>
      <c r="F859" s="68"/>
      <c r="G859" s="68"/>
      <c r="H859" s="69"/>
      <c r="I859" s="141"/>
      <c r="J859" s="70"/>
      <c r="K859" s="54"/>
      <c r="L859" s="58">
        <f>SUM(L860)</f>
        <v>0</v>
      </c>
      <c r="M859" s="355">
        <f t="shared" ca="1" si="102"/>
        <v>0</v>
      </c>
      <c r="O859" s="148"/>
      <c r="R859" s="356"/>
    </row>
    <row r="860" spans="1:18" s="51" customFormat="1" ht="13.5" hidden="1" customHeight="1" outlineLevel="1" x14ac:dyDescent="0.3">
      <c r="A860" s="13">
        <f t="shared" si="95"/>
        <v>0</v>
      </c>
      <c r="B860" s="49"/>
      <c r="C860" s="55"/>
      <c r="D860" s="140" t="s">
        <v>871</v>
      </c>
      <c r="E860" s="49" t="str">
        <f>VLOOKUP(D860,'03. Insumos'!A:D,2,0)</f>
        <v>Torneira de jardim DN 15/20 MAX CR</v>
      </c>
      <c r="F860" s="68"/>
      <c r="G860" s="68" t="str">
        <f>VLOOKUP(D860,'03. Insumos'!A:F,3,0)</f>
        <v>unid</v>
      </c>
      <c r="H860" s="69">
        <v>1</v>
      </c>
      <c r="I860" s="141"/>
      <c r="J860" s="70">
        <f>IFERROR(IF(K860&lt;&gt;0,K860*$K$5,0),0)</f>
        <v>50.86</v>
      </c>
      <c r="K860" s="54">
        <f>IF(A860=0,VLOOKUP(D860,'03. Insumos'!A:F,4,0),"")</f>
        <v>50.86</v>
      </c>
      <c r="L860" s="70">
        <f>H860*J860*I860</f>
        <v>0</v>
      </c>
      <c r="M860" s="355">
        <f t="shared" ca="1" si="102"/>
        <v>0</v>
      </c>
      <c r="O860" s="148"/>
      <c r="R860" s="356"/>
    </row>
    <row r="861" spans="1:18" s="59" customFormat="1" ht="13.5" hidden="1" customHeight="1" outlineLevel="1" x14ac:dyDescent="0.3">
      <c r="A861" s="13">
        <f t="shared" si="95"/>
        <v>6</v>
      </c>
      <c r="B861" s="55"/>
      <c r="C861" s="55" t="s">
        <v>1558</v>
      </c>
      <c r="D861" s="55" t="s">
        <v>1205</v>
      </c>
      <c r="E861" s="55"/>
      <c r="F861" s="56"/>
      <c r="G861" s="56"/>
      <c r="H861" s="57"/>
      <c r="I861" s="57"/>
      <c r="J861" s="58">
        <f>IFERROR(IF(K861&lt;&gt;0,K861*$K$5,0),0)</f>
        <v>0</v>
      </c>
      <c r="K861" s="58" t="str">
        <f>IF(A861=0,VLOOKUP(D861,'03. Insumos'!A:F,4,0),"")</f>
        <v/>
      </c>
      <c r="L861" s="58">
        <f>SUM(L862:L863)</f>
        <v>0</v>
      </c>
      <c r="M861" s="355">
        <f t="shared" ca="1" si="102"/>
        <v>0</v>
      </c>
      <c r="O861" s="148">
        <f>IF(I861&lt;&gt;0,I861*H861*K861,)</f>
        <v>0</v>
      </c>
      <c r="R861" s="356">
        <f>IF(J861&lt;&gt;0,J861/1.03-K861,0)</f>
        <v>0</v>
      </c>
    </row>
    <row r="862" spans="1:18" s="51" customFormat="1" ht="13.5" hidden="1" customHeight="1" outlineLevel="1" x14ac:dyDescent="0.3">
      <c r="A862" s="13">
        <f t="shared" si="95"/>
        <v>0</v>
      </c>
      <c r="B862" s="49"/>
      <c r="C862" s="49"/>
      <c r="D862" s="140" t="s">
        <v>873</v>
      </c>
      <c r="E862" s="49" t="str">
        <f>VLOOKUP(D862,'03. Insumos'!A:D,2,0)</f>
        <v>Maçanetas modelo logus cromado Imab - Ref.: MA0910</v>
      </c>
      <c r="F862" s="68"/>
      <c r="G862" s="68" t="str">
        <f>VLOOKUP(D862,'03. Insumos'!A:F,3,0)</f>
        <v>unid</v>
      </c>
      <c r="H862" s="69">
        <v>1</v>
      </c>
      <c r="I862" s="141"/>
      <c r="J862" s="70">
        <f>IFERROR(IF(K862&lt;&gt;0,K862*$K$5,0),0)</f>
        <v>173.9</v>
      </c>
      <c r="K862" s="54">
        <f>IF(A862=0,VLOOKUP(D862,'03. Insumos'!A:F,4,0),"")</f>
        <v>173.9</v>
      </c>
      <c r="L862" s="70">
        <f>H862*J862*I862</f>
        <v>0</v>
      </c>
      <c r="M862" s="355">
        <f t="shared" ca="1" si="102"/>
        <v>0</v>
      </c>
      <c r="O862" s="148">
        <f>IF(I862&lt;&gt;0,I862*H862*K862,)</f>
        <v>0</v>
      </c>
      <c r="R862" s="356">
        <f>IF(J862&lt;&gt;0,J862/1.03-K862,0)</f>
        <v>-5.0650485436893291</v>
      </c>
    </row>
    <row r="863" spans="1:18" s="51" customFormat="1" ht="13.5" hidden="1" customHeight="1" outlineLevel="1" x14ac:dyDescent="0.3">
      <c r="A863" s="13">
        <f t="shared" si="95"/>
        <v>0</v>
      </c>
      <c r="B863" s="49"/>
      <c r="C863" s="49"/>
      <c r="D863" s="140" t="s">
        <v>874</v>
      </c>
      <c r="E863" s="49" t="str">
        <f>VLOOKUP(D863,'03. Insumos'!A:D,2,0)</f>
        <v>Dobradiças para portas internas</v>
      </c>
      <c r="F863" s="68"/>
      <c r="G863" s="68" t="str">
        <f>VLOOKUP(D863,'03. Insumos'!A:F,3,0)</f>
        <v>unid</v>
      </c>
      <c r="H863" s="69">
        <v>1</v>
      </c>
      <c r="I863" s="141"/>
      <c r="J863" s="70">
        <f>IFERROR(IF(K863&lt;&gt;0,K863*$K$5,0),0)</f>
        <v>5.98</v>
      </c>
      <c r="K863" s="54">
        <f>IF(A863=0,VLOOKUP(D863,'03. Insumos'!A:F,4,0),"")</f>
        <v>5.98</v>
      </c>
      <c r="L863" s="70">
        <f>H863*J863*I863</f>
        <v>0</v>
      </c>
      <c r="M863" s="355">
        <f t="shared" ca="1" si="102"/>
        <v>0</v>
      </c>
      <c r="O863" s="148"/>
      <c r="R863" s="356"/>
    </row>
    <row r="864" spans="1:18" s="18" customFormat="1" x14ac:dyDescent="0.3">
      <c r="A864" s="290">
        <f t="shared" ref="A864:A904" si="109">LEN(C864)</f>
        <v>3</v>
      </c>
      <c r="B864" s="35"/>
      <c r="C864" s="35" t="s">
        <v>351</v>
      </c>
      <c r="D864" s="35" t="s">
        <v>1597</v>
      </c>
      <c r="E864" s="35"/>
      <c r="F864" s="323"/>
      <c r="G864" s="323"/>
      <c r="H864" s="324"/>
      <c r="I864" s="37"/>
      <c r="J864" s="333"/>
      <c r="K864" s="38"/>
      <c r="L864" s="333">
        <f>SUMIF(A865:A867,4,L865:L867)</f>
        <v>76375</v>
      </c>
      <c r="M864" s="153">
        <f t="shared" ca="1" si="102"/>
        <v>1.3188985278474233E-3</v>
      </c>
      <c r="O864" s="148">
        <f t="shared" ref="O864:O886" si="110">IF(I864&lt;&gt;0,I864*H864*K864,)</f>
        <v>0</v>
      </c>
      <c r="R864" s="12">
        <f t="shared" ref="R864:R886" si="111">IF(J864&lt;&gt;0,J864/1.03-K864,0)</f>
        <v>0</v>
      </c>
    </row>
    <row r="865" spans="1:18" s="18" customFormat="1" outlineLevel="1" x14ac:dyDescent="0.3">
      <c r="A865" s="290">
        <f t="shared" si="109"/>
        <v>4</v>
      </c>
      <c r="B865" s="45"/>
      <c r="C865" s="45" t="s">
        <v>375</v>
      </c>
      <c r="D865" s="45" t="s">
        <v>1809</v>
      </c>
      <c r="E865" s="45"/>
      <c r="F865" s="327"/>
      <c r="G865" s="327"/>
      <c r="H865" s="328"/>
      <c r="I865" s="61"/>
      <c r="J865" s="335"/>
      <c r="K865" s="62" t="str">
        <f>IF(A865=0,VLOOKUP(D865,'03. Insumos'!A:F,4,0),"")</f>
        <v/>
      </c>
      <c r="L865" s="335">
        <f>SUMIF(A866:A867,6,L866:L867)</f>
        <v>76375</v>
      </c>
      <c r="M865" s="153">
        <f t="shared" ca="1" si="102"/>
        <v>1.3188985278474233E-3</v>
      </c>
      <c r="O865" s="148">
        <f t="shared" si="110"/>
        <v>0</v>
      </c>
      <c r="R865" s="12">
        <f t="shared" si="111"/>
        <v>0</v>
      </c>
    </row>
    <row r="866" spans="1:18" s="59" customFormat="1" outlineLevel="1" x14ac:dyDescent="0.3">
      <c r="A866" s="290">
        <f t="shared" si="109"/>
        <v>6</v>
      </c>
      <c r="B866" s="55"/>
      <c r="C866" s="55" t="s">
        <v>376</v>
      </c>
      <c r="D866" s="55" t="s">
        <v>2827</v>
      </c>
      <c r="E866" s="55"/>
      <c r="F866" s="56"/>
      <c r="G866" s="56"/>
      <c r="H866" s="57"/>
      <c r="I866" s="57"/>
      <c r="J866" s="58"/>
      <c r="K866" s="58" t="str">
        <f>IF(A866=0,VLOOKUP(D866,'03. Insumos'!A:F,4,0),"")</f>
        <v/>
      </c>
      <c r="L866" s="58">
        <f>SUM(L867:L870)</f>
        <v>76375</v>
      </c>
      <c r="M866" s="153">
        <f t="shared" ca="1" si="102"/>
        <v>1.3188985278474233E-3</v>
      </c>
      <c r="O866" s="148">
        <f t="shared" si="110"/>
        <v>0</v>
      </c>
      <c r="R866" s="12">
        <f t="shared" si="111"/>
        <v>0</v>
      </c>
    </row>
    <row r="867" spans="1:18" s="51" customFormat="1" ht="13.5" customHeight="1" outlineLevel="1" x14ac:dyDescent="0.3">
      <c r="A867" s="290">
        <f t="shared" si="109"/>
        <v>0</v>
      </c>
      <c r="B867" s="49"/>
      <c r="C867" s="49"/>
      <c r="D867" s="140" t="s">
        <v>2666</v>
      </c>
      <c r="E867" s="49" t="str">
        <f>VLOOKUP(D867,'03. Insumos'!A:D,2,0)</f>
        <v>Deck de madeira (mat +mo)</v>
      </c>
      <c r="F867" s="68" t="s">
        <v>2599</v>
      </c>
      <c r="G867" s="68" t="str">
        <f>VLOOKUP(D867,'03. Insumos'!A:F,3,0)</f>
        <v>m²</v>
      </c>
      <c r="H867" s="69">
        <v>1</v>
      </c>
      <c r="I867" s="141">
        <v>6.11</v>
      </c>
      <c r="J867" s="70">
        <f>IFERROR(IF(K867&lt;&gt;0,K867*$K$5,0),0)</f>
        <v>12500</v>
      </c>
      <c r="K867" s="54">
        <f>IF(A867=0,VLOOKUP(D867,'03. Insumos'!A:F,4,0),"")</f>
        <v>12500</v>
      </c>
      <c r="L867" s="70">
        <f>H867*J867*I867</f>
        <v>76375</v>
      </c>
      <c r="M867" s="153">
        <f t="shared" ca="1" si="102"/>
        <v>1.3188985278474233E-3</v>
      </c>
      <c r="O867" s="148">
        <f t="shared" si="110"/>
        <v>76375</v>
      </c>
      <c r="R867" s="12">
        <f t="shared" si="111"/>
        <v>-364.07766990291384</v>
      </c>
    </row>
    <row r="868" spans="1:18" s="51" customFormat="1" hidden="1" outlineLevel="1" x14ac:dyDescent="0.3">
      <c r="A868" s="290">
        <f t="shared" si="109"/>
        <v>0</v>
      </c>
      <c r="B868" s="49"/>
      <c r="C868" s="49"/>
      <c r="D868" s="140" t="s">
        <v>2630</v>
      </c>
      <c r="E868" s="49" t="str">
        <f>VLOOKUP(D868,'03. Insumos'!A:D,2,0)</f>
        <v>Porta de correr 0,70x2,50m, com trilho, ferragenas, pintura e colocação</v>
      </c>
      <c r="F868" s="68" t="s">
        <v>2599</v>
      </c>
      <c r="G868" s="68" t="str">
        <f>VLOOKUP(D868,'03. Insumos'!A:F,3,0)</f>
        <v>uni</v>
      </c>
      <c r="H868" s="69">
        <v>1</v>
      </c>
      <c r="I868" s="141"/>
      <c r="J868" s="70">
        <f>IFERROR(IF(K868&lt;&gt;0,K868*$K$5,0),0)</f>
        <v>2793</v>
      </c>
      <c r="K868" s="54">
        <f>IF(A868=0,VLOOKUP(D868,'03. Insumos'!A:F,4,0),"")</f>
        <v>2793</v>
      </c>
      <c r="L868" s="70">
        <f>H868*J868*I868</f>
        <v>0</v>
      </c>
      <c r="M868" s="153">
        <f t="shared" ca="1" si="102"/>
        <v>0</v>
      </c>
      <c r="O868" s="148"/>
      <c r="R868" s="12"/>
    </row>
    <row r="869" spans="1:18" s="51" customFormat="1" hidden="1" outlineLevel="1" x14ac:dyDescent="0.3">
      <c r="A869" s="290">
        <f t="shared" si="109"/>
        <v>0</v>
      </c>
      <c r="B869" s="49"/>
      <c r="C869" s="49"/>
      <c r="D869" s="140" t="s">
        <v>2632</v>
      </c>
      <c r="E869" s="49" t="str">
        <f>VLOOKUP(D869,'03. Insumos'!A:D,2,0)</f>
        <v>Revestimento de parede com painel de correr, acab com fundo preto e ripado madeirado - 4,96 x 2,45</v>
      </c>
      <c r="F869" s="68" t="s">
        <v>2599</v>
      </c>
      <c r="G869" s="68" t="str">
        <f>VLOOKUP(D869,'03. Insumos'!A:F,3,0)</f>
        <v>unid</v>
      </c>
      <c r="H869" s="69">
        <v>1</v>
      </c>
      <c r="I869" s="141"/>
      <c r="J869" s="70">
        <f>IFERROR(IF(K869&lt;&gt;0,K869*$K$5,0),0)</f>
        <v>12749</v>
      </c>
      <c r="K869" s="54">
        <f>IF(A869=0,VLOOKUP(D869,'03. Insumos'!A:F,4,0),"")</f>
        <v>12749</v>
      </c>
      <c r="L869" s="70">
        <f>H869*J869*I869</f>
        <v>0</v>
      </c>
      <c r="M869" s="153">
        <f t="shared" ref="M869:M904" ca="1" si="112">L869/$L$7</f>
        <v>0</v>
      </c>
      <c r="O869" s="148"/>
      <c r="R869" s="12"/>
    </row>
    <row r="870" spans="1:18" s="51" customFormat="1" hidden="1" outlineLevel="1" x14ac:dyDescent="0.3">
      <c r="A870" s="290">
        <f t="shared" si="109"/>
        <v>0</v>
      </c>
      <c r="B870" s="49"/>
      <c r="C870" s="49"/>
      <c r="D870" s="140" t="s">
        <v>2635</v>
      </c>
      <c r="E870" s="49" t="str">
        <f>VLOOKUP(D870,'03. Insumos'!A:D,2,0)</f>
        <v>Revestimento de parede com painel de correr, acab com fundo preto e ripado madeirado - 4,95 x 2,5</v>
      </c>
      <c r="F870" s="68" t="s">
        <v>2599</v>
      </c>
      <c r="G870" s="68" t="str">
        <f>VLOOKUP(D870,'03. Insumos'!A:F,3,0)</f>
        <v>unid</v>
      </c>
      <c r="H870" s="69">
        <v>1</v>
      </c>
      <c r="I870" s="141"/>
      <c r="J870" s="70">
        <f>IFERROR(IF(K870&lt;&gt;0,K870*$K$5,0),0)</f>
        <v>13009.183673469388</v>
      </c>
      <c r="K870" s="54">
        <f>IF(A870=0,VLOOKUP(D870,'03. Insumos'!A:F,4,0),"")</f>
        <v>13009.183673469388</v>
      </c>
      <c r="L870" s="70">
        <f>H870*J870*I870</f>
        <v>0</v>
      </c>
      <c r="M870" s="153">
        <f t="shared" ca="1" si="112"/>
        <v>0</v>
      </c>
      <c r="O870" s="148"/>
      <c r="R870" s="12"/>
    </row>
    <row r="871" spans="1:18" s="18" customFormat="1" x14ac:dyDescent="0.3">
      <c r="A871" s="290">
        <f t="shared" si="109"/>
        <v>3</v>
      </c>
      <c r="B871" s="35"/>
      <c r="C871" s="35" t="s">
        <v>360</v>
      </c>
      <c r="D871" s="35" t="s">
        <v>87</v>
      </c>
      <c r="E871" s="35"/>
      <c r="F871" s="323"/>
      <c r="G871" s="323"/>
      <c r="H871" s="324"/>
      <c r="I871" s="37"/>
      <c r="J871" s="333"/>
      <c r="K871" s="38"/>
      <c r="L871" s="333">
        <f>SUMIF(A872:A874,4,L872:L874)</f>
        <v>4800</v>
      </c>
      <c r="M871" s="153">
        <f t="shared" ca="1" si="112"/>
        <v>8.2889858378626938E-5</v>
      </c>
      <c r="O871" s="148">
        <f t="shared" si="110"/>
        <v>0</v>
      </c>
      <c r="R871" s="12">
        <f t="shared" si="111"/>
        <v>0</v>
      </c>
    </row>
    <row r="872" spans="1:18" s="18" customFormat="1" outlineLevel="1" x14ac:dyDescent="0.3">
      <c r="A872" s="290">
        <f t="shared" si="109"/>
        <v>4</v>
      </c>
      <c r="B872" s="45"/>
      <c r="C872" s="45" t="s">
        <v>1815</v>
      </c>
      <c r="D872" s="45" t="s">
        <v>93</v>
      </c>
      <c r="E872" s="45"/>
      <c r="F872" s="327"/>
      <c r="G872" s="327"/>
      <c r="H872" s="328"/>
      <c r="I872" s="61"/>
      <c r="J872" s="335"/>
      <c r="K872" s="62" t="str">
        <f>IF(A872=0,VLOOKUP(D872,'03. Insumos'!A:F,4,0),"")</f>
        <v/>
      </c>
      <c r="L872" s="335">
        <f>SUMIF(A873:A874,6,L873:L874)</f>
        <v>4800</v>
      </c>
      <c r="M872" s="153">
        <f t="shared" ca="1" si="112"/>
        <v>8.2889858378626938E-5</v>
      </c>
      <c r="O872" s="148">
        <f t="shared" si="110"/>
        <v>0</v>
      </c>
      <c r="R872" s="12">
        <f t="shared" si="111"/>
        <v>0</v>
      </c>
    </row>
    <row r="873" spans="1:18" s="59" customFormat="1" outlineLevel="1" x14ac:dyDescent="0.3">
      <c r="A873" s="290">
        <f t="shared" si="109"/>
        <v>6</v>
      </c>
      <c r="B873" s="55"/>
      <c r="C873" s="55" t="s">
        <v>1816</v>
      </c>
      <c r="D873" s="55" t="s">
        <v>93</v>
      </c>
      <c r="E873" s="55"/>
      <c r="F873" s="56"/>
      <c r="G873" s="56"/>
      <c r="H873" s="57"/>
      <c r="I873" s="57"/>
      <c r="J873" s="58"/>
      <c r="K873" s="58" t="str">
        <f>IF(A873=0,VLOOKUP(D873,'03. Insumos'!A:F,4,0),"")</f>
        <v/>
      </c>
      <c r="L873" s="58">
        <f>SUM(L874)</f>
        <v>4800</v>
      </c>
      <c r="M873" s="153">
        <f t="shared" ca="1" si="112"/>
        <v>8.2889858378626938E-5</v>
      </c>
      <c r="O873" s="148">
        <f t="shared" si="110"/>
        <v>0</v>
      </c>
      <c r="R873" s="12">
        <f t="shared" si="111"/>
        <v>0</v>
      </c>
    </row>
    <row r="874" spans="1:18" s="51" customFormat="1" outlineLevel="1" x14ac:dyDescent="0.3">
      <c r="A874" s="290">
        <f t="shared" si="109"/>
        <v>0</v>
      </c>
      <c r="B874" s="49"/>
      <c r="C874" s="49"/>
      <c r="D874" s="140" t="s">
        <v>557</v>
      </c>
      <c r="E874" s="49" t="str">
        <f>VLOOKUP(D874,'03. Insumos'!A:D,2,0)</f>
        <v>Limpeza de obra</v>
      </c>
      <c r="F874" s="68" t="s">
        <v>2607</v>
      </c>
      <c r="G874" s="68" t="str">
        <f>VLOOKUP(D874,'03. Insumos'!A:F,3,0)</f>
        <v>Diária</v>
      </c>
      <c r="H874" s="69">
        <v>1</v>
      </c>
      <c r="I874" s="141">
        <f>2*(5+3)</f>
        <v>16</v>
      </c>
      <c r="J874" s="70">
        <f>IFERROR(IF(K874&lt;&gt;0,K874*$K$5,0),0)</f>
        <v>300</v>
      </c>
      <c r="K874" s="54">
        <f>IF(A874=0,VLOOKUP(D874,'03. Insumos'!A:F,4,0),"")</f>
        <v>300</v>
      </c>
      <c r="L874" s="70">
        <f>H874*J874*I874</f>
        <v>4800</v>
      </c>
      <c r="M874" s="153">
        <f t="shared" ca="1" si="112"/>
        <v>8.2889858378626938E-5</v>
      </c>
      <c r="O874" s="148">
        <f t="shared" si="110"/>
        <v>4800</v>
      </c>
      <c r="R874" s="12">
        <f t="shared" si="111"/>
        <v>-8.737864077669883</v>
      </c>
    </row>
    <row r="875" spans="1:18" s="18" customFormat="1" x14ac:dyDescent="0.3">
      <c r="A875" s="290">
        <f t="shared" si="109"/>
        <v>3</v>
      </c>
      <c r="B875" s="35"/>
      <c r="C875" s="35" t="s">
        <v>980</v>
      </c>
      <c r="D875" s="35" t="s">
        <v>974</v>
      </c>
      <c r="E875" s="35"/>
      <c r="F875" s="36"/>
      <c r="G875" s="36"/>
      <c r="H875" s="37"/>
      <c r="I875" s="37"/>
      <c r="J875" s="38"/>
      <c r="K875" s="38"/>
      <c r="L875" s="38">
        <f>SUMIF(A876:A883,4,L876:L883)</f>
        <v>18200</v>
      </c>
      <c r="M875" s="153">
        <f t="shared" ca="1" si="112"/>
        <v>3.1429071301896044E-4</v>
      </c>
      <c r="O875" s="148">
        <f t="shared" si="110"/>
        <v>0</v>
      </c>
      <c r="R875" s="12">
        <f t="shared" si="111"/>
        <v>0</v>
      </c>
    </row>
    <row r="876" spans="1:18" s="18" customFormat="1" outlineLevel="1" x14ac:dyDescent="0.3">
      <c r="A876" s="290">
        <f t="shared" si="109"/>
        <v>4</v>
      </c>
      <c r="B876" s="45"/>
      <c r="C876" s="45" t="s">
        <v>981</v>
      </c>
      <c r="D876" s="45" t="s">
        <v>2183</v>
      </c>
      <c r="E876" s="45"/>
      <c r="F876" s="60"/>
      <c r="G876" s="60"/>
      <c r="H876" s="61"/>
      <c r="I876" s="61"/>
      <c r="J876" s="62"/>
      <c r="K876" s="62" t="str">
        <f>IF(A876=0,VLOOKUP(D876,'03. Insumos'!A:F,4,0),"")</f>
        <v/>
      </c>
      <c r="L876" s="62">
        <f>SUMIF(A877:A883,6,L877:L883)</f>
        <v>18200</v>
      </c>
      <c r="M876" s="153">
        <f t="shared" ca="1" si="112"/>
        <v>3.1429071301896044E-4</v>
      </c>
      <c r="O876" s="148">
        <f t="shared" si="110"/>
        <v>0</v>
      </c>
      <c r="R876" s="12">
        <f t="shared" si="111"/>
        <v>0</v>
      </c>
    </row>
    <row r="877" spans="1:18" s="59" customFormat="1" ht="13.5" customHeight="1" outlineLevel="1" x14ac:dyDescent="0.3">
      <c r="A877" s="290">
        <f t="shared" si="109"/>
        <v>6</v>
      </c>
      <c r="B877" s="55"/>
      <c r="C877" s="55" t="s">
        <v>982</v>
      </c>
      <c r="D877" s="55" t="s">
        <v>975</v>
      </c>
      <c r="E877" s="55"/>
      <c r="F877" s="56"/>
      <c r="G877" s="56"/>
      <c r="H877" s="57"/>
      <c r="I877" s="57"/>
      <c r="J877" s="58"/>
      <c r="K877" s="58" t="str">
        <f>IF(A877=0,VLOOKUP(D877,'03. Insumos'!A:F,4,0),"")</f>
        <v/>
      </c>
      <c r="L877" s="58">
        <f>SUM(L878:L880)</f>
        <v>18200</v>
      </c>
      <c r="M877" s="153">
        <f t="shared" ca="1" si="112"/>
        <v>3.1429071301896044E-4</v>
      </c>
      <c r="O877" s="148">
        <f t="shared" si="110"/>
        <v>0</v>
      </c>
      <c r="R877" s="12">
        <f t="shared" si="111"/>
        <v>0</v>
      </c>
    </row>
    <row r="878" spans="1:18" s="51" customFormat="1" ht="13.5" customHeight="1" outlineLevel="1" x14ac:dyDescent="0.3">
      <c r="A878" s="290">
        <f t="shared" si="109"/>
        <v>0</v>
      </c>
      <c r="B878" s="49"/>
      <c r="C878" s="49"/>
      <c r="D878" s="140" t="s">
        <v>2794</v>
      </c>
      <c r="E878" s="67" t="str">
        <f>VLOOKUP(D878,'03. Insumos'!A:D,2,0)</f>
        <v>Projeto de Instalações</v>
      </c>
      <c r="F878" s="68" t="s">
        <v>2599</v>
      </c>
      <c r="G878" s="68" t="str">
        <f>VLOOKUP(D878,'03. Insumos'!A:F,3,0)</f>
        <v>vb</v>
      </c>
      <c r="H878" s="69">
        <v>1</v>
      </c>
      <c r="I878" s="141">
        <v>1</v>
      </c>
      <c r="J878" s="70">
        <f>IFERROR(IF(K878&lt;&gt;0,K878*$K$5,0),0)</f>
        <v>6200</v>
      </c>
      <c r="K878" s="70">
        <f>IF(A878=0,VLOOKUP(D878,'03. Insumos'!A:F,4,0),"")</f>
        <v>6200</v>
      </c>
      <c r="L878" s="70">
        <f>H878*J878*I878</f>
        <v>6200</v>
      </c>
      <c r="M878" s="153">
        <f t="shared" ca="1" si="112"/>
        <v>1.0706606707239313E-4</v>
      </c>
      <c r="O878" s="148">
        <f t="shared" si="110"/>
        <v>6200</v>
      </c>
      <c r="R878" s="12">
        <f t="shared" si="111"/>
        <v>-180.5825242718447</v>
      </c>
    </row>
    <row r="879" spans="1:18" s="51" customFormat="1" ht="13.5" customHeight="1" outlineLevel="1" x14ac:dyDescent="0.3">
      <c r="A879" s="290">
        <f t="shared" si="109"/>
        <v>0</v>
      </c>
      <c r="B879" s="49"/>
      <c r="C879" s="49"/>
      <c r="D879" s="140" t="s">
        <v>2795</v>
      </c>
      <c r="E879" s="67" t="str">
        <f>VLOOKUP(D879,'03. Insumos'!A:D,2,0)</f>
        <v>Projeto de Automação</v>
      </c>
      <c r="F879" s="68" t="s">
        <v>2599</v>
      </c>
      <c r="G879" s="68" t="s">
        <v>29</v>
      </c>
      <c r="H879" s="69">
        <v>1</v>
      </c>
      <c r="I879" s="141">
        <v>1</v>
      </c>
      <c r="J879" s="70">
        <f>IFERROR(IF(K879&lt;&gt;0,K879*$K$5,0),0)</f>
        <v>3000</v>
      </c>
      <c r="K879" s="70">
        <f>IF(A879=0,VLOOKUP(D879,'03. Insumos'!A:F,4,0),"")</f>
        <v>3000</v>
      </c>
      <c r="L879" s="70">
        <f>H879*J879*I879</f>
        <v>3000</v>
      </c>
      <c r="M879" s="153">
        <f t="shared" ca="1" si="112"/>
        <v>5.1806161486641833E-5</v>
      </c>
      <c r="O879" s="148">
        <f t="shared" si="110"/>
        <v>3000</v>
      </c>
      <c r="R879" s="12">
        <f t="shared" si="111"/>
        <v>-87.378640776699285</v>
      </c>
    </row>
    <row r="880" spans="1:18" s="51" customFormat="1" ht="13.5" customHeight="1" outlineLevel="1" x14ac:dyDescent="0.3">
      <c r="A880" s="290">
        <f t="shared" si="109"/>
        <v>0</v>
      </c>
      <c r="B880" s="49"/>
      <c r="C880" s="49"/>
      <c r="D880" s="140" t="s">
        <v>2796</v>
      </c>
      <c r="E880" s="67" t="str">
        <f>VLOOKUP(D880,'03. Insumos'!A:D,2,0)</f>
        <v>Projeto de Estrutura</v>
      </c>
      <c r="F880" s="68" t="s">
        <v>2599</v>
      </c>
      <c r="G880" s="68" t="s">
        <v>29</v>
      </c>
      <c r="H880" s="69">
        <v>1</v>
      </c>
      <c r="I880" s="141">
        <v>1</v>
      </c>
      <c r="J880" s="70">
        <f>IFERROR(IF(K880&lt;&gt;0,K880*$K$5,0),0)</f>
        <v>9000</v>
      </c>
      <c r="K880" s="70">
        <f>IF(A880=0,VLOOKUP(D880,'03. Insumos'!A:F,4,0),"")</f>
        <v>9000</v>
      </c>
      <c r="L880" s="70">
        <f>H880*J880*I880</f>
        <v>9000</v>
      </c>
      <c r="M880" s="153">
        <f t="shared" ca="1" si="112"/>
        <v>1.5541848445992551E-4</v>
      </c>
      <c r="O880" s="148">
        <f t="shared" si="110"/>
        <v>9000</v>
      </c>
      <c r="R880" s="12">
        <f t="shared" si="111"/>
        <v>-262.13592233009695</v>
      </c>
    </row>
    <row r="881" spans="1:18" s="59" customFormat="1" ht="13.5" hidden="1" customHeight="1" outlineLevel="1" x14ac:dyDescent="0.3">
      <c r="A881" s="290">
        <f t="shared" si="109"/>
        <v>6</v>
      </c>
      <c r="B881" s="55"/>
      <c r="C881" s="55" t="s">
        <v>985</v>
      </c>
      <c r="D881" s="55" t="s">
        <v>94</v>
      </c>
      <c r="E881" s="55"/>
      <c r="F881" s="56"/>
      <c r="G881" s="56"/>
      <c r="H881" s="57"/>
      <c r="I881" s="57"/>
      <c r="J881" s="58"/>
      <c r="K881" s="58" t="str">
        <f>IF(A881=0,VLOOKUP(D881,'03. Insumos'!A:F,4,0),"")</f>
        <v/>
      </c>
      <c r="L881" s="58">
        <f>SUM(L882:L883)</f>
        <v>0</v>
      </c>
      <c r="M881" s="153">
        <f t="shared" ca="1" si="112"/>
        <v>0</v>
      </c>
      <c r="O881" s="148">
        <f t="shared" si="110"/>
        <v>0</v>
      </c>
      <c r="R881" s="12">
        <f t="shared" si="111"/>
        <v>0</v>
      </c>
    </row>
    <row r="882" spans="1:18" s="51" customFormat="1" ht="13.5" hidden="1" customHeight="1" outlineLevel="1" x14ac:dyDescent="0.3">
      <c r="A882" s="290">
        <f t="shared" si="109"/>
        <v>0</v>
      </c>
      <c r="B882" s="49"/>
      <c r="C882" s="49"/>
      <c r="D882" s="49"/>
      <c r="E882" s="49" t="s">
        <v>2182</v>
      </c>
      <c r="F882" s="52"/>
      <c r="G882" s="52" t="s">
        <v>29</v>
      </c>
      <c r="H882" s="53">
        <v>1</v>
      </c>
      <c r="I882" s="141"/>
      <c r="J882" s="54">
        <f>IFERROR(IF(K882&lt;&gt;0,K882*$K$5,0),0)</f>
        <v>8000</v>
      </c>
      <c r="K882" s="54">
        <v>8000</v>
      </c>
      <c r="L882" s="54">
        <f>H882*J882*I882</f>
        <v>0</v>
      </c>
      <c r="M882" s="153">
        <f t="shared" ca="1" si="112"/>
        <v>0</v>
      </c>
      <c r="O882" s="148">
        <f t="shared" si="110"/>
        <v>0</v>
      </c>
      <c r="R882" s="12">
        <f t="shared" si="111"/>
        <v>-233.00970873786446</v>
      </c>
    </row>
    <row r="883" spans="1:18" s="51" customFormat="1" ht="13.5" hidden="1" customHeight="1" outlineLevel="1" x14ac:dyDescent="0.3">
      <c r="A883" s="290">
        <f t="shared" si="109"/>
        <v>0</v>
      </c>
      <c r="B883" s="49"/>
      <c r="C883" s="49"/>
      <c r="D883" s="49"/>
      <c r="E883" s="49" t="s">
        <v>979</v>
      </c>
      <c r="F883" s="52"/>
      <c r="G883" s="52" t="s">
        <v>241</v>
      </c>
      <c r="H883" s="53">
        <v>1</v>
      </c>
      <c r="I883" s="141"/>
      <c r="J883" s="54"/>
      <c r="K883" s="54">
        <v>2000</v>
      </c>
      <c r="L883" s="274">
        <f>H883*J883*I883</f>
        <v>0</v>
      </c>
      <c r="M883" s="153">
        <f t="shared" ca="1" si="112"/>
        <v>0</v>
      </c>
      <c r="O883" s="148">
        <f t="shared" si="110"/>
        <v>0</v>
      </c>
      <c r="R883" s="12">
        <f t="shared" si="111"/>
        <v>0</v>
      </c>
    </row>
    <row r="884" spans="1:18" s="18" customFormat="1" ht="13.5" customHeight="1" x14ac:dyDescent="0.3">
      <c r="A884" s="290">
        <f>LEN(C884)</f>
        <v>3</v>
      </c>
      <c r="B884" s="35"/>
      <c r="C884" s="35" t="s">
        <v>1826</v>
      </c>
      <c r="D884" s="35" t="s">
        <v>2799</v>
      </c>
      <c r="E884" s="35"/>
      <c r="F884" s="36"/>
      <c r="G884" s="36"/>
      <c r="H884" s="37"/>
      <c r="I884" s="37"/>
      <c r="J884" s="38"/>
      <c r="K884" s="38"/>
      <c r="L884" s="38">
        <f>SUMIF(A885:A896,4,L885:L896)</f>
        <v>53983060</v>
      </c>
      <c r="M884" s="153">
        <f ca="1">L884/$L$7</f>
        <v>0.93221837463435842</v>
      </c>
      <c r="O884" s="148">
        <f t="shared" si="110"/>
        <v>0</v>
      </c>
      <c r="R884" s="12">
        <f t="shared" si="111"/>
        <v>0</v>
      </c>
    </row>
    <row r="885" spans="1:18" s="18" customFormat="1" ht="13.5" customHeight="1" outlineLevel="1" x14ac:dyDescent="0.3">
      <c r="A885" s="290">
        <f>LEN(C885)</f>
        <v>4</v>
      </c>
      <c r="B885" s="45"/>
      <c r="C885" s="45" t="s">
        <v>1827</v>
      </c>
      <c r="D885" s="45" t="s">
        <v>2799</v>
      </c>
      <c r="E885" s="45"/>
      <c r="F885" s="60"/>
      <c r="G885" s="60"/>
      <c r="H885" s="61"/>
      <c r="I885" s="61"/>
      <c r="J885" s="62"/>
      <c r="K885" s="62" t="str">
        <f>IF(A885=0,VLOOKUP(D885,'03. Insumos'!A:F,4,0),"")</f>
        <v/>
      </c>
      <c r="L885" s="62">
        <f>SUMIF(A886:A896,6,L886:L896)</f>
        <v>53983060</v>
      </c>
      <c r="M885" s="153">
        <f ca="1">L885/$L$7</f>
        <v>0.93221837463435842</v>
      </c>
      <c r="O885" s="148">
        <f t="shared" si="110"/>
        <v>0</v>
      </c>
      <c r="R885" s="12">
        <f t="shared" si="111"/>
        <v>0</v>
      </c>
    </row>
    <row r="886" spans="1:18" s="59" customFormat="1" ht="13.5" customHeight="1" outlineLevel="1" x14ac:dyDescent="0.3">
      <c r="A886" s="290">
        <f>LEN(C886)</f>
        <v>6</v>
      </c>
      <c r="B886" s="55"/>
      <c r="C886" s="55" t="s">
        <v>1828</v>
      </c>
      <c r="D886" s="55" t="s">
        <v>2829</v>
      </c>
      <c r="E886" s="55"/>
      <c r="F886" s="56"/>
      <c r="G886" s="56"/>
      <c r="H886" s="57"/>
      <c r="I886" s="57"/>
      <c r="J886" s="58"/>
      <c r="K886" s="58" t="str">
        <f>IF(A886=0,VLOOKUP(D886,'03. Insumos'!A:F,4,0),"")</f>
        <v/>
      </c>
      <c r="L886" s="58">
        <f>SUM(L887:L888)</f>
        <v>5000</v>
      </c>
      <c r="M886" s="153">
        <f ca="1">L886/$L$7</f>
        <v>8.6343602477736384E-5</v>
      </c>
      <c r="O886" s="148">
        <f t="shared" si="110"/>
        <v>0</v>
      </c>
      <c r="R886" s="12">
        <f t="shared" si="111"/>
        <v>0</v>
      </c>
    </row>
    <row r="887" spans="1:18" s="51" customFormat="1" ht="13.5" customHeight="1" outlineLevel="1" x14ac:dyDescent="0.3">
      <c r="A887" s="290">
        <f>LEN(C887)</f>
        <v>0</v>
      </c>
      <c r="B887" s="49"/>
      <c r="C887" s="49"/>
      <c r="D887" s="140" t="s">
        <v>2801</v>
      </c>
      <c r="E887" s="67" t="str">
        <f>VLOOKUP(D887,'03. Insumos'!A:D,2,0)</f>
        <v>Recomposição de fachada</v>
      </c>
      <c r="F887" s="68" t="s">
        <v>2599</v>
      </c>
      <c r="G887" s="68" t="str">
        <f>VLOOKUP(D887,'03. Insumos'!A:F,3,0)</f>
        <v>vb</v>
      </c>
      <c r="H887" s="69">
        <v>1</v>
      </c>
      <c r="I887" s="141">
        <v>1</v>
      </c>
      <c r="J887" s="70">
        <f>IFERROR(IF(K887&lt;&gt;0,K887*$K$5,0),0)</f>
        <v>5000</v>
      </c>
      <c r="K887" s="70">
        <f>IF(A887=0,VLOOKUP(D887,'03. Insumos'!A:F,4,0),"")</f>
        <v>5000</v>
      </c>
      <c r="L887" s="70">
        <f t="shared" ref="L887:L896" si="113">H887*J887*I887</f>
        <v>5000</v>
      </c>
      <c r="M887" s="153">
        <f ca="1">L887/$L$7</f>
        <v>8.6343602477736384E-5</v>
      </c>
      <c r="O887" s="148">
        <f>IF(I887&lt;&gt;0,I887*H887*K887,)</f>
        <v>5000</v>
      </c>
      <c r="R887" s="12">
        <f>IF(J887&lt;&gt;0,J887/1.03-K887,0)</f>
        <v>-145.63106796116517</v>
      </c>
    </row>
    <row r="888" spans="1:18" s="51" customFormat="1" ht="13.5" hidden="1" customHeight="1" outlineLevel="1" x14ac:dyDescent="0.3">
      <c r="A888" s="290">
        <f>LEN(C888)</f>
        <v>0</v>
      </c>
      <c r="B888" s="49"/>
      <c r="C888" s="49"/>
      <c r="D888" s="140"/>
      <c r="E888" s="67" t="e">
        <f>VLOOKUP(D888,'03. Insumos'!A:D,2,0)</f>
        <v>#N/A</v>
      </c>
      <c r="F888" s="68"/>
      <c r="G888" s="68" t="e">
        <f>VLOOKUP(D888,'03. Insumos'!A:F,3,0)</f>
        <v>#N/A</v>
      </c>
      <c r="H888" s="69">
        <v>1</v>
      </c>
      <c r="I888" s="141">
        <v>1</v>
      </c>
      <c r="J888" s="70">
        <f>IFERROR(IF(K888&lt;&gt;0,K888*$K$5,0),0)</f>
        <v>0</v>
      </c>
      <c r="K888" s="70" t="e">
        <f>IF(A888=0,VLOOKUP(D888,'03. Insumos'!A:F,4,0),"")</f>
        <v>#N/A</v>
      </c>
      <c r="L888" s="70">
        <f t="shared" si="113"/>
        <v>0</v>
      </c>
      <c r="M888" s="153">
        <f ca="1">L888/$L$7</f>
        <v>0</v>
      </c>
      <c r="O888" s="148" t="e">
        <f>IF(I888&lt;&gt;0,I888*H888*K888,)</f>
        <v>#N/A</v>
      </c>
      <c r="R888" s="12">
        <f>IF(J888&lt;&gt;0,J888/1.03-K888,0)</f>
        <v>0</v>
      </c>
    </row>
    <row r="889" spans="1:18" s="59" customFormat="1" ht="13.5" customHeight="1" outlineLevel="1" x14ac:dyDescent="0.3">
      <c r="A889" s="290">
        <f t="shared" ref="A889:A896" si="114">LEN(C889)</f>
        <v>6</v>
      </c>
      <c r="B889" s="55"/>
      <c r="C889" s="55" t="s">
        <v>1828</v>
      </c>
      <c r="D889" s="55" t="s">
        <v>2830</v>
      </c>
      <c r="E889" s="55"/>
      <c r="F889" s="56"/>
      <c r="G889" s="56"/>
      <c r="H889" s="57"/>
      <c r="I889" s="57"/>
      <c r="J889" s="58"/>
      <c r="K889" s="58" t="str">
        <f>IF(A889=0,VLOOKUP(D889,'03. Insumos'!A:F,4,0),"")</f>
        <v/>
      </c>
      <c r="L889" s="58">
        <f>SUM(L890:L891)</f>
        <v>53930460</v>
      </c>
      <c r="M889" s="153">
        <f t="shared" ref="M889:M896" ca="1" si="115">L889/$L$7</f>
        <v>0.93131003993629269</v>
      </c>
      <c r="O889" s="148">
        <f t="shared" ref="O889:O904" si="116">IF(I889&lt;&gt;0,I889*H889*K889,)</f>
        <v>0</v>
      </c>
      <c r="R889" s="12">
        <f t="shared" ref="R889:R905" si="117">IF(J889&lt;&gt;0,J889/1.03-K889,0)</f>
        <v>0</v>
      </c>
    </row>
    <row r="890" spans="1:18" s="51" customFormat="1" ht="13.5" customHeight="1" outlineLevel="1" x14ac:dyDescent="0.3">
      <c r="A890" s="290">
        <f t="shared" si="114"/>
        <v>0</v>
      </c>
      <c r="B890" s="49"/>
      <c r="C890" s="49"/>
      <c r="D890" s="140" t="s">
        <v>2802</v>
      </c>
      <c r="E890" s="67" t="str">
        <f>VLOOKUP(D890,'03. Insumos'!A:D,2,0)</f>
        <v>Execução de Telhado de Madeira - Material + MO</v>
      </c>
      <c r="F890" s="68" t="s">
        <v>2599</v>
      </c>
      <c r="G890" s="68" t="str">
        <f>VLOOKUP(D890,'03. Insumos'!A:F,3,0)</f>
        <v>m²</v>
      </c>
      <c r="H890" s="69">
        <v>119</v>
      </c>
      <c r="I890" s="141">
        <v>1</v>
      </c>
      <c r="J890" s="70">
        <f>IFERROR(IF(K890&lt;&gt;0,K890*$K$5,0),0)</f>
        <v>340</v>
      </c>
      <c r="K890" s="70">
        <f>IF(A890=0,VLOOKUP(D890,'03. Insumos'!A:F,4,0),"")</f>
        <v>340</v>
      </c>
      <c r="L890" s="70">
        <f t="shared" si="113"/>
        <v>40460</v>
      </c>
      <c r="M890" s="153">
        <f t="shared" ca="1" si="115"/>
        <v>6.9869243124984291E-4</v>
      </c>
      <c r="O890" s="148">
        <f t="shared" si="116"/>
        <v>40460</v>
      </c>
      <c r="R890" s="12">
        <f t="shared" si="117"/>
        <v>-9.9029126213592349</v>
      </c>
    </row>
    <row r="891" spans="1:18" s="51" customFormat="1" ht="13.5" customHeight="1" outlineLevel="1" x14ac:dyDescent="0.3">
      <c r="A891" s="290">
        <f t="shared" si="114"/>
        <v>0</v>
      </c>
      <c r="B891" s="49"/>
      <c r="C891" s="49"/>
      <c r="D891" s="140" t="s">
        <v>2837</v>
      </c>
      <c r="E891" s="67" t="str">
        <f>VLOOKUP(D891,'03. Insumos'!A:D,2,0)</f>
        <v>Mão de Obra- Execução de Telhado colonial</v>
      </c>
      <c r="F891" s="68" t="s">
        <v>2599</v>
      </c>
      <c r="G891" s="68" t="str">
        <f>VLOOKUP(D891,'03. Insumos'!A:F,3,0)</f>
        <v>vb</v>
      </c>
      <c r="H891" s="69">
        <v>1</v>
      </c>
      <c r="I891" s="141">
        <v>3170</v>
      </c>
      <c r="J891" s="70">
        <f>IFERROR(IF(K891&lt;&gt;0,K891*$K$5,0),0)</f>
        <v>17000</v>
      </c>
      <c r="K891" s="70">
        <f>IF(A891=0,VLOOKUP(D891,'03. Insumos'!A:F,4,0),"")</f>
        <v>17000</v>
      </c>
      <c r="L891" s="70">
        <f t="shared" si="113"/>
        <v>53890000</v>
      </c>
      <c r="M891" s="153">
        <f t="shared" ca="1" si="115"/>
        <v>0.93061134750504282</v>
      </c>
      <c r="O891" s="148">
        <f t="shared" si="116"/>
        <v>53890000</v>
      </c>
      <c r="R891" s="12">
        <f t="shared" si="117"/>
        <v>-495.14563106796049</v>
      </c>
    </row>
    <row r="892" spans="1:18" s="59" customFormat="1" ht="13.5" customHeight="1" outlineLevel="1" x14ac:dyDescent="0.3">
      <c r="A892" s="290">
        <f>LEN(C892)</f>
        <v>6</v>
      </c>
      <c r="B892" s="55"/>
      <c r="C892" s="55" t="s">
        <v>1828</v>
      </c>
      <c r="D892" s="55" t="s">
        <v>2803</v>
      </c>
      <c r="E892" s="55"/>
      <c r="F892" s="56"/>
      <c r="G892" s="56"/>
      <c r="H892" s="57"/>
      <c r="I892" s="57"/>
      <c r="J892" s="58"/>
      <c r="K892" s="58" t="str">
        <f>IF(A892=0,VLOOKUP(D892,'03. Insumos'!A:F,4,0),"")</f>
        <v/>
      </c>
      <c r="L892" s="58">
        <f>SUM(L893:L896)</f>
        <v>47600</v>
      </c>
      <c r="M892" s="153">
        <f ca="1">L892/$L$7</f>
        <v>8.2199109558805039E-4</v>
      </c>
      <c r="O892" s="148">
        <f>IF(I892&lt;&gt;0,I892*H892*K892,)</f>
        <v>0</v>
      </c>
      <c r="R892" s="12">
        <f>IF(J892&lt;&gt;0,J892/1.03-K892,0)</f>
        <v>0</v>
      </c>
    </row>
    <row r="893" spans="1:18" s="51" customFormat="1" ht="13.5" customHeight="1" outlineLevel="1" x14ac:dyDescent="0.3">
      <c r="A893" s="290">
        <f>LEN(C893)</f>
        <v>0</v>
      </c>
      <c r="B893" s="49"/>
      <c r="C893" s="49"/>
      <c r="D893" s="140" t="s">
        <v>2804</v>
      </c>
      <c r="E893" s="67" t="str">
        <f>VLOOKUP(D893,'03. Insumos'!A:D,2,0)</f>
        <v>Execução Telhado Colonial MO</v>
      </c>
      <c r="F893" s="68" t="s">
        <v>2599</v>
      </c>
      <c r="G893" s="68" t="str">
        <f>VLOOKUP(D893,'03. Insumos'!A:F,3,0)</f>
        <v>m²</v>
      </c>
      <c r="H893" s="69">
        <v>1</v>
      </c>
      <c r="I893" s="141">
        <f>6.3*3</f>
        <v>18.899999999999999</v>
      </c>
      <c r="J893" s="70">
        <f>IFERROR(IF(K893&lt;&gt;0,K893*$K$5,0),0)</f>
        <v>2518.5185185185187</v>
      </c>
      <c r="K893" s="70">
        <f>IF(A893=0,VLOOKUP(D893,'03. Insumos'!A:F,4,0),"")</f>
        <v>2518.5185185185187</v>
      </c>
      <c r="L893" s="70">
        <f t="shared" si="113"/>
        <v>47600</v>
      </c>
      <c r="M893" s="153">
        <f ca="1">L893/$L$7</f>
        <v>8.2199109558805039E-4</v>
      </c>
      <c r="O893" s="148">
        <f>IF(I893&lt;&gt;0,I893*H893*K893,)</f>
        <v>47600</v>
      </c>
      <c r="R893" s="12">
        <f>IF(J893&lt;&gt;0,J893/1.03-K893,0)</f>
        <v>-73.354908306364905</v>
      </c>
    </row>
    <row r="894" spans="1:18" s="59" customFormat="1" ht="13.5" hidden="1" customHeight="1" outlineLevel="1" x14ac:dyDescent="0.3">
      <c r="A894" s="290">
        <f>LEN(C894)</f>
        <v>6</v>
      </c>
      <c r="B894" s="55"/>
      <c r="C894" s="55" t="s">
        <v>1828</v>
      </c>
      <c r="D894" s="55" t="s">
        <v>2828</v>
      </c>
      <c r="E894" s="55"/>
      <c r="F894" s="56"/>
      <c r="G894" s="56"/>
      <c r="H894" s="57"/>
      <c r="I894" s="57"/>
      <c r="J894" s="58"/>
      <c r="K894" s="58" t="str">
        <f>IF(A894=0,VLOOKUP(D894,'03. Insumos'!A:F,4,0),"")</f>
        <v/>
      </c>
      <c r="L894" s="58">
        <f>SUM(L895:L898)</f>
        <v>0</v>
      </c>
      <c r="M894" s="153">
        <f ca="1">L894/$L$7</f>
        <v>0</v>
      </c>
      <c r="O894" s="148">
        <f>IF(I894&lt;&gt;0,I894*H894*K894,)</f>
        <v>0</v>
      </c>
      <c r="R894" s="12">
        <f>IF(J894&lt;&gt;0,J894/1.03-K894,0)</f>
        <v>0</v>
      </c>
    </row>
    <row r="895" spans="1:18" s="51" customFormat="1" ht="13.5" hidden="1" customHeight="1" outlineLevel="1" x14ac:dyDescent="0.3">
      <c r="A895" s="290">
        <f>LEN(C895)</f>
        <v>0</v>
      </c>
      <c r="B895" s="49"/>
      <c r="C895" s="49"/>
      <c r="D895" s="140"/>
      <c r="E895" s="67" t="e">
        <f>VLOOKUP(D895,'03. Insumos'!A:D,2,0)</f>
        <v>#N/A</v>
      </c>
      <c r="F895" s="68" t="s">
        <v>2599</v>
      </c>
      <c r="G895" s="68" t="e">
        <f>VLOOKUP(D895,'03. Insumos'!A:F,3,0)</f>
        <v>#N/A</v>
      </c>
      <c r="H895" s="69">
        <v>1</v>
      </c>
      <c r="I895" s="141">
        <f>6.3*3</f>
        <v>18.899999999999999</v>
      </c>
      <c r="J895" s="70">
        <f>IFERROR(IF(K895&lt;&gt;0,K895*$K$5,0),0)</f>
        <v>0</v>
      </c>
      <c r="K895" s="70" t="e">
        <f>IF(A895=0,VLOOKUP(D895,'03. Insumos'!A:F,4,0),"")</f>
        <v>#N/A</v>
      </c>
      <c r="L895" s="70">
        <f>H895*J895*I895</f>
        <v>0</v>
      </c>
      <c r="M895" s="153">
        <f ca="1">L895/$L$7</f>
        <v>0</v>
      </c>
      <c r="O895" s="148" t="e">
        <f>IF(I895&lt;&gt;0,I895*H895*K895,)</f>
        <v>#N/A</v>
      </c>
      <c r="R895" s="12">
        <f>IF(J895&lt;&gt;0,J895/1.03-K895,0)</f>
        <v>0</v>
      </c>
    </row>
    <row r="896" spans="1:18" s="51" customFormat="1" ht="13.5" hidden="1" customHeight="1" outlineLevel="1" x14ac:dyDescent="0.3">
      <c r="A896" s="290">
        <f t="shared" si="114"/>
        <v>0</v>
      </c>
      <c r="B896" s="49"/>
      <c r="C896" s="49"/>
      <c r="D896" s="140"/>
      <c r="E896" s="67" t="e">
        <f>VLOOKUP(D896,'03. Insumos'!A:D,2,0)</f>
        <v>#N/A</v>
      </c>
      <c r="F896" s="68"/>
      <c r="G896" s="68" t="e">
        <f>VLOOKUP(D896,'03. Insumos'!A:F,3,0)</f>
        <v>#N/A</v>
      </c>
      <c r="H896" s="69">
        <v>1</v>
      </c>
      <c r="I896" s="141">
        <v>1</v>
      </c>
      <c r="J896" s="70">
        <f>IFERROR(IF(K896&lt;&gt;0,K896*$K$5,0),0)</f>
        <v>0</v>
      </c>
      <c r="K896" s="70" t="e">
        <f>IF(A896=0,VLOOKUP(D896,'03. Insumos'!A:F,4,0),"")</f>
        <v>#N/A</v>
      </c>
      <c r="L896" s="70">
        <f t="shared" si="113"/>
        <v>0</v>
      </c>
      <c r="M896" s="153">
        <f t="shared" ca="1" si="115"/>
        <v>0</v>
      </c>
      <c r="O896" s="148" t="e">
        <f t="shared" si="116"/>
        <v>#N/A</v>
      </c>
      <c r="R896" s="12">
        <f t="shared" si="117"/>
        <v>0</v>
      </c>
    </row>
    <row r="897" spans="1:18" s="18" customFormat="1" ht="13.5" customHeight="1" x14ac:dyDescent="0.3">
      <c r="A897" s="290">
        <f t="shared" si="109"/>
        <v>3</v>
      </c>
      <c r="B897" s="35"/>
      <c r="C897" s="35" t="s">
        <v>1812</v>
      </c>
      <c r="D897" s="35" t="s">
        <v>1260</v>
      </c>
      <c r="E897" s="35"/>
      <c r="F897" s="36"/>
      <c r="G897" s="36"/>
      <c r="H897" s="37"/>
      <c r="I897" s="37"/>
      <c r="J897" s="38"/>
      <c r="K897" s="38"/>
      <c r="L897" s="38">
        <f>SUMIF(A898:A900,4,L898:L900)</f>
        <v>0</v>
      </c>
      <c r="M897" s="153">
        <f t="shared" ca="1" si="112"/>
        <v>0</v>
      </c>
      <c r="O897" s="148">
        <f t="shared" si="116"/>
        <v>0</v>
      </c>
      <c r="R897" s="12">
        <f t="shared" si="117"/>
        <v>0</v>
      </c>
    </row>
    <row r="898" spans="1:18" s="18" customFormat="1" ht="13.5" hidden="1" customHeight="1" outlineLevel="1" x14ac:dyDescent="0.3">
      <c r="A898" s="290">
        <f t="shared" si="109"/>
        <v>4</v>
      </c>
      <c r="B898" s="45"/>
      <c r="C898" s="45" t="s">
        <v>1813</v>
      </c>
      <c r="D898" s="45" t="s">
        <v>1260</v>
      </c>
      <c r="E898" s="45"/>
      <c r="F898" s="60"/>
      <c r="G898" s="60"/>
      <c r="H898" s="61"/>
      <c r="I898" s="61"/>
      <c r="J898" s="62"/>
      <c r="K898" s="62" t="str">
        <f>IF(A898=0,VLOOKUP(D898,'03. Insumos'!A:F,4,0),"")</f>
        <v/>
      </c>
      <c r="L898" s="62">
        <f>SUMIF(A899:A900,6,L899:L900)</f>
        <v>0</v>
      </c>
      <c r="M898" s="153">
        <f t="shared" ca="1" si="112"/>
        <v>0</v>
      </c>
      <c r="O898" s="148">
        <f t="shared" si="116"/>
        <v>0</v>
      </c>
      <c r="R898" s="12">
        <f t="shared" si="117"/>
        <v>0</v>
      </c>
    </row>
    <row r="899" spans="1:18" s="59" customFormat="1" ht="13.5" hidden="1" customHeight="1" outlineLevel="1" x14ac:dyDescent="0.3">
      <c r="A899" s="290">
        <f t="shared" si="109"/>
        <v>6</v>
      </c>
      <c r="B899" s="55"/>
      <c r="C899" s="55" t="s">
        <v>1814</v>
      </c>
      <c r="D899" s="55" t="s">
        <v>1260</v>
      </c>
      <c r="E899" s="55"/>
      <c r="F899" s="56"/>
      <c r="G899" s="56"/>
      <c r="H899" s="57"/>
      <c r="I899" s="57"/>
      <c r="J899" s="58"/>
      <c r="K899" s="58" t="str">
        <f>IF(A899=0,VLOOKUP(D899,'03. Insumos'!A:F,4,0),"")</f>
        <v/>
      </c>
      <c r="L899" s="58">
        <f>SUM(L900:L900)</f>
        <v>0</v>
      </c>
      <c r="M899" s="153">
        <f t="shared" ca="1" si="112"/>
        <v>0</v>
      </c>
      <c r="O899" s="148">
        <f t="shared" si="116"/>
        <v>0</v>
      </c>
      <c r="R899" s="12">
        <f t="shared" si="117"/>
        <v>0</v>
      </c>
    </row>
    <row r="900" spans="1:18" s="51" customFormat="1" ht="13.5" hidden="1" customHeight="1" outlineLevel="1" x14ac:dyDescent="0.3">
      <c r="A900" s="290">
        <f t="shared" si="109"/>
        <v>0</v>
      </c>
      <c r="B900" s="49"/>
      <c r="C900" s="49"/>
      <c r="D900" s="49"/>
      <c r="E900" s="49" t="s">
        <v>1260</v>
      </c>
      <c r="F900" s="52"/>
      <c r="G900" s="52" t="s">
        <v>29</v>
      </c>
      <c r="H900" s="53">
        <v>1</v>
      </c>
      <c r="I900" s="141"/>
      <c r="J900" s="54">
        <f>IFERROR(IF(K900&lt;&gt;0,K900*$K$5,0),0)</f>
        <v>0</v>
      </c>
      <c r="K900" s="54"/>
      <c r="L900" s="274">
        <f>H900*J900*I900</f>
        <v>0</v>
      </c>
      <c r="M900" s="153">
        <f t="shared" ca="1" si="112"/>
        <v>0</v>
      </c>
      <c r="N900" s="224">
        <f ca="1">L7*0.03</f>
        <v>1737245.0962846649</v>
      </c>
      <c r="O900" s="148">
        <f t="shared" si="116"/>
        <v>0</v>
      </c>
      <c r="R900" s="12">
        <f t="shared" si="117"/>
        <v>0</v>
      </c>
    </row>
    <row r="901" spans="1:18" s="18" customFormat="1" collapsed="1" x14ac:dyDescent="0.3">
      <c r="A901" s="290">
        <f t="shared" si="109"/>
        <v>3</v>
      </c>
      <c r="B901" s="35"/>
      <c r="C901" s="35" t="s">
        <v>1838</v>
      </c>
      <c r="D901" s="35" t="s">
        <v>997</v>
      </c>
      <c r="E901" s="35"/>
      <c r="F901" s="36"/>
      <c r="G901" s="36"/>
      <c r="H901" s="37"/>
      <c r="I901" s="37"/>
      <c r="J901" s="38"/>
      <c r="K901" s="38"/>
      <c r="L901" s="38">
        <f>SUMIF(A902:A904,4,L902:L904)</f>
        <v>0</v>
      </c>
      <c r="M901" s="153">
        <f t="shared" ca="1" si="112"/>
        <v>0</v>
      </c>
      <c r="O901" s="148">
        <f t="shared" si="116"/>
        <v>0</v>
      </c>
      <c r="R901" s="12">
        <f t="shared" si="117"/>
        <v>0</v>
      </c>
    </row>
    <row r="902" spans="1:18" s="18" customFormat="1" hidden="1" outlineLevel="1" x14ac:dyDescent="0.3">
      <c r="A902" s="290">
        <f t="shared" si="109"/>
        <v>4</v>
      </c>
      <c r="B902" s="45"/>
      <c r="C902" s="45" t="s">
        <v>1839</v>
      </c>
      <c r="D902" s="45" t="s">
        <v>997</v>
      </c>
      <c r="E902" s="45"/>
      <c r="F902" s="60"/>
      <c r="G902" s="60"/>
      <c r="H902" s="61"/>
      <c r="I902" s="61"/>
      <c r="J902" s="62"/>
      <c r="K902" s="62" t="str">
        <f>IF(A902=0,VLOOKUP(D902,'03. Insumos'!A:F,4,0),"")</f>
        <v/>
      </c>
      <c r="L902" s="62">
        <f>SUMIF(A903:A904,6,L903:L904)</f>
        <v>0</v>
      </c>
      <c r="M902" s="153">
        <f t="shared" ca="1" si="112"/>
        <v>0</v>
      </c>
      <c r="O902" s="148">
        <f t="shared" si="116"/>
        <v>0</v>
      </c>
      <c r="R902" s="12">
        <f t="shared" si="117"/>
        <v>0</v>
      </c>
    </row>
    <row r="903" spans="1:18" s="59" customFormat="1" hidden="1" outlineLevel="1" x14ac:dyDescent="0.3">
      <c r="A903" s="290">
        <f t="shared" si="109"/>
        <v>6</v>
      </c>
      <c r="B903" s="55"/>
      <c r="C903" s="55" t="s">
        <v>1840</v>
      </c>
      <c r="D903" s="55" t="s">
        <v>997</v>
      </c>
      <c r="E903" s="55"/>
      <c r="F903" s="56"/>
      <c r="G903" s="56"/>
      <c r="H903" s="57"/>
      <c r="I903" s="57"/>
      <c r="J903" s="58"/>
      <c r="K903" s="58" t="str">
        <f>IF(A903=0,VLOOKUP(D903,'03. Insumos'!A:F,4,0),"")</f>
        <v/>
      </c>
      <c r="L903" s="58">
        <f>SUM(L904:L904)</f>
        <v>0</v>
      </c>
      <c r="M903" s="153">
        <f t="shared" ca="1" si="112"/>
        <v>0</v>
      </c>
      <c r="O903" s="148">
        <f t="shared" si="116"/>
        <v>0</v>
      </c>
      <c r="R903" s="12">
        <f t="shared" si="117"/>
        <v>0</v>
      </c>
    </row>
    <row r="904" spans="1:18" s="51" customFormat="1" hidden="1" outlineLevel="1" x14ac:dyDescent="0.3">
      <c r="A904" s="290">
        <f t="shared" si="109"/>
        <v>0</v>
      </c>
      <c r="B904" s="49"/>
      <c r="C904" s="49"/>
      <c r="D904" s="49"/>
      <c r="E904" s="49" t="s">
        <v>997</v>
      </c>
      <c r="F904" s="52"/>
      <c r="G904" s="52" t="s">
        <v>29</v>
      </c>
      <c r="H904" s="53">
        <v>1</v>
      </c>
      <c r="I904" s="141"/>
      <c r="J904" s="54">
        <f>IFERROR(IF(K904&lt;&gt;0,K904*$K$5,0),0)</f>
        <v>0</v>
      </c>
      <c r="K904" s="54"/>
      <c r="L904" s="274">
        <f>H904*J904*I904</f>
        <v>0</v>
      </c>
      <c r="M904" s="153">
        <f t="shared" ca="1" si="112"/>
        <v>0</v>
      </c>
      <c r="N904" s="171">
        <f ca="1">L7*0.02</f>
        <v>1158163.39752311</v>
      </c>
      <c r="O904" s="148">
        <f t="shared" si="116"/>
        <v>0</v>
      </c>
      <c r="R904" s="12">
        <f t="shared" si="117"/>
        <v>0</v>
      </c>
    </row>
    <row r="905" spans="1:18" hidden="1" outlineLevel="1" x14ac:dyDescent="0.3">
      <c r="B905" s="179"/>
      <c r="C905" s="179"/>
      <c r="D905" s="179"/>
      <c r="E905" s="179"/>
      <c r="F905" s="180"/>
      <c r="G905" s="180"/>
      <c r="H905" s="181"/>
      <c r="I905" s="182"/>
      <c r="J905" s="183"/>
      <c r="K905" s="183"/>
      <c r="L905" s="183"/>
      <c r="M905" s="153"/>
      <c r="N905" s="51"/>
      <c r="R905" s="12">
        <f t="shared" si="117"/>
        <v>0</v>
      </c>
    </row>
    <row r="906" spans="1:18" ht="16.2" hidden="1" collapsed="1" x14ac:dyDescent="0.4">
      <c r="B906" s="175" t="s">
        <v>22</v>
      </c>
      <c r="C906" s="175"/>
      <c r="D906" s="175"/>
      <c r="E906" s="175"/>
      <c r="F906" s="176"/>
      <c r="G906" s="176"/>
      <c r="H906" s="177"/>
      <c r="I906" s="177"/>
      <c r="J906" s="178"/>
      <c r="K906" s="178"/>
      <c r="L906" s="178">
        <f ca="1">J907+J917+J918</f>
        <v>68853336.940279856</v>
      </c>
      <c r="M906" s="153" t="b">
        <f ca="1">L906=SUM(L7,L917)</f>
        <v>0</v>
      </c>
    </row>
    <row r="907" spans="1:18" ht="14.4" hidden="1" x14ac:dyDescent="0.3">
      <c r="B907" s="184"/>
      <c r="C907" s="184"/>
      <c r="D907" s="184" t="s">
        <v>30</v>
      </c>
      <c r="E907" s="184"/>
      <c r="F907" s="185"/>
      <c r="G907" s="185"/>
      <c r="H907" s="186">
        <v>1</v>
      </c>
      <c r="I907" s="186">
        <v>1</v>
      </c>
      <c r="J907" s="187">
        <f ca="1">L7</f>
        <v>57908169.876155503</v>
      </c>
      <c r="K907" s="187"/>
      <c r="L907" s="187"/>
      <c r="M907" s="153"/>
      <c r="N907" s="59"/>
    </row>
    <row r="908" spans="1:18" ht="14.4" hidden="1" x14ac:dyDescent="0.3">
      <c r="B908" s="184"/>
      <c r="C908" s="184"/>
      <c r="D908" s="184"/>
      <c r="E908" s="184"/>
      <c r="F908" s="185"/>
      <c r="G908" s="281"/>
      <c r="H908" s="186"/>
      <c r="I908" s="186"/>
      <c r="J908" s="187"/>
      <c r="K908" s="187"/>
      <c r="L908" s="187"/>
      <c r="M908" s="153"/>
      <c r="N908" s="59"/>
    </row>
    <row r="909" spans="1:18" ht="14.4" hidden="1" x14ac:dyDescent="0.3">
      <c r="B909" s="184"/>
      <c r="C909" s="184"/>
      <c r="D909" s="184"/>
      <c r="E909" s="184" t="s">
        <v>2616</v>
      </c>
      <c r="F909" s="185"/>
      <c r="G909" s="281"/>
      <c r="H909" s="186">
        <v>1</v>
      </c>
      <c r="I909" s="186">
        <v>1</v>
      </c>
      <c r="J909" s="349">
        <f>SUMIF(F8:F905,"MO",L8:L905)</f>
        <v>173626.23700000002</v>
      </c>
      <c r="K909" s="187">
        <f ca="1">(J909/($J$909+$J$910+$J$912))*$J$917</f>
        <v>26354.514042865048</v>
      </c>
      <c r="L909" s="359">
        <f ca="1">J909+K909</f>
        <v>199980.75104286507</v>
      </c>
      <c r="M909" s="153"/>
      <c r="N909" s="59"/>
    </row>
    <row r="910" spans="1:18" ht="14.4" hidden="1" x14ac:dyDescent="0.3">
      <c r="B910" s="184"/>
      <c r="C910" s="184"/>
      <c r="D910" s="184"/>
      <c r="E910" s="184" t="s">
        <v>2611</v>
      </c>
      <c r="F910" s="185"/>
      <c r="G910" s="281"/>
      <c r="H910" s="186">
        <v>1</v>
      </c>
      <c r="I910" s="186">
        <v>1</v>
      </c>
      <c r="J910" s="349">
        <f>SUMIF(F8:F905,"MAT CONSUMO",L8:L905)</f>
        <v>1516501.3999840007</v>
      </c>
      <c r="K910" s="187">
        <f ca="1">(J910/($J$909+$J$910+$J$912))*$J$917</f>
        <v>230187.89171767194</v>
      </c>
      <c r="L910" s="359">
        <f ca="1">J910+K910</f>
        <v>1746689.2917016726</v>
      </c>
      <c r="M910" s="153"/>
      <c r="N910" s="59"/>
    </row>
    <row r="911" spans="1:18" ht="14.4" hidden="1" x14ac:dyDescent="0.3">
      <c r="B911" s="184"/>
      <c r="C911" s="184"/>
      <c r="D911" s="184"/>
      <c r="E911" s="184" t="s">
        <v>2610</v>
      </c>
      <c r="F911" s="185"/>
      <c r="G911" s="281"/>
      <c r="H911" s="186">
        <v>1</v>
      </c>
      <c r="I911" s="186">
        <v>1</v>
      </c>
      <c r="J911" s="349">
        <f>SUMIF(F8:F905,"MAT ACABAMENTO",L8:L905)</f>
        <v>300922.05398500001</v>
      </c>
      <c r="K911" s="187"/>
      <c r="L911" s="359">
        <f>J911+K911</f>
        <v>300922.05398500001</v>
      </c>
      <c r="M911" s="153"/>
      <c r="N911" s="59"/>
    </row>
    <row r="912" spans="1:18" ht="14.4" hidden="1" x14ac:dyDescent="0.3">
      <c r="B912" s="184"/>
      <c r="C912" s="184"/>
      <c r="D912" s="184"/>
      <c r="E912" s="184" t="s">
        <v>2621</v>
      </c>
      <c r="F912" s="185"/>
      <c r="G912" s="281"/>
      <c r="H912" s="186">
        <v>1</v>
      </c>
      <c r="I912" s="186">
        <v>1</v>
      </c>
      <c r="J912" s="349">
        <f>SUMIF(F8:F905,"SERV. ESP.",L8:L905)</f>
        <v>55917120.185186498</v>
      </c>
      <c r="K912" s="187">
        <f ca="1">(J912/($J$909+$J$910+$J$912))*$J$917</f>
        <v>8487591.2455389444</v>
      </c>
      <c r="L912" s="359">
        <f ca="1">J912+K912</f>
        <v>64404711.43072544</v>
      </c>
      <c r="M912" s="153"/>
      <c r="N912" s="59"/>
    </row>
    <row r="913" spans="2:14" ht="14.4" hidden="1" x14ac:dyDescent="0.3">
      <c r="B913" s="184"/>
      <c r="C913" s="184"/>
      <c r="D913" s="184"/>
      <c r="E913" s="184"/>
      <c r="F913" s="185"/>
      <c r="G913" s="281"/>
      <c r="H913" s="186"/>
      <c r="I913" s="186"/>
      <c r="J913" s="187"/>
      <c r="K913" s="187"/>
      <c r="L913" s="187"/>
      <c r="M913" s="153"/>
      <c r="N913" s="59"/>
    </row>
    <row r="914" spans="2:14" ht="14.4" hidden="1" x14ac:dyDescent="0.3">
      <c r="B914" s="184"/>
      <c r="C914" s="184"/>
      <c r="D914" s="184"/>
      <c r="E914" s="184"/>
      <c r="F914" s="185"/>
      <c r="G914" s="281"/>
      <c r="H914" s="186"/>
      <c r="I914" s="186"/>
      <c r="J914" s="187"/>
      <c r="K914" s="187"/>
      <c r="L914" s="187"/>
      <c r="M914" s="153"/>
      <c r="N914" s="59"/>
    </row>
    <row r="915" spans="2:14" ht="14.4" hidden="1" x14ac:dyDescent="0.3">
      <c r="B915" s="184"/>
      <c r="C915" s="184"/>
      <c r="D915" s="184"/>
      <c r="E915" s="184" t="s">
        <v>2253</v>
      </c>
      <c r="F915" s="185"/>
      <c r="G915" s="281">
        <f ca="1">J915/J907</f>
        <v>0.99896387677026721</v>
      </c>
      <c r="H915" s="186">
        <v>1</v>
      </c>
      <c r="I915" s="186">
        <v>1</v>
      </c>
      <c r="J915" s="187">
        <f ca="1">J907-J916</f>
        <v>57848169.876155503</v>
      </c>
      <c r="K915" s="187"/>
      <c r="L915" s="187"/>
      <c r="M915" s="153"/>
      <c r="N915" s="59"/>
    </row>
    <row r="916" spans="2:14" ht="14.4" hidden="1" x14ac:dyDescent="0.3">
      <c r="B916" s="184"/>
      <c r="C916" s="184"/>
      <c r="D916" s="184"/>
      <c r="E916" s="184" t="s">
        <v>2846</v>
      </c>
      <c r="F916" s="185"/>
      <c r="G916" s="281">
        <f ca="1">J916/J907</f>
        <v>1.0361232297328366E-3</v>
      </c>
      <c r="H916" s="186">
        <v>1</v>
      </c>
      <c r="I916" s="186">
        <v>1</v>
      </c>
      <c r="J916" s="187">
        <f>(8000+4000)*L2</f>
        <v>60000</v>
      </c>
      <c r="K916" s="187"/>
      <c r="L916" s="187"/>
      <c r="M916" s="153"/>
      <c r="N916" s="59"/>
    </row>
    <row r="917" spans="2:14" ht="14.4" hidden="1" x14ac:dyDescent="0.3">
      <c r="B917" s="184"/>
      <c r="C917" s="184"/>
      <c r="D917" s="184" t="s">
        <v>2252</v>
      </c>
      <c r="E917" s="184"/>
      <c r="F917" s="185"/>
      <c r="G917" s="283">
        <v>0.151</v>
      </c>
      <c r="H917" s="186">
        <v>1</v>
      </c>
      <c r="I917" s="186">
        <v>1</v>
      </c>
      <c r="J917" s="187">
        <f ca="1">G917*J907</f>
        <v>8744133.6512994803</v>
      </c>
      <c r="K917" s="187"/>
      <c r="L917" s="187"/>
      <c r="M917" s="153">
        <f ca="1">L917/$L$7</f>
        <v>0</v>
      </c>
      <c r="N917" s="348">
        <f>L917/L2</f>
        <v>0</v>
      </c>
    </row>
    <row r="918" spans="2:14" ht="14.4" hidden="1" x14ac:dyDescent="0.3">
      <c r="B918" s="291"/>
      <c r="C918" s="291"/>
      <c r="D918" s="291" t="s">
        <v>2251</v>
      </c>
      <c r="E918" s="291"/>
      <c r="F918" s="292"/>
      <c r="G918" s="293"/>
      <c r="H918" s="294">
        <v>1</v>
      </c>
      <c r="I918" s="294">
        <v>1</v>
      </c>
      <c r="J918" s="295">
        <f ca="1">((J917+J916)/0.8)-(J917+J916)</f>
        <v>2201033.4128248692</v>
      </c>
      <c r="K918" s="187"/>
      <c r="L918" s="359">
        <f ca="1">H918*J918*I918</f>
        <v>2201033.4128248692</v>
      </c>
      <c r="M918" s="153">
        <f ca="1">L918/$L$7</f>
        <v>3.8009030807433189E-2</v>
      </c>
      <c r="N918" s="59"/>
    </row>
    <row r="919" spans="2:14" ht="14.4" hidden="1" thickBot="1" x14ac:dyDescent="0.35">
      <c r="J919" s="284"/>
      <c r="K919" s="360"/>
    </row>
    <row r="920" spans="2:14" hidden="1" x14ac:dyDescent="0.3">
      <c r="J920" s="361"/>
      <c r="K920" s="362" t="s">
        <v>73</v>
      </c>
      <c r="L920" s="363" t="s">
        <v>2824</v>
      </c>
    </row>
    <row r="921" spans="2:14" hidden="1" x14ac:dyDescent="0.3">
      <c r="J921" s="364" t="s">
        <v>2825</v>
      </c>
      <c r="K921" s="365">
        <v>340.38</v>
      </c>
      <c r="L921" s="366">
        <f ca="1">L906/K921</f>
        <v>202283.73271132223</v>
      </c>
    </row>
    <row r="922" spans="2:14" ht="14.4" hidden="1" thickBot="1" x14ac:dyDescent="0.35">
      <c r="J922" s="367" t="s">
        <v>2826</v>
      </c>
      <c r="K922" s="368">
        <f>205.56+177.86</f>
        <v>383.42</v>
      </c>
      <c r="L922" s="369">
        <f ca="1">L906/K922</f>
        <v>179576.800741432</v>
      </c>
    </row>
    <row r="923" spans="2:14" hidden="1" x14ac:dyDescent="0.3"/>
    <row r="924" spans="2:14" hidden="1" x14ac:dyDescent="0.3">
      <c r="L924" s="43">
        <f ca="1">SUM(L7:L901)</f>
        <v>347449019.25693291</v>
      </c>
    </row>
    <row r="925" spans="2:14" hidden="1" x14ac:dyDescent="0.3">
      <c r="L925" s="43">
        <f ca="1">L924/6</f>
        <v>57908169.876155488</v>
      </c>
    </row>
    <row r="926" spans="2:14" hidden="1" x14ac:dyDescent="0.3"/>
    <row r="927" spans="2:14" hidden="1" x14ac:dyDescent="0.3">
      <c r="L927" s="43">
        <f>SUM(L9:L176)</f>
        <v>867620.89999999991</v>
      </c>
    </row>
    <row r="928" spans="2:14" hidden="1" x14ac:dyDescent="0.3">
      <c r="L928" s="43">
        <f>L927/5</f>
        <v>173524.18</v>
      </c>
    </row>
    <row r="929" spans="12:12" hidden="1" x14ac:dyDescent="0.3"/>
    <row r="930" spans="12:12" hidden="1" x14ac:dyDescent="0.3">
      <c r="L930" s="43">
        <f ca="1">SUM(L177:L901)</f>
        <v>288673228.48077738</v>
      </c>
    </row>
    <row r="931" spans="12:12" hidden="1" x14ac:dyDescent="0.3">
      <c r="L931" s="43">
        <f ca="1">L930/5</f>
        <v>57734645.696155474</v>
      </c>
    </row>
    <row r="932" spans="12:12" hidden="1" x14ac:dyDescent="0.3"/>
  </sheetData>
  <mergeCells count="1">
    <mergeCell ref="E1:J2"/>
  </mergeCells>
  <conditionalFormatting sqref="A1:A65536">
    <cfRule type="cellIs" dxfId="2" priority="1" operator="equal">
      <formula>2</formula>
    </cfRule>
  </conditionalFormatting>
  <printOptions horizontalCentered="1"/>
  <pageMargins left="0.51181102362204722" right="0.51181102362204722" top="0.78740157480314965" bottom="0.78740157480314965" header="0.31496062992125984" footer="0.31496062992125984"/>
  <pageSetup paperSize="9" scale="74" fitToHeight="10" orientation="landscape" verticalDpi="200" r:id="rId1"/>
  <drawing r:id="rId2"/>
  <legacyDrawing r:id="rId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B050"/>
    <pageSetUpPr fitToPage="1"/>
  </sheetPr>
  <dimension ref="A1:R950"/>
  <sheetViews>
    <sheetView showGridLines="0" zoomScaleNormal="100" zoomScaleSheetLayoutView="85" workbookViewId="0">
      <pane ySplit="7" topLeftCell="A171" activePane="bottomLeft" state="frozen"/>
      <selection pane="bottomLeft" activeCell="E260" sqref="E260"/>
    </sheetView>
  </sheetViews>
  <sheetFormatPr defaultColWidth="9.109375" defaultRowHeight="13.8" outlineLevelRow="1" outlineLevelCol="1" x14ac:dyDescent="0.3"/>
  <cols>
    <col min="1" max="1" width="4.33203125" style="290" customWidth="1" outlineLevel="1"/>
    <col min="2" max="2" width="1.88671875" style="39" customWidth="1"/>
    <col min="3" max="3" width="7.109375" style="39" customWidth="1"/>
    <col min="4" max="4" width="8.6640625" style="39" customWidth="1"/>
    <col min="5" max="5" width="48.6640625" style="385" customWidth="1"/>
    <col min="6" max="6" width="15.44140625" style="9" customWidth="1"/>
    <col min="7" max="7" width="10.33203125" style="9" customWidth="1"/>
    <col min="8" max="8" width="9" style="44" customWidth="1"/>
    <col min="9" max="9" width="11.6640625" style="44" customWidth="1"/>
    <col min="10" max="10" width="17.6640625" style="43" bestFit="1" customWidth="1"/>
    <col min="11" max="11" width="16.5546875" style="43" hidden="1" customWidth="1" outlineLevel="1"/>
    <col min="12" max="12" width="19" style="43" customWidth="1" collapsed="1"/>
    <col min="13" max="13" width="11.109375" style="150" customWidth="1"/>
    <col min="14" max="14" width="17" style="13" customWidth="1" outlineLevel="1"/>
    <col min="15" max="15" width="17.88671875" style="13" customWidth="1" outlineLevel="1"/>
    <col min="16" max="16" width="16" style="13" customWidth="1" outlineLevel="1"/>
    <col min="17" max="17" width="1.44140625" style="13" customWidth="1"/>
    <col min="18" max="18" width="15.6640625" style="13" customWidth="1"/>
    <col min="19" max="20" width="13.5546875" style="13" customWidth="1"/>
    <col min="21" max="16384" width="9.109375" style="13"/>
  </cols>
  <sheetData>
    <row r="1" spans="1:18" ht="15" customHeight="1" x14ac:dyDescent="0.3">
      <c r="B1" s="373"/>
      <c r="C1" s="373"/>
      <c r="D1" s="374"/>
      <c r="E1" s="1111" t="s">
        <v>1263</v>
      </c>
      <c r="F1" s="1111"/>
      <c r="G1" s="1111"/>
      <c r="H1" s="1111"/>
      <c r="I1" s="1111"/>
      <c r="J1" s="1111"/>
      <c r="K1" s="192" t="s">
        <v>1155</v>
      </c>
      <c r="L1" s="382" t="s">
        <v>1000</v>
      </c>
      <c r="M1" s="149"/>
    </row>
    <row r="2" spans="1:18" ht="17.25" customHeight="1" x14ac:dyDescent="0.3">
      <c r="B2" s="373"/>
      <c r="C2" s="373"/>
      <c r="D2" s="374"/>
      <c r="E2" s="1111"/>
      <c r="F2" s="1111"/>
      <c r="G2" s="1111"/>
      <c r="H2" s="1111"/>
      <c r="I2" s="1111"/>
      <c r="J2" s="1111"/>
      <c r="K2" s="452"/>
      <c r="L2" s="383">
        <v>6</v>
      </c>
      <c r="M2" s="149"/>
      <c r="N2" s="226"/>
    </row>
    <row r="3" spans="1:18" ht="14.4" thickBot="1" x14ac:dyDescent="0.35">
      <c r="B3" s="377"/>
      <c r="C3" s="377"/>
      <c r="D3" s="378"/>
      <c r="E3" s="453"/>
      <c r="F3" s="379"/>
      <c r="G3" s="380"/>
      <c r="H3" s="380"/>
      <c r="I3" s="380"/>
      <c r="J3" s="380"/>
      <c r="K3" s="376"/>
      <c r="L3" s="454"/>
      <c r="M3" s="149"/>
    </row>
    <row r="4" spans="1:18" ht="15" thickTop="1" thickBot="1" x14ac:dyDescent="0.35">
      <c r="H4" s="9"/>
      <c r="I4" s="9"/>
      <c r="K4" s="228" t="s">
        <v>1261</v>
      </c>
    </row>
    <row r="5" spans="1:18" ht="13.5" customHeight="1" thickBot="1" x14ac:dyDescent="0.35">
      <c r="B5" s="24"/>
      <c r="C5" s="24"/>
      <c r="D5" s="24"/>
      <c r="E5" s="386"/>
      <c r="F5" s="3" t="s">
        <v>1593</v>
      </c>
      <c r="G5" s="3" t="s">
        <v>28</v>
      </c>
      <c r="H5" s="3" t="s">
        <v>1596</v>
      </c>
      <c r="I5" s="3" t="s">
        <v>88</v>
      </c>
      <c r="J5" s="25" t="s">
        <v>26</v>
      </c>
      <c r="K5" s="228">
        <v>1</v>
      </c>
      <c r="L5" s="25" t="s">
        <v>27</v>
      </c>
      <c r="M5" s="151"/>
      <c r="O5" s="148" t="s">
        <v>1262</v>
      </c>
    </row>
    <row r="6" spans="1:18" ht="5.25" customHeight="1" x14ac:dyDescent="0.3">
      <c r="B6" s="88"/>
      <c r="C6" s="88"/>
      <c r="D6" s="88"/>
      <c r="E6" s="387"/>
      <c r="F6" s="10"/>
      <c r="G6" s="10"/>
      <c r="H6" s="10"/>
      <c r="I6" s="10"/>
      <c r="J6" s="89"/>
      <c r="K6" s="89"/>
      <c r="L6" s="89"/>
      <c r="M6" s="152"/>
      <c r="O6" s="148"/>
    </row>
    <row r="7" spans="1:18" ht="13.5" customHeight="1" x14ac:dyDescent="0.3">
      <c r="B7" s="76" t="s">
        <v>22</v>
      </c>
      <c r="C7" s="90"/>
      <c r="D7" s="90"/>
      <c r="E7" s="388"/>
      <c r="F7" s="91"/>
      <c r="G7" s="91"/>
      <c r="H7" s="92"/>
      <c r="I7" s="92"/>
      <c r="J7" s="93"/>
      <c r="K7" s="93"/>
      <c r="L7" s="93">
        <f ca="1">SUM(L9+L177)</f>
        <v>26532260.609058835</v>
      </c>
      <c r="M7" s="153">
        <f t="shared" ref="M7:M143" ca="1" si="0">L7/$L$7</f>
        <v>1</v>
      </c>
      <c r="N7" s="13" t="e">
        <f ca="1">P7=L7</f>
        <v>#N/A</v>
      </c>
      <c r="O7" s="227" t="e">
        <f>SUM(O10:O929)</f>
        <v>#N/A</v>
      </c>
      <c r="P7" s="225" t="e">
        <f>O7*K5</f>
        <v>#N/A</v>
      </c>
      <c r="Q7" s="226"/>
    </row>
    <row r="8" spans="1:18" ht="5.25" customHeight="1" x14ac:dyDescent="0.3">
      <c r="B8" s="63">
        <v>0</v>
      </c>
      <c r="C8" s="72">
        <v>0</v>
      </c>
      <c r="D8" s="72">
        <v>0</v>
      </c>
      <c r="E8" s="55">
        <v>0</v>
      </c>
      <c r="F8" s="73"/>
      <c r="G8" s="73">
        <v>0</v>
      </c>
      <c r="H8" s="74">
        <v>0</v>
      </c>
      <c r="I8" s="74"/>
      <c r="J8" s="75">
        <f>IFERROR(IF(K8&lt;&gt;0,K8*$K$5,0),0)</f>
        <v>0</v>
      </c>
      <c r="K8" s="75"/>
      <c r="L8" s="75"/>
      <c r="M8" s="153">
        <f t="shared" ca="1" si="0"/>
        <v>0</v>
      </c>
      <c r="O8" s="148"/>
    </row>
    <row r="9" spans="1:18" ht="13.5" customHeight="1" x14ac:dyDescent="0.3">
      <c r="A9" s="290">
        <f t="shared" ref="A9:A145" si="1">LEN(C9)</f>
        <v>1</v>
      </c>
      <c r="B9" s="20"/>
      <c r="C9" s="20" t="s">
        <v>352</v>
      </c>
      <c r="D9" s="20" t="s">
        <v>90</v>
      </c>
      <c r="E9" s="389"/>
      <c r="F9" s="22"/>
      <c r="G9" s="22"/>
      <c r="H9" s="28"/>
      <c r="I9" s="28"/>
      <c r="J9" s="26"/>
      <c r="K9" s="26"/>
      <c r="L9" s="26">
        <f>SUMIF(A10:A176,3,L10:L176)</f>
        <v>196597.58000000002</v>
      </c>
      <c r="M9" s="153">
        <f t="shared" ca="1" si="0"/>
        <v>7.4097561039663641E-3</v>
      </c>
      <c r="O9" s="148">
        <f t="shared" ref="O9:O20" si="2">IF(I9&lt;&gt;0,I9*H9*K9,)</f>
        <v>0</v>
      </c>
      <c r="R9" s="12">
        <f t="shared" ref="R9:R24" si="3">IF(J9&lt;&gt;0,J9/1.03-K9,0)</f>
        <v>0</v>
      </c>
    </row>
    <row r="10" spans="1:18" s="18" customFormat="1" ht="13.5" customHeight="1" x14ac:dyDescent="0.3">
      <c r="A10" s="290">
        <f t="shared" si="1"/>
        <v>3</v>
      </c>
      <c r="B10" s="35"/>
      <c r="C10" s="35" t="s">
        <v>354</v>
      </c>
      <c r="D10" s="35" t="s">
        <v>76</v>
      </c>
      <c r="E10" s="390"/>
      <c r="F10" s="36"/>
      <c r="G10" s="36"/>
      <c r="H10" s="37"/>
      <c r="I10" s="37"/>
      <c r="J10" s="333"/>
      <c r="K10" s="38"/>
      <c r="L10" s="333">
        <f>SUMIF(A11:A24,4,L11:L24)</f>
        <v>1</v>
      </c>
      <c r="M10" s="153">
        <f t="shared" ca="1" si="0"/>
        <v>3.7689965990254626E-8</v>
      </c>
      <c r="O10" s="148">
        <f t="shared" si="2"/>
        <v>0</v>
      </c>
      <c r="R10" s="12">
        <f t="shared" si="3"/>
        <v>0</v>
      </c>
    </row>
    <row r="11" spans="1:18" s="18" customFormat="1" ht="5.25" hidden="1" customHeight="1" outlineLevel="1" x14ac:dyDescent="0.3">
      <c r="A11" s="290">
        <f t="shared" si="1"/>
        <v>0</v>
      </c>
      <c r="B11" s="63"/>
      <c r="C11" s="63"/>
      <c r="D11" s="63"/>
      <c r="E11" s="391"/>
      <c r="F11" s="64"/>
      <c r="G11" s="64"/>
      <c r="H11" s="65"/>
      <c r="I11" s="65"/>
      <c r="J11" s="334">
        <f>IFERROR(IF(K11&lt;&gt;0,K11*$K$5,0),0)</f>
        <v>0</v>
      </c>
      <c r="K11" s="66" t="e">
        <f>IF(A11=0,VLOOKUP(D11,'03. Insumos'!A:F,4,0),"")</f>
        <v>#N/A</v>
      </c>
      <c r="L11" s="334"/>
      <c r="M11" s="153">
        <f t="shared" ca="1" si="0"/>
        <v>0</v>
      </c>
      <c r="O11" s="148">
        <f t="shared" si="2"/>
        <v>0</v>
      </c>
      <c r="R11" s="12">
        <f t="shared" si="3"/>
        <v>0</v>
      </c>
    </row>
    <row r="12" spans="1:18" s="18" customFormat="1" ht="13.5" hidden="1" customHeight="1" outlineLevel="1" x14ac:dyDescent="0.3">
      <c r="A12" s="290">
        <f t="shared" si="1"/>
        <v>4</v>
      </c>
      <c r="B12" s="45"/>
      <c r="C12" s="45" t="s">
        <v>388</v>
      </c>
      <c r="D12" s="45" t="s">
        <v>1361</v>
      </c>
      <c r="E12" s="347"/>
      <c r="F12" s="60"/>
      <c r="G12" s="60"/>
      <c r="H12" s="61"/>
      <c r="I12" s="61"/>
      <c r="J12" s="335"/>
      <c r="K12" s="62" t="str">
        <f>IF(A12=0,VLOOKUP(D12,'03. Insumos'!A:F,4,0),"")</f>
        <v/>
      </c>
      <c r="L12" s="335">
        <f>SUMIF(A13:A14,6,L13:L14)</f>
        <v>0</v>
      </c>
      <c r="M12" s="153">
        <f t="shared" ca="1" si="0"/>
        <v>0</v>
      </c>
      <c r="O12" s="148">
        <f t="shared" si="2"/>
        <v>0</v>
      </c>
      <c r="R12" s="12">
        <f t="shared" si="3"/>
        <v>0</v>
      </c>
    </row>
    <row r="13" spans="1:18" s="71" customFormat="1" ht="13.5" hidden="1" customHeight="1" outlineLevel="1" x14ac:dyDescent="0.3">
      <c r="A13" s="290">
        <f t="shared" si="1"/>
        <v>6</v>
      </c>
      <c r="B13" s="67"/>
      <c r="C13" s="67" t="s">
        <v>910</v>
      </c>
      <c r="D13" s="67" t="s">
        <v>31</v>
      </c>
      <c r="E13" s="67"/>
      <c r="F13" s="68"/>
      <c r="G13" s="68"/>
      <c r="H13" s="69"/>
      <c r="I13" s="69"/>
      <c r="J13" s="70"/>
      <c r="K13" s="70" t="str">
        <f>IF(A13=0,VLOOKUP(D13,'03. Insumos'!A:F,4,0),"")</f>
        <v/>
      </c>
      <c r="L13" s="70"/>
      <c r="M13" s="153">
        <f t="shared" ca="1" si="0"/>
        <v>0</v>
      </c>
      <c r="O13" s="148">
        <f t="shared" si="2"/>
        <v>0</v>
      </c>
      <c r="R13" s="12">
        <f t="shared" si="3"/>
        <v>0</v>
      </c>
    </row>
    <row r="14" spans="1:18" s="51" customFormat="1" ht="13.5" hidden="1" customHeight="1" outlineLevel="1" x14ac:dyDescent="0.3">
      <c r="A14" s="290">
        <f t="shared" si="1"/>
        <v>0</v>
      </c>
      <c r="B14" s="49"/>
      <c r="C14" s="49"/>
      <c r="D14" s="140" t="s">
        <v>117</v>
      </c>
      <c r="E14" s="67" t="str">
        <f>VLOOKUP(D14,'03. Insumos'!A:D,2,0)</f>
        <v>Placa de Obra</v>
      </c>
      <c r="F14" s="52"/>
      <c r="G14" s="52" t="str">
        <f>VLOOKUP(D14,'03. Insumos'!A:F,3,0)</f>
        <v>vb</v>
      </c>
      <c r="H14" s="53">
        <v>1</v>
      </c>
      <c r="I14" s="191"/>
      <c r="J14" s="70">
        <f>IFERROR(IF(K14&lt;&gt;0,K14*$K$5,0),0)</f>
        <v>1</v>
      </c>
      <c r="K14" s="54">
        <f>IF(A14=0,VLOOKUP(D14,'03. Insumos'!A:F,4,0),"")</f>
        <v>1</v>
      </c>
      <c r="L14" s="338">
        <f>H14*J14*I14</f>
        <v>0</v>
      </c>
      <c r="M14" s="153">
        <f t="shared" ca="1" si="0"/>
        <v>0</v>
      </c>
      <c r="O14" s="148">
        <f t="shared" si="2"/>
        <v>0</v>
      </c>
      <c r="R14" s="12">
        <f t="shared" si="3"/>
        <v>-2.9126213592232997E-2</v>
      </c>
    </row>
    <row r="15" spans="1:18" s="18" customFormat="1" ht="13.5" customHeight="1" outlineLevel="1" x14ac:dyDescent="0.3">
      <c r="A15" s="290">
        <f t="shared" si="1"/>
        <v>4</v>
      </c>
      <c r="B15" s="45"/>
      <c r="C15" s="45" t="s">
        <v>389</v>
      </c>
      <c r="D15" s="45" t="s">
        <v>342</v>
      </c>
      <c r="E15" s="347"/>
      <c r="F15" s="60"/>
      <c r="G15" s="60"/>
      <c r="H15" s="61"/>
      <c r="I15" s="61"/>
      <c r="J15" s="335"/>
      <c r="K15" s="62" t="str">
        <f>IF(A15=0,VLOOKUP(D15,'03. Insumos'!A:F,4,0),"")</f>
        <v/>
      </c>
      <c r="L15" s="335">
        <f>SUMIF(A16:A24,6,L16:L24)</f>
        <v>1</v>
      </c>
      <c r="M15" s="153">
        <f t="shared" ca="1" si="0"/>
        <v>3.7689965990254626E-8</v>
      </c>
      <c r="O15" s="148">
        <f t="shared" si="2"/>
        <v>0</v>
      </c>
      <c r="R15" s="12">
        <f t="shared" si="3"/>
        <v>0</v>
      </c>
    </row>
    <row r="16" spans="1:18" s="34" customFormat="1" ht="13.5" hidden="1" customHeight="1" outlineLevel="1" x14ac:dyDescent="0.3">
      <c r="A16" s="290">
        <f t="shared" si="1"/>
        <v>6</v>
      </c>
      <c r="B16" s="30"/>
      <c r="C16" s="30" t="s">
        <v>911</v>
      </c>
      <c r="D16" s="30" t="s">
        <v>32</v>
      </c>
      <c r="E16" s="67"/>
      <c r="F16" s="31"/>
      <c r="G16" s="31"/>
      <c r="H16" s="32"/>
      <c r="I16" s="32"/>
      <c r="J16" s="70"/>
      <c r="K16" s="33" t="str">
        <f>IF(A16=0,VLOOKUP(D16,'03. Insumos'!A:F,4,0),"")</f>
        <v/>
      </c>
      <c r="L16" s="70">
        <f>SUM(L17:L20)</f>
        <v>0</v>
      </c>
      <c r="M16" s="153">
        <f t="shared" ca="1" si="0"/>
        <v>0</v>
      </c>
      <c r="O16" s="148">
        <f t="shared" si="2"/>
        <v>0</v>
      </c>
      <c r="R16" s="12">
        <f t="shared" si="3"/>
        <v>0</v>
      </c>
    </row>
    <row r="17" spans="1:18" s="51" customFormat="1" ht="13.5" hidden="1" customHeight="1" outlineLevel="1" x14ac:dyDescent="0.3">
      <c r="A17" s="290">
        <f t="shared" si="1"/>
        <v>0</v>
      </c>
      <c r="B17" s="49"/>
      <c r="C17" s="49"/>
      <c r="D17" s="140" t="s">
        <v>226</v>
      </c>
      <c r="E17" s="67" t="str">
        <f>VLOOKUP(D17,'03. Insumos'!A:D,2,0)</f>
        <v xml:space="preserve">Controle Tecnológico - Ensaio compressão simples concreto NBR 7215 </v>
      </c>
      <c r="F17" s="52"/>
      <c r="G17" s="52" t="str">
        <f>VLOOKUP(D17,'03. Insumos'!A:F,3,0)</f>
        <v>cp</v>
      </c>
      <c r="H17" s="53">
        <v>1</v>
      </c>
      <c r="I17" s="141"/>
      <c r="J17" s="70">
        <f>IFERROR(IF(K17&lt;&gt;0,K17*$K$5,0),0)</f>
        <v>12</v>
      </c>
      <c r="K17" s="54">
        <f>IF(A17=0,VLOOKUP(D17,'03. Insumos'!A:F,4,0),"")</f>
        <v>12</v>
      </c>
      <c r="L17" s="338">
        <f>H17*J17*I17</f>
        <v>0</v>
      </c>
      <c r="M17" s="153">
        <f t="shared" ca="1" si="0"/>
        <v>0</v>
      </c>
      <c r="O17" s="148">
        <f t="shared" si="2"/>
        <v>0</v>
      </c>
      <c r="R17" s="12">
        <f t="shared" si="3"/>
        <v>-0.34951456310679596</v>
      </c>
    </row>
    <row r="18" spans="1:18" s="51" customFormat="1" ht="13.5" hidden="1" customHeight="1" outlineLevel="1" x14ac:dyDescent="0.3">
      <c r="A18" s="290">
        <f t="shared" si="1"/>
        <v>0</v>
      </c>
      <c r="B18" s="49"/>
      <c r="C18" s="49"/>
      <c r="D18" s="140" t="s">
        <v>224</v>
      </c>
      <c r="E18" s="67" t="str">
        <f>VLOOKUP(D18,'03. Insumos'!A:D,2,0)</f>
        <v>Controle Tecnológico - Diária Moldador</v>
      </c>
      <c r="F18" s="52"/>
      <c r="G18" s="52" t="str">
        <f>VLOOKUP(D18,'03. Insumos'!A:F,3,0)</f>
        <v>dia</v>
      </c>
      <c r="H18" s="53">
        <v>1</v>
      </c>
      <c r="I18" s="141"/>
      <c r="J18" s="70">
        <f>IFERROR(IF(K18&lt;&gt;0,K18*$K$5,0),0)</f>
        <v>225</v>
      </c>
      <c r="K18" s="54">
        <f>IF(A18=0,VLOOKUP(D18,'03. Insumos'!A:F,4,0),"")</f>
        <v>225</v>
      </c>
      <c r="L18" s="338">
        <f>H18*J18*I18</f>
        <v>0</v>
      </c>
      <c r="M18" s="153">
        <f t="shared" ca="1" si="0"/>
        <v>0</v>
      </c>
      <c r="O18" s="148">
        <f t="shared" si="2"/>
        <v>0</v>
      </c>
      <c r="R18" s="12">
        <f t="shared" si="3"/>
        <v>-6.5533980582524407</v>
      </c>
    </row>
    <row r="19" spans="1:18" s="51" customFormat="1" ht="13.5" hidden="1" customHeight="1" outlineLevel="1" x14ac:dyDescent="0.3">
      <c r="A19" s="290">
        <f t="shared" si="1"/>
        <v>0</v>
      </c>
      <c r="B19" s="49"/>
      <c r="C19" s="49"/>
      <c r="D19" s="140" t="s">
        <v>225</v>
      </c>
      <c r="E19" s="67" t="str">
        <f>VLOOKUP(D19,'03. Insumos'!A:D,2,0)</f>
        <v>Controle Tecnológico - Mobilização</v>
      </c>
      <c r="F19" s="52"/>
      <c r="G19" s="52" t="str">
        <f>VLOOKUP(D19,'03. Insumos'!A:F,3,0)</f>
        <v>uni</v>
      </c>
      <c r="H19" s="53">
        <v>1</v>
      </c>
      <c r="I19" s="141"/>
      <c r="J19" s="70">
        <f>IFERROR(IF(K19&lt;&gt;0,K19*$K$5,0),0)</f>
        <v>155</v>
      </c>
      <c r="K19" s="54">
        <f>IF(A19=0,VLOOKUP(D19,'03. Insumos'!A:F,4,0),"")</f>
        <v>155</v>
      </c>
      <c r="L19" s="338">
        <f>H19*J19*I19</f>
        <v>0</v>
      </c>
      <c r="M19" s="153">
        <f t="shared" ca="1" si="0"/>
        <v>0</v>
      </c>
      <c r="O19" s="148">
        <f t="shared" si="2"/>
        <v>0</v>
      </c>
      <c r="R19" s="12">
        <f t="shared" si="3"/>
        <v>-4.5145631067961176</v>
      </c>
    </row>
    <row r="20" spans="1:18" s="51" customFormat="1" ht="13.5" hidden="1" customHeight="1" outlineLevel="1" x14ac:dyDescent="0.3">
      <c r="A20" s="290">
        <f t="shared" si="1"/>
        <v>0</v>
      </c>
      <c r="B20" s="49"/>
      <c r="C20" s="49"/>
      <c r="D20" s="140" t="s">
        <v>228</v>
      </c>
      <c r="E20" s="67" t="str">
        <f>VLOOKUP(D20,'03. Insumos'!A:D,2,0)</f>
        <v xml:space="preserve">Controle Tecnológico - Coleta de materiais na obra </v>
      </c>
      <c r="F20" s="52"/>
      <c r="G20" s="52" t="str">
        <f>VLOOKUP(D20,'03. Insumos'!A:F,3,0)</f>
        <v>uni</v>
      </c>
      <c r="H20" s="53">
        <v>1</v>
      </c>
      <c r="I20" s="141"/>
      <c r="J20" s="70">
        <f>IFERROR(IF(K20&lt;&gt;0,K20*$K$5,0),0)</f>
        <v>155</v>
      </c>
      <c r="K20" s="54">
        <f>IF(A20=0,VLOOKUP(D20,'03. Insumos'!A:F,4,0),"")</f>
        <v>155</v>
      </c>
      <c r="L20" s="338">
        <f>H20*J20*I20</f>
        <v>0</v>
      </c>
      <c r="M20" s="153">
        <f t="shared" ca="1" si="0"/>
        <v>0</v>
      </c>
      <c r="O20" s="148">
        <f t="shared" si="2"/>
        <v>0</v>
      </c>
      <c r="R20" s="12">
        <f t="shared" si="3"/>
        <v>-4.5145631067961176</v>
      </c>
    </row>
    <row r="21" spans="1:18" s="34" customFormat="1" ht="13.5" hidden="1" customHeight="1" outlineLevel="1" x14ac:dyDescent="0.3">
      <c r="A21" s="290">
        <f t="shared" si="1"/>
        <v>6</v>
      </c>
      <c r="B21" s="30"/>
      <c r="C21" s="30" t="s">
        <v>912</v>
      </c>
      <c r="D21" s="30" t="s">
        <v>94</v>
      </c>
      <c r="E21" s="67"/>
      <c r="F21" s="31"/>
      <c r="G21" s="31"/>
      <c r="H21" s="32"/>
      <c r="I21" s="197"/>
      <c r="J21" s="70"/>
      <c r="K21" s="33" t="str">
        <f>IF(A21=0,VLOOKUP(D21,'03. Insumos'!A:F,4,0),"")</f>
        <v/>
      </c>
      <c r="L21" s="70">
        <f>SUM(L22:L22)</f>
        <v>0</v>
      </c>
      <c r="M21" s="153">
        <f t="shared" ca="1" si="0"/>
        <v>0</v>
      </c>
      <c r="O21" s="148"/>
      <c r="R21" s="12">
        <f t="shared" si="3"/>
        <v>0</v>
      </c>
    </row>
    <row r="22" spans="1:18" s="51" customFormat="1" ht="13.5" hidden="1" customHeight="1" outlineLevel="1" x14ac:dyDescent="0.3">
      <c r="A22" s="290">
        <f t="shared" si="1"/>
        <v>0</v>
      </c>
      <c r="B22" s="49"/>
      <c r="C22" s="49"/>
      <c r="D22" s="140" t="s">
        <v>126</v>
      </c>
      <c r="E22" s="67" t="str">
        <f>VLOOKUP(D22,'03. Insumos'!A:D,2,0)</f>
        <v>Consultoria Estrutura</v>
      </c>
      <c r="F22" s="52"/>
      <c r="G22" s="52" t="str">
        <f>VLOOKUP(D22,'03. Insumos'!A:F,3,0)</f>
        <v>mês</v>
      </c>
      <c r="H22" s="53">
        <v>1</v>
      </c>
      <c r="I22" s="193"/>
      <c r="J22" s="70">
        <f>IFERROR(IF(K22&lt;&gt;0,K22*$K$5,0),0)</f>
        <v>3000</v>
      </c>
      <c r="K22" s="54">
        <f>IF(A22=0,VLOOKUP(D22,'03. Insumos'!A:F,4,0),"")</f>
        <v>3000</v>
      </c>
      <c r="L22" s="338">
        <f>H22*J22*I22</f>
        <v>0</v>
      </c>
      <c r="M22" s="153">
        <f t="shared" ca="1" si="0"/>
        <v>0</v>
      </c>
      <c r="O22" s="148">
        <f>IF(I22&lt;&gt;0,I22*H22*K22,)</f>
        <v>0</v>
      </c>
      <c r="R22" s="12">
        <f t="shared" si="3"/>
        <v>-87.378640776699285</v>
      </c>
    </row>
    <row r="23" spans="1:18" s="34" customFormat="1" ht="13.5" customHeight="1" outlineLevel="1" x14ac:dyDescent="0.3">
      <c r="A23" s="290">
        <f t="shared" si="1"/>
        <v>6</v>
      </c>
      <c r="B23" s="30"/>
      <c r="C23" s="30" t="s">
        <v>913</v>
      </c>
      <c r="D23" s="30" t="s">
        <v>1001</v>
      </c>
      <c r="E23" s="67"/>
      <c r="F23" s="31"/>
      <c r="G23" s="31"/>
      <c r="H23" s="32"/>
      <c r="I23" s="197"/>
      <c r="J23" s="70"/>
      <c r="K23" s="33" t="str">
        <f>IF(A23=0,VLOOKUP(D23,'03. Insumos'!A:F,4,0),"")</f>
        <v/>
      </c>
      <c r="L23" s="70">
        <f>SUM(L24:L26)</f>
        <v>1</v>
      </c>
      <c r="M23" s="153">
        <f t="shared" ca="1" si="0"/>
        <v>3.7689965990254626E-8</v>
      </c>
      <c r="O23" s="148"/>
      <c r="R23" s="12">
        <f t="shared" si="3"/>
        <v>0</v>
      </c>
    </row>
    <row r="24" spans="1:18" s="51" customFormat="1" ht="13.5" customHeight="1" outlineLevel="1" x14ac:dyDescent="0.3">
      <c r="A24" s="290">
        <f t="shared" si="1"/>
        <v>0</v>
      </c>
      <c r="B24" s="49"/>
      <c r="C24" s="49"/>
      <c r="D24" s="140" t="s">
        <v>1875</v>
      </c>
      <c r="E24" s="67" t="str">
        <f>VLOOKUP(D24,'03. Insumos'!A:D,2,0)</f>
        <v>Seguro responsabilidade civil e cruzada</v>
      </c>
      <c r="F24" s="68" t="s">
        <v>2599</v>
      </c>
      <c r="G24" s="68" t="str">
        <f>VLOOKUP(D24,'03. Insumos'!A:F,3,0)</f>
        <v>vb</v>
      </c>
      <c r="H24" s="69">
        <v>1</v>
      </c>
      <c r="I24" s="282">
        <v>1</v>
      </c>
      <c r="J24" s="70">
        <f>IFERROR(IF(K24&lt;&gt;0,K24*$K$5,0),0)</f>
        <v>1</v>
      </c>
      <c r="K24" s="70">
        <f>IF(A24=0,VLOOKUP(D24,'03. Insumos'!A:F,4,0),"")</f>
        <v>1</v>
      </c>
      <c r="L24" s="70">
        <f>H24*J24*I24</f>
        <v>1</v>
      </c>
      <c r="M24" s="153">
        <f t="shared" ca="1" si="0"/>
        <v>3.7689965990254626E-8</v>
      </c>
      <c r="O24" s="148">
        <f>IF(I24&lt;&gt;0,I24*H24*K24,)</f>
        <v>1</v>
      </c>
      <c r="R24" s="12">
        <f t="shared" si="3"/>
        <v>-2.9126213592232997E-2</v>
      </c>
    </row>
    <row r="25" spans="1:18" s="51" customFormat="1" ht="13.5" hidden="1" customHeight="1" outlineLevel="1" x14ac:dyDescent="0.3">
      <c r="A25" s="290">
        <f t="shared" si="1"/>
        <v>0</v>
      </c>
      <c r="B25" s="49"/>
      <c r="C25" s="49"/>
      <c r="D25" s="140" t="s">
        <v>1876</v>
      </c>
      <c r="E25" s="67" t="str">
        <f>VLOOKUP(D25,'03. Insumos'!A:D,2,0)</f>
        <v>Seguro Performance Bond</v>
      </c>
      <c r="F25" s="68"/>
      <c r="G25" s="68" t="str">
        <f>VLOOKUP(D25,'03. Insumos'!A:F,3,0)</f>
        <v>vb</v>
      </c>
      <c r="H25" s="69">
        <v>12</v>
      </c>
      <c r="I25" s="282"/>
      <c r="J25" s="70">
        <f>IFERROR(IF(K25&lt;&gt;0,K25*$K$5,0),0)</f>
        <v>1</v>
      </c>
      <c r="K25" s="54">
        <f>IF(A25=0,VLOOKUP(D25,'03. Insumos'!A:F,4,0),"")</f>
        <v>1</v>
      </c>
      <c r="L25" s="338">
        <f>H25*J25*I25</f>
        <v>0</v>
      </c>
      <c r="M25" s="153">
        <f t="shared" ca="1" si="0"/>
        <v>0</v>
      </c>
      <c r="O25" s="148"/>
      <c r="R25" s="12"/>
    </row>
    <row r="26" spans="1:18" s="51" customFormat="1" ht="13.5" hidden="1" customHeight="1" outlineLevel="1" x14ac:dyDescent="0.3">
      <c r="A26" s="290">
        <f t="shared" si="1"/>
        <v>0</v>
      </c>
      <c r="B26" s="49"/>
      <c r="C26" s="49"/>
      <c r="D26" s="140" t="s">
        <v>2018</v>
      </c>
      <c r="E26" s="67" t="str">
        <f>VLOOKUP(D26,'03. Insumos'!A:D,2,0)</f>
        <v>Carta fiança (10% valor)</v>
      </c>
      <c r="F26" s="68"/>
      <c r="G26" s="68" t="str">
        <f>VLOOKUP(D26,'03. Insumos'!A:F,3,0)</f>
        <v>vb</v>
      </c>
      <c r="H26" s="69">
        <v>1</v>
      </c>
      <c r="I26" s="282"/>
      <c r="J26" s="70">
        <f>IFERROR(IF(K26&lt;&gt;0,K26*$K$5,0),0)</f>
        <v>85135.684800000003</v>
      </c>
      <c r="K26" s="54">
        <f>0.03*2837856.16</f>
        <v>85135.684800000003</v>
      </c>
      <c r="L26" s="338">
        <f>H26*J26*I26</f>
        <v>0</v>
      </c>
      <c r="M26" s="153">
        <f t="shared" ca="1" si="0"/>
        <v>0</v>
      </c>
      <c r="O26" s="148"/>
      <c r="R26" s="12"/>
    </row>
    <row r="27" spans="1:18" s="18" customFormat="1" ht="13.5" customHeight="1" x14ac:dyDescent="0.3">
      <c r="A27" s="290">
        <f t="shared" si="1"/>
        <v>3</v>
      </c>
      <c r="B27" s="35"/>
      <c r="C27" s="35" t="s">
        <v>355</v>
      </c>
      <c r="D27" s="35" t="s">
        <v>77</v>
      </c>
      <c r="E27" s="390"/>
      <c r="F27" s="323"/>
      <c r="G27" s="323"/>
      <c r="H27" s="324"/>
      <c r="I27" s="37"/>
      <c r="J27" s="333"/>
      <c r="K27" s="38"/>
      <c r="L27" s="333">
        <f>SUMIF(A28:A49,4,L28:L49)</f>
        <v>28156</v>
      </c>
      <c r="M27" s="153">
        <f t="shared" ca="1" si="0"/>
        <v>1.0611986824216092E-3</v>
      </c>
      <c r="O27" s="148">
        <f>IF(I27&lt;&gt;0,I27*H27*K27,)</f>
        <v>0</v>
      </c>
      <c r="R27" s="12">
        <f>IF(J27&lt;&gt;0,J27/1.03-K27,0)</f>
        <v>0</v>
      </c>
    </row>
    <row r="28" spans="1:18" s="18" customFormat="1" ht="5.25" customHeight="1" x14ac:dyDescent="0.3">
      <c r="A28" s="290">
        <f t="shared" si="1"/>
        <v>0</v>
      </c>
      <c r="B28" s="63"/>
      <c r="C28" s="63"/>
      <c r="D28" s="63"/>
      <c r="E28" s="391"/>
      <c r="F28" s="325"/>
      <c r="G28" s="325"/>
      <c r="H28" s="326"/>
      <c r="I28" s="65"/>
      <c r="J28" s="334">
        <f>IFERROR(IF(K28&lt;&gt;0,K28*$K$5,0),0)</f>
        <v>0</v>
      </c>
      <c r="K28" s="66" t="e">
        <f>IF(A28=0,VLOOKUP(D28,'03. Insumos'!A:F,4,0),"")</f>
        <v>#N/A</v>
      </c>
      <c r="L28" s="334"/>
      <c r="M28" s="153">
        <f t="shared" ca="1" si="0"/>
        <v>0</v>
      </c>
      <c r="O28" s="148">
        <f>IF(I28&lt;&gt;0,I28*H28*K28,)</f>
        <v>0</v>
      </c>
      <c r="R28" s="12">
        <f>IF(J28&lt;&gt;0,J28/1.03-K28,0)</f>
        <v>0</v>
      </c>
    </row>
    <row r="29" spans="1:18" s="18" customFormat="1" ht="13.5" customHeight="1" x14ac:dyDescent="0.3">
      <c r="A29" s="290">
        <f t="shared" si="1"/>
        <v>4</v>
      </c>
      <c r="B29" s="45"/>
      <c r="C29" s="45" t="s">
        <v>387</v>
      </c>
      <c r="D29" s="45" t="s">
        <v>36</v>
      </c>
      <c r="E29" s="347"/>
      <c r="F29" s="327"/>
      <c r="G29" s="327"/>
      <c r="H29" s="328"/>
      <c r="I29" s="61"/>
      <c r="J29" s="335"/>
      <c r="K29" s="62" t="str">
        <f>IF(A29=0,VLOOKUP(D29,'03. Insumos'!A:F,4,0),"")</f>
        <v/>
      </c>
      <c r="L29" s="335">
        <f>SUMIF(A30:A49,6,L30:L49)</f>
        <v>28156</v>
      </c>
      <c r="M29" s="153">
        <f t="shared" ca="1" si="0"/>
        <v>1.0611986824216092E-3</v>
      </c>
      <c r="O29" s="148">
        <f>IF(I29&lt;&gt;0,I29*H29*K29,)</f>
        <v>0</v>
      </c>
      <c r="R29" s="12">
        <f>IF(J29&lt;&gt;0,J29/1.03-K29,0)</f>
        <v>0</v>
      </c>
    </row>
    <row r="30" spans="1:18" s="59" customFormat="1" ht="13.5" hidden="1" customHeight="1" x14ac:dyDescent="0.3">
      <c r="A30" s="290">
        <f t="shared" si="1"/>
        <v>6</v>
      </c>
      <c r="B30" s="55"/>
      <c r="C30" s="55" t="s">
        <v>914</v>
      </c>
      <c r="D30" s="55" t="s">
        <v>877</v>
      </c>
      <c r="E30" s="55"/>
      <c r="F30" s="56"/>
      <c r="G30" s="56"/>
      <c r="H30" s="57"/>
      <c r="I30" s="57"/>
      <c r="J30" s="58"/>
      <c r="K30" s="58" t="str">
        <f>IF(A30=0,VLOOKUP(D30,'03. Insumos'!A:F,4,0),"")</f>
        <v/>
      </c>
      <c r="L30" s="58">
        <f>SUM(L31:L36)</f>
        <v>0</v>
      </c>
      <c r="M30" s="153">
        <f t="shared" ca="1" si="0"/>
        <v>0</v>
      </c>
      <c r="O30" s="148">
        <f>IF(I30&lt;&gt;0,I30*H30*K30,)</f>
        <v>0</v>
      </c>
      <c r="R30" s="12">
        <f>IF(J30&lt;&gt;0,J30/1.03-K30,0)</f>
        <v>0</v>
      </c>
    </row>
    <row r="31" spans="1:18" s="51" customFormat="1" ht="13.5" hidden="1" customHeight="1" x14ac:dyDescent="0.3">
      <c r="A31" s="290">
        <f t="shared" si="1"/>
        <v>0</v>
      </c>
      <c r="B31" s="49"/>
      <c r="C31" s="49"/>
      <c r="D31" s="140" t="s">
        <v>1883</v>
      </c>
      <c r="E31" s="67" t="str">
        <f>VLOOKUP(D31,'03. Insumos'!A:D,2,0)</f>
        <v>Barraco de Obra</v>
      </c>
      <c r="F31" s="68"/>
      <c r="G31" s="68" t="str">
        <f>VLOOKUP(D31,'03. Insumos'!A:F,3,0)</f>
        <v>vb</v>
      </c>
      <c r="H31" s="69">
        <v>1</v>
      </c>
      <c r="I31" s="141"/>
      <c r="J31" s="70">
        <f t="shared" ref="J31:J36" si="4">IFERROR(IF(K31&lt;&gt;0,K31*$K$5,0),0)</f>
        <v>45169.279999999999</v>
      </c>
      <c r="K31" s="54">
        <v>45169.279999999999</v>
      </c>
      <c r="L31" s="338">
        <f t="shared" ref="L31:L36" si="5">H31*J31*I31</f>
        <v>0</v>
      </c>
      <c r="M31" s="153">
        <f t="shared" ca="1" si="0"/>
        <v>0</v>
      </c>
      <c r="O31" s="148">
        <f>IF(I31&lt;&gt;0,I31*H31*K31,)</f>
        <v>0</v>
      </c>
      <c r="R31" s="12">
        <f>IF(J31&lt;&gt;0,J31/1.03-K31,0)</f>
        <v>-1315.6100970873813</v>
      </c>
    </row>
    <row r="32" spans="1:18" s="51" customFormat="1" ht="13.5" hidden="1" customHeight="1" x14ac:dyDescent="0.3">
      <c r="A32" s="290">
        <f t="shared" si="1"/>
        <v>0</v>
      </c>
      <c r="B32" s="49"/>
      <c r="C32" s="49"/>
      <c r="D32" s="140" t="s">
        <v>1882</v>
      </c>
      <c r="E32" s="67" t="str">
        <f>VLOOKUP(D32,'03. Insumos'!A:D,2,0)</f>
        <v>Mobiliário para barraco</v>
      </c>
      <c r="F32" s="68"/>
      <c r="G32" s="68" t="str">
        <f>VLOOKUP(D32,'03. Insumos'!A:F,3,0)</f>
        <v>vb</v>
      </c>
      <c r="H32" s="69">
        <v>1</v>
      </c>
      <c r="I32" s="141"/>
      <c r="J32" s="70">
        <f t="shared" si="4"/>
        <v>20143.759999999998</v>
      </c>
      <c r="K32" s="54">
        <v>20143.759999999998</v>
      </c>
      <c r="L32" s="338">
        <f t="shared" si="5"/>
        <v>0</v>
      </c>
      <c r="M32" s="153">
        <f t="shared" ca="1" si="0"/>
        <v>0</v>
      </c>
      <c r="O32" s="148"/>
      <c r="R32" s="12"/>
    </row>
    <row r="33" spans="1:18" s="51" customFormat="1" ht="13.5" hidden="1" customHeight="1" x14ac:dyDescent="0.3">
      <c r="A33" s="290">
        <f t="shared" si="1"/>
        <v>0</v>
      </c>
      <c r="B33" s="49"/>
      <c r="C33" s="49"/>
      <c r="D33" s="140" t="s">
        <v>1997</v>
      </c>
      <c r="E33" s="67" t="str">
        <f>VLOOKUP(D33,'03. Insumos'!A:D,2,0)</f>
        <v>Módulo habitacional banheiro</v>
      </c>
      <c r="F33" s="68"/>
      <c r="G33" s="68" t="str">
        <f>VLOOKUP(D33,'03. Insumos'!A:F,3,0)</f>
        <v>mês</v>
      </c>
      <c r="H33" s="69">
        <v>1</v>
      </c>
      <c r="I33" s="141"/>
      <c r="J33" s="70">
        <f t="shared" si="4"/>
        <v>620</v>
      </c>
      <c r="K33" s="54">
        <f>IF(A33=0,VLOOKUP(D33,'03. Insumos'!A:F,4,0),"")</f>
        <v>620</v>
      </c>
      <c r="L33" s="338">
        <f t="shared" si="5"/>
        <v>0</v>
      </c>
      <c r="M33" s="153">
        <f t="shared" ca="1" si="0"/>
        <v>0</v>
      </c>
      <c r="O33" s="148"/>
      <c r="R33" s="12"/>
    </row>
    <row r="34" spans="1:18" s="51" customFormat="1" ht="13.5" hidden="1" customHeight="1" x14ac:dyDescent="0.3">
      <c r="A34" s="290">
        <f t="shared" si="1"/>
        <v>0</v>
      </c>
      <c r="B34" s="49"/>
      <c r="C34" s="49"/>
      <c r="D34" s="140" t="s">
        <v>2007</v>
      </c>
      <c r="E34" s="67" t="str">
        <f>VLOOKUP(D34,'03. Insumos'!A:D,2,0)</f>
        <v>Banheiro químico</v>
      </c>
      <c r="F34" s="68"/>
      <c r="G34" s="68" t="str">
        <f>VLOOKUP(D34,'03. Insumos'!A:F,3,0)</f>
        <v>mês</v>
      </c>
      <c r="H34" s="69">
        <v>2</v>
      </c>
      <c r="I34" s="141"/>
      <c r="J34" s="70">
        <f t="shared" si="4"/>
        <v>700</v>
      </c>
      <c r="K34" s="54">
        <f>IF(A34=0,VLOOKUP(D34,'03. Insumos'!A:F,4,0),"")</f>
        <v>700</v>
      </c>
      <c r="L34" s="338">
        <f t="shared" si="5"/>
        <v>0</v>
      </c>
      <c r="M34" s="153">
        <f t="shared" ca="1" si="0"/>
        <v>0</v>
      </c>
      <c r="O34" s="148"/>
      <c r="R34" s="12"/>
    </row>
    <row r="35" spans="1:18" s="51" customFormat="1" ht="13.5" hidden="1" customHeight="1" x14ac:dyDescent="0.3">
      <c r="A35" s="290">
        <f t="shared" si="1"/>
        <v>0</v>
      </c>
      <c r="B35" s="49"/>
      <c r="C35" s="49"/>
      <c r="D35" s="140" t="s">
        <v>1910</v>
      </c>
      <c r="E35" s="67" t="str">
        <f>VLOOKUP(D35,'03. Insumos'!A:D,2,0)</f>
        <v>Container marítimo 20 pés</v>
      </c>
      <c r="F35" s="68"/>
      <c r="G35" s="68" t="str">
        <f>VLOOKUP(D35,'03. Insumos'!A:F,3,0)</f>
        <v>unid</v>
      </c>
      <c r="H35" s="69">
        <v>2</v>
      </c>
      <c r="I35" s="141"/>
      <c r="J35" s="70">
        <f t="shared" si="4"/>
        <v>500</v>
      </c>
      <c r="K35" s="54">
        <f>IF(A35=0,VLOOKUP(D35,'03. Insumos'!A:F,4,0),"")</f>
        <v>500</v>
      </c>
      <c r="L35" s="338">
        <f t="shared" si="5"/>
        <v>0</v>
      </c>
      <c r="M35" s="153">
        <f t="shared" ca="1" si="0"/>
        <v>0</v>
      </c>
      <c r="O35" s="148"/>
      <c r="R35" s="12"/>
    </row>
    <row r="36" spans="1:18" s="51" customFormat="1" ht="13.5" hidden="1" customHeight="1" x14ac:dyDescent="0.3">
      <c r="A36" s="290">
        <f t="shared" si="1"/>
        <v>0</v>
      </c>
      <c r="B36" s="49"/>
      <c r="C36" s="49"/>
      <c r="D36" s="140" t="s">
        <v>1913</v>
      </c>
      <c r="E36" s="67" t="str">
        <f>VLOOKUP(D36,'03. Insumos'!A:D,2,0)</f>
        <v>Frete container marítimo</v>
      </c>
      <c r="F36" s="68"/>
      <c r="G36" s="68" t="str">
        <f>VLOOKUP(D36,'03. Insumos'!A:F,3,0)</f>
        <v>unid</v>
      </c>
      <c r="H36" s="69">
        <v>1</v>
      </c>
      <c r="I36" s="141"/>
      <c r="J36" s="70">
        <f t="shared" si="4"/>
        <v>800</v>
      </c>
      <c r="K36" s="54">
        <f>IF(A36=0,VLOOKUP(D36,'03. Insumos'!A:F,4,0),"")</f>
        <v>800</v>
      </c>
      <c r="L36" s="338">
        <f t="shared" si="5"/>
        <v>0</v>
      </c>
      <c r="M36" s="153">
        <f t="shared" ca="1" si="0"/>
        <v>0</v>
      </c>
      <c r="O36" s="148"/>
      <c r="R36" s="12"/>
    </row>
    <row r="37" spans="1:18" s="59" customFormat="1" ht="13.5" customHeight="1" x14ac:dyDescent="0.3">
      <c r="A37" s="290">
        <f t="shared" si="1"/>
        <v>6</v>
      </c>
      <c r="B37" s="55"/>
      <c r="C37" s="55" t="s">
        <v>914</v>
      </c>
      <c r="D37" s="55" t="s">
        <v>2023</v>
      </c>
      <c r="E37" s="55"/>
      <c r="F37" s="56"/>
      <c r="G37" s="56"/>
      <c r="H37" s="57"/>
      <c r="I37" s="57"/>
      <c r="J37" s="58"/>
      <c r="K37" s="58" t="str">
        <f>IF(A37=0,VLOOKUP(D37,'03. Insumos'!A:F,4,0),"")</f>
        <v/>
      </c>
      <c r="L37" s="58">
        <f>SUM(L38:L38)</f>
        <v>26500</v>
      </c>
      <c r="M37" s="153">
        <f t="shared" ca="1" si="0"/>
        <v>9.9878409874174759E-4</v>
      </c>
      <c r="O37" s="148">
        <f>IF(I37&lt;&gt;0,I37*H37*K37,)</f>
        <v>0</v>
      </c>
      <c r="R37" s="12">
        <f>IF(J37&lt;&gt;0,J37/1.03-K37,0)</f>
        <v>0</v>
      </c>
    </row>
    <row r="38" spans="1:18" s="51" customFormat="1" ht="13.5" customHeight="1" x14ac:dyDescent="0.3">
      <c r="A38" s="290">
        <f>LEN(C38)</f>
        <v>0</v>
      </c>
      <c r="B38" s="49"/>
      <c r="C38" s="49"/>
      <c r="D38" s="140" t="s">
        <v>409</v>
      </c>
      <c r="E38" s="67" t="str">
        <f>VLOOKUP(D38,'03. Insumos'!A:D,2,0)</f>
        <v>Tapume com telha metálica (h=2,20m) - material e mão de obra</v>
      </c>
      <c r="F38" s="68" t="s">
        <v>2612</v>
      </c>
      <c r="G38" s="68" t="str">
        <f>VLOOKUP(D38,'03. Insumos'!A:F,3,0)</f>
        <v>m</v>
      </c>
      <c r="H38" s="69">
        <v>1</v>
      </c>
      <c r="I38" s="141">
        <f>(4*5*2.5)</f>
        <v>50</v>
      </c>
      <c r="J38" s="70">
        <f>IFERROR(IF(K38&lt;&gt;0,K38*$K$5,0),0)</f>
        <v>530</v>
      </c>
      <c r="K38" s="54">
        <f>IF(A38=0,VLOOKUP(D38,'03. Insumos'!A:F,4,0),"")</f>
        <v>530</v>
      </c>
      <c r="L38" s="70">
        <f>H38*J38*I38</f>
        <v>26500</v>
      </c>
      <c r="M38" s="153">
        <f ca="1">L38/$L$7</f>
        <v>9.9878409874174759E-4</v>
      </c>
      <c r="O38" s="148"/>
      <c r="R38" s="12"/>
    </row>
    <row r="39" spans="1:18" s="59" customFormat="1" ht="13.5" customHeight="1" x14ac:dyDescent="0.3">
      <c r="A39" s="290">
        <f t="shared" si="1"/>
        <v>6</v>
      </c>
      <c r="B39" s="55"/>
      <c r="C39" s="55" t="s">
        <v>915</v>
      </c>
      <c r="D39" s="55" t="s">
        <v>904</v>
      </c>
      <c r="E39" s="55"/>
      <c r="F39" s="56"/>
      <c r="G39" s="56"/>
      <c r="H39" s="57"/>
      <c r="I39" s="57"/>
      <c r="J39" s="58"/>
      <c r="K39" s="58" t="str">
        <f>IF(A39=0,VLOOKUP(D39,'03. Insumos'!A:F,4,0),"")</f>
        <v/>
      </c>
      <c r="L39" s="58">
        <f>SUM(L40:L49)</f>
        <v>1656</v>
      </c>
      <c r="M39" s="153">
        <f t="shared" ca="1" si="0"/>
        <v>6.2414583679861661E-5</v>
      </c>
      <c r="O39" s="148">
        <f>IF(I39&lt;&gt;0,I39*H39*K39,)</f>
        <v>0</v>
      </c>
      <c r="R39" s="12">
        <f>IF(J39&lt;&gt;0,J39/1.03-K39,0)</f>
        <v>0</v>
      </c>
    </row>
    <row r="40" spans="1:18" s="51" customFormat="1" ht="13.5" customHeight="1" x14ac:dyDescent="0.3">
      <c r="A40" s="290">
        <f t="shared" si="1"/>
        <v>0</v>
      </c>
      <c r="B40" s="49"/>
      <c r="C40" s="49"/>
      <c r="D40" s="140" t="s">
        <v>712</v>
      </c>
      <c r="E40" s="67" t="str">
        <f>VLOOKUP(D40,'03. Insumos'!A:D,2,0)</f>
        <v>Cabo PP (2 x 2,5 mm)</v>
      </c>
      <c r="F40" s="68" t="s">
        <v>2612</v>
      </c>
      <c r="G40" s="68" t="str">
        <f>VLOOKUP(D40,'03. Insumos'!A:F,3,0)</f>
        <v>m</v>
      </c>
      <c r="H40" s="69">
        <v>1</v>
      </c>
      <c r="I40" s="141">
        <v>50</v>
      </c>
      <c r="J40" s="70">
        <f t="shared" ref="J40:J49" si="6">IFERROR(IF(K40&lt;&gt;0,K40*$K$5,0),0)</f>
        <v>3.22</v>
      </c>
      <c r="K40" s="70">
        <f>IF(A40=0,VLOOKUP(D40,'03. Insumos'!A:F,4,0),"")</f>
        <v>3.22</v>
      </c>
      <c r="L40" s="70">
        <f t="shared" ref="L40:L49" si="7">H40*J40*I40</f>
        <v>161</v>
      </c>
      <c r="M40" s="153">
        <f t="shared" ca="1" si="0"/>
        <v>6.0680845244309947E-6</v>
      </c>
      <c r="O40" s="148">
        <f>IF(I40&lt;&gt;0,I40*H40*K40,)</f>
        <v>161</v>
      </c>
      <c r="R40" s="12">
        <f>IF(J40&lt;&gt;0,J40/1.03-K40,0)</f>
        <v>-9.3786407766990543E-2</v>
      </c>
    </row>
    <row r="41" spans="1:18" s="51" customFormat="1" ht="13.5" customHeight="1" x14ac:dyDescent="0.3">
      <c r="A41" s="290">
        <f t="shared" si="1"/>
        <v>0</v>
      </c>
      <c r="B41" s="49"/>
      <c r="C41" s="49"/>
      <c r="D41" s="140" t="s">
        <v>713</v>
      </c>
      <c r="E41" s="67" t="str">
        <f>VLOOKUP(D41,'03. Insumos'!A:D,2,0)</f>
        <v>Bocal para lâmpada</v>
      </c>
      <c r="F41" s="68" t="s">
        <v>2612</v>
      </c>
      <c r="G41" s="68" t="str">
        <f>VLOOKUP(D41,'03. Insumos'!A:F,3,0)</f>
        <v>unid</v>
      </c>
      <c r="H41" s="69">
        <v>1</v>
      </c>
      <c r="I41" s="141">
        <v>10</v>
      </c>
      <c r="J41" s="70">
        <f t="shared" si="6"/>
        <v>3.5</v>
      </c>
      <c r="K41" s="70">
        <f>IF(A41=0,VLOOKUP(D41,'03. Insumos'!A:F,4,0),"")</f>
        <v>3.5</v>
      </c>
      <c r="L41" s="70">
        <f t="shared" si="7"/>
        <v>35</v>
      </c>
      <c r="M41" s="153">
        <f t="shared" ca="1" si="0"/>
        <v>1.3191488096589119E-6</v>
      </c>
      <c r="O41" s="148"/>
      <c r="R41" s="12"/>
    </row>
    <row r="42" spans="1:18" s="51" customFormat="1" ht="13.5" customHeight="1" x14ac:dyDescent="0.3">
      <c r="A42" s="290">
        <f t="shared" si="1"/>
        <v>0</v>
      </c>
      <c r="B42" s="49"/>
      <c r="C42" s="49"/>
      <c r="D42" s="140" t="s">
        <v>714</v>
      </c>
      <c r="E42" s="67" t="str">
        <f>VLOOKUP(D42,'03. Insumos'!A:D,2,0)</f>
        <v>Lâmpada</v>
      </c>
      <c r="F42" s="68" t="s">
        <v>2612</v>
      </c>
      <c r="G42" s="68" t="str">
        <f>VLOOKUP(D42,'03. Insumos'!A:F,3,0)</f>
        <v>unid</v>
      </c>
      <c r="H42" s="69">
        <v>1</v>
      </c>
      <c r="I42" s="141">
        <v>20</v>
      </c>
      <c r="J42" s="70">
        <f t="shared" si="6"/>
        <v>6</v>
      </c>
      <c r="K42" s="70">
        <f>IF(A42=0,VLOOKUP(D42,'03. Insumos'!A:F,4,0),"")</f>
        <v>6</v>
      </c>
      <c r="L42" s="70">
        <f>H42*J42*I42</f>
        <v>120</v>
      </c>
      <c r="M42" s="153">
        <f t="shared" ca="1" si="0"/>
        <v>4.5227959188305556E-6</v>
      </c>
      <c r="O42" s="148"/>
      <c r="R42" s="12"/>
    </row>
    <row r="43" spans="1:18" s="51" customFormat="1" ht="13.5" customHeight="1" x14ac:dyDescent="0.3">
      <c r="A43" s="290">
        <f t="shared" si="1"/>
        <v>0</v>
      </c>
      <c r="B43" s="49"/>
      <c r="C43" s="49"/>
      <c r="D43" s="140" t="s">
        <v>2039</v>
      </c>
      <c r="E43" s="67" t="str">
        <f>VLOOKUP(D43,'03. Insumos'!A:D,2,0)</f>
        <v>Refletores 400 W</v>
      </c>
      <c r="F43" s="68" t="s">
        <v>2612</v>
      </c>
      <c r="G43" s="68" t="str">
        <f>VLOOKUP(D43,'03. Insumos'!A:F,3,0)</f>
        <v>unid</v>
      </c>
      <c r="H43" s="69">
        <v>1</v>
      </c>
      <c r="I43" s="141">
        <v>2</v>
      </c>
      <c r="J43" s="70">
        <f t="shared" si="6"/>
        <v>134</v>
      </c>
      <c r="K43" s="70">
        <f>IF(A43=0,VLOOKUP(D43,'03. Insumos'!A:F,4,0),"")</f>
        <v>134</v>
      </c>
      <c r="L43" s="70">
        <f>H43*J43*I43</f>
        <v>268</v>
      </c>
      <c r="M43" s="153">
        <f t="shared" ca="1" si="0"/>
        <v>1.010091088538824E-5</v>
      </c>
      <c r="O43" s="148"/>
      <c r="R43" s="12"/>
    </row>
    <row r="44" spans="1:18" s="51" customFormat="1" ht="13.5" customHeight="1" x14ac:dyDescent="0.3">
      <c r="A44" s="290">
        <f t="shared" si="1"/>
        <v>0</v>
      </c>
      <c r="B44" s="49"/>
      <c r="C44" s="49"/>
      <c r="D44" s="140" t="s">
        <v>715</v>
      </c>
      <c r="E44" s="67" t="str">
        <f>VLOOKUP(D44,'03. Insumos'!A:D,2,0)</f>
        <v>Plug macho</v>
      </c>
      <c r="F44" s="68" t="s">
        <v>2612</v>
      </c>
      <c r="G44" s="68" t="str">
        <f>VLOOKUP(D44,'03. Insumos'!A:F,3,0)</f>
        <v>unid</v>
      </c>
      <c r="H44" s="69">
        <v>1</v>
      </c>
      <c r="I44" s="141">
        <v>10</v>
      </c>
      <c r="J44" s="70">
        <f t="shared" si="6"/>
        <v>2.75</v>
      </c>
      <c r="K44" s="70">
        <f>IF(A44=0,VLOOKUP(D44,'03. Insumos'!A:F,4,0),"")</f>
        <v>2.75</v>
      </c>
      <c r="L44" s="70">
        <f t="shared" si="7"/>
        <v>27.5</v>
      </c>
      <c r="M44" s="153">
        <f t="shared" ca="1" si="0"/>
        <v>1.0364740647320022E-6</v>
      </c>
      <c r="O44" s="148"/>
      <c r="R44" s="12"/>
    </row>
    <row r="45" spans="1:18" s="51" customFormat="1" ht="13.5" customHeight="1" x14ac:dyDescent="0.3">
      <c r="A45" s="290">
        <f t="shared" si="1"/>
        <v>0</v>
      </c>
      <c r="B45" s="49"/>
      <c r="C45" s="49"/>
      <c r="D45" s="140" t="s">
        <v>716</v>
      </c>
      <c r="E45" s="67" t="str">
        <f>VLOOKUP(D45,'03. Insumos'!A:D,2,0)</f>
        <v>Plug fêmea</v>
      </c>
      <c r="F45" s="68" t="s">
        <v>2612</v>
      </c>
      <c r="G45" s="68" t="str">
        <f>VLOOKUP(D45,'03. Insumos'!A:F,3,0)</f>
        <v>unid</v>
      </c>
      <c r="H45" s="69">
        <v>1</v>
      </c>
      <c r="I45" s="141">
        <v>10</v>
      </c>
      <c r="J45" s="70">
        <f t="shared" si="6"/>
        <v>4.45</v>
      </c>
      <c r="K45" s="70">
        <f>IF(A45=0,VLOOKUP(D45,'03. Insumos'!A:F,4,0),"")</f>
        <v>4.45</v>
      </c>
      <c r="L45" s="70">
        <f t="shared" si="7"/>
        <v>44.5</v>
      </c>
      <c r="M45" s="153">
        <f t="shared" ca="1" si="0"/>
        <v>1.6772034865663308E-6</v>
      </c>
      <c r="O45" s="148"/>
      <c r="R45" s="12"/>
    </row>
    <row r="46" spans="1:18" s="51" customFormat="1" ht="13.5" hidden="1" customHeight="1" x14ac:dyDescent="0.3">
      <c r="A46" s="290">
        <f t="shared" si="1"/>
        <v>0</v>
      </c>
      <c r="B46" s="49"/>
      <c r="C46" s="49"/>
      <c r="D46" s="140" t="s">
        <v>1600</v>
      </c>
      <c r="E46" s="67" t="str">
        <f>VLOOKUP(D46,'03. Insumos'!A:D,2,0)</f>
        <v>Robozinho para instalação provisória</v>
      </c>
      <c r="F46" s="68"/>
      <c r="G46" s="68" t="str">
        <f>VLOOKUP(D46,'03. Insumos'!A:F,3,0)</f>
        <v>unid</v>
      </c>
      <c r="H46" s="69">
        <v>1</v>
      </c>
      <c r="I46" s="141"/>
      <c r="J46" s="70">
        <f t="shared" si="6"/>
        <v>2700</v>
      </c>
      <c r="K46" s="70">
        <f>IF(A46=0,VLOOKUP(D46,'03. Insumos'!A:F,4,0),"")</f>
        <v>2700</v>
      </c>
      <c r="L46" s="70">
        <f t="shared" si="7"/>
        <v>0</v>
      </c>
      <c r="M46" s="153">
        <f t="shared" ca="1" si="0"/>
        <v>0</v>
      </c>
      <c r="O46" s="148"/>
      <c r="R46" s="12"/>
    </row>
    <row r="47" spans="1:18" s="51" customFormat="1" ht="13.5" hidden="1" customHeight="1" x14ac:dyDescent="0.3">
      <c r="A47" s="290">
        <f t="shared" si="1"/>
        <v>0</v>
      </c>
      <c r="B47" s="49"/>
      <c r="C47" s="49"/>
      <c r="D47" s="140" t="s">
        <v>2060</v>
      </c>
      <c r="E47" s="67" t="str">
        <f>VLOOKUP(D47,'03. Insumos'!A:D,2,0)</f>
        <v>Caixa d' agua 10.000 L</v>
      </c>
      <c r="F47" s="68"/>
      <c r="G47" s="68" t="str">
        <f>VLOOKUP(D47,'03. Insumos'!A:F,3,0)</f>
        <v>unid</v>
      </c>
      <c r="H47" s="69">
        <v>1</v>
      </c>
      <c r="I47" s="141"/>
      <c r="J47" s="70">
        <f t="shared" si="6"/>
        <v>3800</v>
      </c>
      <c r="K47" s="70">
        <f>IF(A47=0,VLOOKUP(D47,'03. Insumos'!A:F,4,0),"")</f>
        <v>3800</v>
      </c>
      <c r="L47" s="70">
        <f>H47*J47*I47</f>
        <v>0</v>
      </c>
      <c r="M47" s="153">
        <f t="shared" ca="1" si="0"/>
        <v>0</v>
      </c>
      <c r="O47" s="148"/>
      <c r="R47" s="12"/>
    </row>
    <row r="48" spans="1:18" s="51" customFormat="1" ht="13.5" hidden="1" customHeight="1" x14ac:dyDescent="0.3">
      <c r="A48" s="290">
        <f t="shared" si="1"/>
        <v>0</v>
      </c>
      <c r="B48" s="49"/>
      <c r="C48" s="49"/>
      <c r="D48" s="140" t="s">
        <v>2062</v>
      </c>
      <c r="E48" s="67" t="str">
        <f>VLOOKUP(D48,'03. Insumos'!A:D,2,0)</f>
        <v>Bomba de recalque água</v>
      </c>
      <c r="F48" s="68"/>
      <c r="G48" s="68" t="str">
        <f>VLOOKUP(D48,'03. Insumos'!A:F,3,0)</f>
        <v>unid</v>
      </c>
      <c r="H48" s="69">
        <v>1</v>
      </c>
      <c r="I48" s="141"/>
      <c r="J48" s="70">
        <f t="shared" si="6"/>
        <v>780</v>
      </c>
      <c r="K48" s="70">
        <f>IF(A48=0,VLOOKUP(D48,'03. Insumos'!A:F,4,0),"")</f>
        <v>780</v>
      </c>
      <c r="L48" s="70">
        <f>H48*J48*I48</f>
        <v>0</v>
      </c>
      <c r="M48" s="153">
        <f t="shared" ca="1" si="0"/>
        <v>0</v>
      </c>
      <c r="O48" s="148"/>
      <c r="R48" s="12"/>
    </row>
    <row r="49" spans="1:18" s="51" customFormat="1" ht="13.5" customHeight="1" x14ac:dyDescent="0.3">
      <c r="A49" s="290">
        <f t="shared" si="1"/>
        <v>0</v>
      </c>
      <c r="B49" s="49"/>
      <c r="C49" s="49"/>
      <c r="D49" s="140" t="s">
        <v>1885</v>
      </c>
      <c r="E49" s="67" t="str">
        <f>VLOOKUP(D49,'03. Insumos'!A:D,2,0)</f>
        <v>Itens diversos de instalações provisórias</v>
      </c>
      <c r="F49" s="68" t="s">
        <v>2612</v>
      </c>
      <c r="G49" s="68" t="str">
        <f>VLOOKUP(D49,'03. Insumos'!A:F,3,0)</f>
        <v>vb</v>
      </c>
      <c r="H49" s="69">
        <v>1</v>
      </c>
      <c r="I49" s="141">
        <v>1</v>
      </c>
      <c r="J49" s="70">
        <f t="shared" si="6"/>
        <v>1000</v>
      </c>
      <c r="K49" s="70">
        <v>1000</v>
      </c>
      <c r="L49" s="70">
        <f t="shared" si="7"/>
        <v>1000</v>
      </c>
      <c r="M49" s="153">
        <f t="shared" ca="1" si="0"/>
        <v>3.7689965990254629E-5</v>
      </c>
      <c r="O49" s="148"/>
      <c r="R49" s="12"/>
    </row>
    <row r="50" spans="1:18" s="18" customFormat="1" ht="13.5" customHeight="1" x14ac:dyDescent="0.3">
      <c r="A50" s="290">
        <f t="shared" si="1"/>
        <v>3</v>
      </c>
      <c r="B50" s="35"/>
      <c r="C50" s="35" t="s">
        <v>359</v>
      </c>
      <c r="D50" s="35" t="s">
        <v>75</v>
      </c>
      <c r="E50" s="390"/>
      <c r="F50" s="323"/>
      <c r="G50" s="323"/>
      <c r="H50" s="324"/>
      <c r="I50" s="37"/>
      <c r="J50" s="333"/>
      <c r="K50" s="38"/>
      <c r="L50" s="333">
        <f>SUMIF(A51:A79,4,L51:L79)</f>
        <v>17848.879999999997</v>
      </c>
      <c r="M50" s="153">
        <f t="shared" ca="1" si="0"/>
        <v>6.7272368016413591E-4</v>
      </c>
      <c r="O50" s="148">
        <f t="shared" ref="O50:O55" si="8">IF(I50&lt;&gt;0,I50*H50*K50,)</f>
        <v>0</v>
      </c>
      <c r="R50" s="12">
        <f t="shared" ref="R50:R55" si="9">IF(J50&lt;&gt;0,J50/1.03-K50,0)</f>
        <v>0</v>
      </c>
    </row>
    <row r="51" spans="1:18" s="18" customFormat="1" ht="5.25" customHeight="1" x14ac:dyDescent="0.3">
      <c r="A51" s="290">
        <f t="shared" si="1"/>
        <v>0</v>
      </c>
      <c r="B51" s="63"/>
      <c r="C51" s="63"/>
      <c r="D51" s="63"/>
      <c r="E51" s="391"/>
      <c r="F51" s="325"/>
      <c r="G51" s="325"/>
      <c r="H51" s="326"/>
      <c r="I51" s="65"/>
      <c r="J51" s="334"/>
      <c r="K51" s="66" t="e">
        <f>IF(A51=0,VLOOKUP(D51,'03. Insumos'!A:F,4,0),"")</f>
        <v>#N/A</v>
      </c>
      <c r="L51" s="334"/>
      <c r="M51" s="153">
        <f t="shared" ca="1" si="0"/>
        <v>0</v>
      </c>
      <c r="O51" s="148">
        <f t="shared" si="8"/>
        <v>0</v>
      </c>
      <c r="R51" s="12">
        <f t="shared" si="9"/>
        <v>0</v>
      </c>
    </row>
    <row r="52" spans="1:18" s="18" customFormat="1" ht="13.5" hidden="1" customHeight="1" x14ac:dyDescent="0.3">
      <c r="A52" s="290">
        <f t="shared" si="1"/>
        <v>4</v>
      </c>
      <c r="B52" s="45"/>
      <c r="C52" s="45" t="s">
        <v>385</v>
      </c>
      <c r="D52" s="45" t="s">
        <v>44</v>
      </c>
      <c r="E52" s="347"/>
      <c r="F52" s="327"/>
      <c r="G52" s="327"/>
      <c r="H52" s="328"/>
      <c r="I52" s="61"/>
      <c r="J52" s="335"/>
      <c r="K52" s="62" t="str">
        <f>IF(A52=0,VLOOKUP(D52,'03. Insumos'!A:F,4,0),"")</f>
        <v/>
      </c>
      <c r="L52" s="335">
        <f>SUMIF(A53:A55,6,L53:L55)</f>
        <v>0</v>
      </c>
      <c r="M52" s="153">
        <f t="shared" ca="1" si="0"/>
        <v>0</v>
      </c>
      <c r="O52" s="148">
        <f t="shared" si="8"/>
        <v>0</v>
      </c>
      <c r="R52" s="12">
        <f t="shared" si="9"/>
        <v>0</v>
      </c>
    </row>
    <row r="53" spans="1:18" ht="13.5" hidden="1" customHeight="1" x14ac:dyDescent="0.3">
      <c r="A53" s="290">
        <f t="shared" si="1"/>
        <v>6</v>
      </c>
      <c r="B53" s="4"/>
      <c r="C53" s="4" t="s">
        <v>917</v>
      </c>
      <c r="D53" s="350" t="s">
        <v>45</v>
      </c>
      <c r="E53" s="343"/>
      <c r="F53" s="56"/>
      <c r="G53" s="56"/>
      <c r="H53" s="57"/>
      <c r="I53" s="29"/>
      <c r="J53" s="58"/>
      <c r="K53" s="27" t="str">
        <f>IF(A53=0,VLOOKUP(D53,'03. Insumos'!A:F,4,0),"")</f>
        <v/>
      </c>
      <c r="L53" s="58">
        <f>SUM(L54:L55)</f>
        <v>0</v>
      </c>
      <c r="M53" s="153">
        <f t="shared" ca="1" si="0"/>
        <v>0</v>
      </c>
      <c r="O53" s="148">
        <f t="shared" si="8"/>
        <v>0</v>
      </c>
      <c r="R53" s="12">
        <f t="shared" si="9"/>
        <v>0</v>
      </c>
    </row>
    <row r="54" spans="1:18" s="51" customFormat="1" ht="13.5" hidden="1" customHeight="1" x14ac:dyDescent="0.3">
      <c r="A54" s="290">
        <f t="shared" si="1"/>
        <v>0</v>
      </c>
      <c r="B54" s="49"/>
      <c r="C54" s="49"/>
      <c r="D54" s="140" t="s">
        <v>146</v>
      </c>
      <c r="E54" s="67" t="str">
        <f>VLOOKUP(D54,'03. Insumos'!A:D,2,0)</f>
        <v>Extintor de Pó Químico 4kg</v>
      </c>
      <c r="F54" s="68" t="s">
        <v>2612</v>
      </c>
      <c r="G54" s="68" t="str">
        <f>VLOOKUP(D54,'03. Insumos'!A:F,3,0)</f>
        <v>uni</v>
      </c>
      <c r="H54" s="69">
        <v>1</v>
      </c>
      <c r="I54" s="141"/>
      <c r="J54" s="70">
        <f>IFERROR(IF(K54&lt;&gt;0,K54*$K$5,0),0)</f>
        <v>540</v>
      </c>
      <c r="K54" s="70">
        <f>IF(A54=0,VLOOKUP(D54,'03. Insumos'!A:F,4,0),"")</f>
        <v>540</v>
      </c>
      <c r="L54" s="70">
        <f>H54*J54*I54</f>
        <v>0</v>
      </c>
      <c r="M54" s="153">
        <f t="shared" ca="1" si="0"/>
        <v>0</v>
      </c>
      <c r="O54" s="148">
        <f t="shared" si="8"/>
        <v>0</v>
      </c>
      <c r="R54" s="12">
        <f t="shared" si="9"/>
        <v>-15.72815533980588</v>
      </c>
    </row>
    <row r="55" spans="1:18" s="51" customFormat="1" ht="13.5" hidden="1" customHeight="1" x14ac:dyDescent="0.3">
      <c r="A55" s="290">
        <f t="shared" si="1"/>
        <v>0</v>
      </c>
      <c r="B55" s="49"/>
      <c r="C55" s="49"/>
      <c r="D55" s="140" t="s">
        <v>147</v>
      </c>
      <c r="E55" s="67" t="str">
        <f>VLOOKUP(D55,'03. Insumos'!A:D,2,0)</f>
        <v>Extintor CO2 4Kg</v>
      </c>
      <c r="F55" s="68" t="s">
        <v>2612</v>
      </c>
      <c r="G55" s="68" t="str">
        <f>VLOOKUP(D55,'03. Insumos'!A:F,3,0)</f>
        <v>uni</v>
      </c>
      <c r="H55" s="69">
        <v>1</v>
      </c>
      <c r="I55" s="141"/>
      <c r="J55" s="70">
        <f>IFERROR(IF(K55&lt;&gt;0,K55*$K$5,0),0)</f>
        <v>370</v>
      </c>
      <c r="K55" s="70">
        <f>IF(A55=0,VLOOKUP(D55,'03. Insumos'!A:F,4,0),"")</f>
        <v>370</v>
      </c>
      <c r="L55" s="70">
        <f>H55*J55*I55</f>
        <v>0</v>
      </c>
      <c r="M55" s="153">
        <f t="shared" ca="1" si="0"/>
        <v>0</v>
      </c>
      <c r="O55" s="148">
        <f t="shared" si="8"/>
        <v>0</v>
      </c>
      <c r="R55" s="12">
        <f t="shared" si="9"/>
        <v>-10.776699029126235</v>
      </c>
    </row>
    <row r="56" spans="1:18" s="51" customFormat="1" ht="13.5" hidden="1" customHeight="1" x14ac:dyDescent="0.3">
      <c r="A56" s="290">
        <f t="shared" si="1"/>
        <v>4</v>
      </c>
      <c r="B56" s="45"/>
      <c r="C56" s="45" t="s">
        <v>386</v>
      </c>
      <c r="D56" s="45" t="s">
        <v>2063</v>
      </c>
      <c r="E56" s="347"/>
      <c r="F56" s="327"/>
      <c r="G56" s="327"/>
      <c r="H56" s="328"/>
      <c r="I56" s="61"/>
      <c r="J56" s="335"/>
      <c r="K56" s="62" t="str">
        <f>IF(A56=0,VLOOKUP(D56,'03. Insumos'!A:F,4,0),"")</f>
        <v/>
      </c>
      <c r="L56" s="335">
        <f>SUMIF(A57:A58,6,L57:L66)</f>
        <v>0</v>
      </c>
      <c r="M56" s="153">
        <f t="shared" ca="1" si="0"/>
        <v>0</v>
      </c>
      <c r="O56" s="148"/>
      <c r="R56" s="12"/>
    </row>
    <row r="57" spans="1:18" s="51" customFormat="1" ht="13.5" hidden="1" customHeight="1" x14ac:dyDescent="0.3">
      <c r="A57" s="290">
        <f t="shared" si="1"/>
        <v>6</v>
      </c>
      <c r="B57" s="4"/>
      <c r="C57" s="4" t="s">
        <v>918</v>
      </c>
      <c r="D57" s="4" t="s">
        <v>2063</v>
      </c>
      <c r="E57" s="55"/>
      <c r="F57" s="56"/>
      <c r="G57" s="56"/>
      <c r="H57" s="57"/>
      <c r="I57" s="29"/>
      <c r="J57" s="58"/>
      <c r="K57" s="27" t="str">
        <f>IF(A57=0,VLOOKUP(D57,'03. Insumos'!A:F,4,0),"")</f>
        <v/>
      </c>
      <c r="L57" s="58">
        <f>SUM(L58:L66)</f>
        <v>0</v>
      </c>
      <c r="M57" s="153">
        <f t="shared" ca="1" si="0"/>
        <v>0</v>
      </c>
      <c r="O57" s="148"/>
      <c r="R57" s="12"/>
    </row>
    <row r="58" spans="1:18" s="51" customFormat="1" ht="13.5" hidden="1" customHeight="1" x14ac:dyDescent="0.3">
      <c r="A58" s="290">
        <f t="shared" si="1"/>
        <v>0</v>
      </c>
      <c r="B58" s="49"/>
      <c r="C58" s="49"/>
      <c r="D58" s="140" t="s">
        <v>2070</v>
      </c>
      <c r="E58" s="67" t="str">
        <f>VLOOKUP(D58,'03. Insumos'!A:D,2,0)</f>
        <v>PCMAT por fase da obra</v>
      </c>
      <c r="F58" s="68"/>
      <c r="G58" s="68" t="str">
        <f>VLOOKUP(D58,'03. Insumos'!A:F,3,0)</f>
        <v>unid</v>
      </c>
      <c r="H58" s="69">
        <v>1</v>
      </c>
      <c r="I58" s="141"/>
      <c r="J58" s="70">
        <f t="shared" ref="J58:J66" si="10">IFERROR(IF(K58&lt;&gt;0,K58*$K$5,0),0)</f>
        <v>1200</v>
      </c>
      <c r="K58" s="54">
        <f>IF(A58=0,VLOOKUP(D58,'03. Insumos'!A:F,4,0),"")</f>
        <v>1200</v>
      </c>
      <c r="L58" s="338">
        <f>H58*J58*I58</f>
        <v>0</v>
      </c>
      <c r="M58" s="153">
        <f t="shared" ca="1" si="0"/>
        <v>0</v>
      </c>
      <c r="O58" s="148"/>
      <c r="R58" s="12"/>
    </row>
    <row r="59" spans="1:18" s="51" customFormat="1" ht="13.5" hidden="1" customHeight="1" x14ac:dyDescent="0.3">
      <c r="A59" s="290">
        <f t="shared" si="1"/>
        <v>0</v>
      </c>
      <c r="B59" s="49"/>
      <c r="C59" s="49"/>
      <c r="D59" s="140" t="s">
        <v>2071</v>
      </c>
      <c r="E59" s="67" t="str">
        <f>VLOOKUP(D59,'03. Insumos'!A:D,2,0)</f>
        <v>Revisão do PCMAT</v>
      </c>
      <c r="F59" s="68"/>
      <c r="G59" s="68" t="str">
        <f>VLOOKUP(D59,'03. Insumos'!A:F,3,0)</f>
        <v>unid</v>
      </c>
      <c r="H59" s="69">
        <v>1</v>
      </c>
      <c r="I59" s="141"/>
      <c r="J59" s="70">
        <f t="shared" si="10"/>
        <v>300</v>
      </c>
      <c r="K59" s="54">
        <f>IF(A59=0,VLOOKUP(D59,'03. Insumos'!A:F,4,0),"")</f>
        <v>300</v>
      </c>
      <c r="L59" s="338">
        <f t="shared" ref="L59:L64" si="11">H59*J59*I59</f>
        <v>0</v>
      </c>
      <c r="M59" s="153">
        <f t="shared" ca="1" si="0"/>
        <v>0</v>
      </c>
      <c r="O59" s="148"/>
      <c r="R59" s="12"/>
    </row>
    <row r="60" spans="1:18" s="51" customFormat="1" ht="13.5" hidden="1" customHeight="1" x14ac:dyDescent="0.3">
      <c r="A60" s="290">
        <f t="shared" si="1"/>
        <v>0</v>
      </c>
      <c r="B60" s="49"/>
      <c r="C60" s="49"/>
      <c r="D60" s="140" t="s">
        <v>2072</v>
      </c>
      <c r="E60" s="67" t="str">
        <f>VLOOKUP(D60,'03. Insumos'!A:D,2,0)</f>
        <v>PGR por fase da obra</v>
      </c>
      <c r="F60" s="68"/>
      <c r="G60" s="68" t="str">
        <f>VLOOKUP(D60,'03. Insumos'!A:F,3,0)</f>
        <v>unid</v>
      </c>
      <c r="H60" s="69">
        <v>1</v>
      </c>
      <c r="I60" s="141"/>
      <c r="J60" s="70">
        <f t="shared" si="10"/>
        <v>1500</v>
      </c>
      <c r="K60" s="54">
        <f>IF(A60=0,VLOOKUP(D60,'03. Insumos'!A:F,4,0),"")</f>
        <v>1500</v>
      </c>
      <c r="L60" s="338">
        <f t="shared" si="11"/>
        <v>0</v>
      </c>
      <c r="M60" s="153">
        <f t="shared" ca="1" si="0"/>
        <v>0</v>
      </c>
      <c r="O60" s="148"/>
      <c r="R60" s="12"/>
    </row>
    <row r="61" spans="1:18" s="51" customFormat="1" ht="13.5" hidden="1" customHeight="1" x14ac:dyDescent="0.3">
      <c r="A61" s="290">
        <f t="shared" si="1"/>
        <v>0</v>
      </c>
      <c r="B61" s="49"/>
      <c r="C61" s="49"/>
      <c r="D61" s="140" t="s">
        <v>2073</v>
      </c>
      <c r="E61" s="67" t="str">
        <f>VLOOKUP(D61,'03. Insumos'!A:D,2,0)</f>
        <v>Revisão PGR</v>
      </c>
      <c r="F61" s="68"/>
      <c r="G61" s="68" t="str">
        <f>VLOOKUP(D61,'03. Insumos'!A:F,3,0)</f>
        <v>unid</v>
      </c>
      <c r="H61" s="69">
        <v>1</v>
      </c>
      <c r="I61" s="141"/>
      <c r="J61" s="70">
        <f t="shared" si="10"/>
        <v>369</v>
      </c>
      <c r="K61" s="54">
        <f>IF(A61=0,VLOOKUP(D61,'03. Insumos'!A:F,4,0),"")</f>
        <v>369</v>
      </c>
      <c r="L61" s="338">
        <f t="shared" si="11"/>
        <v>0</v>
      </c>
      <c r="M61" s="153">
        <f t="shared" ca="1" si="0"/>
        <v>0</v>
      </c>
      <c r="O61" s="148"/>
      <c r="R61" s="12"/>
    </row>
    <row r="62" spans="1:18" s="51" customFormat="1" ht="13.5" hidden="1" customHeight="1" x14ac:dyDescent="0.3">
      <c r="A62" s="290">
        <f t="shared" si="1"/>
        <v>0</v>
      </c>
      <c r="B62" s="49"/>
      <c r="C62" s="49"/>
      <c r="D62" s="140" t="s">
        <v>2074</v>
      </c>
      <c r="E62" s="67" t="str">
        <f>VLOOKUP(D62,'03. Insumos'!A:D,2,0)</f>
        <v>Mapa de risco por fase da obra</v>
      </c>
      <c r="F62" s="68"/>
      <c r="G62" s="68" t="str">
        <f>VLOOKUP(D62,'03. Insumos'!A:F,3,0)</f>
        <v>unid</v>
      </c>
      <c r="H62" s="69">
        <v>1</v>
      </c>
      <c r="I62" s="141"/>
      <c r="J62" s="70">
        <f t="shared" si="10"/>
        <v>180</v>
      </c>
      <c r="K62" s="54">
        <f>IF(A62=0,VLOOKUP(D62,'03. Insumos'!A:F,4,0),"")</f>
        <v>180</v>
      </c>
      <c r="L62" s="338">
        <f t="shared" si="11"/>
        <v>0</v>
      </c>
      <c r="M62" s="153">
        <f t="shared" ca="1" si="0"/>
        <v>0</v>
      </c>
      <c r="O62" s="148"/>
      <c r="R62" s="12"/>
    </row>
    <row r="63" spans="1:18" s="51" customFormat="1" ht="13.5" hidden="1" customHeight="1" x14ac:dyDescent="0.3">
      <c r="A63" s="290">
        <f t="shared" si="1"/>
        <v>0</v>
      </c>
      <c r="B63" s="49"/>
      <c r="C63" s="49"/>
      <c r="D63" s="140" t="s">
        <v>2075</v>
      </c>
      <c r="E63" s="67" t="str">
        <f>VLOOKUP(D63,'03. Insumos'!A:D,2,0)</f>
        <v>PCMAT por fase da obra</v>
      </c>
      <c r="F63" s="68"/>
      <c r="G63" s="68" t="str">
        <f>VLOOKUP(D63,'03. Insumos'!A:F,3,0)</f>
        <v>unid</v>
      </c>
      <c r="H63" s="69">
        <v>1</v>
      </c>
      <c r="I63" s="141"/>
      <c r="J63" s="70">
        <f t="shared" si="10"/>
        <v>1800</v>
      </c>
      <c r="K63" s="54">
        <f>IF(A63=0,VLOOKUP(D63,'03. Insumos'!A:F,4,0),"")</f>
        <v>1800</v>
      </c>
      <c r="L63" s="338">
        <f t="shared" si="11"/>
        <v>0</v>
      </c>
      <c r="M63" s="153">
        <f t="shared" ca="1" si="0"/>
        <v>0</v>
      </c>
      <c r="O63" s="148"/>
      <c r="R63" s="12"/>
    </row>
    <row r="64" spans="1:18" s="51" customFormat="1" ht="13.5" hidden="1" customHeight="1" x14ac:dyDescent="0.3">
      <c r="A64" s="290">
        <f t="shared" si="1"/>
        <v>0</v>
      </c>
      <c r="B64" s="49"/>
      <c r="C64" s="49"/>
      <c r="D64" s="140" t="s">
        <v>2076</v>
      </c>
      <c r="E64" s="67" t="str">
        <f>VLOOKUP(D64,'03. Insumos'!A:D,2,0)</f>
        <v>Revisão do PCMSO</v>
      </c>
      <c r="F64" s="68"/>
      <c r="G64" s="68" t="str">
        <f>VLOOKUP(D64,'03. Insumos'!A:F,3,0)</f>
        <v>unid</v>
      </c>
      <c r="H64" s="69">
        <v>1</v>
      </c>
      <c r="I64" s="141"/>
      <c r="J64" s="70">
        <f t="shared" si="10"/>
        <v>300</v>
      </c>
      <c r="K64" s="54">
        <f>IF(A64=0,VLOOKUP(D64,'03. Insumos'!A:F,4,0),"")</f>
        <v>300</v>
      </c>
      <c r="L64" s="338">
        <f t="shared" si="11"/>
        <v>0</v>
      </c>
      <c r="M64" s="153">
        <f t="shared" ca="1" si="0"/>
        <v>0</v>
      </c>
      <c r="O64" s="148"/>
      <c r="R64" s="12"/>
    </row>
    <row r="65" spans="1:18" s="51" customFormat="1" ht="13.5" hidden="1" customHeight="1" x14ac:dyDescent="0.3">
      <c r="A65" s="290">
        <f t="shared" si="1"/>
        <v>0</v>
      </c>
      <c r="B65" s="49"/>
      <c r="C65" s="49"/>
      <c r="D65" s="140" t="s">
        <v>2077</v>
      </c>
      <c r="E65" s="67" t="str">
        <f>VLOOKUP(D65,'03. Insumos'!A:D,2,0)</f>
        <v>Implantação e gerenciamento da CIPA</v>
      </c>
      <c r="F65" s="68"/>
      <c r="G65" s="68" t="str">
        <f>VLOOKUP(D65,'03. Insumos'!A:F,3,0)</f>
        <v>mês</v>
      </c>
      <c r="H65" s="69">
        <v>1</v>
      </c>
      <c r="I65" s="141"/>
      <c r="J65" s="70">
        <f t="shared" si="10"/>
        <v>300</v>
      </c>
      <c r="K65" s="54">
        <f>IF(A65=0,VLOOKUP(D65,'03. Insumos'!A:F,4,0),"")</f>
        <v>300</v>
      </c>
      <c r="L65" s="338">
        <f>H65*J65*I65</f>
        <v>0</v>
      </c>
      <c r="M65" s="153">
        <f t="shared" ca="1" si="0"/>
        <v>0</v>
      </c>
      <c r="O65" s="148"/>
      <c r="R65" s="12"/>
    </row>
    <row r="66" spans="1:18" s="51" customFormat="1" ht="13.5" hidden="1" customHeight="1" x14ac:dyDescent="0.3">
      <c r="A66" s="290">
        <f t="shared" si="1"/>
        <v>0</v>
      </c>
      <c r="B66" s="49"/>
      <c r="C66" s="49"/>
      <c r="D66" s="140" t="s">
        <v>2078</v>
      </c>
      <c r="E66" s="67" t="str">
        <f>VLOOKUP(D66,'03. Insumos'!A:D,2,0)</f>
        <v>Treinamento para CIPA</v>
      </c>
      <c r="F66" s="68"/>
      <c r="G66" s="68" t="str">
        <f>VLOOKUP(D66,'03. Insumos'!A:F,3,0)</f>
        <v>unid</v>
      </c>
      <c r="H66" s="69">
        <v>1</v>
      </c>
      <c r="I66" s="141"/>
      <c r="J66" s="70">
        <f t="shared" si="10"/>
        <v>2000</v>
      </c>
      <c r="K66" s="54">
        <f>IF(A66=0,VLOOKUP(D66,'03. Insumos'!A:F,4,0),"")</f>
        <v>2000</v>
      </c>
      <c r="L66" s="338">
        <f>H66*J66*I66</f>
        <v>0</v>
      </c>
      <c r="M66" s="153">
        <f t="shared" ca="1" si="0"/>
        <v>0</v>
      </c>
      <c r="O66" s="148"/>
      <c r="R66" s="12"/>
    </row>
    <row r="67" spans="1:18" s="18" customFormat="1" ht="13.5" customHeight="1" x14ac:dyDescent="0.3">
      <c r="A67" s="290">
        <f t="shared" si="1"/>
        <v>4</v>
      </c>
      <c r="B67" s="45"/>
      <c r="C67" s="45" t="s">
        <v>1941</v>
      </c>
      <c r="D67" s="45" t="s">
        <v>47</v>
      </c>
      <c r="E67" s="347"/>
      <c r="F67" s="327"/>
      <c r="G67" s="327"/>
      <c r="H67" s="328"/>
      <c r="I67" s="61"/>
      <c r="J67" s="335"/>
      <c r="K67" s="62" t="str">
        <f>IF(A67=0,VLOOKUP(D67,'03. Insumos'!A:F,4,0),"")</f>
        <v/>
      </c>
      <c r="L67" s="335">
        <f>SUMIF(A68:A75,6,L68:L75)</f>
        <v>17848.879999999997</v>
      </c>
      <c r="M67" s="153">
        <f t="shared" ca="1" si="0"/>
        <v>6.7272368016413591E-4</v>
      </c>
      <c r="O67" s="148">
        <f>IF(I67&lt;&gt;0,I67*H67*K67,)</f>
        <v>0</v>
      </c>
      <c r="R67" s="12">
        <f>IF(J67&lt;&gt;0,J67/1.03-K67,0)</f>
        <v>0</v>
      </c>
    </row>
    <row r="68" spans="1:18" ht="13.5" customHeight="1" x14ac:dyDescent="0.3">
      <c r="A68" s="290">
        <f t="shared" si="1"/>
        <v>6</v>
      </c>
      <c r="B68" s="4"/>
      <c r="C68" s="4" t="s">
        <v>1942</v>
      </c>
      <c r="D68" s="4" t="s">
        <v>47</v>
      </c>
      <c r="E68" s="55"/>
      <c r="F68" s="56"/>
      <c r="G68" s="56"/>
      <c r="H68" s="57"/>
      <c r="I68" s="29"/>
      <c r="J68" s="58"/>
      <c r="K68" s="27" t="str">
        <f>IF(A68=0,VLOOKUP(D68,'03. Insumos'!A:F,4,0),"")</f>
        <v/>
      </c>
      <c r="L68" s="58">
        <f>SUM(L69:L75)</f>
        <v>17848.879999999997</v>
      </c>
      <c r="M68" s="153">
        <f t="shared" ca="1" si="0"/>
        <v>6.7272368016413591E-4</v>
      </c>
      <c r="O68" s="148">
        <f>IF(I68&lt;&gt;0,I68*H68*K68,)</f>
        <v>0</v>
      </c>
      <c r="R68" s="12">
        <f>IF(J68&lt;&gt;0,J68/1.03-K68,0)</f>
        <v>0</v>
      </c>
    </row>
    <row r="69" spans="1:18" s="51" customFormat="1" ht="13.5" customHeight="1" x14ac:dyDescent="0.3">
      <c r="A69" s="290">
        <f t="shared" si="1"/>
        <v>0</v>
      </c>
      <c r="B69" s="49"/>
      <c r="C69" s="49"/>
      <c r="D69" s="140" t="s">
        <v>718</v>
      </c>
      <c r="E69" s="67" t="str">
        <f>VLOOKUP(D69,'03. Insumos'!A:D,2,0)</f>
        <v>Máscara</v>
      </c>
      <c r="F69" s="68" t="s">
        <v>2612</v>
      </c>
      <c r="G69" s="68" t="str">
        <f>VLOOKUP(D69,'03. Insumos'!A:F,3,0)</f>
        <v>unid</v>
      </c>
      <c r="H69" s="69">
        <v>1</v>
      </c>
      <c r="I69" s="141">
        <f>6*4*2</f>
        <v>48</v>
      </c>
      <c r="J69" s="70">
        <f t="shared" ref="J69:J75" si="12">IFERROR(IF(K69&lt;&gt;0,K69*$K$5,0),0)</f>
        <v>0.47333333333333333</v>
      </c>
      <c r="K69" s="70">
        <f>IF(A69=0,VLOOKUP(D69,'03. Insumos'!A:F,4,0),"")</f>
        <v>0.47333333333333333</v>
      </c>
      <c r="L69" s="70">
        <f t="shared" ref="L69:L75" si="13">H69*J69*I69</f>
        <v>22.72</v>
      </c>
      <c r="M69" s="153">
        <f t="shared" ca="1" si="0"/>
        <v>8.5631602729858512E-7</v>
      </c>
      <c r="O69" s="148">
        <f>IF(I69&lt;&gt;0,I69*H69*K69,)</f>
        <v>22.72</v>
      </c>
      <c r="R69" s="12">
        <f>IF(J69&lt;&gt;0,J69/1.03-K69,0)</f>
        <v>-1.3786407766990305E-2</v>
      </c>
    </row>
    <row r="70" spans="1:18" s="51" customFormat="1" ht="13.5" hidden="1" customHeight="1" x14ac:dyDescent="0.3">
      <c r="A70" s="290">
        <f t="shared" si="1"/>
        <v>0</v>
      </c>
      <c r="B70" s="49"/>
      <c r="C70" s="49"/>
      <c r="D70" s="140" t="s">
        <v>719</v>
      </c>
      <c r="E70" s="67" t="str">
        <f>VLOOKUP(D70,'03. Insumos'!A:D,2,0)</f>
        <v>Bota</v>
      </c>
      <c r="F70" s="68"/>
      <c r="G70" s="68" t="str">
        <f>VLOOKUP(D70,'03. Insumos'!A:F,3,0)</f>
        <v>unid</v>
      </c>
      <c r="H70" s="69">
        <v>1</v>
      </c>
      <c r="I70" s="141"/>
      <c r="J70" s="70">
        <f t="shared" si="12"/>
        <v>27</v>
      </c>
      <c r="K70" s="70">
        <f>IF(A70=0,VLOOKUP(D70,'03. Insumos'!A:F,4,0),"")</f>
        <v>27</v>
      </c>
      <c r="L70" s="70">
        <f t="shared" si="13"/>
        <v>0</v>
      </c>
      <c r="M70" s="153">
        <f t="shared" ca="1" si="0"/>
        <v>0</v>
      </c>
      <c r="O70" s="148"/>
      <c r="R70" s="12"/>
    </row>
    <row r="71" spans="1:18" s="51" customFormat="1" ht="13.5" hidden="1" customHeight="1" x14ac:dyDescent="0.3">
      <c r="A71" s="290">
        <f t="shared" si="1"/>
        <v>0</v>
      </c>
      <c r="B71" s="49"/>
      <c r="C71" s="49"/>
      <c r="D71" s="140" t="s">
        <v>720</v>
      </c>
      <c r="E71" s="67" t="str">
        <f>VLOOKUP(D71,'03. Insumos'!A:D,2,0)</f>
        <v>Capacete</v>
      </c>
      <c r="F71" s="68"/>
      <c r="G71" s="68" t="str">
        <f>VLOOKUP(D71,'03. Insumos'!A:F,3,0)</f>
        <v>unid</v>
      </c>
      <c r="H71" s="69">
        <v>1</v>
      </c>
      <c r="I71" s="141"/>
      <c r="J71" s="70">
        <f t="shared" si="12"/>
        <v>9.73</v>
      </c>
      <c r="K71" s="70">
        <f>IF(A71=0,VLOOKUP(D71,'03. Insumos'!A:F,4,0),"")</f>
        <v>9.73</v>
      </c>
      <c r="L71" s="70">
        <f t="shared" si="13"/>
        <v>0</v>
      </c>
      <c r="M71" s="153">
        <f t="shared" ca="1" si="0"/>
        <v>0</v>
      </c>
      <c r="O71" s="148"/>
      <c r="R71" s="12"/>
    </row>
    <row r="72" spans="1:18" s="51" customFormat="1" ht="13.5" customHeight="1" x14ac:dyDescent="0.3">
      <c r="A72" s="290">
        <f t="shared" si="1"/>
        <v>0</v>
      </c>
      <c r="B72" s="49"/>
      <c r="C72" s="49"/>
      <c r="D72" s="140" t="s">
        <v>721</v>
      </c>
      <c r="E72" s="67" t="str">
        <f>VLOOKUP(D72,'03. Insumos'!A:D,2,0)</f>
        <v>Cinto de segurança</v>
      </c>
      <c r="F72" s="68" t="s">
        <v>2612</v>
      </c>
      <c r="G72" s="68" t="str">
        <f>VLOOKUP(D72,'03. Insumos'!A:F,3,0)</f>
        <v>unid</v>
      </c>
      <c r="H72" s="69">
        <v>1</v>
      </c>
      <c r="I72" s="141">
        <v>2</v>
      </c>
      <c r="J72" s="70">
        <f t="shared" si="12"/>
        <v>46.2</v>
      </c>
      <c r="K72" s="70">
        <f>IF(A72=0,VLOOKUP(D72,'03. Insumos'!A:F,4,0),"")</f>
        <v>46.2</v>
      </c>
      <c r="L72" s="70">
        <f t="shared" si="13"/>
        <v>92.4</v>
      </c>
      <c r="M72" s="153">
        <f t="shared" ca="1" si="0"/>
        <v>3.4825528574995278E-6</v>
      </c>
      <c r="O72" s="148"/>
      <c r="R72" s="12"/>
    </row>
    <row r="73" spans="1:18" s="51" customFormat="1" ht="13.5" customHeight="1" x14ac:dyDescent="0.3">
      <c r="A73" s="290">
        <f t="shared" si="1"/>
        <v>0</v>
      </c>
      <c r="B73" s="49"/>
      <c r="C73" s="49"/>
      <c r="D73" s="140" t="s">
        <v>722</v>
      </c>
      <c r="E73" s="67" t="str">
        <f>VLOOKUP(D73,'03. Insumos'!A:D,2,0)</f>
        <v>Corda de poliamida (50 m)</v>
      </c>
      <c r="F73" s="68" t="s">
        <v>2612</v>
      </c>
      <c r="G73" s="68" t="str">
        <f>VLOOKUP(D73,'03. Insumos'!A:F,3,0)</f>
        <v>rolo</v>
      </c>
      <c r="H73" s="69">
        <v>1</v>
      </c>
      <c r="I73" s="141">
        <v>50</v>
      </c>
      <c r="J73" s="70">
        <f t="shared" si="12"/>
        <v>350</v>
      </c>
      <c r="K73" s="70">
        <f>IF(A73=0,VLOOKUP(D73,'03. Insumos'!A:F,4,0),"")</f>
        <v>350</v>
      </c>
      <c r="L73" s="70">
        <f t="shared" si="13"/>
        <v>17500</v>
      </c>
      <c r="M73" s="153">
        <f t="shared" ca="1" si="0"/>
        <v>6.5957440482945599E-4</v>
      </c>
      <c r="O73" s="148"/>
      <c r="R73" s="12"/>
    </row>
    <row r="74" spans="1:18" s="51" customFormat="1" ht="13.5" customHeight="1" x14ac:dyDescent="0.3">
      <c r="A74" s="290">
        <f t="shared" si="1"/>
        <v>0</v>
      </c>
      <c r="B74" s="49"/>
      <c r="C74" s="49"/>
      <c r="D74" s="140" t="s">
        <v>723</v>
      </c>
      <c r="E74" s="67" t="str">
        <f>VLOOKUP(D74,'03. Insumos'!A:D,2,0)</f>
        <v>Luva</v>
      </c>
      <c r="F74" s="68" t="s">
        <v>2612</v>
      </c>
      <c r="G74" s="68" t="str">
        <f>VLOOKUP(D74,'03. Insumos'!A:F,3,0)</f>
        <v>unid</v>
      </c>
      <c r="H74" s="69">
        <v>1</v>
      </c>
      <c r="I74" s="141">
        <f>I69/2</f>
        <v>24</v>
      </c>
      <c r="J74" s="70">
        <f t="shared" si="12"/>
        <v>7.74</v>
      </c>
      <c r="K74" s="70">
        <f>IF(A74=0,VLOOKUP(D74,'03. Insumos'!A:F,4,0),"")</f>
        <v>7.74</v>
      </c>
      <c r="L74" s="70">
        <f t="shared" si="13"/>
        <v>185.76</v>
      </c>
      <c r="M74" s="153">
        <f t="shared" ca="1" si="0"/>
        <v>7.0012880823496992E-6</v>
      </c>
      <c r="O74" s="148"/>
      <c r="R74" s="12"/>
    </row>
    <row r="75" spans="1:18" s="51" customFormat="1" ht="13.5" customHeight="1" x14ac:dyDescent="0.3">
      <c r="A75" s="290">
        <f t="shared" si="1"/>
        <v>0</v>
      </c>
      <c r="B75" s="49"/>
      <c r="C75" s="49"/>
      <c r="D75" s="140" t="s">
        <v>724</v>
      </c>
      <c r="E75" s="67" t="str">
        <f>VLOOKUP(D75,'03. Insumos'!A:D,2,0)</f>
        <v>Óculos</v>
      </c>
      <c r="F75" s="68" t="s">
        <v>2612</v>
      </c>
      <c r="G75" s="68" t="str">
        <f>VLOOKUP(D75,'03. Insumos'!A:F,3,0)</f>
        <v>unid</v>
      </c>
      <c r="H75" s="69">
        <v>1</v>
      </c>
      <c r="I75" s="141">
        <f>I69/2</f>
        <v>24</v>
      </c>
      <c r="J75" s="70">
        <f t="shared" si="12"/>
        <v>2</v>
      </c>
      <c r="K75" s="70">
        <f>IF(A75=0,VLOOKUP(D75,'03. Insumos'!A:F,4,0),"")</f>
        <v>2</v>
      </c>
      <c r="L75" s="70">
        <f t="shared" si="13"/>
        <v>48</v>
      </c>
      <c r="M75" s="153">
        <f t="shared" ca="1" si="0"/>
        <v>1.8091183675322221E-6</v>
      </c>
      <c r="O75" s="148"/>
      <c r="R75" s="12"/>
    </row>
    <row r="76" spans="1:18" s="18" customFormat="1" ht="13.5" hidden="1" customHeight="1" x14ac:dyDescent="0.3">
      <c r="A76" s="290">
        <f>LEN(C76)</f>
        <v>4</v>
      </c>
      <c r="B76" s="45"/>
      <c r="C76" s="45" t="s">
        <v>1941</v>
      </c>
      <c r="D76" s="45" t="s">
        <v>1940</v>
      </c>
      <c r="E76" s="347"/>
      <c r="F76" s="327"/>
      <c r="G76" s="327"/>
      <c r="H76" s="328"/>
      <c r="I76" s="61"/>
      <c r="J76" s="335"/>
      <c r="K76" s="62" t="str">
        <f>IF(A76=0,VLOOKUP(D76,'03. Insumos'!A:F,4,0),"")</f>
        <v/>
      </c>
      <c r="L76" s="335">
        <f>SUMIF(A77:A79,6,L77:L79)</f>
        <v>0</v>
      </c>
      <c r="M76" s="153">
        <f ca="1">L76/$L$7</f>
        <v>0</v>
      </c>
      <c r="O76" s="148">
        <f>IF(I76&lt;&gt;0,I76*H76*K76,)</f>
        <v>0</v>
      </c>
      <c r="R76" s="12">
        <f>IF(J76&lt;&gt;0,J76/1.03-K76,0)</f>
        <v>0</v>
      </c>
    </row>
    <row r="77" spans="1:18" ht="13.5" hidden="1" customHeight="1" x14ac:dyDescent="0.3">
      <c r="A77" s="290">
        <f>LEN(C77)</f>
        <v>6</v>
      </c>
      <c r="B77" s="4"/>
      <c r="C77" s="4" t="s">
        <v>1942</v>
      </c>
      <c r="D77" s="4" t="s">
        <v>1940</v>
      </c>
      <c r="E77" s="55"/>
      <c r="F77" s="56"/>
      <c r="G77" s="56"/>
      <c r="H77" s="57"/>
      <c r="I77" s="29"/>
      <c r="J77" s="58"/>
      <c r="K77" s="27" t="str">
        <f>IF(A77=0,VLOOKUP(D77,'03. Insumos'!A:F,4,0),"")</f>
        <v/>
      </c>
      <c r="L77" s="58">
        <f>SUM(L78:L79)</f>
        <v>0</v>
      </c>
      <c r="M77" s="153">
        <f ca="1">L77/$L$7</f>
        <v>0</v>
      </c>
      <c r="O77" s="148">
        <f>IF(I77&lt;&gt;0,I77*H77*K77,)</f>
        <v>0</v>
      </c>
      <c r="R77" s="12">
        <f>IF(J77&lt;&gt;0,J77/1.03-K77,0)</f>
        <v>0</v>
      </c>
    </row>
    <row r="78" spans="1:18" ht="13.5" hidden="1" customHeight="1" x14ac:dyDescent="0.3">
      <c r="A78" s="290">
        <f>LEN(C78)</f>
        <v>0</v>
      </c>
      <c r="B78" s="4"/>
      <c r="C78" s="4"/>
      <c r="D78" s="140" t="s">
        <v>1945</v>
      </c>
      <c r="E78" s="67" t="str">
        <f>VLOOKUP(D78,'03. Insumos'!A:D,2,0)</f>
        <v>Proteção de periferia</v>
      </c>
      <c r="F78" s="68"/>
      <c r="G78" s="68" t="str">
        <f>VLOOKUP(D78,'03. Insumos'!A:F,3,0)</f>
        <v>vb</v>
      </c>
      <c r="H78" s="69">
        <v>1</v>
      </c>
      <c r="I78" s="141"/>
      <c r="J78" s="70">
        <f>IFERROR(IF(K78&lt;&gt;0,K78*$K$5,0),0)</f>
        <v>1683.2</v>
      </c>
      <c r="K78" s="54">
        <f>(40*5.58)+(60*16)+(10*50)</f>
        <v>1683.2</v>
      </c>
      <c r="L78" s="338">
        <f>H78*J78*I78</f>
        <v>0</v>
      </c>
      <c r="M78" s="153">
        <f ca="1">L78/$L$7</f>
        <v>0</v>
      </c>
      <c r="O78" s="148"/>
      <c r="R78" s="12"/>
    </row>
    <row r="79" spans="1:18" s="51" customFormat="1" ht="13.5" hidden="1" customHeight="1" x14ac:dyDescent="0.3">
      <c r="A79" s="290">
        <f>LEN(C79)</f>
        <v>0</v>
      </c>
      <c r="B79" s="49"/>
      <c r="C79" s="49"/>
      <c r="D79" s="140" t="s">
        <v>1946</v>
      </c>
      <c r="E79" s="67" t="str">
        <f>VLOOKUP(D79,'03. Insumos'!A:D,2,0)</f>
        <v>Linha de vida</v>
      </c>
      <c r="F79" s="68"/>
      <c r="G79" s="68" t="str">
        <f>VLOOKUP(D79,'03. Insumos'!A:F,3,0)</f>
        <v>vb</v>
      </c>
      <c r="H79" s="69">
        <v>1</v>
      </c>
      <c r="I79" s="141"/>
      <c r="J79" s="70">
        <f>IFERROR(IF(K79&lt;&gt;0,K79*$K$5,0),0)</f>
        <v>11688.62</v>
      </c>
      <c r="K79" s="54">
        <f>IF(A79=0,VLOOKUP(D79,'03. Insumos'!A:F,4,0),"")</f>
        <v>11688.62</v>
      </c>
      <c r="L79" s="338">
        <f>H79*J79*I79</f>
        <v>0</v>
      </c>
      <c r="M79" s="153">
        <f ca="1">L79/$L$7</f>
        <v>0</v>
      </c>
      <c r="O79" s="148">
        <f>IF(I79&lt;&gt;0,I79*H79*K79,)</f>
        <v>0</v>
      </c>
      <c r="R79" s="12">
        <f>IF(J79&lt;&gt;0,J79/1.03-K79,0)</f>
        <v>-340.44524271844602</v>
      </c>
    </row>
    <row r="80" spans="1:18" s="18" customFormat="1" ht="13.5" customHeight="1" x14ac:dyDescent="0.3">
      <c r="A80" s="290">
        <f t="shared" si="1"/>
        <v>3</v>
      </c>
      <c r="B80" s="35"/>
      <c r="C80" s="35" t="s">
        <v>356</v>
      </c>
      <c r="D80" s="35" t="s">
        <v>78</v>
      </c>
      <c r="E80" s="390"/>
      <c r="F80" s="323"/>
      <c r="G80" s="323"/>
      <c r="H80" s="324"/>
      <c r="I80" s="37"/>
      <c r="J80" s="333"/>
      <c r="K80" s="38"/>
      <c r="L80" s="333">
        <f>SUMIF(A81:A137,4,L81:L137)</f>
        <v>9027.7000000000007</v>
      </c>
      <c r="M80" s="153">
        <f t="shared" ca="1" si="0"/>
        <v>3.4025370597022173E-4</v>
      </c>
      <c r="O80" s="148">
        <f>IF(I80&lt;&gt;0,I80*H80*K80,)</f>
        <v>0</v>
      </c>
      <c r="R80" s="12">
        <f>IF(J80&lt;&gt;0,J80/1.03-K80,0)</f>
        <v>0</v>
      </c>
    </row>
    <row r="81" spans="1:18" s="18" customFormat="1" ht="5.25" customHeight="1" x14ac:dyDescent="0.3">
      <c r="A81" s="290">
        <f t="shared" si="1"/>
        <v>0</v>
      </c>
      <c r="B81" s="63"/>
      <c r="C81" s="63"/>
      <c r="D81" s="63"/>
      <c r="E81" s="391"/>
      <c r="F81" s="325"/>
      <c r="G81" s="325"/>
      <c r="H81" s="326"/>
      <c r="I81" s="65"/>
      <c r="J81" s="334">
        <f>IFERROR(IF(K81&lt;&gt;0,K81*$K$5,0),0)</f>
        <v>0</v>
      </c>
      <c r="K81" s="66" t="e">
        <f>IF(A81=0,VLOOKUP(D81,'03. Insumos'!A:F,4,0),"")</f>
        <v>#N/A</v>
      </c>
      <c r="L81" s="334"/>
      <c r="M81" s="153">
        <f t="shared" ca="1" si="0"/>
        <v>0</v>
      </c>
      <c r="O81" s="148">
        <f>IF(I81&lt;&gt;0,I81*H81*K81,)</f>
        <v>0</v>
      </c>
      <c r="R81" s="12">
        <f>IF(J81&lt;&gt;0,J81/1.03-K81,0)</f>
        <v>0</v>
      </c>
    </row>
    <row r="82" spans="1:18" s="18" customFormat="1" ht="13.5" customHeight="1" x14ac:dyDescent="0.3">
      <c r="A82" s="290">
        <f t="shared" si="1"/>
        <v>4</v>
      </c>
      <c r="B82" s="45"/>
      <c r="C82" s="45" t="s">
        <v>382</v>
      </c>
      <c r="D82" s="45" t="s">
        <v>112</v>
      </c>
      <c r="E82" s="347"/>
      <c r="F82" s="327"/>
      <c r="G82" s="327"/>
      <c r="H82" s="328"/>
      <c r="I82" s="61"/>
      <c r="J82" s="335"/>
      <c r="K82" s="62" t="str">
        <f>IF(A82=0,VLOOKUP(D82,'03. Insumos'!A:F,4,0),"")</f>
        <v/>
      </c>
      <c r="L82" s="335">
        <f>SUMIF(A83:A112,6,L83:L112)</f>
        <v>2732</v>
      </c>
      <c r="M82" s="153">
        <f t="shared" ca="1" si="0"/>
        <v>1.0296898708537564E-4</v>
      </c>
      <c r="O82" s="148">
        <f>IF(I82&lt;&gt;0,I82*H82*K82,)</f>
        <v>0</v>
      </c>
      <c r="R82" s="12">
        <f>IF(J82&lt;&gt;0,J82/1.03-K82,0)</f>
        <v>0</v>
      </c>
    </row>
    <row r="83" spans="1:18" ht="13.5" customHeight="1" x14ac:dyDescent="0.3">
      <c r="A83" s="290">
        <f t="shared" si="1"/>
        <v>6</v>
      </c>
      <c r="B83" s="4"/>
      <c r="C83" s="4" t="s">
        <v>919</v>
      </c>
      <c r="D83" s="4" t="s">
        <v>2004</v>
      </c>
      <c r="E83" s="55"/>
      <c r="F83" s="56"/>
      <c r="G83" s="56"/>
      <c r="H83" s="57"/>
      <c r="I83" s="29"/>
      <c r="J83" s="58"/>
      <c r="K83" s="54" t="str">
        <f>IF(A83=0,VLOOKUP(D83,'03. Insumos'!A:F,4,0),"")</f>
        <v/>
      </c>
      <c r="L83" s="58">
        <f>SUM(L84:L110)</f>
        <v>2732</v>
      </c>
      <c r="M83" s="153">
        <f t="shared" ca="1" si="0"/>
        <v>1.0296898708537564E-4</v>
      </c>
      <c r="O83" s="148">
        <f>IF(I83&lt;&gt;0,I83*H83*K83,)</f>
        <v>0</v>
      </c>
      <c r="R83" s="12">
        <f>IF(J83&lt;&gt;0,J83/1.03-K83,0)</f>
        <v>0</v>
      </c>
    </row>
    <row r="84" spans="1:18" ht="13.5" customHeight="1" x14ac:dyDescent="0.3">
      <c r="A84" s="290">
        <f t="shared" si="1"/>
        <v>0</v>
      </c>
      <c r="B84" s="4"/>
      <c r="C84" s="4"/>
      <c r="D84" s="140" t="s">
        <v>726</v>
      </c>
      <c r="E84" s="67" t="str">
        <f>VLOOKUP(D84,'03. Insumos'!A:D,2,0)</f>
        <v>Serra mármore</v>
      </c>
      <c r="F84" s="68" t="s">
        <v>2612</v>
      </c>
      <c r="G84" s="68" t="str">
        <f>VLOOKUP(D84,'03. Insumos'!A:F,3,0)</f>
        <v>mês</v>
      </c>
      <c r="H84" s="69">
        <v>1</v>
      </c>
      <c r="I84" s="193">
        <f>L2</f>
        <v>6</v>
      </c>
      <c r="J84" s="70">
        <f t="shared" ref="J84:J110" si="14">IFERROR(IF(K84&lt;&gt;0,K84*$K$5,0),0)</f>
        <v>80</v>
      </c>
      <c r="K84" s="70">
        <f>IF(A84=0,VLOOKUP(D84,'03. Insumos'!A:F,4,0),"")</f>
        <v>80</v>
      </c>
      <c r="L84" s="70">
        <f>H84*J84*I84</f>
        <v>480</v>
      </c>
      <c r="M84" s="153">
        <f t="shared" ca="1" si="0"/>
        <v>1.8091183675322222E-5</v>
      </c>
      <c r="O84" s="148"/>
      <c r="R84" s="12"/>
    </row>
    <row r="85" spans="1:18" ht="13.5" hidden="1" customHeight="1" x14ac:dyDescent="0.3">
      <c r="A85" s="290">
        <f t="shared" si="1"/>
        <v>0</v>
      </c>
      <c r="B85" s="4"/>
      <c r="C85" s="4"/>
      <c r="D85" s="140" t="s">
        <v>1987</v>
      </c>
      <c r="E85" s="67" t="str">
        <f>VLOOKUP(D85,'03. Insumos'!A:D,2,0)</f>
        <v>Torre de iluminação</v>
      </c>
      <c r="F85" s="68"/>
      <c r="G85" s="68" t="str">
        <f>VLOOKUP(D85,'03. Insumos'!A:F,3,0)</f>
        <v>mês</v>
      </c>
      <c r="H85" s="69">
        <v>1</v>
      </c>
      <c r="I85" s="141"/>
      <c r="J85" s="70">
        <f t="shared" si="14"/>
        <v>1490</v>
      </c>
      <c r="K85" s="70">
        <f>IF(A85=0,VLOOKUP(D85,'03. Insumos'!A:F,4,0),"")</f>
        <v>1490</v>
      </c>
      <c r="L85" s="70">
        <f t="shared" ref="L85:L110" si="15">H85*J85*I85</f>
        <v>0</v>
      </c>
      <c r="M85" s="153">
        <f t="shared" ca="1" si="0"/>
        <v>0</v>
      </c>
      <c r="O85" s="148"/>
      <c r="R85" s="12"/>
    </row>
    <row r="86" spans="1:18" ht="13.5" customHeight="1" x14ac:dyDescent="0.3">
      <c r="A86" s="290">
        <f t="shared" si="1"/>
        <v>0</v>
      </c>
      <c r="B86" s="4"/>
      <c r="C86" s="4"/>
      <c r="D86" s="140" t="s">
        <v>2049</v>
      </c>
      <c r="E86" s="67" t="str">
        <f>VLOOKUP(D86,'03. Insumos'!A:D,2,0)</f>
        <v>Traçador</v>
      </c>
      <c r="F86" s="68" t="s">
        <v>2612</v>
      </c>
      <c r="G86" s="68" t="str">
        <f>VLOOKUP(D86,'03. Insumos'!A:F,3,0)</f>
        <v>mês</v>
      </c>
      <c r="H86" s="69">
        <v>1</v>
      </c>
      <c r="I86" s="141">
        <v>2</v>
      </c>
      <c r="J86" s="70">
        <f t="shared" si="14"/>
        <v>105</v>
      </c>
      <c r="K86" s="70">
        <f>IF(A86=0,VLOOKUP(D86,'03. Insumos'!A:F,4,0),"")</f>
        <v>105</v>
      </c>
      <c r="L86" s="70">
        <f>H86*J86*I86</f>
        <v>210</v>
      </c>
      <c r="M86" s="153">
        <f t="shared" ca="1" si="0"/>
        <v>7.9148928579534712E-6</v>
      </c>
      <c r="O86" s="148"/>
      <c r="R86" s="12"/>
    </row>
    <row r="87" spans="1:18" ht="13.5" hidden="1" customHeight="1" x14ac:dyDescent="0.3">
      <c r="A87" s="290">
        <f t="shared" si="1"/>
        <v>0</v>
      </c>
      <c r="B87" s="4"/>
      <c r="C87" s="4"/>
      <c r="D87" s="140" t="s">
        <v>153</v>
      </c>
      <c r="E87" s="67" t="str">
        <f>VLOOKUP(D87,'03. Insumos'!A:D,2,0)</f>
        <v>Velox Locação</v>
      </c>
      <c r="F87" s="68" t="s">
        <v>2612</v>
      </c>
      <c r="G87" s="68" t="str">
        <f>VLOOKUP(D87,'03. Insumos'!A:F,3,0)</f>
        <v>mês</v>
      </c>
      <c r="H87" s="69">
        <v>1</v>
      </c>
      <c r="I87" s="141"/>
      <c r="J87" s="70">
        <f t="shared" si="14"/>
        <v>290</v>
      </c>
      <c r="K87" s="70">
        <f>IF(A87=0,VLOOKUP(D87,'03. Insumos'!A:F,4,0),"")</f>
        <v>290</v>
      </c>
      <c r="L87" s="70">
        <f>H87*J87*I87</f>
        <v>0</v>
      </c>
      <c r="M87" s="153">
        <f t="shared" ca="1" si="0"/>
        <v>0</v>
      </c>
      <c r="O87" s="148"/>
      <c r="R87" s="12"/>
    </row>
    <row r="88" spans="1:18" ht="13.5" hidden="1" customHeight="1" x14ac:dyDescent="0.3">
      <c r="A88" s="290">
        <f t="shared" si="1"/>
        <v>0</v>
      </c>
      <c r="B88" s="4"/>
      <c r="C88" s="4"/>
      <c r="D88" s="140" t="s">
        <v>2044</v>
      </c>
      <c r="E88" s="67" t="str">
        <f>VLOOKUP(D88,'03. Insumos'!A:D,2,0)</f>
        <v>Bomba submersa</v>
      </c>
      <c r="F88" s="68"/>
      <c r="G88" s="68" t="str">
        <f>VLOOKUP(D88,'03. Insumos'!A:F,3,0)</f>
        <v>mês</v>
      </c>
      <c r="H88" s="69">
        <v>1</v>
      </c>
      <c r="I88" s="141"/>
      <c r="J88" s="70">
        <f t="shared" si="14"/>
        <v>230</v>
      </c>
      <c r="K88" s="70">
        <f>IF(A88=0,VLOOKUP(D88,'03. Insumos'!A:F,4,0),"")</f>
        <v>230</v>
      </c>
      <c r="L88" s="70">
        <f>H88*J88*I88</f>
        <v>0</v>
      </c>
      <c r="M88" s="153">
        <f t="shared" ca="1" si="0"/>
        <v>0</v>
      </c>
      <c r="O88" s="148"/>
      <c r="R88" s="12"/>
    </row>
    <row r="89" spans="1:18" ht="13.5" hidden="1" customHeight="1" x14ac:dyDescent="0.3">
      <c r="A89" s="290">
        <f t="shared" si="1"/>
        <v>0</v>
      </c>
      <c r="B89" s="4"/>
      <c r="C89" s="4"/>
      <c r="D89" s="140" t="s">
        <v>2047</v>
      </c>
      <c r="E89" s="67" t="str">
        <f>VLOOKUP(D89,'03. Insumos'!A:D,2,0)</f>
        <v>Mangote para bomba 20 m</v>
      </c>
      <c r="F89" s="68"/>
      <c r="G89" s="68" t="str">
        <f>VLOOKUP(D89,'03. Insumos'!A:F,3,0)</f>
        <v>mês</v>
      </c>
      <c r="H89" s="69">
        <v>1</v>
      </c>
      <c r="I89" s="141"/>
      <c r="J89" s="70">
        <f t="shared" si="14"/>
        <v>96</v>
      </c>
      <c r="K89" s="70">
        <f>IF(A89=0,VLOOKUP(D89,'03. Insumos'!A:F,4,0),"")</f>
        <v>96</v>
      </c>
      <c r="L89" s="70">
        <f>H89*J89*I89</f>
        <v>0</v>
      </c>
      <c r="M89" s="153">
        <f t="shared" ca="1" si="0"/>
        <v>0</v>
      </c>
      <c r="O89" s="148"/>
      <c r="R89" s="12"/>
    </row>
    <row r="90" spans="1:18" ht="13.5" hidden="1" customHeight="1" x14ac:dyDescent="0.3">
      <c r="A90" s="290">
        <f t="shared" si="1"/>
        <v>0</v>
      </c>
      <c r="B90" s="4"/>
      <c r="C90" s="4"/>
      <c r="D90" s="140" t="s">
        <v>1988</v>
      </c>
      <c r="E90" s="67" t="str">
        <f>VLOOKUP(D90,'03. Insumos'!A:D,2,0)</f>
        <v>Martelete 10 Kg</v>
      </c>
      <c r="F90" s="68"/>
      <c r="G90" s="68" t="str">
        <f>VLOOKUP(D90,'03. Insumos'!A:F,3,0)</f>
        <v>mês</v>
      </c>
      <c r="H90" s="69">
        <v>1</v>
      </c>
      <c r="I90" s="141"/>
      <c r="J90" s="70">
        <f t="shared" si="14"/>
        <v>490</v>
      </c>
      <c r="K90" s="70">
        <f>IF(A90=0,VLOOKUP(D90,'03. Insumos'!A:F,4,0),"")</f>
        <v>490</v>
      </c>
      <c r="L90" s="70">
        <f t="shared" si="15"/>
        <v>0</v>
      </c>
      <c r="M90" s="153">
        <f t="shared" ca="1" si="0"/>
        <v>0</v>
      </c>
      <c r="O90" s="148"/>
      <c r="R90" s="12"/>
    </row>
    <row r="91" spans="1:18" ht="13.5" hidden="1" customHeight="1" x14ac:dyDescent="0.3">
      <c r="A91" s="290">
        <f t="shared" si="1"/>
        <v>0</v>
      </c>
      <c r="B91" s="4"/>
      <c r="C91" s="4"/>
      <c r="D91" s="140" t="s">
        <v>411</v>
      </c>
      <c r="E91" s="67" t="str">
        <f>VLOOKUP(D91,'03. Insumos'!A:D,2,0)</f>
        <v>Martelete de 2,5 Kg</v>
      </c>
      <c r="F91" s="68" t="s">
        <v>2612</v>
      </c>
      <c r="G91" s="68" t="str">
        <f>VLOOKUP(D91,'03. Insumos'!A:F,3,0)</f>
        <v>mês</v>
      </c>
      <c r="H91" s="69">
        <v>2</v>
      </c>
      <c r="I91" s="141"/>
      <c r="J91" s="70">
        <f t="shared" si="14"/>
        <v>185</v>
      </c>
      <c r="K91" s="70">
        <f>IF(A91=0,VLOOKUP(D91,'03. Insumos'!A:F,4,0),"")</f>
        <v>185</v>
      </c>
      <c r="L91" s="70">
        <f>H91*J91*I91</f>
        <v>0</v>
      </c>
      <c r="M91" s="153">
        <f t="shared" ca="1" si="0"/>
        <v>0</v>
      </c>
      <c r="O91" s="148"/>
      <c r="R91" s="12"/>
    </row>
    <row r="92" spans="1:18" ht="13.5" hidden="1" customHeight="1" x14ac:dyDescent="0.3">
      <c r="A92" s="290">
        <f t="shared" si="1"/>
        <v>0</v>
      </c>
      <c r="B92" s="4"/>
      <c r="C92" s="4"/>
      <c r="D92" s="140" t="s">
        <v>727</v>
      </c>
      <c r="E92" s="67" t="str">
        <f>VLOOKUP(D92,'03. Insumos'!A:D,2,0)</f>
        <v>MARTELETE (SDS PLUS) 220VOLTS BIF</v>
      </c>
      <c r="F92" s="68" t="s">
        <v>2612</v>
      </c>
      <c r="G92" s="68" t="str">
        <f>VLOOKUP(D92,'03. Insumos'!A:F,3,0)</f>
        <v>mês</v>
      </c>
      <c r="H92" s="69">
        <v>1</v>
      </c>
      <c r="I92" s="141"/>
      <c r="J92" s="70">
        <f t="shared" si="14"/>
        <v>125</v>
      </c>
      <c r="K92" s="70">
        <f>IF(A92=0,VLOOKUP(D92,'03. Insumos'!A:F,4,0),"")</f>
        <v>125</v>
      </c>
      <c r="L92" s="70">
        <f>H92*J92*I92</f>
        <v>0</v>
      </c>
      <c r="M92" s="153">
        <f t="shared" ca="1" si="0"/>
        <v>0</v>
      </c>
      <c r="O92" s="148"/>
      <c r="R92" s="12"/>
    </row>
    <row r="93" spans="1:18" ht="13.5" hidden="1" customHeight="1" x14ac:dyDescent="0.3">
      <c r="A93" s="290">
        <f t="shared" si="1"/>
        <v>0</v>
      </c>
      <c r="B93" s="4"/>
      <c r="C93" s="4"/>
      <c r="D93" s="140" t="s">
        <v>1990</v>
      </c>
      <c r="E93" s="67" t="str">
        <f>VLOOKUP(D93,'03. Insumos'!A:D,2,0)</f>
        <v>Compressor 185 PCM para 2 marteletes</v>
      </c>
      <c r="F93" s="68"/>
      <c r="G93" s="68" t="str">
        <f>VLOOKUP(D93,'03. Insumos'!A:F,3,0)</f>
        <v>mês</v>
      </c>
      <c r="H93" s="69">
        <v>1</v>
      </c>
      <c r="I93" s="141"/>
      <c r="J93" s="70">
        <f t="shared" si="14"/>
        <v>2100</v>
      </c>
      <c r="K93" s="70">
        <f>IF(A93=0,VLOOKUP(D93,'03. Insumos'!A:F,4,0),"")</f>
        <v>2100</v>
      </c>
      <c r="L93" s="70">
        <f t="shared" si="15"/>
        <v>0</v>
      </c>
      <c r="M93" s="153">
        <f t="shared" ca="1" si="0"/>
        <v>0</v>
      </c>
      <c r="O93" s="148"/>
      <c r="R93" s="12"/>
    </row>
    <row r="94" spans="1:18" ht="13.5" hidden="1" customHeight="1" x14ac:dyDescent="0.3">
      <c r="A94" s="290">
        <f t="shared" si="1"/>
        <v>0</v>
      </c>
      <c r="B94" s="4"/>
      <c r="C94" s="4"/>
      <c r="D94" s="140" t="s">
        <v>1991</v>
      </c>
      <c r="E94" s="67" t="str">
        <f>VLOOKUP(D94,'03. Insumos'!A:D,2,0)</f>
        <v>Lance de mangueira c/ 20 m</v>
      </c>
      <c r="F94" s="68"/>
      <c r="G94" s="68" t="str">
        <f>VLOOKUP(D94,'03. Insumos'!A:F,3,0)</f>
        <v>mês</v>
      </c>
      <c r="H94" s="69">
        <v>1</v>
      </c>
      <c r="I94" s="141"/>
      <c r="J94" s="70">
        <f t="shared" si="14"/>
        <v>98</v>
      </c>
      <c r="K94" s="70">
        <f>IF(A94=0,VLOOKUP(D94,'03. Insumos'!A:F,4,0),"")</f>
        <v>98</v>
      </c>
      <c r="L94" s="70">
        <f t="shared" si="15"/>
        <v>0</v>
      </c>
      <c r="M94" s="153">
        <f t="shared" ca="1" si="0"/>
        <v>0</v>
      </c>
      <c r="O94" s="148"/>
      <c r="R94" s="12"/>
    </row>
    <row r="95" spans="1:18" ht="13.5" hidden="1" customHeight="1" x14ac:dyDescent="0.3">
      <c r="A95" s="290">
        <f t="shared" si="1"/>
        <v>0</v>
      </c>
      <c r="B95" s="4"/>
      <c r="C95" s="4"/>
      <c r="D95" s="140" t="s">
        <v>1992</v>
      </c>
      <c r="E95" s="67" t="str">
        <f>VLOOKUP(D95,'03. Insumos'!A:D,2,0)</f>
        <v>Mini escavadeira</v>
      </c>
      <c r="F95" s="68"/>
      <c r="G95" s="68" t="str">
        <f>VLOOKUP(D95,'03. Insumos'!A:F,3,0)</f>
        <v>mês</v>
      </c>
      <c r="H95" s="69">
        <v>1</v>
      </c>
      <c r="I95" s="141"/>
      <c r="J95" s="70">
        <f t="shared" si="14"/>
        <v>24000</v>
      </c>
      <c r="K95" s="70">
        <f>IF(A95=0,VLOOKUP(D95,'03. Insumos'!A:F,4,0),"")</f>
        <v>24000</v>
      </c>
      <c r="L95" s="70">
        <f t="shared" si="15"/>
        <v>0</v>
      </c>
      <c r="M95" s="153">
        <f t="shared" ca="1" si="0"/>
        <v>0</v>
      </c>
      <c r="O95" s="148"/>
      <c r="R95" s="12"/>
    </row>
    <row r="96" spans="1:18" ht="13.5" hidden="1" customHeight="1" x14ac:dyDescent="0.3">
      <c r="A96" s="290">
        <f t="shared" si="1"/>
        <v>0</v>
      </c>
      <c r="B96" s="4"/>
      <c r="C96" s="4"/>
      <c r="D96" s="140" t="s">
        <v>2043</v>
      </c>
      <c r="E96" s="67" t="str">
        <f>VLOOKUP(D96,'03. Insumos'!A:D,2,0)</f>
        <v>Retroescavadeira com operador</v>
      </c>
      <c r="F96" s="68"/>
      <c r="G96" s="68" t="str">
        <f>VLOOKUP(D96,'03. Insumos'!A:F,3,0)</f>
        <v>mês</v>
      </c>
      <c r="H96" s="69">
        <v>1</v>
      </c>
      <c r="I96" s="141"/>
      <c r="J96" s="70">
        <f t="shared" si="14"/>
        <v>16000</v>
      </c>
      <c r="K96" s="70">
        <f>IF(A96=0,VLOOKUP(D96,'03. Insumos'!A:F,4,0),"")</f>
        <v>16000</v>
      </c>
      <c r="L96" s="70">
        <f>H96*J96*I96</f>
        <v>0</v>
      </c>
      <c r="M96" s="153">
        <f t="shared" ca="1" si="0"/>
        <v>0</v>
      </c>
      <c r="O96" s="148"/>
      <c r="R96" s="12"/>
    </row>
    <row r="97" spans="1:18" ht="13.5" hidden="1" customHeight="1" x14ac:dyDescent="0.3">
      <c r="A97" s="290">
        <f t="shared" si="1"/>
        <v>0</v>
      </c>
      <c r="B97" s="4"/>
      <c r="C97" s="4"/>
      <c r="D97" s="140" t="s">
        <v>1970</v>
      </c>
      <c r="E97" s="67" t="str">
        <f>VLOOKUP(D97,'03. Insumos'!A:D,2,0)</f>
        <v>Plataforma elevatória de 7 m (tesourinha)</v>
      </c>
      <c r="F97" s="68"/>
      <c r="G97" s="68" t="str">
        <f>VLOOKUP(D97,'03. Insumos'!A:F,3,0)</f>
        <v>mês</v>
      </c>
      <c r="H97" s="69">
        <v>1</v>
      </c>
      <c r="I97" s="141"/>
      <c r="J97" s="70">
        <f t="shared" si="14"/>
        <v>1600</v>
      </c>
      <c r="K97" s="70">
        <f>IF(A97=0,VLOOKUP(D97,'03. Insumos'!A:F,4,0),"")</f>
        <v>1600</v>
      </c>
      <c r="L97" s="70">
        <f>H97*J97*I97</f>
        <v>0</v>
      </c>
      <c r="M97" s="153">
        <f t="shared" ca="1" si="0"/>
        <v>0</v>
      </c>
      <c r="O97" s="148"/>
      <c r="R97" s="12"/>
    </row>
    <row r="98" spans="1:18" ht="13.5" hidden="1" customHeight="1" x14ac:dyDescent="0.3">
      <c r="A98" s="290">
        <f t="shared" si="1"/>
        <v>0</v>
      </c>
      <c r="B98" s="4"/>
      <c r="C98" s="4"/>
      <c r="D98" s="140" t="s">
        <v>1993</v>
      </c>
      <c r="E98" s="67" t="str">
        <f>VLOOKUP(D98,'03. Insumos'!A:D,2,0)</f>
        <v>Gerador portátil 8 Kva</v>
      </c>
      <c r="F98" s="68"/>
      <c r="G98" s="68" t="str">
        <f>VLOOKUP(D98,'03. Insumos'!A:F,3,0)</f>
        <v>mês</v>
      </c>
      <c r="H98" s="69">
        <v>1</v>
      </c>
      <c r="I98" s="141"/>
      <c r="J98" s="70">
        <f t="shared" si="14"/>
        <v>600</v>
      </c>
      <c r="K98" s="70">
        <f>IF(A98=0,VLOOKUP(D98,'03. Insumos'!A:F,4,0),"")</f>
        <v>600</v>
      </c>
      <c r="L98" s="70">
        <f t="shared" si="15"/>
        <v>0</v>
      </c>
      <c r="M98" s="153">
        <f t="shared" ca="1" si="0"/>
        <v>0</v>
      </c>
      <c r="O98" s="148"/>
      <c r="R98" s="12"/>
    </row>
    <row r="99" spans="1:18" ht="13.5" hidden="1" customHeight="1" x14ac:dyDescent="0.3">
      <c r="A99" s="290">
        <f t="shared" si="1"/>
        <v>0</v>
      </c>
      <c r="B99" s="4"/>
      <c r="C99" s="4"/>
      <c r="D99" s="140" t="s">
        <v>1994</v>
      </c>
      <c r="E99" s="67" t="str">
        <f>VLOOKUP(D99,'03. Insumos'!A:D,2,0)</f>
        <v>Cortador de piso</v>
      </c>
      <c r="F99" s="68"/>
      <c r="G99" s="68" t="str">
        <f>VLOOKUP(D99,'03. Insumos'!A:F,3,0)</f>
        <v>mês</v>
      </c>
      <c r="H99" s="69">
        <v>1</v>
      </c>
      <c r="I99" s="141"/>
      <c r="J99" s="70">
        <f t="shared" si="14"/>
        <v>350</v>
      </c>
      <c r="K99" s="70">
        <f>IF(A99=0,VLOOKUP(D99,'03. Insumos'!A:F,4,0),"")</f>
        <v>350</v>
      </c>
      <c r="L99" s="70">
        <f t="shared" si="15"/>
        <v>0</v>
      </c>
      <c r="M99" s="153">
        <f t="shared" ca="1" si="0"/>
        <v>0</v>
      </c>
      <c r="O99" s="148"/>
      <c r="R99" s="12"/>
    </row>
    <row r="100" spans="1:18" ht="13.5" hidden="1" customHeight="1" x14ac:dyDescent="0.3">
      <c r="A100" s="290">
        <f t="shared" si="1"/>
        <v>0</v>
      </c>
      <c r="B100" s="4"/>
      <c r="C100" s="4"/>
      <c r="D100" s="140" t="s">
        <v>1995</v>
      </c>
      <c r="E100" s="67" t="str">
        <f>VLOOKUP(D100,'03. Insumos'!A:D,2,0)</f>
        <v>Disco corte</v>
      </c>
      <c r="F100" s="68"/>
      <c r="G100" s="68" t="str">
        <f>VLOOKUP(D100,'03. Insumos'!A:F,3,0)</f>
        <v>unid</v>
      </c>
      <c r="H100" s="69">
        <v>1</v>
      </c>
      <c r="I100" s="141"/>
      <c r="J100" s="70">
        <f t="shared" si="14"/>
        <v>260</v>
      </c>
      <c r="K100" s="70">
        <f>IF(A100=0,VLOOKUP(D100,'03. Insumos'!A:F,4,0),"")</f>
        <v>260</v>
      </c>
      <c r="L100" s="70">
        <f t="shared" si="15"/>
        <v>0</v>
      </c>
      <c r="M100" s="153">
        <f t="shared" ca="1" si="0"/>
        <v>0</v>
      </c>
      <c r="O100" s="148"/>
      <c r="R100" s="12"/>
    </row>
    <row r="101" spans="1:18" ht="13.5" hidden="1" customHeight="1" x14ac:dyDescent="0.3">
      <c r="A101" s="290">
        <f t="shared" si="1"/>
        <v>0</v>
      </c>
      <c r="B101" s="4"/>
      <c r="C101" s="4"/>
      <c r="D101" s="140" t="s">
        <v>2014</v>
      </c>
      <c r="E101" s="67" t="str">
        <f>VLOOKUP(D101,'03. Insumos'!A:D,2,0)</f>
        <v>Compactador de solo</v>
      </c>
      <c r="F101" s="68" t="s">
        <v>2612</v>
      </c>
      <c r="G101" s="68" t="str">
        <f>VLOOKUP(D101,'03. Insumos'!A:F,3,0)</f>
        <v>mês</v>
      </c>
      <c r="H101" s="69">
        <v>1</v>
      </c>
      <c r="I101" s="141"/>
      <c r="J101" s="70">
        <f t="shared" si="14"/>
        <v>495</v>
      </c>
      <c r="K101" s="70">
        <f>IF(A101=0,VLOOKUP(D101,'03. Insumos'!A:F,4,0),"")</f>
        <v>495</v>
      </c>
      <c r="L101" s="70">
        <f t="shared" si="15"/>
        <v>0</v>
      </c>
      <c r="M101" s="153">
        <f t="shared" ca="1" si="0"/>
        <v>0</v>
      </c>
      <c r="O101" s="148"/>
      <c r="R101" s="12"/>
    </row>
    <row r="102" spans="1:18" ht="13.5" hidden="1" customHeight="1" x14ac:dyDescent="0.3">
      <c r="A102" s="290">
        <f t="shared" si="1"/>
        <v>0</v>
      </c>
      <c r="B102" s="4"/>
      <c r="C102" s="4"/>
      <c r="D102" s="140" t="s">
        <v>2016</v>
      </c>
      <c r="E102" s="67" t="str">
        <f>VLOOKUP(D102,'03. Insumos'!A:D,2,0)</f>
        <v>Giranda com 100 metros</v>
      </c>
      <c r="F102" s="68"/>
      <c r="G102" s="68" t="str">
        <f>VLOOKUP(D102,'03. Insumos'!A:F,3,0)</f>
        <v>unid</v>
      </c>
      <c r="H102" s="69">
        <v>1</v>
      </c>
      <c r="I102" s="141"/>
      <c r="J102" s="70">
        <f t="shared" si="14"/>
        <v>1300</v>
      </c>
      <c r="K102" s="70">
        <f>IF(A102=0,VLOOKUP(D102,'03. Insumos'!A:F,4,0),"")</f>
        <v>1300</v>
      </c>
      <c r="L102" s="70">
        <f t="shared" si="15"/>
        <v>0</v>
      </c>
      <c r="M102" s="153">
        <f t="shared" ca="1" si="0"/>
        <v>0</v>
      </c>
      <c r="O102" s="148"/>
      <c r="R102" s="12"/>
    </row>
    <row r="103" spans="1:18" ht="13.5" hidden="1" customHeight="1" x14ac:dyDescent="0.3">
      <c r="A103" s="290">
        <f t="shared" si="1"/>
        <v>0</v>
      </c>
      <c r="B103" s="4"/>
      <c r="C103" s="4"/>
      <c r="D103" s="140" t="s">
        <v>729</v>
      </c>
      <c r="E103" s="67" t="str">
        <f>VLOOKUP(D103,'03. Insumos'!A:D,2,0)</f>
        <v>Lixadeira</v>
      </c>
      <c r="F103" s="68" t="s">
        <v>2612</v>
      </c>
      <c r="G103" s="68" t="str">
        <f>VLOOKUP(D103,'03. Insumos'!A:F,3,0)</f>
        <v>mês</v>
      </c>
      <c r="H103" s="69">
        <v>1</v>
      </c>
      <c r="I103" s="141"/>
      <c r="J103" s="70">
        <f t="shared" si="14"/>
        <v>105</v>
      </c>
      <c r="K103" s="70">
        <f>IF(A103=0,VLOOKUP(D103,'03. Insumos'!A:F,4,0),"")</f>
        <v>105</v>
      </c>
      <c r="L103" s="70">
        <f t="shared" si="15"/>
        <v>0</v>
      </c>
      <c r="M103" s="153">
        <f t="shared" ca="1" si="0"/>
        <v>0</v>
      </c>
      <c r="O103" s="148"/>
      <c r="R103" s="12"/>
    </row>
    <row r="104" spans="1:18" ht="13.5" customHeight="1" x14ac:dyDescent="0.3">
      <c r="A104" s="290">
        <f t="shared" si="1"/>
        <v>0</v>
      </c>
      <c r="B104" s="4"/>
      <c r="C104" s="4"/>
      <c r="D104" s="140" t="s">
        <v>2177</v>
      </c>
      <c r="E104" s="67" t="str">
        <f>VLOOKUP(D104,'03. Insumos'!A:D,2,0)</f>
        <v>Betoneira</v>
      </c>
      <c r="F104" s="68" t="s">
        <v>2612</v>
      </c>
      <c r="G104" s="68" t="str">
        <f>VLOOKUP(D104,'03. Insumos'!A:F,3,0)</f>
        <v>mês</v>
      </c>
      <c r="H104" s="69">
        <v>1</v>
      </c>
      <c r="I104" s="141">
        <v>2</v>
      </c>
      <c r="J104" s="70">
        <f t="shared" si="14"/>
        <v>500</v>
      </c>
      <c r="K104" s="70">
        <f>IF(A104=0,VLOOKUP(D104,'03. Insumos'!A:F,4,0),"")</f>
        <v>500</v>
      </c>
      <c r="L104" s="70">
        <f>H104*J104*I104</f>
        <v>1000</v>
      </c>
      <c r="M104" s="153">
        <f t="shared" ca="1" si="0"/>
        <v>3.7689965990254629E-5</v>
      </c>
      <c r="O104" s="148"/>
      <c r="R104" s="12"/>
    </row>
    <row r="105" spans="1:18" ht="13.5" customHeight="1" x14ac:dyDescent="0.3">
      <c r="A105" s="290">
        <f t="shared" si="1"/>
        <v>0</v>
      </c>
      <c r="B105" s="4"/>
      <c r="C105" s="4"/>
      <c r="D105" s="140" t="s">
        <v>730</v>
      </c>
      <c r="E105" s="67" t="str">
        <f>VLOOKUP(D105,'03. Insumos'!A:D,2,0)</f>
        <v>Furadeira</v>
      </c>
      <c r="F105" s="68" t="s">
        <v>2612</v>
      </c>
      <c r="G105" s="68" t="str">
        <f>VLOOKUP(D105,'03. Insumos'!A:F,3,0)</f>
        <v>mês</v>
      </c>
      <c r="H105" s="69">
        <v>1</v>
      </c>
      <c r="I105" s="193">
        <f>L2</f>
        <v>6</v>
      </c>
      <c r="J105" s="70">
        <f t="shared" si="14"/>
        <v>125</v>
      </c>
      <c r="K105" s="70">
        <f>IF(A105=0,VLOOKUP(D105,'03. Insumos'!A:F,4,0),"")</f>
        <v>125</v>
      </c>
      <c r="L105" s="70">
        <f t="shared" si="15"/>
        <v>750</v>
      </c>
      <c r="M105" s="153">
        <f t="shared" ca="1" si="0"/>
        <v>2.826747449269097E-5</v>
      </c>
      <c r="O105" s="148"/>
      <c r="R105" s="12"/>
    </row>
    <row r="106" spans="1:18" ht="13.5" customHeight="1" x14ac:dyDescent="0.3">
      <c r="A106" s="290">
        <f t="shared" si="1"/>
        <v>0</v>
      </c>
      <c r="B106" s="4"/>
      <c r="C106" s="4"/>
      <c r="D106" s="140" t="s">
        <v>2025</v>
      </c>
      <c r="E106" s="67" t="str">
        <f>VLOOKUP(D106,'03. Insumos'!A:D,2,0)</f>
        <v>Vibrador de concreto de 35 mm com motor</v>
      </c>
      <c r="F106" s="68" t="s">
        <v>2612</v>
      </c>
      <c r="G106" s="68" t="str">
        <f>VLOOKUP(D106,'03. Insumos'!A:F,3,0)</f>
        <v>mês</v>
      </c>
      <c r="H106" s="69">
        <v>1</v>
      </c>
      <c r="I106" s="141">
        <v>1</v>
      </c>
      <c r="J106" s="70">
        <f t="shared" si="14"/>
        <v>160</v>
      </c>
      <c r="K106" s="70">
        <f>IF(A106=0,VLOOKUP(D106,'03. Insumos'!A:F,4,0),"")</f>
        <v>160</v>
      </c>
      <c r="L106" s="70">
        <f>H106*J106*I106</f>
        <v>160</v>
      </c>
      <c r="M106" s="153">
        <f t="shared" ca="1" si="0"/>
        <v>6.0303945584407407E-6</v>
      </c>
      <c r="O106" s="148"/>
      <c r="R106" s="12"/>
    </row>
    <row r="107" spans="1:18" ht="13.5" hidden="1" customHeight="1" x14ac:dyDescent="0.3">
      <c r="A107" s="290">
        <f t="shared" si="1"/>
        <v>0</v>
      </c>
      <c r="B107" s="4"/>
      <c r="C107" s="4"/>
      <c r="D107" s="140" t="s">
        <v>2027</v>
      </c>
      <c r="E107" s="67" t="str">
        <f>VLOOKUP(D107,'03. Insumos'!A:D,2,0)</f>
        <v>Hidrojato</v>
      </c>
      <c r="F107" s="68"/>
      <c r="G107" s="68" t="str">
        <f>VLOOKUP(D107,'03. Insumos'!A:F,3,0)</f>
        <v>mês</v>
      </c>
      <c r="H107" s="69">
        <v>1</v>
      </c>
      <c r="I107" s="141"/>
      <c r="J107" s="70">
        <f t="shared" si="14"/>
        <v>400</v>
      </c>
      <c r="K107" s="70">
        <f>IF(A107=0,VLOOKUP(D107,'03. Insumos'!A:F,4,0),"")</f>
        <v>400</v>
      </c>
      <c r="L107" s="70">
        <f>H107*J107*I107</f>
        <v>0</v>
      </c>
      <c r="M107" s="153">
        <f t="shared" ca="1" si="0"/>
        <v>0</v>
      </c>
      <c r="O107" s="148"/>
      <c r="R107" s="12"/>
    </row>
    <row r="108" spans="1:18" ht="13.5" hidden="1" customHeight="1" x14ac:dyDescent="0.3">
      <c r="A108" s="290">
        <f t="shared" si="1"/>
        <v>0</v>
      </c>
      <c r="B108" s="4"/>
      <c r="C108" s="4"/>
      <c r="D108" s="140" t="s">
        <v>2033</v>
      </c>
      <c r="E108" s="67" t="str">
        <f>VLOOKUP(D108,'03. Insumos'!A:D,2,0)</f>
        <v>Caminhão Munck  (com peça para transporte )</v>
      </c>
      <c r="F108" s="68"/>
      <c r="G108" s="68" t="str">
        <f>VLOOKUP(D108,'03. Insumos'!A:F,3,0)</f>
        <v>Diária</v>
      </c>
      <c r="H108" s="69">
        <v>1</v>
      </c>
      <c r="I108" s="141"/>
      <c r="J108" s="70">
        <f t="shared" si="14"/>
        <v>1000</v>
      </c>
      <c r="K108" s="70">
        <f>IF(A108=0,VLOOKUP(D108,'03. Insumos'!A:F,4,0),"")</f>
        <v>1000</v>
      </c>
      <c r="L108" s="70">
        <f>H108*J108*I108</f>
        <v>0</v>
      </c>
      <c r="M108" s="153">
        <f t="shared" ca="1" si="0"/>
        <v>0</v>
      </c>
      <c r="O108" s="148"/>
      <c r="R108" s="12"/>
    </row>
    <row r="109" spans="1:18" ht="13.5" customHeight="1" x14ac:dyDescent="0.3">
      <c r="A109" s="290">
        <f t="shared" si="1"/>
        <v>0</v>
      </c>
      <c r="B109" s="4"/>
      <c r="C109" s="4"/>
      <c r="D109" s="140" t="s">
        <v>2009</v>
      </c>
      <c r="E109" s="67" t="str">
        <f>VLOOKUP(D109,'03. Insumos'!A:D,2,0)</f>
        <v xml:space="preserve">Frete equipamentos </v>
      </c>
      <c r="F109" s="68" t="s">
        <v>2612</v>
      </c>
      <c r="G109" s="68" t="str">
        <f>VLOOKUP(D109,'03. Insumos'!A:F,3,0)</f>
        <v>vb</v>
      </c>
      <c r="H109" s="69">
        <v>1</v>
      </c>
      <c r="I109" s="141">
        <v>2</v>
      </c>
      <c r="J109" s="70">
        <f t="shared" si="14"/>
        <v>1</v>
      </c>
      <c r="K109" s="70">
        <f>IF(A109=0,VLOOKUP(D109,'03. Insumos'!A:F,4,0),"")</f>
        <v>1</v>
      </c>
      <c r="L109" s="70">
        <f t="shared" si="15"/>
        <v>2</v>
      </c>
      <c r="M109" s="153">
        <f t="shared" ca="1" si="0"/>
        <v>7.5379931980509251E-8</v>
      </c>
      <c r="O109" s="148"/>
      <c r="R109" s="12"/>
    </row>
    <row r="110" spans="1:18" ht="13.5" customHeight="1" x14ac:dyDescent="0.3">
      <c r="A110" s="290">
        <f t="shared" si="1"/>
        <v>0</v>
      </c>
      <c r="B110" s="4"/>
      <c r="C110" s="4"/>
      <c r="D110" s="140" t="s">
        <v>2266</v>
      </c>
      <c r="E110" s="67" t="str">
        <f>VLOOKUP(D110,'03. Insumos'!A:D,2,0)</f>
        <v>Locação de escoras metálicas para até 750 Kg</v>
      </c>
      <c r="F110" s="68" t="s">
        <v>2612</v>
      </c>
      <c r="G110" s="68" t="str">
        <f>VLOOKUP(D110,'03. Insumos'!A:F,3,0)</f>
        <v>Unid/mês</v>
      </c>
      <c r="H110" s="69">
        <v>1</v>
      </c>
      <c r="I110" s="141">
        <v>10</v>
      </c>
      <c r="J110" s="70">
        <f t="shared" si="14"/>
        <v>13</v>
      </c>
      <c r="K110" s="70">
        <f>IF(A110=0,VLOOKUP(D110,'03. Insumos'!A:F,4,0),"")</f>
        <v>13</v>
      </c>
      <c r="L110" s="70">
        <f t="shared" si="15"/>
        <v>130</v>
      </c>
      <c r="M110" s="153">
        <f t="shared" ca="1" si="0"/>
        <v>4.8996955787331016E-6</v>
      </c>
      <c r="O110" s="148"/>
      <c r="R110" s="12"/>
    </row>
    <row r="111" spans="1:18" ht="13.5" hidden="1" customHeight="1" x14ac:dyDescent="0.3">
      <c r="A111" s="290">
        <f t="shared" si="1"/>
        <v>6</v>
      </c>
      <c r="B111" s="4"/>
      <c r="C111" s="4" t="s">
        <v>1329</v>
      </c>
      <c r="D111" s="4" t="s">
        <v>2003</v>
      </c>
      <c r="E111" s="67"/>
      <c r="F111" s="68"/>
      <c r="G111" s="56"/>
      <c r="H111" s="57"/>
      <c r="I111" s="29"/>
      <c r="J111" s="58"/>
      <c r="K111" s="54" t="str">
        <f>IF(A111=0,VLOOKUP(D111,'03. Insumos'!A:F,4,0),"")</f>
        <v/>
      </c>
      <c r="L111" s="58">
        <f>SUM(L112:L112)</f>
        <v>0</v>
      </c>
      <c r="M111" s="153">
        <f t="shared" ca="1" si="0"/>
        <v>0</v>
      </c>
      <c r="O111" s="148">
        <f t="shared" ref="O111:O146" si="16">IF(I111&lt;&gt;0,I111*H111*K111,)</f>
        <v>0</v>
      </c>
      <c r="R111" s="12">
        <f>IF(J111&lt;&gt;0,J111/1.03-K111,0)</f>
        <v>0</v>
      </c>
    </row>
    <row r="112" spans="1:18" s="51" customFormat="1" ht="13.5" hidden="1" customHeight="1" x14ac:dyDescent="0.3">
      <c r="A112" s="290">
        <f t="shared" si="1"/>
        <v>0</v>
      </c>
      <c r="B112" s="49"/>
      <c r="C112" s="49"/>
      <c r="D112" s="140" t="s">
        <v>1996</v>
      </c>
      <c r="E112" s="67" t="str">
        <f>VLOOKUP(D112,'03. Insumos'!A:D,2,0)</f>
        <v>Veículo (Kombi, Bongo,etc)</v>
      </c>
      <c r="F112" s="68"/>
      <c r="G112" s="68" t="str">
        <f>VLOOKUP(D112,'03. Insumos'!A:F,3,0)</f>
        <v>mês</v>
      </c>
      <c r="H112" s="69">
        <v>1</v>
      </c>
      <c r="I112" s="141"/>
      <c r="J112" s="70">
        <f>IFERROR(IF(K112&lt;&gt;0,K112*$K$5,0),0)</f>
        <v>8300</v>
      </c>
      <c r="K112" s="54">
        <f>IF(A112=0,VLOOKUP(D112,'03. Insumos'!A:F,4,0),"")</f>
        <v>8300</v>
      </c>
      <c r="L112" s="338">
        <f>H112*J112*I112</f>
        <v>0</v>
      </c>
      <c r="M112" s="153">
        <f t="shared" ca="1" si="0"/>
        <v>0</v>
      </c>
      <c r="O112" s="148">
        <f t="shared" si="16"/>
        <v>0</v>
      </c>
      <c r="R112" s="12">
        <f>IF(J112&lt;&gt;0,J112/1.03-K112,0)</f>
        <v>-241.74757281553411</v>
      </c>
    </row>
    <row r="113" spans="1:18" s="18" customFormat="1" ht="13.5" customHeight="1" x14ac:dyDescent="0.3">
      <c r="A113" s="290">
        <f t="shared" si="1"/>
        <v>4</v>
      </c>
      <c r="B113" s="45"/>
      <c r="C113" s="45" t="s">
        <v>383</v>
      </c>
      <c r="D113" s="45" t="s">
        <v>48</v>
      </c>
      <c r="E113" s="347"/>
      <c r="F113" s="327"/>
      <c r="G113" s="329"/>
      <c r="H113" s="330"/>
      <c r="I113" s="47"/>
      <c r="J113" s="336"/>
      <c r="K113" s="48" t="str">
        <f>IF(A113=0,VLOOKUP(D113,'03. Insumos'!A:F,4,0),"")</f>
        <v/>
      </c>
      <c r="L113" s="335">
        <f>SUMIF(A114:A122,6,L114:L122)</f>
        <v>5402.58</v>
      </c>
      <c r="M113" s="153">
        <f t="shared" ca="1" si="0"/>
        <v>2.0362305645962983E-4</v>
      </c>
      <c r="O113" s="148">
        <f t="shared" si="16"/>
        <v>0</v>
      </c>
      <c r="R113" s="12">
        <f>IF(J113&lt;&gt;0,J113/1.03-K113,0)</f>
        <v>0</v>
      </c>
    </row>
    <row r="114" spans="1:18" ht="13.5" customHeight="1" x14ac:dyDescent="0.3">
      <c r="A114" s="290">
        <f t="shared" si="1"/>
        <v>6</v>
      </c>
      <c r="B114" s="4"/>
      <c r="C114" s="4" t="s">
        <v>920</v>
      </c>
      <c r="D114" s="4" t="s">
        <v>49</v>
      </c>
      <c r="E114" s="55"/>
      <c r="F114" s="56"/>
      <c r="G114" s="56"/>
      <c r="H114" s="57"/>
      <c r="I114" s="29"/>
      <c r="J114" s="58"/>
      <c r="K114" s="27" t="str">
        <f>IF(A114=0,VLOOKUP(D114,'03. Insumos'!A:F,4,0),"")</f>
        <v/>
      </c>
      <c r="L114" s="58">
        <f>SUM(L115:L115)</f>
        <v>4200</v>
      </c>
      <c r="M114" s="153">
        <f t="shared" ca="1" si="0"/>
        <v>1.5829785715906942E-4</v>
      </c>
      <c r="O114" s="148">
        <f t="shared" si="16"/>
        <v>0</v>
      </c>
      <c r="R114" s="12">
        <f>IF(J114&lt;&gt;0,J114/1.03-K114,0)</f>
        <v>0</v>
      </c>
    </row>
    <row r="115" spans="1:18" s="51" customFormat="1" ht="13.5" customHeight="1" x14ac:dyDescent="0.3">
      <c r="A115" s="290">
        <f t="shared" si="1"/>
        <v>0</v>
      </c>
      <c r="B115" s="49"/>
      <c r="C115" s="49"/>
      <c r="D115" s="140" t="s">
        <v>164</v>
      </c>
      <c r="E115" s="67" t="str">
        <f>VLOOKUP(D115,'03. Insumos'!A:D,2,0)</f>
        <v>Diversos materiais de canteiro</v>
      </c>
      <c r="F115" s="68" t="s">
        <v>2612</v>
      </c>
      <c r="G115" s="68" t="str">
        <f>VLOOKUP(D115,'03. Insumos'!A:F,3,0)</f>
        <v>uni</v>
      </c>
      <c r="H115" s="69">
        <v>1</v>
      </c>
      <c r="I115" s="193">
        <f>L2</f>
        <v>6</v>
      </c>
      <c r="J115" s="70">
        <f>IFERROR(IF(K115&lt;&gt;0,K115*$K$5,0),0)</f>
        <v>700</v>
      </c>
      <c r="K115" s="70">
        <v>700</v>
      </c>
      <c r="L115" s="70">
        <f>H115*J115*I115</f>
        <v>4200</v>
      </c>
      <c r="M115" s="153">
        <f t="shared" ca="1" si="0"/>
        <v>1.5829785715906942E-4</v>
      </c>
      <c r="O115" s="148">
        <f t="shared" si="16"/>
        <v>4200</v>
      </c>
      <c r="R115" s="12">
        <f>IF(J115&lt;&gt;0,J115/1.03-K115,0)</f>
        <v>-20.388349514563174</v>
      </c>
    </row>
    <row r="116" spans="1:18" s="51" customFormat="1" ht="13.5" customHeight="1" x14ac:dyDescent="0.3">
      <c r="A116" s="290">
        <f t="shared" si="1"/>
        <v>6</v>
      </c>
      <c r="B116" s="49"/>
      <c r="C116" s="4" t="s">
        <v>1890</v>
      </c>
      <c r="D116" s="4" t="s">
        <v>1962</v>
      </c>
      <c r="E116" s="67"/>
      <c r="F116" s="68"/>
      <c r="G116" s="68"/>
      <c r="H116" s="69"/>
      <c r="I116" s="282"/>
      <c r="J116" s="70"/>
      <c r="K116" s="70"/>
      <c r="L116" s="58">
        <f>SUM(L117:L120)</f>
        <v>1202.5800000000002</v>
      </c>
      <c r="M116" s="153">
        <f t="shared" ca="1" si="0"/>
        <v>4.5325199300560414E-5</v>
      </c>
      <c r="O116" s="148"/>
      <c r="R116" s="12"/>
    </row>
    <row r="117" spans="1:18" s="51" customFormat="1" ht="13.5" customHeight="1" x14ac:dyDescent="0.3">
      <c r="A117" s="290">
        <f t="shared" si="1"/>
        <v>0</v>
      </c>
      <c r="B117" s="49"/>
      <c r="C117" s="4"/>
      <c r="D117" s="140" t="s">
        <v>1893</v>
      </c>
      <c r="E117" s="67" t="str">
        <f>VLOOKUP(D117,'03. Insumos'!A:D,2,0)</f>
        <v>Plástico bolha</v>
      </c>
      <c r="F117" s="68" t="s">
        <v>2612</v>
      </c>
      <c r="G117" s="68" t="str">
        <f>VLOOKUP(D117,'03. Insumos'!A:F,3,0)</f>
        <v>rolo</v>
      </c>
      <c r="H117" s="69">
        <v>1</v>
      </c>
      <c r="I117" s="282">
        <v>6</v>
      </c>
      <c r="J117" s="70">
        <f>IFERROR(IF(K117&lt;&gt;0,K117*$K$5,0),0)</f>
        <v>75.930000000000007</v>
      </c>
      <c r="K117" s="70">
        <f>IF(A117=0,VLOOKUP(D117,'03. Insumos'!A:F,4,0),"")</f>
        <v>75.930000000000007</v>
      </c>
      <c r="L117" s="70">
        <f>H117*J117*I117</f>
        <v>455.58000000000004</v>
      </c>
      <c r="M117" s="153">
        <f t="shared" ca="1" si="0"/>
        <v>1.7170794705840204E-5</v>
      </c>
      <c r="O117" s="148"/>
      <c r="R117" s="12"/>
    </row>
    <row r="118" spans="1:18" s="51" customFormat="1" ht="13.5" hidden="1" customHeight="1" x14ac:dyDescent="0.3">
      <c r="A118" s="290">
        <f t="shared" si="1"/>
        <v>0</v>
      </c>
      <c r="B118" s="49"/>
      <c r="C118" s="49"/>
      <c r="D118" s="140" t="s">
        <v>1894</v>
      </c>
      <c r="E118" s="67" t="str">
        <f>VLOOKUP(D118,'03. Insumos'!A:D,2,0)</f>
        <v>Chapa compensando 10 mm (1,1 x 2,2)</v>
      </c>
      <c r="F118" s="68"/>
      <c r="G118" s="68" t="str">
        <f>VLOOKUP(D118,'03. Insumos'!A:F,3,0)</f>
        <v>unid</v>
      </c>
      <c r="H118" s="69">
        <v>1</v>
      </c>
      <c r="I118" s="282"/>
      <c r="J118" s="70">
        <f>IFERROR(IF(K118&lt;&gt;0,K118*$K$5,0),0)</f>
        <v>35.799999999999997</v>
      </c>
      <c r="K118" s="70">
        <f>IF(A118=0,VLOOKUP(D118,'03. Insumos'!A:F,4,0),"")</f>
        <v>35.799999999999997</v>
      </c>
      <c r="L118" s="70">
        <f>H118*J118*I118</f>
        <v>0</v>
      </c>
      <c r="M118" s="153">
        <f t="shared" ca="1" si="0"/>
        <v>0</v>
      </c>
      <c r="O118" s="148"/>
      <c r="R118" s="12"/>
    </row>
    <row r="119" spans="1:18" s="51" customFormat="1" ht="13.5" hidden="1" customHeight="1" x14ac:dyDescent="0.3">
      <c r="A119" s="290">
        <f t="shared" si="1"/>
        <v>0</v>
      </c>
      <c r="B119" s="49"/>
      <c r="C119" s="49"/>
      <c r="D119" s="140" t="s">
        <v>1965</v>
      </c>
      <c r="E119" s="67" t="str">
        <f>VLOOKUP(D119,'03. Insumos'!A:D,2,0)</f>
        <v>Lycra</v>
      </c>
      <c r="F119" s="68"/>
      <c r="G119" s="68" t="str">
        <f>VLOOKUP(D119,'03. Insumos'!A:F,3,0)</f>
        <v>m²</v>
      </c>
      <c r="H119" s="69">
        <v>1</v>
      </c>
      <c r="I119" s="282"/>
      <c r="J119" s="70">
        <f>IFERROR(IF(K119&lt;&gt;0,K119*$K$5,0),0)</f>
        <v>5.65</v>
      </c>
      <c r="K119" s="70">
        <f>IF(A119=0,VLOOKUP(D119,'03. Insumos'!A:F,4,0),"")</f>
        <v>5.65</v>
      </c>
      <c r="L119" s="70">
        <f>H119*J119*I119</f>
        <v>0</v>
      </c>
      <c r="M119" s="153">
        <f t="shared" ca="1" si="0"/>
        <v>0</v>
      </c>
      <c r="O119" s="148"/>
      <c r="R119" s="12"/>
    </row>
    <row r="120" spans="1:18" s="51" customFormat="1" ht="13.5" customHeight="1" x14ac:dyDescent="0.3">
      <c r="A120" s="290">
        <f t="shared" si="1"/>
        <v>0</v>
      </c>
      <c r="B120" s="49"/>
      <c r="C120" s="49"/>
      <c r="D120" s="140" t="s">
        <v>2050</v>
      </c>
      <c r="E120" s="67" t="str">
        <f>VLOOKUP(D120,'03. Insumos'!A:D,2,0)</f>
        <v xml:space="preserve">Protetor de Piso 25 metros Salva Piso
</v>
      </c>
      <c r="F120" s="68" t="s">
        <v>2612</v>
      </c>
      <c r="G120" s="68" t="str">
        <f>VLOOKUP(D120,'03. Insumos'!A:F,3,0)</f>
        <v>RL</v>
      </c>
      <c r="H120" s="69">
        <v>1</v>
      </c>
      <c r="I120" s="282">
        <v>6</v>
      </c>
      <c r="J120" s="70">
        <f>IFERROR(IF(K120&lt;&gt;0,K120*$K$5,0),0)</f>
        <v>124.50000000000001</v>
      </c>
      <c r="K120" s="70">
        <f>IF(A120=0,VLOOKUP(D120,'03. Insumos'!A:F,4,0),"")</f>
        <v>124.50000000000001</v>
      </c>
      <c r="L120" s="70">
        <f>H120*J120*I120</f>
        <v>747.00000000000011</v>
      </c>
      <c r="M120" s="153">
        <f t="shared" ca="1" si="0"/>
        <v>2.815440459472021E-5</v>
      </c>
      <c r="O120" s="148"/>
      <c r="R120" s="12"/>
    </row>
    <row r="121" spans="1:18" s="51" customFormat="1" ht="13.5" hidden="1" customHeight="1" x14ac:dyDescent="0.3">
      <c r="A121" s="290">
        <f t="shared" si="1"/>
        <v>6</v>
      </c>
      <c r="B121" s="49"/>
      <c r="C121" s="4" t="s">
        <v>1938</v>
      </c>
      <c r="D121" s="4" t="s">
        <v>1939</v>
      </c>
      <c r="E121" s="67"/>
      <c r="F121" s="68"/>
      <c r="G121" s="68"/>
      <c r="H121" s="69"/>
      <c r="I121" s="282"/>
      <c r="J121" s="70"/>
      <c r="K121" s="54"/>
      <c r="L121" s="58">
        <f>L122</f>
        <v>0</v>
      </c>
      <c r="M121" s="153">
        <f t="shared" ca="1" si="0"/>
        <v>0</v>
      </c>
      <c r="O121" s="148"/>
      <c r="R121" s="12"/>
    </row>
    <row r="122" spans="1:18" s="51" customFormat="1" ht="13.5" hidden="1" customHeight="1" x14ac:dyDescent="0.3">
      <c r="A122" s="290">
        <f t="shared" si="1"/>
        <v>0</v>
      </c>
      <c r="B122" s="49"/>
      <c r="C122" s="49"/>
      <c r="D122" s="140" t="s">
        <v>1937</v>
      </c>
      <c r="E122" s="67" t="str">
        <f>VLOOKUP(D122,'03. Insumos'!A:D,2,0)</f>
        <v>Furos no concreto</v>
      </c>
      <c r="F122" s="68"/>
      <c r="G122" s="68" t="str">
        <f>VLOOKUP(D122,'03. Insumos'!A:F,3,0)</f>
        <v>Unid</v>
      </c>
      <c r="H122" s="69">
        <v>1</v>
      </c>
      <c r="I122" s="282"/>
      <c r="J122" s="70">
        <f>IFERROR(IF(K122&lt;&gt;0,K122*$K$5,0),0)</f>
        <v>140</v>
      </c>
      <c r="K122" s="54">
        <f>IF(A122=0,VLOOKUP(D122,'03. Insumos'!A:F,4,0),"")</f>
        <v>140</v>
      </c>
      <c r="L122" s="338">
        <f>H122*J122*I122</f>
        <v>0</v>
      </c>
      <c r="M122" s="153">
        <f t="shared" ca="1" si="0"/>
        <v>0</v>
      </c>
      <c r="O122" s="148"/>
      <c r="R122" s="12"/>
    </row>
    <row r="123" spans="1:18" s="18" customFormat="1" ht="13.5" customHeight="1" x14ac:dyDescent="0.3">
      <c r="A123" s="290">
        <f t="shared" si="1"/>
        <v>4</v>
      </c>
      <c r="B123" s="45"/>
      <c r="C123" s="45" t="s">
        <v>384</v>
      </c>
      <c r="D123" s="45" t="s">
        <v>1294</v>
      </c>
      <c r="E123" s="347"/>
      <c r="F123" s="327"/>
      <c r="G123" s="327"/>
      <c r="H123" s="328"/>
      <c r="I123" s="61"/>
      <c r="J123" s="335"/>
      <c r="K123" s="62" t="str">
        <f>IF(A123=0,VLOOKUP(D123,'03. Insumos'!A:F,4,0),"")</f>
        <v/>
      </c>
      <c r="L123" s="335">
        <f>SUMIF(A124:A137,6,L124:L137)</f>
        <v>893.12</v>
      </c>
      <c r="M123" s="153">
        <f t="shared" ca="1" si="0"/>
        <v>3.3661662425216211E-5</v>
      </c>
      <c r="O123" s="148">
        <f t="shared" si="16"/>
        <v>0</v>
      </c>
      <c r="R123" s="12">
        <f>IF(J123&lt;&gt;0,J123/1.03-K123,0)</f>
        <v>0</v>
      </c>
    </row>
    <row r="124" spans="1:18" ht="13.5" customHeight="1" x14ac:dyDescent="0.3">
      <c r="A124" s="290">
        <f t="shared" si="1"/>
        <v>6</v>
      </c>
      <c r="B124" s="4"/>
      <c r="C124" s="4" t="s">
        <v>921</v>
      </c>
      <c r="D124" s="4" t="s">
        <v>2056</v>
      </c>
      <c r="E124" s="55"/>
      <c r="F124" s="56"/>
      <c r="G124" s="56"/>
      <c r="H124" s="57"/>
      <c r="I124" s="29"/>
      <c r="J124" s="58"/>
      <c r="K124" s="27" t="str">
        <f>IF(A124=0,VLOOKUP(D124,'03. Insumos'!A:F,4,0),"")</f>
        <v/>
      </c>
      <c r="L124" s="58">
        <f>SUM(L125:L137)</f>
        <v>893.12</v>
      </c>
      <c r="M124" s="153">
        <f t="shared" ca="1" si="0"/>
        <v>3.3661662425216211E-5</v>
      </c>
      <c r="O124" s="148">
        <f t="shared" si="16"/>
        <v>0</v>
      </c>
      <c r="R124" s="12">
        <f>IF(J124&lt;&gt;0,J124/1.03-K124,0)</f>
        <v>0</v>
      </c>
    </row>
    <row r="125" spans="1:18" ht="13.5" hidden="1" customHeight="1" x14ac:dyDescent="0.3">
      <c r="A125" s="290">
        <f t="shared" si="1"/>
        <v>0</v>
      </c>
      <c r="B125" s="4"/>
      <c r="C125" s="4"/>
      <c r="D125" s="140" t="s">
        <v>2054</v>
      </c>
      <c r="E125" s="67" t="str">
        <f>VLOOKUP(D125,'03. Insumos'!A:D,2,0)</f>
        <v>Locação andaime fachadeiro</v>
      </c>
      <c r="F125" s="68"/>
      <c r="G125" s="68" t="str">
        <f>VLOOKUP(D125,'03. Insumos'!A:F,3,0)</f>
        <v>m²</v>
      </c>
      <c r="H125" s="69">
        <v>3</v>
      </c>
      <c r="I125" s="141"/>
      <c r="J125" s="70">
        <f t="shared" ref="J125:J137" si="17">IFERROR(IF(K125&lt;&gt;0,K125*$K$5,0),0)</f>
        <v>3.5</v>
      </c>
      <c r="K125" s="54">
        <f>IF(A125=0,VLOOKUP(D125,'03. Insumos'!A:F,4,0),"")</f>
        <v>3.5</v>
      </c>
      <c r="L125" s="338">
        <f t="shared" ref="L125:L136" si="18">H125*J125*I125</f>
        <v>0</v>
      </c>
      <c r="M125" s="153">
        <f t="shared" ca="1" si="0"/>
        <v>0</v>
      </c>
      <c r="O125" s="148"/>
      <c r="R125" s="12"/>
    </row>
    <row r="126" spans="1:18" ht="13.5" hidden="1" customHeight="1" x14ac:dyDescent="0.3">
      <c r="A126" s="290">
        <f t="shared" si="1"/>
        <v>0</v>
      </c>
      <c r="B126" s="4"/>
      <c r="C126" s="4"/>
      <c r="D126" s="140" t="s">
        <v>2055</v>
      </c>
      <c r="E126" s="67" t="str">
        <f>VLOOKUP(D126,'03. Insumos'!A:D,2,0)</f>
        <v>Mão de obra para montagem e desmontagem de andaime fachadeiro</v>
      </c>
      <c r="F126" s="68"/>
      <c r="G126" s="68" t="str">
        <f>VLOOKUP(D126,'03. Insumos'!A:F,3,0)</f>
        <v>m²</v>
      </c>
      <c r="H126" s="69">
        <v>1</v>
      </c>
      <c r="I126" s="141"/>
      <c r="J126" s="70">
        <f t="shared" si="17"/>
        <v>18</v>
      </c>
      <c r="K126" s="54">
        <f>IF(A126=0,VLOOKUP(D126,'03. Insumos'!A:F,4,0),"")</f>
        <v>18</v>
      </c>
      <c r="L126" s="338">
        <f t="shared" si="18"/>
        <v>0</v>
      </c>
      <c r="M126" s="153">
        <f t="shared" ca="1" si="0"/>
        <v>0</v>
      </c>
      <c r="O126" s="148"/>
      <c r="R126" s="12"/>
    </row>
    <row r="127" spans="1:18" ht="13.5" customHeight="1" x14ac:dyDescent="0.3">
      <c r="A127" s="290">
        <f t="shared" si="1"/>
        <v>0</v>
      </c>
      <c r="B127" s="4"/>
      <c r="C127" s="4"/>
      <c r="D127" s="140" t="s">
        <v>2057</v>
      </c>
      <c r="E127" s="67" t="str">
        <f>VLOOKUP(D127,'03. Insumos'!A:D,2,0)</f>
        <v>Locação torre de andaime com  2 m de altura com rodízio</v>
      </c>
      <c r="F127" s="68" t="s">
        <v>2612</v>
      </c>
      <c r="G127" s="68" t="str">
        <f>VLOOKUP(D127,'03. Insumos'!A:F,3,0)</f>
        <v>mês</v>
      </c>
      <c r="H127" s="69">
        <v>1</v>
      </c>
      <c r="I127" s="193">
        <f>L2</f>
        <v>6</v>
      </c>
      <c r="J127" s="70">
        <f t="shared" si="17"/>
        <v>115.52</v>
      </c>
      <c r="K127" s="70">
        <f>IF(A127=0,VLOOKUP(D127,'03. Insumos'!A:F,4,0),"")</f>
        <v>115.52</v>
      </c>
      <c r="L127" s="70">
        <f t="shared" si="18"/>
        <v>693.12</v>
      </c>
      <c r="M127" s="153">
        <f t="shared" ca="1" si="0"/>
        <v>2.6123669227165289E-5</v>
      </c>
      <c r="O127" s="148"/>
      <c r="R127" s="12"/>
    </row>
    <row r="128" spans="1:18" s="51" customFormat="1" ht="13.5" hidden="1" customHeight="1" x14ac:dyDescent="0.3">
      <c r="A128" s="290">
        <f t="shared" si="1"/>
        <v>0</v>
      </c>
      <c r="B128" s="49"/>
      <c r="C128" s="49"/>
      <c r="D128" s="140" t="s">
        <v>1920</v>
      </c>
      <c r="E128" s="67" t="str">
        <f>VLOOKUP(D128,'03. Insumos'!A:D,2,0)</f>
        <v>Locação Andaime com rodízio, 6 m de altura</v>
      </c>
      <c r="F128" s="68" t="s">
        <v>2612</v>
      </c>
      <c r="G128" s="68" t="str">
        <f>VLOOKUP(D128,'03. Insumos'!A:F,3,0)</f>
        <v>unid</v>
      </c>
      <c r="H128" s="69">
        <v>4</v>
      </c>
      <c r="I128" s="141"/>
      <c r="J128" s="70">
        <f t="shared" si="17"/>
        <v>164.66</v>
      </c>
      <c r="K128" s="70">
        <f>IF(A128=0,VLOOKUP(D128,'03. Insumos'!A:F,4,0),"")</f>
        <v>164.66</v>
      </c>
      <c r="L128" s="70">
        <f t="shared" si="18"/>
        <v>0</v>
      </c>
      <c r="M128" s="153">
        <f t="shared" ca="1" si="0"/>
        <v>0</v>
      </c>
      <c r="O128" s="148">
        <f t="shared" si="16"/>
        <v>0</v>
      </c>
      <c r="R128" s="12">
        <f>IF(J128&lt;&gt;0,J128/1.03-K128,0)</f>
        <v>-4.7959223300970848</v>
      </c>
    </row>
    <row r="129" spans="1:18" s="51" customFormat="1" ht="13.5" hidden="1" customHeight="1" x14ac:dyDescent="0.3">
      <c r="A129" s="290">
        <f t="shared" si="1"/>
        <v>0</v>
      </c>
      <c r="B129" s="49"/>
      <c r="C129" s="49"/>
      <c r="D129" s="140" t="s">
        <v>2266</v>
      </c>
      <c r="E129" s="67" t="str">
        <f>VLOOKUP(D129,'03. Insumos'!A:D,2,0)</f>
        <v>Locação de escoras metálicas para até 750 Kg</v>
      </c>
      <c r="F129" s="68"/>
      <c r="G129" s="68" t="str">
        <f>VLOOKUP(D129,'03. Insumos'!A:F,3,0)</f>
        <v>Unid/mês</v>
      </c>
      <c r="H129" s="69">
        <v>1</v>
      </c>
      <c r="I129" s="141"/>
      <c r="J129" s="70">
        <f t="shared" si="17"/>
        <v>13</v>
      </c>
      <c r="K129" s="70">
        <f>IF(A129=0,VLOOKUP(D129,'03. Insumos'!A:F,4,0),"")</f>
        <v>13</v>
      </c>
      <c r="L129" s="70">
        <f t="shared" si="18"/>
        <v>0</v>
      </c>
      <c r="M129" s="153">
        <f t="shared" ca="1" si="0"/>
        <v>0</v>
      </c>
      <c r="O129" s="148"/>
      <c r="R129" s="12"/>
    </row>
    <row r="130" spans="1:18" s="51" customFormat="1" ht="13.5" hidden="1" customHeight="1" x14ac:dyDescent="0.3">
      <c r="A130" s="290">
        <f t="shared" si="1"/>
        <v>0</v>
      </c>
      <c r="B130" s="49"/>
      <c r="C130" s="49"/>
      <c r="D130" s="140" t="s">
        <v>1923</v>
      </c>
      <c r="E130" s="67" t="str">
        <f>VLOOKUP(D130,'03. Insumos'!A:D,2,0)</f>
        <v xml:space="preserve">Locação conjunto de cadeira suspensa </v>
      </c>
      <c r="F130" s="68"/>
      <c r="G130" s="68" t="str">
        <f>VLOOKUP(D130,'03. Insumos'!A:F,3,0)</f>
        <v>unid</v>
      </c>
      <c r="H130" s="69">
        <v>1</v>
      </c>
      <c r="I130" s="141"/>
      <c r="J130" s="70">
        <f t="shared" si="17"/>
        <v>190</v>
      </c>
      <c r="K130" s="70">
        <f>IF(A130=0,VLOOKUP(D130,'03. Insumos'!A:F,4,0),"")</f>
        <v>190</v>
      </c>
      <c r="L130" s="70">
        <f t="shared" si="18"/>
        <v>0</v>
      </c>
      <c r="M130" s="153">
        <f t="shared" ca="1" si="0"/>
        <v>0</v>
      </c>
      <c r="O130" s="148">
        <f t="shared" si="16"/>
        <v>0</v>
      </c>
      <c r="R130" s="12">
        <f>IF(J130&lt;&gt;0,J130/1.03-K130,0)</f>
        <v>-5.5339805825242649</v>
      </c>
    </row>
    <row r="131" spans="1:18" s="51" customFormat="1" ht="13.5" hidden="1" customHeight="1" x14ac:dyDescent="0.3">
      <c r="A131" s="290">
        <f t="shared" si="1"/>
        <v>0</v>
      </c>
      <c r="B131" s="49"/>
      <c r="C131" s="49"/>
      <c r="D131" s="140" t="s">
        <v>1925</v>
      </c>
      <c r="E131" s="67" t="str">
        <f>VLOOKUP(D131,'03. Insumos'!A:D,2,0)</f>
        <v>Montagem e desmontagem conjunto cadeira suspensa</v>
      </c>
      <c r="F131" s="68"/>
      <c r="G131" s="68" t="str">
        <f>VLOOKUP(D131,'03. Insumos'!A:F,3,0)</f>
        <v>unid</v>
      </c>
      <c r="H131" s="69">
        <v>1</v>
      </c>
      <c r="I131" s="141"/>
      <c r="J131" s="70">
        <f t="shared" si="17"/>
        <v>950</v>
      </c>
      <c r="K131" s="70">
        <f>IF(A131=0,VLOOKUP(D131,'03. Insumos'!A:F,4,0),"")</f>
        <v>950</v>
      </c>
      <c r="L131" s="70">
        <f t="shared" si="18"/>
        <v>0</v>
      </c>
      <c r="M131" s="153">
        <f t="shared" ca="1" si="0"/>
        <v>0</v>
      </c>
      <c r="O131" s="148"/>
      <c r="R131" s="12"/>
    </row>
    <row r="132" spans="1:18" s="51" customFormat="1" ht="13.5" hidden="1" customHeight="1" x14ac:dyDescent="0.3">
      <c r="A132" s="290">
        <f t="shared" si="1"/>
        <v>0</v>
      </c>
      <c r="B132" s="49"/>
      <c r="C132" s="49"/>
      <c r="D132" s="140" t="s">
        <v>1948</v>
      </c>
      <c r="E132" s="67" t="str">
        <f>VLOOKUP(D132,'03. Insumos'!A:D,2,0)</f>
        <v>Locação andaime de 8 m extensão com balanço</v>
      </c>
      <c r="F132" s="68"/>
      <c r="G132" s="68" t="str">
        <f>VLOOKUP(D132,'03. Insumos'!A:F,3,0)</f>
        <v>unid</v>
      </c>
      <c r="H132" s="69">
        <v>1</v>
      </c>
      <c r="I132" s="141"/>
      <c r="J132" s="70">
        <f t="shared" si="17"/>
        <v>680</v>
      </c>
      <c r="K132" s="70">
        <f>IF(A132=0,VLOOKUP(D132,'03. Insumos'!A:F,4,0),"")</f>
        <v>680</v>
      </c>
      <c r="L132" s="70">
        <f>H132*J132*I132</f>
        <v>0</v>
      </c>
      <c r="M132" s="153">
        <f t="shared" ca="1" si="0"/>
        <v>0</v>
      </c>
      <c r="O132" s="148"/>
      <c r="R132" s="12"/>
    </row>
    <row r="133" spans="1:18" s="51" customFormat="1" ht="13.5" hidden="1" customHeight="1" x14ac:dyDescent="0.3">
      <c r="A133" s="290">
        <f t="shared" si="1"/>
        <v>0</v>
      </c>
      <c r="B133" s="49"/>
      <c r="C133" s="49"/>
      <c r="D133" s="140" t="s">
        <v>1950</v>
      </c>
      <c r="E133" s="67" t="str">
        <f>VLOOKUP(D133,'03. Insumos'!A:D,2,0)</f>
        <v>Montagem e desmontagem de andaime de 8 m de extensão com balanço</v>
      </c>
      <c r="F133" s="68"/>
      <c r="G133" s="68" t="str">
        <f>VLOOKUP(D133,'03. Insumos'!A:F,3,0)</f>
        <v>unid</v>
      </c>
      <c r="H133" s="69">
        <v>1</v>
      </c>
      <c r="I133" s="141"/>
      <c r="J133" s="70">
        <f t="shared" si="17"/>
        <v>9986.4</v>
      </c>
      <c r="K133" s="70">
        <f>IF(A133=0,VLOOKUP(D133,'03. Insumos'!A:F,4,0),"")</f>
        <v>9986.4</v>
      </c>
      <c r="L133" s="70">
        <f>H133*J133*I133</f>
        <v>0</v>
      </c>
      <c r="M133" s="153">
        <f t="shared" ca="1" si="0"/>
        <v>0</v>
      </c>
      <c r="O133" s="148"/>
      <c r="R133" s="12"/>
    </row>
    <row r="134" spans="1:18" s="51" customFormat="1" ht="13.5" hidden="1" customHeight="1" x14ac:dyDescent="0.3">
      <c r="A134" s="290">
        <f t="shared" si="1"/>
        <v>0</v>
      </c>
      <c r="B134" s="49"/>
      <c r="C134" s="49"/>
      <c r="D134" s="140" t="s">
        <v>1926</v>
      </c>
      <c r="E134" s="67" t="str">
        <f>VLOOKUP(D134,'03. Insumos'!A:D,2,0)</f>
        <v>Locação balancim elétrico de 8 m</v>
      </c>
      <c r="F134" s="68"/>
      <c r="G134" s="68" t="str">
        <f>VLOOKUP(D134,'03. Insumos'!A:F,3,0)</f>
        <v>unid</v>
      </c>
      <c r="H134" s="69">
        <v>1</v>
      </c>
      <c r="I134" s="141"/>
      <c r="J134" s="70">
        <f t="shared" si="17"/>
        <v>850</v>
      </c>
      <c r="K134" s="70">
        <f>IF(A134=0,VLOOKUP(D134,'03. Insumos'!A:F,4,0),"")</f>
        <v>850</v>
      </c>
      <c r="L134" s="70">
        <f t="shared" si="18"/>
        <v>0</v>
      </c>
      <c r="M134" s="153">
        <f t="shared" ca="1" si="0"/>
        <v>0</v>
      </c>
      <c r="O134" s="148"/>
      <c r="R134" s="12"/>
    </row>
    <row r="135" spans="1:18" s="51" customFormat="1" ht="13.5" hidden="1" customHeight="1" x14ac:dyDescent="0.3">
      <c r="A135" s="290">
        <f t="shared" si="1"/>
        <v>0</v>
      </c>
      <c r="B135" s="49"/>
      <c r="C135" s="49"/>
      <c r="D135" s="140" t="s">
        <v>1927</v>
      </c>
      <c r="E135" s="67" t="str">
        <f>VLOOKUP(D135,'03. Insumos'!A:D,2,0)</f>
        <v>Locação torre auxiliar para fixação balancim elétrico  com contrapeso</v>
      </c>
      <c r="F135" s="68"/>
      <c r="G135" s="68" t="str">
        <f>VLOOKUP(D135,'03. Insumos'!A:F,3,0)</f>
        <v>unid</v>
      </c>
      <c r="H135" s="69">
        <v>1</v>
      </c>
      <c r="I135" s="141"/>
      <c r="J135" s="70">
        <f t="shared" si="17"/>
        <v>610</v>
      </c>
      <c r="K135" s="70">
        <f>IF(A135=0,VLOOKUP(D135,'03. Insumos'!A:F,4,0),"")</f>
        <v>610</v>
      </c>
      <c r="L135" s="70">
        <f>H135*J135*I135</f>
        <v>0</v>
      </c>
      <c r="M135" s="153">
        <f t="shared" ca="1" si="0"/>
        <v>0</v>
      </c>
      <c r="O135" s="148"/>
      <c r="R135" s="12"/>
    </row>
    <row r="136" spans="1:18" s="51" customFormat="1" ht="13.5" hidden="1" customHeight="1" x14ac:dyDescent="0.3">
      <c r="A136" s="290">
        <f t="shared" si="1"/>
        <v>0</v>
      </c>
      <c r="B136" s="49"/>
      <c r="C136" s="49"/>
      <c r="D136" s="140" t="s">
        <v>1931</v>
      </c>
      <c r="E136" s="67" t="str">
        <f>VLOOKUP(D136,'03. Insumos'!A:D,2,0)</f>
        <v>Montagem e desmontagem de balancim elétrico fixado em torre auxiliar com contrapeso</v>
      </c>
      <c r="F136" s="68"/>
      <c r="G136" s="68" t="str">
        <f>VLOOKUP(D136,'03. Insumos'!A:F,3,0)</f>
        <v>unid</v>
      </c>
      <c r="H136" s="69">
        <v>1</v>
      </c>
      <c r="I136" s="141"/>
      <c r="J136" s="70">
        <f t="shared" si="17"/>
        <v>2700</v>
      </c>
      <c r="K136" s="70">
        <f>IF(A136=0,VLOOKUP(D136,'03. Insumos'!A:F,4,0),"")</f>
        <v>2700</v>
      </c>
      <c r="L136" s="70">
        <f t="shared" si="18"/>
        <v>0</v>
      </c>
      <c r="M136" s="153">
        <f t="shared" ca="1" si="0"/>
        <v>0</v>
      </c>
      <c r="O136" s="148"/>
      <c r="R136" s="12"/>
    </row>
    <row r="137" spans="1:18" s="51" customFormat="1" ht="13.5" customHeight="1" x14ac:dyDescent="0.3">
      <c r="A137" s="290">
        <f t="shared" si="1"/>
        <v>0</v>
      </c>
      <c r="B137" s="49"/>
      <c r="C137" s="49"/>
      <c r="D137" s="140" t="s">
        <v>1933</v>
      </c>
      <c r="E137" s="67" t="str">
        <f>VLOOKUP(D137,'03. Insumos'!A:D,2,0)</f>
        <v>Frete equipamentos de acesso</v>
      </c>
      <c r="F137" s="68" t="s">
        <v>2612</v>
      </c>
      <c r="G137" s="68" t="str">
        <f>VLOOKUP(D137,'03. Insumos'!A:F,3,0)</f>
        <v>vb</v>
      </c>
      <c r="H137" s="69">
        <v>1</v>
      </c>
      <c r="I137" s="141">
        <v>2</v>
      </c>
      <c r="J137" s="70">
        <f t="shared" si="17"/>
        <v>100</v>
      </c>
      <c r="K137" s="70">
        <f>IF(A137=0,VLOOKUP(D137,'03. Insumos'!A:F,4,0),"")</f>
        <v>100</v>
      </c>
      <c r="L137" s="70">
        <f>H137*J137*I137</f>
        <v>200</v>
      </c>
      <c r="M137" s="153">
        <f t="shared" ca="1" si="0"/>
        <v>7.5379931980509251E-6</v>
      </c>
      <c r="O137" s="148">
        <f t="shared" si="16"/>
        <v>200</v>
      </c>
      <c r="R137" s="12">
        <f t="shared" ref="R137:R148" si="19">IF(J137&lt;&gt;0,J137/1.03-K137,0)</f>
        <v>-2.9126213592233086</v>
      </c>
    </row>
    <row r="138" spans="1:18" s="18" customFormat="1" ht="13.5" customHeight="1" x14ac:dyDescent="0.3">
      <c r="A138" s="290">
        <f t="shared" si="1"/>
        <v>3</v>
      </c>
      <c r="B138" s="35"/>
      <c r="C138" s="35" t="s">
        <v>357</v>
      </c>
      <c r="D138" s="35" t="s">
        <v>993</v>
      </c>
      <c r="E138" s="390"/>
      <c r="F138" s="323"/>
      <c r="G138" s="323"/>
      <c r="H138" s="324"/>
      <c r="I138" s="37"/>
      <c r="J138" s="333"/>
      <c r="K138" s="38"/>
      <c r="L138" s="333">
        <f>SUMIF(A139:A151,4,L139:L151)</f>
        <v>126504</v>
      </c>
      <c r="M138" s="153">
        <f t="shared" ca="1" si="0"/>
        <v>4.7679314576311712E-3</v>
      </c>
      <c r="O138" s="148">
        <f t="shared" si="16"/>
        <v>0</v>
      </c>
      <c r="R138" s="12">
        <f t="shared" si="19"/>
        <v>0</v>
      </c>
    </row>
    <row r="139" spans="1:18" s="18" customFormat="1" ht="5.25" customHeight="1" x14ac:dyDescent="0.3">
      <c r="A139" s="290">
        <f t="shared" si="1"/>
        <v>0</v>
      </c>
      <c r="B139" s="63"/>
      <c r="C139" s="63"/>
      <c r="D139" s="63"/>
      <c r="E139" s="391"/>
      <c r="F139" s="325"/>
      <c r="G139" s="325"/>
      <c r="H139" s="326"/>
      <c r="I139" s="65"/>
      <c r="J139" s="334">
        <f>IFERROR(IF(K139&lt;&gt;0,K139*$K$5,0),0)</f>
        <v>0</v>
      </c>
      <c r="K139" s="66" t="e">
        <f>IF(A139=0,VLOOKUP(D139,'03. Insumos'!A:F,4,0),"")</f>
        <v>#N/A</v>
      </c>
      <c r="L139" s="334"/>
      <c r="M139" s="153">
        <f t="shared" ca="1" si="0"/>
        <v>0</v>
      </c>
      <c r="O139" s="148">
        <f t="shared" si="16"/>
        <v>0</v>
      </c>
      <c r="R139" s="12">
        <f t="shared" si="19"/>
        <v>0</v>
      </c>
    </row>
    <row r="140" spans="1:18" s="18" customFormat="1" ht="13.5" customHeight="1" x14ac:dyDescent="0.3">
      <c r="A140" s="290">
        <f t="shared" si="1"/>
        <v>4</v>
      </c>
      <c r="B140" s="45"/>
      <c r="C140" s="45" t="s">
        <v>381</v>
      </c>
      <c r="D140" s="45" t="s">
        <v>994</v>
      </c>
      <c r="E140" s="347"/>
      <c r="F140" s="327"/>
      <c r="G140" s="329"/>
      <c r="H140" s="330"/>
      <c r="I140" s="47"/>
      <c r="J140" s="336"/>
      <c r="K140" s="48" t="str">
        <f>IF(A140=0,VLOOKUP(D140,'03. Insumos'!A:F,4,0),"")</f>
        <v/>
      </c>
      <c r="L140" s="335">
        <f>SUMIF(A141:A142,6,L141:L142)</f>
        <v>118650</v>
      </c>
      <c r="M140" s="153">
        <f t="shared" ca="1" si="0"/>
        <v>4.4719144647437118E-3</v>
      </c>
      <c r="O140" s="148">
        <f t="shared" si="16"/>
        <v>0</v>
      </c>
      <c r="R140" s="12">
        <f t="shared" si="19"/>
        <v>0</v>
      </c>
    </row>
    <row r="141" spans="1:18" ht="13.5" customHeight="1" x14ac:dyDescent="0.3">
      <c r="A141" s="290">
        <f t="shared" si="1"/>
        <v>6</v>
      </c>
      <c r="B141" s="4"/>
      <c r="C141" s="4" t="s">
        <v>922</v>
      </c>
      <c r="D141" s="4" t="s">
        <v>994</v>
      </c>
      <c r="E141" s="55"/>
      <c r="F141" s="56"/>
      <c r="G141" s="56"/>
      <c r="H141" s="57"/>
      <c r="I141" s="29"/>
      <c r="J141" s="58"/>
      <c r="K141" s="27" t="str">
        <f>IF(A141=0,VLOOKUP(D141,'03. Insumos'!A:F,4,0),"")</f>
        <v/>
      </c>
      <c r="L141" s="58">
        <f>SUM(L142)</f>
        <v>118650</v>
      </c>
      <c r="M141" s="153">
        <f t="shared" ca="1" si="0"/>
        <v>4.4719144647437118E-3</v>
      </c>
      <c r="O141" s="148">
        <f t="shared" si="16"/>
        <v>0</v>
      </c>
      <c r="R141" s="12">
        <f t="shared" si="19"/>
        <v>0</v>
      </c>
    </row>
    <row r="142" spans="1:18" s="51" customFormat="1" ht="13.5" customHeight="1" x14ac:dyDescent="0.3">
      <c r="A142" s="290">
        <f t="shared" si="1"/>
        <v>0</v>
      </c>
      <c r="B142" s="49"/>
      <c r="C142" s="49"/>
      <c r="D142" s="49"/>
      <c r="E142" s="67" t="s">
        <v>992</v>
      </c>
      <c r="F142" s="68" t="s">
        <v>2607</v>
      </c>
      <c r="G142" s="68" t="s">
        <v>29</v>
      </c>
      <c r="H142" s="69">
        <v>1</v>
      </c>
      <c r="I142" s="141">
        <v>1</v>
      </c>
      <c r="J142" s="70">
        <f>IFERROR(IF(K142&lt;&gt;0,K142*$K$5,0),0)</f>
        <v>118650</v>
      </c>
      <c r="K142" s="70">
        <f>('05. Histograma MO'!J21)</f>
        <v>118650</v>
      </c>
      <c r="L142" s="70">
        <f>H142*J142*I142</f>
        <v>118650</v>
      </c>
      <c r="M142" s="153">
        <f t="shared" ca="1" si="0"/>
        <v>4.4719144647437118E-3</v>
      </c>
      <c r="O142" s="148">
        <f t="shared" si="16"/>
        <v>118650</v>
      </c>
      <c r="R142" s="12">
        <f t="shared" si="19"/>
        <v>-3455.8252427184489</v>
      </c>
    </row>
    <row r="143" spans="1:18" s="18" customFormat="1" ht="13.5" customHeight="1" x14ac:dyDescent="0.3">
      <c r="A143" s="290">
        <f t="shared" si="1"/>
        <v>4</v>
      </c>
      <c r="B143" s="45"/>
      <c r="C143" s="45" t="s">
        <v>54</v>
      </c>
      <c r="D143" s="45" t="s">
        <v>55</v>
      </c>
      <c r="E143" s="347"/>
      <c r="F143" s="327"/>
      <c r="G143" s="329"/>
      <c r="H143" s="330"/>
      <c r="I143" s="47"/>
      <c r="J143" s="336"/>
      <c r="K143" s="48"/>
      <c r="L143" s="335">
        <f>SUMIF(A144:A145,6,L144:L145)</f>
        <v>7854</v>
      </c>
      <c r="M143" s="153">
        <f t="shared" ca="1" si="0"/>
        <v>2.9601699288745982E-4</v>
      </c>
      <c r="O143" s="148">
        <f t="shared" si="16"/>
        <v>0</v>
      </c>
      <c r="R143" s="12">
        <f t="shared" si="19"/>
        <v>0</v>
      </c>
    </row>
    <row r="144" spans="1:18" ht="13.5" customHeight="1" x14ac:dyDescent="0.3">
      <c r="A144" s="290">
        <f t="shared" si="1"/>
        <v>6</v>
      </c>
      <c r="B144" s="4"/>
      <c r="C144" s="4" t="s">
        <v>923</v>
      </c>
      <c r="D144" s="4" t="s">
        <v>56</v>
      </c>
      <c r="E144" s="55"/>
      <c r="F144" s="56"/>
      <c r="G144" s="56"/>
      <c r="H144" s="57"/>
      <c r="I144" s="29"/>
      <c r="J144" s="58"/>
      <c r="K144" s="27"/>
      <c r="L144" s="58">
        <f>SUM(L145)</f>
        <v>7854</v>
      </c>
      <c r="M144" s="153">
        <f t="shared" ref="M144:M218" ca="1" si="20">L144/$L$7</f>
        <v>2.9601699288745982E-4</v>
      </c>
      <c r="O144" s="148">
        <f t="shared" si="16"/>
        <v>0</v>
      </c>
      <c r="R144" s="12">
        <f t="shared" si="19"/>
        <v>0</v>
      </c>
    </row>
    <row r="145" spans="1:18" s="51" customFormat="1" ht="13.5" customHeight="1" x14ac:dyDescent="0.3">
      <c r="A145" s="290">
        <f t="shared" si="1"/>
        <v>0</v>
      </c>
      <c r="B145" s="49"/>
      <c r="C145" s="49"/>
      <c r="D145" s="49"/>
      <c r="E145" s="67" t="s">
        <v>56</v>
      </c>
      <c r="F145" s="68" t="s">
        <v>2612</v>
      </c>
      <c r="G145" s="68" t="s">
        <v>29</v>
      </c>
      <c r="H145" s="69">
        <v>1</v>
      </c>
      <c r="I145" s="141">
        <v>1</v>
      </c>
      <c r="J145" s="70">
        <f>IFERROR(IF(K145&lt;&gt;0,K145*$K$5,0),0)</f>
        <v>7854</v>
      </c>
      <c r="K145" s="70">
        <f>'05. Histograma MO'!G22</f>
        <v>7854</v>
      </c>
      <c r="L145" s="70">
        <f>H145*J145*I145</f>
        <v>7854</v>
      </c>
      <c r="M145" s="153">
        <f t="shared" ca="1" si="20"/>
        <v>2.9601699288745982E-4</v>
      </c>
      <c r="O145" s="148">
        <f t="shared" si="16"/>
        <v>7854</v>
      </c>
      <c r="R145" s="12">
        <f t="shared" si="19"/>
        <v>-228.75728155339857</v>
      </c>
    </row>
    <row r="146" spans="1:18" s="18" customFormat="1" ht="13.5" hidden="1" customHeight="1" x14ac:dyDescent="0.3">
      <c r="A146" s="290">
        <f t="shared" ref="A146:A220" si="21">LEN(C146)</f>
        <v>4</v>
      </c>
      <c r="B146" s="45"/>
      <c r="C146" s="45" t="s">
        <v>57</v>
      </c>
      <c r="D146" s="45" t="s">
        <v>58</v>
      </c>
      <c r="E146" s="347"/>
      <c r="F146" s="327"/>
      <c r="G146" s="329"/>
      <c r="H146" s="330"/>
      <c r="I146" s="47"/>
      <c r="J146" s="336"/>
      <c r="K146" s="48"/>
      <c r="L146" s="335">
        <f>SUMIF(A147:A148,6,L147:L148)</f>
        <v>0</v>
      </c>
      <c r="M146" s="153">
        <f t="shared" ca="1" si="20"/>
        <v>0</v>
      </c>
      <c r="O146" s="148">
        <f t="shared" si="16"/>
        <v>0</v>
      </c>
      <c r="R146" s="12">
        <f t="shared" si="19"/>
        <v>0</v>
      </c>
    </row>
    <row r="147" spans="1:18" ht="13.5" hidden="1" customHeight="1" x14ac:dyDescent="0.3">
      <c r="A147" s="290">
        <f t="shared" si="21"/>
        <v>6</v>
      </c>
      <c r="B147" s="4"/>
      <c r="C147" s="4" t="s">
        <v>924</v>
      </c>
      <c r="D147" s="4" t="s">
        <v>58</v>
      </c>
      <c r="E147" s="55"/>
      <c r="F147" s="56"/>
      <c r="G147" s="56"/>
      <c r="H147" s="57"/>
      <c r="I147" s="197"/>
      <c r="J147" s="58"/>
      <c r="K147" s="27"/>
      <c r="L147" s="58">
        <f>SUM(L148)</f>
        <v>0</v>
      </c>
      <c r="M147" s="153">
        <f t="shared" ca="1" si="20"/>
        <v>0</v>
      </c>
      <c r="O147" s="148"/>
      <c r="R147" s="12">
        <f t="shared" si="19"/>
        <v>0</v>
      </c>
    </row>
    <row r="148" spans="1:18" s="51" customFormat="1" ht="13.5" hidden="1" customHeight="1" x14ac:dyDescent="0.3">
      <c r="A148" s="290">
        <f t="shared" si="21"/>
        <v>0</v>
      </c>
      <c r="B148" s="49"/>
      <c r="C148" s="49"/>
      <c r="D148" s="140" t="s">
        <v>438</v>
      </c>
      <c r="E148" s="67" t="str">
        <f>VLOOKUP(D148,'03. Insumos'!A:D,2,0)</f>
        <v>Segurança Patrimonial (Posto 24hs)</v>
      </c>
      <c r="F148" s="68"/>
      <c r="G148" s="68" t="str">
        <f>VLOOKUP(D148,'03. Insumos'!A:F,3,0)</f>
        <v>uni</v>
      </c>
      <c r="H148" s="69">
        <v>1</v>
      </c>
      <c r="I148" s="141"/>
      <c r="J148" s="70">
        <f>IFERROR(IF(K148&lt;&gt;0,K148*$K$5,0),0)</f>
        <v>12960</v>
      </c>
      <c r="K148" s="54">
        <f>IF(A148=0,VLOOKUP(D148,'03. Insumos'!A:F,4,0),"")</f>
        <v>12960</v>
      </c>
      <c r="L148" s="338">
        <f>H148*J148*I148</f>
        <v>0</v>
      </c>
      <c r="M148" s="153">
        <f t="shared" ca="1" si="20"/>
        <v>0</v>
      </c>
      <c r="O148" s="148">
        <f t="shared" ref="O148:O170" si="22">IF(I148&lt;&gt;0,I148*H148*K148,)</f>
        <v>0</v>
      </c>
      <c r="R148" s="12">
        <f t="shared" si="19"/>
        <v>-377.47572815533931</v>
      </c>
    </row>
    <row r="149" spans="1:18" s="51" customFormat="1" ht="13.5" hidden="1" customHeight="1" x14ac:dyDescent="0.3">
      <c r="A149" s="290">
        <f t="shared" si="21"/>
        <v>4</v>
      </c>
      <c r="B149" s="45"/>
      <c r="C149" s="45" t="s">
        <v>2028</v>
      </c>
      <c r="D149" s="45" t="s">
        <v>2029</v>
      </c>
      <c r="E149" s="347"/>
      <c r="F149" s="327"/>
      <c r="G149" s="329"/>
      <c r="H149" s="330"/>
      <c r="I149" s="47"/>
      <c r="J149" s="336"/>
      <c r="K149" s="48"/>
      <c r="L149" s="335">
        <f>SUMIF(A150:A151,6,L150:L151)</f>
        <v>0</v>
      </c>
      <c r="M149" s="153">
        <f t="shared" ca="1" si="20"/>
        <v>0</v>
      </c>
      <c r="O149" s="148"/>
      <c r="R149" s="12"/>
    </row>
    <row r="150" spans="1:18" s="51" customFormat="1" ht="13.5" hidden="1" customHeight="1" x14ac:dyDescent="0.3">
      <c r="A150" s="290">
        <f t="shared" si="21"/>
        <v>6</v>
      </c>
      <c r="B150" s="4"/>
      <c r="C150" s="4" t="s">
        <v>924</v>
      </c>
      <c r="D150" s="4" t="s">
        <v>2029</v>
      </c>
      <c r="E150" s="55"/>
      <c r="F150" s="56"/>
      <c r="G150" s="56"/>
      <c r="H150" s="57"/>
      <c r="I150" s="197"/>
      <c r="J150" s="58"/>
      <c r="K150" s="27"/>
      <c r="L150" s="58">
        <f>SUM(L151)</f>
        <v>0</v>
      </c>
      <c r="M150" s="153">
        <f t="shared" ca="1" si="20"/>
        <v>0</v>
      </c>
      <c r="O150" s="148"/>
      <c r="R150" s="12"/>
    </row>
    <row r="151" spans="1:18" s="51" customFormat="1" ht="13.5" hidden="1" customHeight="1" x14ac:dyDescent="0.3">
      <c r="A151" s="290">
        <f t="shared" si="21"/>
        <v>0</v>
      </c>
      <c r="B151" s="49"/>
      <c r="C151" s="49"/>
      <c r="D151" s="140" t="s">
        <v>2032</v>
      </c>
      <c r="E151" s="67" t="str">
        <f>VLOOKUP(D151,'03. Insumos'!A:D,2,0)</f>
        <v>Topógrafo</v>
      </c>
      <c r="F151" s="68"/>
      <c r="G151" s="68" t="str">
        <f>VLOOKUP(D151,'03. Insumos'!A:F,3,0)</f>
        <v>diária</v>
      </c>
      <c r="H151" s="69">
        <v>1</v>
      </c>
      <c r="I151" s="141"/>
      <c r="J151" s="70">
        <f>IFERROR(IF(K151&lt;&gt;0,K151*$K$5,0),0)</f>
        <v>1720.9599999999998</v>
      </c>
      <c r="K151" s="54">
        <f>IF(A151=0,VLOOKUP(D151,'03. Insumos'!A:F,4,0),"")</f>
        <v>1720.9599999999998</v>
      </c>
      <c r="L151" s="338">
        <f>H151*J151*I151</f>
        <v>0</v>
      </c>
      <c r="M151" s="153">
        <f t="shared" ca="1" si="20"/>
        <v>0</v>
      </c>
      <c r="O151" s="148"/>
      <c r="R151" s="12"/>
    </row>
    <row r="152" spans="1:18" s="18" customFormat="1" ht="13.5" customHeight="1" x14ac:dyDescent="0.3">
      <c r="A152" s="290">
        <f t="shared" si="21"/>
        <v>3</v>
      </c>
      <c r="B152" s="35"/>
      <c r="C152" s="35" t="s">
        <v>358</v>
      </c>
      <c r="D152" s="35" t="s">
        <v>79</v>
      </c>
      <c r="E152" s="390"/>
      <c r="F152" s="323"/>
      <c r="G152" s="323"/>
      <c r="H152" s="324"/>
      <c r="I152" s="37"/>
      <c r="J152" s="333"/>
      <c r="K152" s="38"/>
      <c r="L152" s="333">
        <f>SUMIF(A153:A176,4,L153:L176)</f>
        <v>15060</v>
      </c>
      <c r="M152" s="153">
        <f t="shared" ca="1" si="20"/>
        <v>5.6761088781323468E-4</v>
      </c>
      <c r="O152" s="148">
        <f t="shared" si="22"/>
        <v>0</v>
      </c>
      <c r="R152" s="12">
        <f>IF(J152&lt;&gt;0,J152/1.03-K152,0)</f>
        <v>0</v>
      </c>
    </row>
    <row r="153" spans="1:18" s="18" customFormat="1" ht="5.25" customHeight="1" x14ac:dyDescent="0.3">
      <c r="A153" s="290">
        <f t="shared" si="21"/>
        <v>0</v>
      </c>
      <c r="B153" s="63"/>
      <c r="C153" s="63"/>
      <c r="D153" s="63"/>
      <c r="E153" s="391"/>
      <c r="F153" s="325"/>
      <c r="G153" s="325"/>
      <c r="H153" s="326"/>
      <c r="I153" s="65"/>
      <c r="J153" s="334">
        <f>IFERROR(IF(K153&lt;&gt;0,K153*$K$5,0),0)</f>
        <v>0</v>
      </c>
      <c r="K153" s="66" t="e">
        <f>IF(A153=0,VLOOKUP(D153,'03. Insumos'!A:F,4,0),"")</f>
        <v>#N/A</v>
      </c>
      <c r="L153" s="334"/>
      <c r="M153" s="153">
        <f t="shared" ca="1" si="20"/>
        <v>0</v>
      </c>
      <c r="O153" s="148">
        <f t="shared" si="22"/>
        <v>0</v>
      </c>
      <c r="R153" s="12">
        <f>IF(J153&lt;&gt;0,J153/1.03-K153,0)</f>
        <v>0</v>
      </c>
    </row>
    <row r="154" spans="1:18" s="18" customFormat="1" ht="13.5" customHeight="1" x14ac:dyDescent="0.3">
      <c r="A154" s="290">
        <f t="shared" si="21"/>
        <v>4</v>
      </c>
      <c r="B154" s="45"/>
      <c r="C154" s="45" t="s">
        <v>380</v>
      </c>
      <c r="D154" s="45" t="s">
        <v>59</v>
      </c>
      <c r="E154" s="347"/>
      <c r="F154" s="327"/>
      <c r="G154" s="329"/>
      <c r="H154" s="330"/>
      <c r="I154" s="47"/>
      <c r="J154" s="336"/>
      <c r="K154" s="48" t="str">
        <f>IF(A154=0,VLOOKUP(D154,'03. Insumos'!A:F,4,0),"")</f>
        <v/>
      </c>
      <c r="L154" s="335">
        <f>SUMIF(A155:A161,6,L155:L161)</f>
        <v>3060</v>
      </c>
      <c r="M154" s="153">
        <f t="shared" ca="1" si="20"/>
        <v>1.1533129593017916E-4</v>
      </c>
      <c r="O154" s="148">
        <f t="shared" si="22"/>
        <v>0</v>
      </c>
      <c r="R154" s="12">
        <f t="shared" ref="R154:R225" si="23">IF(J154&lt;&gt;0,J154/1.03-K154,0)</f>
        <v>0</v>
      </c>
    </row>
    <row r="155" spans="1:18" ht="13.5" customHeight="1" x14ac:dyDescent="0.3">
      <c r="A155" s="290">
        <f t="shared" si="21"/>
        <v>6</v>
      </c>
      <c r="B155" s="4"/>
      <c r="C155" s="4" t="s">
        <v>926</v>
      </c>
      <c r="D155" s="4" t="s">
        <v>59</v>
      </c>
      <c r="E155" s="55"/>
      <c r="F155" s="56"/>
      <c r="G155" s="56"/>
      <c r="H155" s="57"/>
      <c r="I155" s="29"/>
      <c r="J155" s="58"/>
      <c r="K155" s="27" t="str">
        <f>IF(A155=0,VLOOKUP(D155,'03. Insumos'!A:F,4,0),"")</f>
        <v/>
      </c>
      <c r="L155" s="58">
        <f>SUM(L156:L161)</f>
        <v>3060</v>
      </c>
      <c r="M155" s="153">
        <f t="shared" ca="1" si="20"/>
        <v>1.1533129593017916E-4</v>
      </c>
      <c r="O155" s="148">
        <f t="shared" si="22"/>
        <v>0</v>
      </c>
      <c r="R155" s="12">
        <f t="shared" si="23"/>
        <v>0</v>
      </c>
    </row>
    <row r="156" spans="1:18" s="51" customFormat="1" ht="13.5" hidden="1" customHeight="1" x14ac:dyDescent="0.3">
      <c r="A156" s="290">
        <f t="shared" si="21"/>
        <v>0</v>
      </c>
      <c r="B156" s="49"/>
      <c r="C156" s="49"/>
      <c r="D156" s="140" t="s">
        <v>166</v>
      </c>
      <c r="E156" s="67" t="str">
        <f>VLOOKUP(D156,'03. Insumos'!A:D,2,0)</f>
        <v>Material de escritório</v>
      </c>
      <c r="F156" s="68"/>
      <c r="G156" s="68" t="str">
        <f>VLOOKUP(D156,'03. Insumos'!A:F,3,0)</f>
        <v>mês</v>
      </c>
      <c r="H156" s="69"/>
      <c r="I156" s="193">
        <f t="shared" ref="I156:I161" si="24">$L$2</f>
        <v>6</v>
      </c>
      <c r="J156" s="70">
        <f t="shared" ref="J156:J161" si="25">IFERROR(IF(K156&lt;&gt;0,K156*$K$5,0),0)</f>
        <v>550</v>
      </c>
      <c r="K156" s="54">
        <f>IF(A156=0,VLOOKUP(D156,'03. Insumos'!A:F,4,0),"")</f>
        <v>550</v>
      </c>
      <c r="L156" s="338">
        <f t="shared" ref="L156:L161" si="26">H156*J156*I156</f>
        <v>0</v>
      </c>
      <c r="M156" s="153">
        <f t="shared" ca="1" si="20"/>
        <v>0</v>
      </c>
      <c r="O156" s="148">
        <f t="shared" si="22"/>
        <v>0</v>
      </c>
      <c r="R156" s="12">
        <f t="shared" si="23"/>
        <v>-16.019417475728119</v>
      </c>
    </row>
    <row r="157" spans="1:18" s="51" customFormat="1" ht="13.5" hidden="1" customHeight="1" x14ac:dyDescent="0.3">
      <c r="A157" s="290">
        <f t="shared" si="21"/>
        <v>0</v>
      </c>
      <c r="B157" s="49"/>
      <c r="C157" s="49"/>
      <c r="D157" s="140" t="s">
        <v>167</v>
      </c>
      <c r="E157" s="67" t="str">
        <f>VLOOKUP(D157,'03. Insumos'!A:D,2,0)</f>
        <v>Material de limpeza e higiene</v>
      </c>
      <c r="F157" s="68"/>
      <c r="G157" s="68" t="str">
        <f>VLOOKUP(D157,'03. Insumos'!A:F,3,0)</f>
        <v>mês</v>
      </c>
      <c r="H157" s="69"/>
      <c r="I157" s="193">
        <f t="shared" si="24"/>
        <v>6</v>
      </c>
      <c r="J157" s="70">
        <f t="shared" si="25"/>
        <v>600</v>
      </c>
      <c r="K157" s="54">
        <f>IF(A157=0,VLOOKUP(D157,'03. Insumos'!A:F,4,0),"")</f>
        <v>600</v>
      </c>
      <c r="L157" s="338">
        <f t="shared" si="26"/>
        <v>0</v>
      </c>
      <c r="M157" s="153">
        <f t="shared" ca="1" si="20"/>
        <v>0</v>
      </c>
      <c r="O157" s="148">
        <f t="shared" si="22"/>
        <v>0</v>
      </c>
      <c r="R157" s="12">
        <f t="shared" si="23"/>
        <v>-17.475728155339766</v>
      </c>
    </row>
    <row r="158" spans="1:18" s="51" customFormat="1" ht="13.5" customHeight="1" x14ac:dyDescent="0.3">
      <c r="A158" s="290">
        <f t="shared" si="21"/>
        <v>0</v>
      </c>
      <c r="B158" s="49"/>
      <c r="C158" s="49"/>
      <c r="D158" s="140" t="s">
        <v>168</v>
      </c>
      <c r="E158" s="67" t="str">
        <f>VLOOKUP(D158,'03. Insumos'!A:D,2,0)</f>
        <v>Material de higiene</v>
      </c>
      <c r="F158" s="68" t="s">
        <v>2612</v>
      </c>
      <c r="G158" s="68" t="str">
        <f>VLOOKUP(D158,'03. Insumos'!A:F,3,0)</f>
        <v>mês</v>
      </c>
      <c r="H158" s="69">
        <v>1</v>
      </c>
      <c r="I158" s="193">
        <f t="shared" si="24"/>
        <v>6</v>
      </c>
      <c r="J158" s="70">
        <f t="shared" si="25"/>
        <v>60</v>
      </c>
      <c r="K158" s="70">
        <f>IF(A158=0,VLOOKUP(D158,'03. Insumos'!A:F,4,0),"")</f>
        <v>60</v>
      </c>
      <c r="L158" s="70">
        <f t="shared" si="26"/>
        <v>360</v>
      </c>
      <c r="M158" s="153">
        <f t="shared" ca="1" si="20"/>
        <v>1.3568387756491666E-5</v>
      </c>
      <c r="O158" s="148">
        <f t="shared" si="22"/>
        <v>360</v>
      </c>
      <c r="R158" s="12">
        <f t="shared" si="23"/>
        <v>-1.7475728155339851</v>
      </c>
    </row>
    <row r="159" spans="1:18" s="51" customFormat="1" ht="13.5" hidden="1" customHeight="1" x14ac:dyDescent="0.3">
      <c r="A159" s="290">
        <f t="shared" si="21"/>
        <v>0</v>
      </c>
      <c r="B159" s="49"/>
      <c r="C159" s="49"/>
      <c r="D159" s="140" t="s">
        <v>169</v>
      </c>
      <c r="E159" s="67" t="str">
        <f>VLOOKUP(D159,'03. Insumos'!A:D,2,0)</f>
        <v>Motoboy</v>
      </c>
      <c r="F159" s="68"/>
      <c r="G159" s="68" t="str">
        <f>VLOOKUP(D159,'03. Insumos'!A:F,3,0)</f>
        <v>mês</v>
      </c>
      <c r="H159" s="69"/>
      <c r="I159" s="193">
        <f t="shared" si="24"/>
        <v>6</v>
      </c>
      <c r="J159" s="70">
        <f t="shared" si="25"/>
        <v>100</v>
      </c>
      <c r="K159" s="70">
        <f>IF(A159=0,VLOOKUP(D159,'03. Insumos'!A:F,4,0),"")</f>
        <v>100</v>
      </c>
      <c r="L159" s="70">
        <f t="shared" si="26"/>
        <v>0</v>
      </c>
      <c r="M159" s="153">
        <f t="shared" ca="1" si="20"/>
        <v>0</v>
      </c>
      <c r="O159" s="148">
        <f t="shared" si="22"/>
        <v>0</v>
      </c>
      <c r="R159" s="12">
        <f t="shared" si="23"/>
        <v>-2.9126213592233086</v>
      </c>
    </row>
    <row r="160" spans="1:18" s="51" customFormat="1" ht="13.5" customHeight="1" x14ac:dyDescent="0.3">
      <c r="A160" s="290">
        <f t="shared" si="21"/>
        <v>0</v>
      </c>
      <c r="B160" s="49"/>
      <c r="C160" s="49"/>
      <c r="D160" s="140" t="s">
        <v>170</v>
      </c>
      <c r="E160" s="67" t="str">
        <f>VLOOKUP(D160,'03. Insumos'!A:D,2,0)</f>
        <v>Cópias e plotagens</v>
      </c>
      <c r="F160" s="68" t="s">
        <v>2612</v>
      </c>
      <c r="G160" s="68" t="str">
        <f>VLOOKUP(D160,'03. Insumos'!A:F,3,0)</f>
        <v>mês</v>
      </c>
      <c r="H160" s="69">
        <v>1</v>
      </c>
      <c r="I160" s="193">
        <f t="shared" si="24"/>
        <v>6</v>
      </c>
      <c r="J160" s="70">
        <f t="shared" si="25"/>
        <v>450</v>
      </c>
      <c r="K160" s="70">
        <f>IF(A160=0,VLOOKUP(D160,'03. Insumos'!A:F,4,0),"")</f>
        <v>450</v>
      </c>
      <c r="L160" s="70">
        <f t="shared" si="26"/>
        <v>2700</v>
      </c>
      <c r="M160" s="153">
        <f t="shared" ca="1" si="20"/>
        <v>1.0176290817368749E-4</v>
      </c>
      <c r="O160" s="148">
        <f t="shared" si="22"/>
        <v>2700</v>
      </c>
      <c r="R160" s="12">
        <f t="shared" si="23"/>
        <v>-13.106796116504881</v>
      </c>
    </row>
    <row r="161" spans="1:18" s="51" customFormat="1" ht="13.5" hidden="1" customHeight="1" x14ac:dyDescent="0.3">
      <c r="A161" s="290">
        <f t="shared" si="21"/>
        <v>0</v>
      </c>
      <c r="B161" s="49"/>
      <c r="C161" s="49"/>
      <c r="D161" s="140" t="s">
        <v>171</v>
      </c>
      <c r="E161" s="67" t="str">
        <f>VLOOKUP(D161,'03. Insumos'!A:D,2,0)</f>
        <v>Telefonia e Internet</v>
      </c>
      <c r="F161" s="68"/>
      <c r="G161" s="68" t="str">
        <f>VLOOKUP(D161,'03. Insumos'!A:F,3,0)</f>
        <v>mês</v>
      </c>
      <c r="H161" s="69"/>
      <c r="I161" s="193">
        <f t="shared" si="24"/>
        <v>6</v>
      </c>
      <c r="J161" s="70">
        <f t="shared" si="25"/>
        <v>100</v>
      </c>
      <c r="K161" s="54">
        <f>IF(A161=0,VLOOKUP(D161,'03. Insumos'!A:F,4,0),"")</f>
        <v>100</v>
      </c>
      <c r="L161" s="338">
        <f t="shared" si="26"/>
        <v>0</v>
      </c>
      <c r="M161" s="153">
        <f t="shared" ca="1" si="20"/>
        <v>0</v>
      </c>
      <c r="O161" s="148">
        <f t="shared" si="22"/>
        <v>0</v>
      </c>
      <c r="R161" s="12">
        <f t="shared" si="23"/>
        <v>-2.9126213592233086</v>
      </c>
    </row>
    <row r="162" spans="1:18" s="18" customFormat="1" ht="13.5" customHeight="1" x14ac:dyDescent="0.3">
      <c r="A162" s="290">
        <f t="shared" si="21"/>
        <v>4</v>
      </c>
      <c r="B162" s="45"/>
      <c r="C162" s="45" t="s">
        <v>64</v>
      </c>
      <c r="D162" s="45" t="s">
        <v>65</v>
      </c>
      <c r="E162" s="347"/>
      <c r="F162" s="327"/>
      <c r="G162" s="329"/>
      <c r="H162" s="330"/>
      <c r="I162" s="47"/>
      <c r="J162" s="336"/>
      <c r="K162" s="48" t="str">
        <f>IF(A162=0,VLOOKUP(D162,'03. Insumos'!A:F,4,0),"")</f>
        <v/>
      </c>
      <c r="L162" s="335">
        <f>SUMIF(A163:A165,6,L163:L165)</f>
        <v>9600</v>
      </c>
      <c r="M162" s="153">
        <f t="shared" ca="1" si="20"/>
        <v>3.618236735064444E-4</v>
      </c>
      <c r="O162" s="148">
        <f t="shared" si="22"/>
        <v>0</v>
      </c>
      <c r="R162" s="12">
        <f t="shared" si="23"/>
        <v>0</v>
      </c>
    </row>
    <row r="163" spans="1:18" ht="13.5" customHeight="1" x14ac:dyDescent="0.3">
      <c r="A163" s="290">
        <f t="shared" si="21"/>
        <v>6</v>
      </c>
      <c r="B163" s="4"/>
      <c r="C163" s="4" t="s">
        <v>927</v>
      </c>
      <c r="D163" s="4" t="s">
        <v>66</v>
      </c>
      <c r="E163" s="55"/>
      <c r="F163" s="56"/>
      <c r="G163" s="56"/>
      <c r="H163" s="57"/>
      <c r="I163" s="29"/>
      <c r="J163" s="58"/>
      <c r="K163" s="27" t="str">
        <f>IF(A163=0,VLOOKUP(D163,'03. Insumos'!A:F,4,0),"")</f>
        <v/>
      </c>
      <c r="L163" s="58">
        <f>SUM(L164:L165)</f>
        <v>9600</v>
      </c>
      <c r="M163" s="153">
        <f t="shared" ca="1" si="20"/>
        <v>3.618236735064444E-4</v>
      </c>
      <c r="O163" s="148">
        <f t="shared" si="22"/>
        <v>0</v>
      </c>
      <c r="R163" s="12">
        <f t="shared" si="23"/>
        <v>0</v>
      </c>
    </row>
    <row r="164" spans="1:18" s="51" customFormat="1" ht="13.5" customHeight="1" x14ac:dyDescent="0.3">
      <c r="A164" s="290">
        <f t="shared" si="21"/>
        <v>0</v>
      </c>
      <c r="B164" s="49"/>
      <c r="C164" s="49"/>
      <c r="D164" s="140" t="s">
        <v>172</v>
      </c>
      <c r="E164" s="67" t="str">
        <f>VLOOKUP(D164,'03. Insumos'!A:D,2,0)</f>
        <v>Caçamba para entulho</v>
      </c>
      <c r="F164" s="68" t="s">
        <v>2612</v>
      </c>
      <c r="G164" s="68" t="str">
        <f>VLOOKUP(D164,'03. Insumos'!A:F,3,0)</f>
        <v>uni</v>
      </c>
      <c r="H164" s="69">
        <v>1</v>
      </c>
      <c r="I164" s="141">
        <f>(2*4*2)+(1*4*2)</f>
        <v>24</v>
      </c>
      <c r="J164" s="70">
        <f>IFERROR(IF(K164&lt;&gt;0,K164*$K$5,0),0)</f>
        <v>400</v>
      </c>
      <c r="K164" s="70">
        <f>IF(A164=0,VLOOKUP(D164,'03. Insumos'!A:F,4,0),"")</f>
        <v>400</v>
      </c>
      <c r="L164" s="70">
        <f>H164*J164*I164</f>
        <v>9600</v>
      </c>
      <c r="M164" s="153">
        <f t="shared" ca="1" si="20"/>
        <v>3.618236735064444E-4</v>
      </c>
      <c r="O164" s="148">
        <f t="shared" si="22"/>
        <v>9600</v>
      </c>
      <c r="R164" s="12">
        <f t="shared" si="23"/>
        <v>-11.650485436893234</v>
      </c>
    </row>
    <row r="165" spans="1:18" s="51" customFormat="1" ht="13.5" hidden="1" customHeight="1" x14ac:dyDescent="0.3">
      <c r="A165" s="290">
        <f t="shared" si="21"/>
        <v>0</v>
      </c>
      <c r="B165" s="49"/>
      <c r="C165" s="49"/>
      <c r="D165" s="140" t="s">
        <v>173</v>
      </c>
      <c r="E165" s="67" t="str">
        <f>VLOOKUP(D165,'03. Insumos'!A:D,2,0)</f>
        <v>Caçamba Classe D</v>
      </c>
      <c r="F165" s="68"/>
      <c r="G165" s="68" t="str">
        <f>VLOOKUP(D165,'03. Insumos'!A:F,3,0)</f>
        <v>uni</v>
      </c>
      <c r="H165" s="69">
        <v>1</v>
      </c>
      <c r="I165" s="141"/>
      <c r="J165" s="70">
        <f>IFERROR(IF(K165&lt;&gt;0,K165*$K$5,0),0)</f>
        <v>700</v>
      </c>
      <c r="K165" s="54">
        <f>IF(A165=0,VLOOKUP(D165,'03. Insumos'!A:F,4,0),"")</f>
        <v>700</v>
      </c>
      <c r="L165" s="338">
        <f>H165*J165*I165</f>
        <v>0</v>
      </c>
      <c r="M165" s="153">
        <f t="shared" ca="1" si="20"/>
        <v>0</v>
      </c>
      <c r="O165" s="148">
        <f t="shared" si="22"/>
        <v>0</v>
      </c>
      <c r="R165" s="12">
        <f t="shared" si="23"/>
        <v>-20.388349514563174</v>
      </c>
    </row>
    <row r="166" spans="1:18" s="18" customFormat="1" ht="13.5" customHeight="1" x14ac:dyDescent="0.3">
      <c r="A166" s="290">
        <f t="shared" si="21"/>
        <v>4</v>
      </c>
      <c r="B166" s="45"/>
      <c r="C166" s="45" t="s">
        <v>68</v>
      </c>
      <c r="D166" s="45" t="s">
        <v>69</v>
      </c>
      <c r="E166" s="347"/>
      <c r="F166" s="327"/>
      <c r="G166" s="329"/>
      <c r="H166" s="330"/>
      <c r="I166" s="47"/>
      <c r="J166" s="336"/>
      <c r="K166" s="48" t="str">
        <f>IF(A166=0,VLOOKUP(D166,'03. Insumos'!A:F,4,0),"")</f>
        <v/>
      </c>
      <c r="L166" s="335">
        <f>SUMIF(A167:A172,6,L167:L172)</f>
        <v>2400</v>
      </c>
      <c r="M166" s="153">
        <f t="shared" ca="1" si="20"/>
        <v>9.0455918376611101E-5</v>
      </c>
      <c r="O166" s="148">
        <f t="shared" si="22"/>
        <v>0</v>
      </c>
      <c r="R166" s="12">
        <f t="shared" si="23"/>
        <v>0</v>
      </c>
    </row>
    <row r="167" spans="1:18" ht="13.5" hidden="1" customHeight="1" x14ac:dyDescent="0.3">
      <c r="A167" s="290">
        <f t="shared" si="21"/>
        <v>6</v>
      </c>
      <c r="B167" s="4"/>
      <c r="C167" s="4" t="s">
        <v>928</v>
      </c>
      <c r="D167" s="4" t="s">
        <v>70</v>
      </c>
      <c r="E167" s="55"/>
      <c r="F167" s="56"/>
      <c r="G167" s="56"/>
      <c r="H167" s="57"/>
      <c r="I167" s="29"/>
      <c r="J167" s="58"/>
      <c r="K167" s="27" t="str">
        <f>IF(A167=0,VLOOKUP(D167,'03. Insumos'!A:F,4,0),"")</f>
        <v/>
      </c>
      <c r="L167" s="58">
        <f>SUM(L168)</f>
        <v>0</v>
      </c>
      <c r="M167" s="153">
        <f t="shared" ca="1" si="20"/>
        <v>0</v>
      </c>
      <c r="O167" s="148">
        <f t="shared" si="22"/>
        <v>0</v>
      </c>
      <c r="R167" s="12">
        <f t="shared" si="23"/>
        <v>0</v>
      </c>
    </row>
    <row r="168" spans="1:18" s="51" customFormat="1" ht="13.5" hidden="1" customHeight="1" x14ac:dyDescent="0.3">
      <c r="A168" s="290">
        <f t="shared" si="21"/>
        <v>0</v>
      </c>
      <c r="B168" s="49"/>
      <c r="C168" s="49"/>
      <c r="D168" s="140" t="s">
        <v>174</v>
      </c>
      <c r="E168" s="67" t="str">
        <f>VLOOKUP(D168,'03. Insumos'!A:D,2,0)</f>
        <v>Caixinha de Obra</v>
      </c>
      <c r="F168" s="68"/>
      <c r="G168" s="68" t="str">
        <f>VLOOKUP(D168,'03. Insumos'!A:F,3,0)</f>
        <v>mês</v>
      </c>
      <c r="H168" s="69"/>
      <c r="I168" s="193">
        <f>L2</f>
        <v>6</v>
      </c>
      <c r="J168" s="70">
        <f>IFERROR(IF(K168&lt;&gt;0,K168*$K$5,0),0)</f>
        <v>1000</v>
      </c>
      <c r="K168" s="54">
        <f>IF(A168=0,VLOOKUP(D168,'03. Insumos'!A:F,4,0),"")</f>
        <v>1000</v>
      </c>
      <c r="L168" s="338">
        <f>H168*J168*I168</f>
        <v>0</v>
      </c>
      <c r="M168" s="153">
        <f t="shared" ca="1" si="20"/>
        <v>0</v>
      </c>
      <c r="O168" s="148">
        <f t="shared" si="22"/>
        <v>0</v>
      </c>
      <c r="R168" s="12">
        <f t="shared" si="23"/>
        <v>-29.126213592233057</v>
      </c>
    </row>
    <row r="169" spans="1:18" ht="13.5" hidden="1" customHeight="1" x14ac:dyDescent="0.3">
      <c r="A169" s="290">
        <f t="shared" si="21"/>
        <v>6</v>
      </c>
      <c r="B169" s="4"/>
      <c r="C169" s="4" t="s">
        <v>987</v>
      </c>
      <c r="D169" s="4" t="s">
        <v>988</v>
      </c>
      <c r="E169" s="55"/>
      <c r="F169" s="56"/>
      <c r="G169" s="56"/>
      <c r="H169" s="57"/>
      <c r="I169" s="29"/>
      <c r="J169" s="58"/>
      <c r="K169" s="27" t="str">
        <f>IF(A169=0,VLOOKUP(D169,'03. Insumos'!A:F,4,0),"")</f>
        <v/>
      </c>
      <c r="L169" s="58">
        <f>SUM(L170)</f>
        <v>0</v>
      </c>
      <c r="M169" s="153">
        <f t="shared" ca="1" si="20"/>
        <v>0</v>
      </c>
      <c r="O169" s="148">
        <f t="shared" si="22"/>
        <v>0</v>
      </c>
      <c r="R169" s="12">
        <f t="shared" si="23"/>
        <v>0</v>
      </c>
    </row>
    <row r="170" spans="1:18" s="51" customFormat="1" ht="13.5" hidden="1" customHeight="1" x14ac:dyDescent="0.3">
      <c r="A170" s="290">
        <f t="shared" si="21"/>
        <v>0</v>
      </c>
      <c r="B170" s="49"/>
      <c r="C170" s="49"/>
      <c r="D170" s="140"/>
      <c r="E170" s="67" t="s">
        <v>988</v>
      </c>
      <c r="F170" s="68"/>
      <c r="G170" s="68" t="s">
        <v>29</v>
      </c>
      <c r="H170" s="69"/>
      <c r="I170" s="193">
        <f>L2</f>
        <v>6</v>
      </c>
      <c r="J170" s="70">
        <f>IFERROR(IF(K170&lt;&gt;0,K170*$K$5,0),0)</f>
        <v>200</v>
      </c>
      <c r="K170" s="54">
        <f>200</f>
        <v>200</v>
      </c>
      <c r="L170" s="338">
        <f>H170*J170*I170</f>
        <v>0</v>
      </c>
      <c r="M170" s="153">
        <f t="shared" ca="1" si="20"/>
        <v>0</v>
      </c>
      <c r="O170" s="148">
        <f t="shared" si="22"/>
        <v>0</v>
      </c>
      <c r="R170" s="12">
        <f t="shared" si="23"/>
        <v>-5.8252427184466171</v>
      </c>
    </row>
    <row r="171" spans="1:18" ht="13.5" customHeight="1" x14ac:dyDescent="0.3">
      <c r="A171" s="290">
        <f t="shared" si="21"/>
        <v>6</v>
      </c>
      <c r="B171" s="4"/>
      <c r="C171" s="4" t="s">
        <v>989</v>
      </c>
      <c r="D171" s="4" t="s">
        <v>990</v>
      </c>
      <c r="E171" s="55"/>
      <c r="F171" s="56"/>
      <c r="G171" s="56"/>
      <c r="H171" s="57"/>
      <c r="I171" s="197"/>
      <c r="J171" s="58"/>
      <c r="K171" s="27" t="str">
        <f>IF(A171=0,VLOOKUP(D171,'03. Insumos'!A:F,4,0),"")</f>
        <v/>
      </c>
      <c r="L171" s="58">
        <f>SUM(L172:L172)</f>
        <v>2400</v>
      </c>
      <c r="M171" s="153">
        <f t="shared" ca="1" si="20"/>
        <v>9.0455918376611101E-5</v>
      </c>
      <c r="O171" s="148"/>
      <c r="R171" s="12">
        <f t="shared" si="23"/>
        <v>0</v>
      </c>
    </row>
    <row r="172" spans="1:18" s="51" customFormat="1" ht="13.5" customHeight="1" x14ac:dyDescent="0.3">
      <c r="A172" s="290">
        <f t="shared" si="21"/>
        <v>0</v>
      </c>
      <c r="B172" s="49"/>
      <c r="C172" s="49"/>
      <c r="D172" s="140"/>
      <c r="E172" s="67" t="s">
        <v>991</v>
      </c>
      <c r="F172" s="68" t="s">
        <v>2612</v>
      </c>
      <c r="G172" s="68" t="s">
        <v>37</v>
      </c>
      <c r="H172" s="69">
        <v>1</v>
      </c>
      <c r="I172" s="193">
        <f>L2</f>
        <v>6</v>
      </c>
      <c r="J172" s="70">
        <f>IFERROR(IF(K172&lt;&gt;0,K172*$K$5,0),0)</f>
        <v>400</v>
      </c>
      <c r="K172" s="70">
        <v>400</v>
      </c>
      <c r="L172" s="70">
        <f>H172*J172*I172</f>
        <v>2400</v>
      </c>
      <c r="M172" s="153">
        <f t="shared" ca="1" si="20"/>
        <v>9.0455918376611101E-5</v>
      </c>
      <c r="O172" s="148">
        <f t="shared" ref="O172:O235" si="27">IF(I172&lt;&gt;0,I172*H172*K172,)</f>
        <v>2400</v>
      </c>
      <c r="R172" s="12">
        <f t="shared" si="23"/>
        <v>-11.650485436893234</v>
      </c>
    </row>
    <row r="173" spans="1:18" s="18" customFormat="1" ht="13.5" hidden="1" customHeight="1" x14ac:dyDescent="0.3">
      <c r="A173" s="290">
        <f t="shared" si="21"/>
        <v>4</v>
      </c>
      <c r="B173" s="45"/>
      <c r="C173" s="45" t="s">
        <v>1362</v>
      </c>
      <c r="D173" s="45" t="s">
        <v>1363</v>
      </c>
      <c r="E173" s="347"/>
      <c r="F173" s="327"/>
      <c r="G173" s="329"/>
      <c r="H173" s="330"/>
      <c r="I173" s="47"/>
      <c r="J173" s="336"/>
      <c r="K173" s="48" t="str">
        <f>IF(A173=0,VLOOKUP(D173,'03. Insumos'!A:F,4,0),"")</f>
        <v/>
      </c>
      <c r="L173" s="335">
        <f>SUMIF(A174:A176,6,L174:L176)</f>
        <v>0</v>
      </c>
      <c r="M173" s="153">
        <f t="shared" ca="1" si="20"/>
        <v>0</v>
      </c>
      <c r="O173" s="148">
        <f t="shared" si="27"/>
        <v>0</v>
      </c>
      <c r="R173" s="12">
        <f t="shared" si="23"/>
        <v>0</v>
      </c>
    </row>
    <row r="174" spans="1:18" ht="13.5" hidden="1" customHeight="1" x14ac:dyDescent="0.3">
      <c r="A174" s="290">
        <f t="shared" si="21"/>
        <v>6</v>
      </c>
      <c r="B174" s="4"/>
      <c r="C174" s="4" t="s">
        <v>928</v>
      </c>
      <c r="D174" s="4" t="s">
        <v>1363</v>
      </c>
      <c r="E174" s="55"/>
      <c r="F174" s="56"/>
      <c r="G174" s="56"/>
      <c r="H174" s="57"/>
      <c r="I174" s="29"/>
      <c r="J174" s="58"/>
      <c r="K174" s="27" t="str">
        <f>IF(A174=0,VLOOKUP(D174,'03. Insumos'!A:F,4,0),"")</f>
        <v/>
      </c>
      <c r="L174" s="58">
        <f>SUM(L175:L176)</f>
        <v>0</v>
      </c>
      <c r="M174" s="153">
        <f t="shared" ca="1" si="20"/>
        <v>0</v>
      </c>
      <c r="O174" s="148">
        <f t="shared" si="27"/>
        <v>0</v>
      </c>
      <c r="R174" s="12">
        <f t="shared" si="23"/>
        <v>0</v>
      </c>
    </row>
    <row r="175" spans="1:18" s="51" customFormat="1" ht="13.5" hidden="1" customHeight="1" x14ac:dyDescent="0.3">
      <c r="A175" s="290">
        <f t="shared" si="21"/>
        <v>0</v>
      </c>
      <c r="B175" s="49"/>
      <c r="C175" s="49"/>
      <c r="D175" s="140"/>
      <c r="E175" s="67" t="s">
        <v>1364</v>
      </c>
      <c r="F175" s="68"/>
      <c r="G175" s="68" t="s">
        <v>37</v>
      </c>
      <c r="H175" s="69"/>
      <c r="I175" s="193">
        <f>L2</f>
        <v>6</v>
      </c>
      <c r="J175" s="70">
        <f>IFERROR(IF(K175&lt;&gt;0,K175*$K$5,0),0)</f>
        <v>2000</v>
      </c>
      <c r="K175" s="54">
        <f>2000</f>
        <v>2000</v>
      </c>
      <c r="L175" s="338">
        <f>H175*J175*I175</f>
        <v>0</v>
      </c>
      <c r="M175" s="153">
        <f t="shared" ca="1" si="20"/>
        <v>0</v>
      </c>
      <c r="O175" s="148">
        <f t="shared" si="27"/>
        <v>0</v>
      </c>
      <c r="R175" s="12">
        <f t="shared" si="23"/>
        <v>-58.252427184466114</v>
      </c>
    </row>
    <row r="176" spans="1:18" s="51" customFormat="1" ht="13.5" hidden="1" customHeight="1" x14ac:dyDescent="0.3">
      <c r="A176" s="290">
        <f t="shared" si="21"/>
        <v>0</v>
      </c>
      <c r="B176" s="49"/>
      <c r="C176" s="49"/>
      <c r="D176" s="140"/>
      <c r="E176" s="67" t="s">
        <v>1365</v>
      </c>
      <c r="F176" s="68"/>
      <c r="G176" s="68" t="s">
        <v>37</v>
      </c>
      <c r="H176" s="69"/>
      <c r="I176" s="193">
        <f>L2</f>
        <v>6</v>
      </c>
      <c r="J176" s="70">
        <f>IFERROR(IF(K176&lt;&gt;0,K176*$K$5,0),0)</f>
        <v>3000</v>
      </c>
      <c r="K176" s="54">
        <f>3000</f>
        <v>3000</v>
      </c>
      <c r="L176" s="338">
        <f>H176*J176*I176</f>
        <v>0</v>
      </c>
      <c r="M176" s="153">
        <f t="shared" ca="1" si="20"/>
        <v>0</v>
      </c>
      <c r="O176" s="148">
        <f t="shared" si="27"/>
        <v>0</v>
      </c>
      <c r="R176" s="12">
        <f t="shared" si="23"/>
        <v>-87.378640776699285</v>
      </c>
    </row>
    <row r="177" spans="1:18" ht="13.5" customHeight="1" x14ac:dyDescent="0.3">
      <c r="A177" s="290">
        <f t="shared" si="21"/>
        <v>1</v>
      </c>
      <c r="B177" s="20"/>
      <c r="C177" s="20" t="s">
        <v>353</v>
      </c>
      <c r="D177" s="20" t="s">
        <v>260</v>
      </c>
      <c r="E177" s="389"/>
      <c r="F177" s="331"/>
      <c r="G177" s="331"/>
      <c r="H177" s="332"/>
      <c r="I177" s="28"/>
      <c r="J177" s="337"/>
      <c r="K177" s="26"/>
      <c r="L177" s="26">
        <f ca="1">SUMIF(A178:A929,4,L178:L929)</f>
        <v>26335663.029058836</v>
      </c>
      <c r="M177" s="153">
        <f t="shared" ca="1" si="20"/>
        <v>0.99259024389603367</v>
      </c>
      <c r="O177" s="148">
        <f t="shared" si="27"/>
        <v>0</v>
      </c>
      <c r="R177" s="12">
        <f t="shared" si="23"/>
        <v>0</v>
      </c>
    </row>
    <row r="178" spans="1:18" s="18" customFormat="1" ht="13.5" customHeight="1" x14ac:dyDescent="0.3">
      <c r="A178" s="290">
        <f t="shared" si="21"/>
        <v>3</v>
      </c>
      <c r="B178" s="35"/>
      <c r="C178" s="35" t="s">
        <v>343</v>
      </c>
      <c r="D178" s="35" t="s">
        <v>2910</v>
      </c>
      <c r="E178" s="390"/>
      <c r="F178" s="323"/>
      <c r="G178" s="323"/>
      <c r="H178" s="324"/>
      <c r="I178" s="37"/>
      <c r="J178" s="333"/>
      <c r="K178" s="38"/>
      <c r="L178" s="333">
        <f>SUMIF(A179:A184,4,L179:L184)</f>
        <v>525520</v>
      </c>
      <c r="M178" s="153">
        <f t="shared" ca="1" si="20"/>
        <v>1.9806830927198611E-2</v>
      </c>
      <c r="O178" s="148">
        <f t="shared" si="27"/>
        <v>0</v>
      </c>
      <c r="R178" s="12">
        <f t="shared" si="23"/>
        <v>0</v>
      </c>
    </row>
    <row r="179" spans="1:18" s="18" customFormat="1" ht="5.4" customHeight="1" outlineLevel="1" x14ac:dyDescent="0.3">
      <c r="A179" s="290">
        <f t="shared" si="21"/>
        <v>0</v>
      </c>
      <c r="B179" s="63"/>
      <c r="C179" s="63"/>
      <c r="D179" s="63"/>
      <c r="E179" s="391"/>
      <c r="F179" s="325"/>
      <c r="G179" s="325"/>
      <c r="H179" s="326"/>
      <c r="I179" s="65"/>
      <c r="J179" s="334">
        <f>IFERROR(IF(K179&lt;&gt;0,K179*$K$5,0),0)</f>
        <v>0</v>
      </c>
      <c r="K179" s="66" t="e">
        <f>IF(A179=0,VLOOKUP(D179,'03. Insumos'!A:F,4,0),"")</f>
        <v>#N/A</v>
      </c>
      <c r="L179" s="334"/>
      <c r="M179" s="153">
        <f t="shared" ca="1" si="20"/>
        <v>0</v>
      </c>
      <c r="O179" s="148">
        <f t="shared" si="27"/>
        <v>0</v>
      </c>
      <c r="R179" s="12">
        <f t="shared" si="23"/>
        <v>0</v>
      </c>
    </row>
    <row r="180" spans="1:18" s="18" customFormat="1" ht="13.5" customHeight="1" outlineLevel="1" x14ac:dyDescent="0.3">
      <c r="A180" s="290">
        <f t="shared" si="21"/>
        <v>4</v>
      </c>
      <c r="B180" s="45"/>
      <c r="C180" s="45" t="s">
        <v>378</v>
      </c>
      <c r="D180" s="45" t="s">
        <v>2841</v>
      </c>
      <c r="E180" s="347"/>
      <c r="F180" s="327"/>
      <c r="G180" s="329"/>
      <c r="H180" s="330"/>
      <c r="I180" s="47"/>
      <c r="J180" s="336"/>
      <c r="K180" s="48" t="str">
        <f>IF(A180=0,VLOOKUP(D180,'03. Insumos'!A:F,4,0),"")</f>
        <v/>
      </c>
      <c r="L180" s="335">
        <f>SUMIF(A181:A184,6,L181:L184)</f>
        <v>525520</v>
      </c>
      <c r="M180" s="153">
        <f t="shared" ca="1" si="20"/>
        <v>1.9806830927198611E-2</v>
      </c>
      <c r="O180" s="148">
        <f t="shared" si="27"/>
        <v>0</v>
      </c>
      <c r="R180" s="12">
        <f t="shared" si="23"/>
        <v>0</v>
      </c>
    </row>
    <row r="181" spans="1:18" ht="13.5" customHeight="1" outlineLevel="1" x14ac:dyDescent="0.3">
      <c r="A181" s="290">
        <f t="shared" si="21"/>
        <v>6</v>
      </c>
      <c r="B181" s="4"/>
      <c r="C181" s="4" t="s">
        <v>929</v>
      </c>
      <c r="D181" s="4" t="s">
        <v>2841</v>
      </c>
      <c r="E181" s="55"/>
      <c r="F181" s="56"/>
      <c r="G181" s="56"/>
      <c r="H181" s="57"/>
      <c r="I181" s="29"/>
      <c r="J181" s="58"/>
      <c r="K181" s="27" t="str">
        <f>IF(A181=0,VLOOKUP(D181,'03. Insumos'!A:F,4,0),"")</f>
        <v/>
      </c>
      <c r="L181" s="58">
        <f>SUM(L182:L184)</f>
        <v>525520</v>
      </c>
      <c r="M181" s="153">
        <f t="shared" ca="1" si="20"/>
        <v>1.9806830927198611E-2</v>
      </c>
      <c r="O181" s="148">
        <f t="shared" si="27"/>
        <v>0</v>
      </c>
      <c r="R181" s="12">
        <f t="shared" si="23"/>
        <v>0</v>
      </c>
    </row>
    <row r="182" spans="1:18" s="51" customFormat="1" ht="13.5" customHeight="1" outlineLevel="1" x14ac:dyDescent="0.3">
      <c r="A182" s="290">
        <f>LEN(C182)</f>
        <v>0</v>
      </c>
      <c r="B182" s="49"/>
      <c r="C182" s="49"/>
      <c r="D182" s="140" t="s">
        <v>2913</v>
      </c>
      <c r="E182" s="67" t="str">
        <f>VLOOKUP(D182,'03. Insumos'!A:D,2,0)</f>
        <v>Demolição Diversos - MO</v>
      </c>
      <c r="F182" s="68" t="s">
        <v>2612</v>
      </c>
      <c r="G182" s="68" t="str">
        <f>VLOOKUP(D182,'03. Insumos'!A:F,3,0)</f>
        <v>vb</v>
      </c>
      <c r="H182" s="69">
        <v>1</v>
      </c>
      <c r="I182" s="141">
        <f>4*1</f>
        <v>4</v>
      </c>
      <c r="J182" s="70">
        <f>IFERROR(IF(K182&lt;&gt;0,K182*$K$5,0),0)</f>
        <v>130000</v>
      </c>
      <c r="K182" s="70">
        <f>IF(A182=0,VLOOKUP(D182,'03. Insumos'!A:F,4,0),"")</f>
        <v>130000</v>
      </c>
      <c r="L182" s="70">
        <f>H182*J182*I182</f>
        <v>520000</v>
      </c>
      <c r="M182" s="153">
        <f ca="1">L182/$L$7</f>
        <v>1.9598782314932405E-2</v>
      </c>
      <c r="O182" s="148">
        <f t="shared" si="27"/>
        <v>520000</v>
      </c>
      <c r="R182" s="12">
        <f>IF(J182&lt;&gt;0,J182/1.03-K182,0)</f>
        <v>-3786.4077669902908</v>
      </c>
    </row>
    <row r="183" spans="1:18" s="51" customFormat="1" ht="13.5" customHeight="1" outlineLevel="1" x14ac:dyDescent="0.3">
      <c r="A183" s="290">
        <f>LEN(C183)</f>
        <v>0</v>
      </c>
      <c r="B183" s="49"/>
      <c r="C183" s="49"/>
      <c r="D183" s="140" t="s">
        <v>2914</v>
      </c>
      <c r="E183" s="67" t="str">
        <f>VLOOKUP(D183,'03. Insumos'!A:D,2,0)</f>
        <v>Demolição - Caçambas</v>
      </c>
      <c r="F183" s="68" t="s">
        <v>2612</v>
      </c>
      <c r="G183" s="68" t="str">
        <f>VLOOKUP(D183,'03. Insumos'!A:F,3,0)</f>
        <v>unid</v>
      </c>
      <c r="H183" s="69">
        <v>1</v>
      </c>
      <c r="I183" s="141">
        <f>(3*4)</f>
        <v>12</v>
      </c>
      <c r="J183" s="70">
        <f>IFERROR(IF(K183&lt;&gt;0,K183*$K$5,0),0)</f>
        <v>300</v>
      </c>
      <c r="K183" s="70">
        <f>IF(A183=0,VLOOKUP(D183,'03. Insumos'!A:F,4,0),"")</f>
        <v>300</v>
      </c>
      <c r="L183" s="70">
        <f>H183*J183*I183</f>
        <v>3600</v>
      </c>
      <c r="M183" s="153">
        <f ca="1">L183/$L$7</f>
        <v>1.3568387756491667E-4</v>
      </c>
      <c r="O183" s="148">
        <f t="shared" si="27"/>
        <v>3600</v>
      </c>
      <c r="R183" s="12">
        <f>IF(J183&lt;&gt;0,J183/1.03-K183,0)</f>
        <v>-8.737864077669883</v>
      </c>
    </row>
    <row r="184" spans="1:18" s="51" customFormat="1" ht="13.5" customHeight="1" outlineLevel="1" x14ac:dyDescent="0.3">
      <c r="A184" s="290"/>
      <c r="B184" s="49"/>
      <c r="C184" s="49"/>
      <c r="D184" s="140" t="s">
        <v>2915</v>
      </c>
      <c r="E184" s="67" t="str">
        <f>VLOOKUP(D184,'03. Insumos'!A:D,2,0)</f>
        <v>Demolição - Ferramentas</v>
      </c>
      <c r="F184" s="68" t="s">
        <v>2612</v>
      </c>
      <c r="G184" s="68" t="str">
        <f>VLOOKUP(D184,'03. Insumos'!A:F,3,0)</f>
        <v>unid</v>
      </c>
      <c r="H184" s="69">
        <v>1</v>
      </c>
      <c r="I184" s="141">
        <f>I182</f>
        <v>4</v>
      </c>
      <c r="J184" s="70">
        <f>IFERROR(IF(K184&lt;&gt;0,K184*$K$5,0),0)</f>
        <v>480</v>
      </c>
      <c r="K184" s="70">
        <f>IF(A184=0,VLOOKUP(D184,'03. Insumos'!A:F,4,0),"")</f>
        <v>480</v>
      </c>
      <c r="L184" s="70">
        <f>H184*J184*I184</f>
        <v>1920</v>
      </c>
      <c r="M184" s="153"/>
      <c r="O184" s="148"/>
      <c r="R184" s="12"/>
    </row>
    <row r="185" spans="1:18" s="18" customFormat="1" ht="13.5" customHeight="1" x14ac:dyDescent="0.3">
      <c r="A185" s="290">
        <f t="shared" si="21"/>
        <v>3</v>
      </c>
      <c r="B185" s="35"/>
      <c r="C185" s="35" t="s">
        <v>344</v>
      </c>
      <c r="D185" s="35" t="s">
        <v>114</v>
      </c>
      <c r="E185" s="390"/>
      <c r="F185" s="323"/>
      <c r="G185" s="323"/>
      <c r="H185" s="324"/>
      <c r="I185" s="37"/>
      <c r="J185" s="333"/>
      <c r="K185" s="38"/>
      <c r="L185" s="333">
        <f>SUMIF(A186:A215,4,L186:L215)</f>
        <v>0</v>
      </c>
      <c r="M185" s="153">
        <f t="shared" ca="1" si="20"/>
        <v>0</v>
      </c>
      <c r="O185" s="148">
        <f t="shared" si="27"/>
        <v>0</v>
      </c>
      <c r="R185" s="12">
        <f t="shared" si="23"/>
        <v>0</v>
      </c>
    </row>
    <row r="186" spans="1:18" s="18" customFormat="1" ht="5.4" hidden="1" customHeight="1" outlineLevel="1" x14ac:dyDescent="0.3">
      <c r="A186" s="290">
        <f t="shared" si="21"/>
        <v>0</v>
      </c>
      <c r="B186" s="63"/>
      <c r="C186" s="63"/>
      <c r="D186" s="63"/>
      <c r="E186" s="391"/>
      <c r="F186" s="325"/>
      <c r="G186" s="325"/>
      <c r="H186" s="326"/>
      <c r="I186" s="65"/>
      <c r="J186" s="334">
        <f>IFERROR(IF(K186&lt;&gt;0,K186*$K$5,0),0)</f>
        <v>0</v>
      </c>
      <c r="K186" s="66" t="e">
        <f>IF(A186=0,VLOOKUP(D186,'03. Insumos'!A:F,4,0),"")</f>
        <v>#N/A</v>
      </c>
      <c r="L186" s="334"/>
      <c r="M186" s="153">
        <f t="shared" ca="1" si="20"/>
        <v>0</v>
      </c>
      <c r="O186" s="148">
        <f t="shared" si="27"/>
        <v>0</v>
      </c>
      <c r="R186" s="12">
        <f t="shared" si="23"/>
        <v>0</v>
      </c>
    </row>
    <row r="187" spans="1:18" s="18" customFormat="1" ht="13.5" hidden="1" customHeight="1" outlineLevel="1" x14ac:dyDescent="0.3">
      <c r="A187" s="290">
        <f t="shared" si="21"/>
        <v>4</v>
      </c>
      <c r="B187" s="45"/>
      <c r="C187" s="45" t="s">
        <v>377</v>
      </c>
      <c r="D187" s="45" t="s">
        <v>107</v>
      </c>
      <c r="E187" s="347"/>
      <c r="F187" s="327"/>
      <c r="G187" s="329"/>
      <c r="H187" s="330"/>
      <c r="I187" s="47"/>
      <c r="J187" s="336"/>
      <c r="K187" s="48" t="str">
        <f>IF(A187=0,VLOOKUP(D187,'03. Insumos'!A:F,4,0),"")</f>
        <v/>
      </c>
      <c r="L187" s="335">
        <f>SUMIF(A188:A215,6,L188:L215)</f>
        <v>0</v>
      </c>
      <c r="M187" s="153">
        <f t="shared" ca="1" si="20"/>
        <v>0</v>
      </c>
      <c r="O187" s="148">
        <f t="shared" si="27"/>
        <v>0</v>
      </c>
      <c r="R187" s="12">
        <f t="shared" si="23"/>
        <v>0</v>
      </c>
    </row>
    <row r="188" spans="1:18" ht="13.5" hidden="1" customHeight="1" outlineLevel="1" x14ac:dyDescent="0.3">
      <c r="A188" s="290">
        <f t="shared" si="21"/>
        <v>6</v>
      </c>
      <c r="B188" s="4"/>
      <c r="C188" s="4" t="s">
        <v>930</v>
      </c>
      <c r="D188" s="4" t="s">
        <v>2278</v>
      </c>
      <c r="E188" s="55"/>
      <c r="F188" s="56"/>
      <c r="G188" s="56"/>
      <c r="H188" s="57"/>
      <c r="I188" s="29"/>
      <c r="J188" s="58"/>
      <c r="K188" s="27" t="str">
        <f>IF(A188=0,VLOOKUP(D188,'03. Insumos'!A:F,4,0),"")</f>
        <v/>
      </c>
      <c r="L188" s="58">
        <f>SUM(L189:L202)</f>
        <v>0</v>
      </c>
      <c r="M188" s="153">
        <f t="shared" ca="1" si="20"/>
        <v>0</v>
      </c>
      <c r="O188" s="148">
        <f t="shared" si="27"/>
        <v>0</v>
      </c>
      <c r="R188" s="12">
        <f t="shared" si="23"/>
        <v>0</v>
      </c>
    </row>
    <row r="189" spans="1:18" ht="13.5" hidden="1" customHeight="1" outlineLevel="1" x14ac:dyDescent="0.3">
      <c r="A189" s="290">
        <f t="shared" si="21"/>
        <v>0</v>
      </c>
      <c r="B189" s="4"/>
      <c r="C189" s="4"/>
      <c r="D189" s="140" t="s">
        <v>2257</v>
      </c>
      <c r="E189" s="67" t="str">
        <f>VLOOKUP(D189,'03. Insumos'!A:D,2,0)</f>
        <v>Mobilização equipamento sondagem</v>
      </c>
      <c r="F189" s="68"/>
      <c r="G189" s="68" t="str">
        <f>VLOOKUP(D189,'03. Insumos'!A:F,3,0)</f>
        <v>vb</v>
      </c>
      <c r="H189" s="69">
        <v>1</v>
      </c>
      <c r="I189" s="141"/>
      <c r="J189" s="70">
        <f t="shared" ref="J189:J215" si="28">IFERROR(IF(K189&lt;&gt;0,K189*$K$5,0),0)</f>
        <v>900</v>
      </c>
      <c r="K189" s="54">
        <f>IF(A189=0,VLOOKUP(D189,'03. Insumos'!A:F,4,0),"")</f>
        <v>900</v>
      </c>
      <c r="L189" s="338">
        <f>H189*J189*I189</f>
        <v>0</v>
      </c>
      <c r="M189" s="153">
        <f t="shared" ca="1" si="20"/>
        <v>0</v>
      </c>
      <c r="O189" s="148"/>
      <c r="R189" s="12"/>
    </row>
    <row r="190" spans="1:18" ht="13.5" hidden="1" customHeight="1" outlineLevel="1" x14ac:dyDescent="0.3">
      <c r="A190" s="290">
        <f t="shared" si="21"/>
        <v>0</v>
      </c>
      <c r="B190" s="4"/>
      <c r="C190" s="4"/>
      <c r="D190" s="140" t="s">
        <v>2258</v>
      </c>
      <c r="E190" s="67" t="str">
        <f>VLOOKUP(D190,'03. Insumos'!A:D,2,0)</f>
        <v>Execução sondagem</v>
      </c>
      <c r="F190" s="68"/>
      <c r="G190" s="68" t="str">
        <f>VLOOKUP(D190,'03. Insumos'!A:F,3,0)</f>
        <v>m</v>
      </c>
      <c r="H190" s="69">
        <v>1</v>
      </c>
      <c r="I190" s="141"/>
      <c r="J190" s="70">
        <f t="shared" si="28"/>
        <v>55</v>
      </c>
      <c r="K190" s="54">
        <f>IF(A190=0,VLOOKUP(D190,'03. Insumos'!A:F,4,0),"")</f>
        <v>55</v>
      </c>
      <c r="L190" s="338">
        <f>H190*J190*I190</f>
        <v>0</v>
      </c>
      <c r="M190" s="153">
        <f t="shared" ca="1" si="20"/>
        <v>0</v>
      </c>
      <c r="O190" s="148"/>
      <c r="R190" s="12"/>
    </row>
    <row r="191" spans="1:18" ht="13.5" hidden="1" customHeight="1" outlineLevel="1" x14ac:dyDescent="0.3">
      <c r="A191" s="290">
        <f t="shared" si="21"/>
        <v>0</v>
      </c>
      <c r="B191" s="4"/>
      <c r="C191" s="4"/>
      <c r="D191" s="140" t="s">
        <v>197</v>
      </c>
      <c r="E191" s="67" t="str">
        <f>VLOOKUP(D191,'03. Insumos'!A:D,2,0)</f>
        <v>Lastro de concreto 5cm</v>
      </c>
      <c r="F191" s="68"/>
      <c r="G191" s="68" t="str">
        <f>VLOOKUP(D191,'03. Insumos'!A:F,3,0)</f>
        <v>m³</v>
      </c>
      <c r="H191" s="69">
        <v>1</v>
      </c>
      <c r="I191" s="141"/>
      <c r="J191" s="70">
        <f t="shared" si="28"/>
        <v>225</v>
      </c>
      <c r="K191" s="54">
        <f>IF(A191=0,VLOOKUP(D191,'03. Insumos'!A:F,4,0),"")</f>
        <v>225</v>
      </c>
      <c r="L191" s="338">
        <f>H191*J191*I191</f>
        <v>0</v>
      </c>
      <c r="M191" s="153">
        <f t="shared" ca="1" si="20"/>
        <v>0</v>
      </c>
      <c r="O191" s="148"/>
      <c r="R191" s="12"/>
    </row>
    <row r="192" spans="1:18" ht="13.5" hidden="1" customHeight="1" outlineLevel="1" x14ac:dyDescent="0.3">
      <c r="A192" s="290">
        <f t="shared" si="21"/>
        <v>0</v>
      </c>
      <c r="B192" s="4"/>
      <c r="C192" s="4"/>
      <c r="D192" s="140" t="s">
        <v>184</v>
      </c>
      <c r="E192" s="67" t="str">
        <f>VLOOKUP(D192,'03. Insumos'!A:D,2,0)</f>
        <v>Brita 0</v>
      </c>
      <c r="F192" s="68" t="s">
        <v>2612</v>
      </c>
      <c r="G192" s="68" t="str">
        <f>VLOOKUP(D192,'03. Insumos'!A:F,3,0)</f>
        <v>m³</v>
      </c>
      <c r="H192" s="69">
        <v>1</v>
      </c>
      <c r="I192" s="141"/>
      <c r="J192" s="70">
        <f t="shared" si="28"/>
        <v>210</v>
      </c>
      <c r="K192" s="54">
        <f>IF(A192=0,VLOOKUP(D192,'03. Insumos'!A:F,4,0),"")</f>
        <v>210</v>
      </c>
      <c r="L192" s="70">
        <f>H192*J192*I192</f>
        <v>0</v>
      </c>
      <c r="M192" s="153">
        <f t="shared" ca="1" si="20"/>
        <v>0</v>
      </c>
      <c r="O192" s="148"/>
      <c r="R192" s="12"/>
    </row>
    <row r="193" spans="1:18" ht="13.5" hidden="1" customHeight="1" outlineLevel="1" x14ac:dyDescent="0.3">
      <c r="A193" s="290">
        <f t="shared" si="21"/>
        <v>0</v>
      </c>
      <c r="B193" s="4"/>
      <c r="C193" s="4"/>
      <c r="D193" s="140" t="s">
        <v>2573</v>
      </c>
      <c r="E193" s="67" t="str">
        <f>VLOOKUP(D193,'03. Insumos'!A:D,2,0)</f>
        <v>Pré - laje para sobrecarga de 300 Kg/m²</v>
      </c>
      <c r="F193" s="68" t="s">
        <v>2612</v>
      </c>
      <c r="G193" s="68" t="str">
        <f>VLOOKUP(D193,'03. Insumos'!A:F,3,0)</f>
        <v>m²</v>
      </c>
      <c r="H193" s="69">
        <v>1</v>
      </c>
      <c r="I193" s="141"/>
      <c r="J193" s="70">
        <f t="shared" si="28"/>
        <v>215</v>
      </c>
      <c r="K193" s="54">
        <f>IF(A193=0,VLOOKUP(D193,'03. Insumos'!A:F,4,0),"")</f>
        <v>215</v>
      </c>
      <c r="L193" s="70">
        <f>H193*J193*I193</f>
        <v>0</v>
      </c>
      <c r="M193" s="153">
        <f t="shared" ca="1" si="20"/>
        <v>0</v>
      </c>
      <c r="O193" s="148"/>
      <c r="R193" s="12"/>
    </row>
    <row r="194" spans="1:18" s="51" customFormat="1" ht="13.5" hidden="1" customHeight="1" outlineLevel="1" x14ac:dyDescent="0.3">
      <c r="A194" s="290">
        <f t="shared" si="21"/>
        <v>0</v>
      </c>
      <c r="B194" s="49"/>
      <c r="C194" s="49"/>
      <c r="D194" s="140" t="s">
        <v>133</v>
      </c>
      <c r="E194" s="67" t="str">
        <f>VLOOKUP(D194,'03. Insumos'!A:D,2,0)</f>
        <v>Projeto, Ampliação em Estrutura Metálica, Reforço de Paredes internas</v>
      </c>
      <c r="F194" s="68" t="s">
        <v>2612</v>
      </c>
      <c r="G194" s="68" t="str">
        <f>VLOOKUP(D194,'03. Insumos'!A:F,3,0)</f>
        <v>vb</v>
      </c>
      <c r="H194" s="69">
        <v>1</v>
      </c>
      <c r="I194" s="141"/>
      <c r="J194" s="70">
        <f t="shared" si="28"/>
        <v>107600</v>
      </c>
      <c r="K194" s="54">
        <f>IF(A194=0,VLOOKUP(D194,'03. Insumos'!A:F,4,0),"")</f>
        <v>107600</v>
      </c>
      <c r="L194" s="70">
        <f t="shared" ref="L194:L202" si="29">H194*J194*I194</f>
        <v>0</v>
      </c>
      <c r="M194" s="153">
        <f t="shared" ca="1" si="20"/>
        <v>0</v>
      </c>
      <c r="O194" s="148">
        <f t="shared" si="27"/>
        <v>0</v>
      </c>
      <c r="R194" s="12">
        <f t="shared" si="23"/>
        <v>-3133.9805825242802</v>
      </c>
    </row>
    <row r="195" spans="1:18" s="51" customFormat="1" ht="13.5" hidden="1" customHeight="1" outlineLevel="1" x14ac:dyDescent="0.3">
      <c r="A195" s="290">
        <f t="shared" si="21"/>
        <v>0</v>
      </c>
      <c r="B195" s="49"/>
      <c r="C195" s="49"/>
      <c r="D195" s="140" t="s">
        <v>134</v>
      </c>
      <c r="E195" s="67" t="str">
        <f>VLOOKUP(D195,'03. Insumos'!A:D,2,0)</f>
        <v>Bombeamento de concreto - até 40m³</v>
      </c>
      <c r="F195" s="68"/>
      <c r="G195" s="68" t="str">
        <f>VLOOKUP(D195,'03. Insumos'!A:F,3,0)</f>
        <v>dia</v>
      </c>
      <c r="H195" s="69">
        <v>1</v>
      </c>
      <c r="I195" s="141"/>
      <c r="J195" s="70">
        <f t="shared" si="28"/>
        <v>2400</v>
      </c>
      <c r="K195" s="54">
        <f>IF(A195=0,VLOOKUP(D195,'03. Insumos'!A:F,4,0),"")</f>
        <v>2400</v>
      </c>
      <c r="L195" s="70">
        <f t="shared" si="29"/>
        <v>0</v>
      </c>
      <c r="M195" s="153">
        <f t="shared" ca="1" si="20"/>
        <v>0</v>
      </c>
      <c r="O195" s="148">
        <f t="shared" si="27"/>
        <v>0</v>
      </c>
      <c r="R195" s="12">
        <f t="shared" si="23"/>
        <v>-69.902912621359064</v>
      </c>
    </row>
    <row r="196" spans="1:18" s="51" customFormat="1" ht="13.5" hidden="1" customHeight="1" outlineLevel="1" x14ac:dyDescent="0.3">
      <c r="A196" s="290">
        <f t="shared" si="21"/>
        <v>0</v>
      </c>
      <c r="B196" s="49"/>
      <c r="C196" s="49"/>
      <c r="D196" s="140" t="s">
        <v>442</v>
      </c>
      <c r="E196" s="67" t="str">
        <f>VLOOKUP(D196,'03. Insumos'!A:D,2,0)</f>
        <v>Compactação com Sapinho</v>
      </c>
      <c r="F196" s="68"/>
      <c r="G196" s="68" t="str">
        <f>VLOOKUP(D196,'03. Insumos'!A:F,3,0)</f>
        <v>mês</v>
      </c>
      <c r="H196" s="69">
        <v>1</v>
      </c>
      <c r="I196" s="141"/>
      <c r="J196" s="70">
        <f t="shared" si="28"/>
        <v>520</v>
      </c>
      <c r="K196" s="54">
        <f>IF(A196=0,VLOOKUP(D196,'03. Insumos'!A:F,4,0),"")</f>
        <v>520</v>
      </c>
      <c r="L196" s="70">
        <f t="shared" si="29"/>
        <v>0</v>
      </c>
      <c r="M196" s="153">
        <f t="shared" ca="1" si="20"/>
        <v>0</v>
      </c>
      <c r="O196" s="148">
        <f t="shared" si="27"/>
        <v>0</v>
      </c>
      <c r="R196" s="12">
        <f t="shared" si="23"/>
        <v>-15.145631067961176</v>
      </c>
    </row>
    <row r="197" spans="1:18" s="51" customFormat="1" ht="13.5" hidden="1" customHeight="1" outlineLevel="1" x14ac:dyDescent="0.3">
      <c r="A197" s="290">
        <f t="shared" si="21"/>
        <v>0</v>
      </c>
      <c r="B197" s="49"/>
      <c r="C197" s="49"/>
      <c r="D197" s="140" t="s">
        <v>179</v>
      </c>
      <c r="E197" s="67" t="str">
        <f>VLOOKUP(D197,'03. Insumos'!A:D,2,0)</f>
        <v>Ampliação em Estr. Metálica + Laje</v>
      </c>
      <c r="F197" s="68" t="s">
        <v>2612</v>
      </c>
      <c r="G197" s="68" t="str">
        <f>VLOOKUP(D197,'03. Insumos'!A:F,3,0)</f>
        <v>m²</v>
      </c>
      <c r="H197" s="69">
        <v>1</v>
      </c>
      <c r="I197" s="141"/>
      <c r="J197" s="70">
        <f t="shared" si="28"/>
        <v>628.23199999999997</v>
      </c>
      <c r="K197" s="54">
        <f>IF(A197=0,VLOOKUP(D197,'03. Insumos'!A:F,4,0),"")</f>
        <v>628.23199999999997</v>
      </c>
      <c r="L197" s="70">
        <f t="shared" si="29"/>
        <v>0</v>
      </c>
      <c r="M197" s="153">
        <f t="shared" ca="1" si="20"/>
        <v>0</v>
      </c>
      <c r="O197" s="148">
        <f t="shared" si="27"/>
        <v>0</v>
      </c>
      <c r="R197" s="12">
        <f t="shared" si="23"/>
        <v>-18.298019417475757</v>
      </c>
    </row>
    <row r="198" spans="1:18" s="51" customFormat="1" ht="13.5" hidden="1" customHeight="1" outlineLevel="1" x14ac:dyDescent="0.3">
      <c r="A198" s="290">
        <f t="shared" si="21"/>
        <v>0</v>
      </c>
      <c r="B198" s="49"/>
      <c r="C198" s="49"/>
      <c r="D198" s="140" t="s">
        <v>441</v>
      </c>
      <c r="E198" s="67" t="str">
        <f>VLOOKUP(D198,'03. Insumos'!A:D,2,0)</f>
        <v>Lançamento de Concreto - Mat</v>
      </c>
      <c r="F198" s="68"/>
      <c r="G198" s="68" t="str">
        <f>VLOOKUP(D198,'03. Insumos'!A:F,3,0)</f>
        <v>Kg</v>
      </c>
      <c r="H198" s="69"/>
      <c r="I198" s="141">
        <f>I197</f>
        <v>0</v>
      </c>
      <c r="J198" s="70">
        <f t="shared" si="28"/>
        <v>1.48</v>
      </c>
      <c r="K198" s="54">
        <f>IF(A198=0,VLOOKUP(D198,'03. Insumos'!A:F,4,0),"")</f>
        <v>1.48</v>
      </c>
      <c r="L198" s="338">
        <f t="shared" si="29"/>
        <v>0</v>
      </c>
      <c r="M198" s="153">
        <f t="shared" ca="1" si="20"/>
        <v>0</v>
      </c>
      <c r="O198" s="148">
        <f t="shared" si="27"/>
        <v>0</v>
      </c>
      <c r="R198" s="12">
        <f t="shared" si="23"/>
        <v>-4.3106796116504809E-2</v>
      </c>
    </row>
    <row r="199" spans="1:18" s="51" customFormat="1" ht="13.5" hidden="1" customHeight="1" outlineLevel="1" x14ac:dyDescent="0.3">
      <c r="A199" s="290">
        <f t="shared" si="21"/>
        <v>0</v>
      </c>
      <c r="B199" s="49"/>
      <c r="C199" s="49"/>
      <c r="D199" s="140" t="s">
        <v>2260</v>
      </c>
      <c r="E199" s="67" t="str">
        <f>VLOOKUP(D199,'03. Insumos'!A:D,2,0)</f>
        <v>Forma (Mat - Chapa plastificada 12 mm+ perna 3'+ tábua)</v>
      </c>
      <c r="F199" s="68"/>
      <c r="G199" s="68" t="str">
        <f>VLOOKUP(D199,'03. Insumos'!A:F,3,0)</f>
        <v>m²</v>
      </c>
      <c r="H199" s="69">
        <v>1</v>
      </c>
      <c r="I199" s="141"/>
      <c r="J199" s="70">
        <f t="shared" si="28"/>
        <v>27.42</v>
      </c>
      <c r="K199" s="54">
        <f>IF(A199=0,VLOOKUP(D199,'03. Insumos'!A:F,4,0),"")</f>
        <v>27.42</v>
      </c>
      <c r="L199" s="338">
        <f t="shared" si="29"/>
        <v>0</v>
      </c>
      <c r="M199" s="153">
        <f t="shared" ca="1" si="20"/>
        <v>0</v>
      </c>
      <c r="O199" s="148">
        <f t="shared" si="27"/>
        <v>0</v>
      </c>
      <c r="R199" s="12">
        <f t="shared" si="23"/>
        <v>-0.79864077669903111</v>
      </c>
    </row>
    <row r="200" spans="1:18" s="51" customFormat="1" ht="13.5" hidden="1" customHeight="1" outlineLevel="1" x14ac:dyDescent="0.3">
      <c r="A200" s="290">
        <f t="shared" si="21"/>
        <v>0</v>
      </c>
      <c r="B200" s="49"/>
      <c r="C200" s="49"/>
      <c r="D200" s="140" t="s">
        <v>454</v>
      </c>
      <c r="E200" s="67" t="str">
        <f>VLOOKUP(D200,'03. Insumos'!A:D,2,0)</f>
        <v>Escavação Manual</v>
      </c>
      <c r="F200" s="68"/>
      <c r="G200" s="68" t="str">
        <f>VLOOKUP(D200,'03. Insumos'!A:F,3,0)</f>
        <v>m³</v>
      </c>
      <c r="H200" s="69">
        <v>1</v>
      </c>
      <c r="I200" s="141"/>
      <c r="J200" s="70">
        <f t="shared" si="28"/>
        <v>150</v>
      </c>
      <c r="K200" s="54">
        <f>IF(A200=0,VLOOKUP(D200,'03. Insumos'!A:F,4,0),"")</f>
        <v>150</v>
      </c>
      <c r="L200" s="338">
        <f t="shared" si="29"/>
        <v>0</v>
      </c>
      <c r="M200" s="153">
        <f t="shared" ca="1" si="20"/>
        <v>0</v>
      </c>
      <c r="O200" s="148">
        <f t="shared" si="27"/>
        <v>0</v>
      </c>
      <c r="P200" s="194"/>
      <c r="Q200" s="194"/>
      <c r="R200" s="12">
        <f t="shared" si="23"/>
        <v>-4.3689320388349415</v>
      </c>
    </row>
    <row r="201" spans="1:18" s="51" customFormat="1" ht="13.5" hidden="1" customHeight="1" outlineLevel="1" x14ac:dyDescent="0.3">
      <c r="A201" s="290">
        <f t="shared" si="21"/>
        <v>0</v>
      </c>
      <c r="B201" s="49"/>
      <c r="C201" s="49"/>
      <c r="D201" s="140" t="s">
        <v>2240</v>
      </c>
      <c r="E201" s="67" t="str">
        <f>VLOOKUP(D201,'03. Insumos'!A:D,2,0)</f>
        <v>Reaterro manual</v>
      </c>
      <c r="F201" s="68"/>
      <c r="G201" s="68" t="str">
        <f>VLOOKUP(D201,'03. Insumos'!A:F,3,0)</f>
        <v>m³</v>
      </c>
      <c r="H201" s="69">
        <v>2</v>
      </c>
      <c r="I201" s="141"/>
      <c r="J201" s="70">
        <f t="shared" si="28"/>
        <v>80</v>
      </c>
      <c r="K201" s="54">
        <f>IF(A201=0,VLOOKUP(D201,'03. Insumos'!A:F,4,0),"")</f>
        <v>80</v>
      </c>
      <c r="L201" s="338">
        <f>H201*J201*I201</f>
        <v>0</v>
      </c>
      <c r="M201" s="153">
        <f t="shared" ca="1" si="20"/>
        <v>0</v>
      </c>
      <c r="O201" s="148"/>
      <c r="P201" s="194"/>
      <c r="Q201" s="194"/>
      <c r="R201" s="12"/>
    </row>
    <row r="202" spans="1:18" s="51" customFormat="1" ht="13.5" hidden="1" customHeight="1" outlineLevel="1" x14ac:dyDescent="0.3">
      <c r="A202" s="290">
        <f t="shared" si="21"/>
        <v>0</v>
      </c>
      <c r="B202" s="49"/>
      <c r="C202" s="49"/>
      <c r="D202" s="140" t="s">
        <v>455</v>
      </c>
      <c r="E202" s="67" t="str">
        <f>VLOOKUP(D202,'03. Insumos'!A:D,2,0)</f>
        <v>Acerto de Terreno MAT+MO</v>
      </c>
      <c r="F202" s="68"/>
      <c r="G202" s="68" t="str">
        <f>VLOOKUP(D202,'03. Insumos'!A:F,3,0)</f>
        <v>m²</v>
      </c>
      <c r="H202" s="69">
        <v>1</v>
      </c>
      <c r="I202" s="141"/>
      <c r="J202" s="70">
        <f t="shared" si="28"/>
        <v>20</v>
      </c>
      <c r="K202" s="54">
        <f>IF(A202=0,VLOOKUP(D202,'03. Insumos'!A:F,4,0),"")</f>
        <v>20</v>
      </c>
      <c r="L202" s="338">
        <f t="shared" si="29"/>
        <v>0</v>
      </c>
      <c r="M202" s="153">
        <f t="shared" ca="1" si="20"/>
        <v>0</v>
      </c>
      <c r="O202" s="148">
        <f t="shared" si="27"/>
        <v>0</v>
      </c>
      <c r="R202" s="12">
        <f t="shared" si="23"/>
        <v>-0.58252427184466171</v>
      </c>
    </row>
    <row r="203" spans="1:18" ht="13.5" hidden="1" customHeight="1" outlineLevel="1" x14ac:dyDescent="0.3">
      <c r="A203" s="290">
        <f t="shared" si="21"/>
        <v>6</v>
      </c>
      <c r="B203" s="4"/>
      <c r="C203" s="4" t="s">
        <v>931</v>
      </c>
      <c r="D203" s="4" t="s">
        <v>1345</v>
      </c>
      <c r="E203" s="55"/>
      <c r="F203" s="56"/>
      <c r="G203" s="56" t="s">
        <v>29</v>
      </c>
      <c r="H203" s="57">
        <v>1</v>
      </c>
      <c r="I203" s="29"/>
      <c r="J203" s="58">
        <f t="shared" si="28"/>
        <v>0</v>
      </c>
      <c r="K203" s="27" t="str">
        <f>IF(A203=0,VLOOKUP(D203,'03. Insumos'!A:F,4,0),"")</f>
        <v/>
      </c>
      <c r="L203" s="58">
        <f>SUM(L204:L204)</f>
        <v>0</v>
      </c>
      <c r="M203" s="153">
        <f t="shared" ca="1" si="20"/>
        <v>0</v>
      </c>
      <c r="O203" s="148">
        <f t="shared" si="27"/>
        <v>0</v>
      </c>
      <c r="R203" s="12">
        <f t="shared" si="23"/>
        <v>0</v>
      </c>
    </row>
    <row r="204" spans="1:18" s="51" customFormat="1" ht="13.5" hidden="1" customHeight="1" outlineLevel="1" x14ac:dyDescent="0.3">
      <c r="A204" s="290">
        <f t="shared" si="21"/>
        <v>0</v>
      </c>
      <c r="B204" s="49"/>
      <c r="C204" s="49"/>
      <c r="D204" s="140" t="s">
        <v>443</v>
      </c>
      <c r="E204" s="67" t="str">
        <f>VLOOKUP(D204,'03. Insumos'!A:D,2,0)</f>
        <v>Bota Fora</v>
      </c>
      <c r="F204" s="68"/>
      <c r="G204" s="68" t="str">
        <f>VLOOKUP(D204,'03. Insumos'!A:F,3,0)</f>
        <v>m³</v>
      </c>
      <c r="H204" s="69">
        <v>1</v>
      </c>
      <c r="I204" s="141"/>
      <c r="J204" s="70">
        <f t="shared" si="28"/>
        <v>57.142857142857146</v>
      </c>
      <c r="K204" s="54">
        <f>IF(A204=0,VLOOKUP(D204,'03. Insumos'!A:F,4,0),"")</f>
        <v>57.142857142857146</v>
      </c>
      <c r="L204" s="338">
        <f>H204*J204*I204</f>
        <v>0</v>
      </c>
      <c r="M204" s="153">
        <f t="shared" ca="1" si="20"/>
        <v>0</v>
      </c>
      <c r="O204" s="148">
        <f t="shared" si="27"/>
        <v>0</v>
      </c>
      <c r="R204" s="12">
        <f t="shared" si="23"/>
        <v>-1.6643550624133141</v>
      </c>
    </row>
    <row r="205" spans="1:18" ht="13.5" hidden="1" customHeight="1" outlineLevel="1" x14ac:dyDescent="0.3">
      <c r="A205" s="290">
        <f t="shared" si="21"/>
        <v>6</v>
      </c>
      <c r="B205" s="4"/>
      <c r="C205" s="4" t="s">
        <v>1346</v>
      </c>
      <c r="D205" s="4" t="s">
        <v>1330</v>
      </c>
      <c r="E205" s="55"/>
      <c r="F205" s="56"/>
      <c r="G205" s="56" t="s">
        <v>29</v>
      </c>
      <c r="H205" s="57">
        <v>1</v>
      </c>
      <c r="I205" s="29"/>
      <c r="J205" s="58">
        <f t="shared" si="28"/>
        <v>0</v>
      </c>
      <c r="K205" s="27" t="str">
        <f>IF(A205=0,VLOOKUP(D205,'03. Insumos'!A:F,4,0),"")</f>
        <v/>
      </c>
      <c r="L205" s="58">
        <f>SUM(L206:L213)</f>
        <v>0</v>
      </c>
      <c r="M205" s="153">
        <f t="shared" ca="1" si="20"/>
        <v>0</v>
      </c>
      <c r="O205" s="148">
        <f t="shared" si="27"/>
        <v>0</v>
      </c>
      <c r="R205" s="12">
        <f t="shared" si="23"/>
        <v>0</v>
      </c>
    </row>
    <row r="206" spans="1:18" s="51" customFormat="1" ht="13.5" hidden="1" customHeight="1" outlineLevel="1" x14ac:dyDescent="0.3">
      <c r="A206" s="290">
        <f t="shared" si="21"/>
        <v>0</v>
      </c>
      <c r="B206" s="49"/>
      <c r="C206" s="49"/>
      <c r="D206" s="140" t="s">
        <v>133</v>
      </c>
      <c r="E206" s="67" t="str">
        <f>VLOOKUP(D206,'03. Insumos'!A:D,2,0)</f>
        <v>Projeto, Ampliação em Estrutura Metálica, Reforço de Paredes internas</v>
      </c>
      <c r="F206" s="68"/>
      <c r="G206" s="68" t="str">
        <f>VLOOKUP(D206,'03. Insumos'!A:F,3,0)</f>
        <v>vb</v>
      </c>
      <c r="H206" s="69">
        <v>1</v>
      </c>
      <c r="I206" s="141"/>
      <c r="J206" s="70">
        <f t="shared" si="28"/>
        <v>107600</v>
      </c>
      <c r="K206" s="54">
        <f>IF(A206=0,VLOOKUP(D206,'03. Insumos'!A:F,4,0),"")</f>
        <v>107600</v>
      </c>
      <c r="L206" s="338">
        <f t="shared" ref="L206:L213" si="30">H206*J206*I206</f>
        <v>0</v>
      </c>
      <c r="M206" s="153">
        <f t="shared" ca="1" si="20"/>
        <v>0</v>
      </c>
      <c r="O206" s="148">
        <f t="shared" si="27"/>
        <v>0</v>
      </c>
      <c r="R206" s="12">
        <f t="shared" si="23"/>
        <v>-3133.9805825242802</v>
      </c>
    </row>
    <row r="207" spans="1:18" s="51" customFormat="1" ht="13.5" hidden="1" customHeight="1" outlineLevel="1" x14ac:dyDescent="0.3">
      <c r="A207" s="290">
        <f t="shared" si="21"/>
        <v>0</v>
      </c>
      <c r="B207" s="49"/>
      <c r="C207" s="49"/>
      <c r="D207" s="140" t="s">
        <v>134</v>
      </c>
      <c r="E207" s="67" t="str">
        <f>VLOOKUP(D207,'03. Insumos'!A:D,2,0)</f>
        <v>Bombeamento de concreto - até 40m³</v>
      </c>
      <c r="F207" s="68"/>
      <c r="G207" s="68" t="str">
        <f>VLOOKUP(D207,'03. Insumos'!A:F,3,0)</f>
        <v>dia</v>
      </c>
      <c r="H207" s="69">
        <v>1</v>
      </c>
      <c r="I207" s="141">
        <f>I206</f>
        <v>0</v>
      </c>
      <c r="J207" s="70">
        <f t="shared" si="28"/>
        <v>2400</v>
      </c>
      <c r="K207" s="54">
        <f>IF(A207=0,VLOOKUP(D207,'03. Insumos'!A:F,4,0),"")</f>
        <v>2400</v>
      </c>
      <c r="L207" s="338">
        <f t="shared" si="30"/>
        <v>0</v>
      </c>
      <c r="M207" s="153">
        <f t="shared" ca="1" si="20"/>
        <v>0</v>
      </c>
      <c r="O207" s="148">
        <f t="shared" si="27"/>
        <v>0</v>
      </c>
      <c r="R207" s="12">
        <f t="shared" si="23"/>
        <v>-69.902912621359064</v>
      </c>
    </row>
    <row r="208" spans="1:18" s="51" customFormat="1" ht="13.5" hidden="1" customHeight="1" outlineLevel="1" x14ac:dyDescent="0.3">
      <c r="A208" s="290">
        <f t="shared" si="21"/>
        <v>0</v>
      </c>
      <c r="B208" s="49"/>
      <c r="C208" s="49"/>
      <c r="D208" s="140" t="s">
        <v>442</v>
      </c>
      <c r="E208" s="67" t="str">
        <f>VLOOKUP(D208,'03. Insumos'!A:D,2,0)</f>
        <v>Compactação com Sapinho</v>
      </c>
      <c r="F208" s="68"/>
      <c r="G208" s="68" t="str">
        <f>VLOOKUP(D208,'03. Insumos'!A:F,3,0)</f>
        <v>mês</v>
      </c>
      <c r="H208" s="69">
        <v>1</v>
      </c>
      <c r="I208" s="141">
        <f>I206</f>
        <v>0</v>
      </c>
      <c r="J208" s="70">
        <f t="shared" si="28"/>
        <v>520</v>
      </c>
      <c r="K208" s="54">
        <f>IF(A208=0,VLOOKUP(D208,'03. Insumos'!A:F,4,0),"")</f>
        <v>520</v>
      </c>
      <c r="L208" s="338">
        <f t="shared" si="30"/>
        <v>0</v>
      </c>
      <c r="M208" s="153">
        <f t="shared" ca="1" si="20"/>
        <v>0</v>
      </c>
      <c r="O208" s="148">
        <f t="shared" si="27"/>
        <v>0</v>
      </c>
      <c r="R208" s="12">
        <f t="shared" si="23"/>
        <v>-15.145631067961176</v>
      </c>
    </row>
    <row r="209" spans="1:18" s="51" customFormat="1" ht="13.5" hidden="1" customHeight="1" outlineLevel="1" x14ac:dyDescent="0.3">
      <c r="A209" s="290">
        <f t="shared" si="21"/>
        <v>0</v>
      </c>
      <c r="B209" s="49"/>
      <c r="C209" s="49"/>
      <c r="D209" s="140" t="s">
        <v>179</v>
      </c>
      <c r="E209" s="67" t="str">
        <f>VLOOKUP(D209,'03. Insumos'!A:D,2,0)</f>
        <v>Ampliação em Estr. Metálica + Laje</v>
      </c>
      <c r="F209" s="68"/>
      <c r="G209" s="68" t="str">
        <f>VLOOKUP(D209,'03. Insumos'!A:F,3,0)</f>
        <v>m²</v>
      </c>
      <c r="H209" s="69">
        <v>1</v>
      </c>
      <c r="I209" s="141">
        <f>I206*80</f>
        <v>0</v>
      </c>
      <c r="J209" s="70">
        <f t="shared" si="28"/>
        <v>628.23199999999997</v>
      </c>
      <c r="K209" s="54">
        <f>IF(A209=0,VLOOKUP(D209,'03. Insumos'!A:F,4,0),"")</f>
        <v>628.23199999999997</v>
      </c>
      <c r="L209" s="338">
        <f t="shared" si="30"/>
        <v>0</v>
      </c>
      <c r="M209" s="153">
        <f t="shared" ca="1" si="20"/>
        <v>0</v>
      </c>
      <c r="O209" s="148">
        <f t="shared" si="27"/>
        <v>0</v>
      </c>
      <c r="R209" s="12">
        <f t="shared" si="23"/>
        <v>-18.298019417475757</v>
      </c>
    </row>
    <row r="210" spans="1:18" s="51" customFormat="1" ht="13.5" hidden="1" customHeight="1" outlineLevel="1" x14ac:dyDescent="0.3">
      <c r="A210" s="290">
        <f t="shared" si="21"/>
        <v>0</v>
      </c>
      <c r="B210" s="49"/>
      <c r="C210" s="49"/>
      <c r="D210" s="140" t="s">
        <v>441</v>
      </c>
      <c r="E210" s="67" t="str">
        <f>VLOOKUP(D210,'03. Insumos'!A:D,2,0)</f>
        <v>Lançamento de Concreto - Mat</v>
      </c>
      <c r="F210" s="68"/>
      <c r="G210" s="68" t="str">
        <f>VLOOKUP(D210,'03. Insumos'!A:F,3,0)</f>
        <v>Kg</v>
      </c>
      <c r="H210" s="69">
        <v>1</v>
      </c>
      <c r="I210" s="141">
        <f>I209</f>
        <v>0</v>
      </c>
      <c r="J210" s="70">
        <f t="shared" si="28"/>
        <v>1.48</v>
      </c>
      <c r="K210" s="54">
        <f>IF(A210=0,VLOOKUP(D210,'03. Insumos'!A:F,4,0),"")</f>
        <v>1.48</v>
      </c>
      <c r="L210" s="338">
        <f t="shared" si="30"/>
        <v>0</v>
      </c>
      <c r="M210" s="153">
        <f t="shared" ca="1" si="20"/>
        <v>0</v>
      </c>
      <c r="O210" s="148">
        <f t="shared" si="27"/>
        <v>0</v>
      </c>
      <c r="R210" s="12">
        <f t="shared" si="23"/>
        <v>-4.3106796116504809E-2</v>
      </c>
    </row>
    <row r="211" spans="1:18" s="51" customFormat="1" ht="13.5" hidden="1" customHeight="1" outlineLevel="1" x14ac:dyDescent="0.3">
      <c r="A211" s="290">
        <f t="shared" si="21"/>
        <v>0</v>
      </c>
      <c r="B211" s="49"/>
      <c r="C211" s="49"/>
      <c r="D211" s="140" t="s">
        <v>238</v>
      </c>
      <c r="E211" s="67" t="str">
        <f>VLOOKUP(D211,'03. Insumos'!A:D,2,0)</f>
        <v>Forma MAT+MO</v>
      </c>
      <c r="F211" s="68"/>
      <c r="G211" s="68" t="str">
        <f>VLOOKUP(D211,'03. Insumos'!A:F,3,0)</f>
        <v>m²</v>
      </c>
      <c r="H211" s="69">
        <v>1</v>
      </c>
      <c r="I211" s="141">
        <f>I206*5</f>
        <v>0</v>
      </c>
      <c r="J211" s="70">
        <f t="shared" si="28"/>
        <v>78</v>
      </c>
      <c r="K211" s="54">
        <f>IF(A211=0,VLOOKUP(D211,'03. Insumos'!A:F,4,0),"")</f>
        <v>78</v>
      </c>
      <c r="L211" s="338">
        <f t="shared" si="30"/>
        <v>0</v>
      </c>
      <c r="M211" s="153">
        <f t="shared" ca="1" si="20"/>
        <v>0</v>
      </c>
      <c r="O211" s="148">
        <f t="shared" si="27"/>
        <v>0</v>
      </c>
      <c r="R211" s="12">
        <f t="shared" si="23"/>
        <v>-2.2718446601941764</v>
      </c>
    </row>
    <row r="212" spans="1:18" s="51" customFormat="1" ht="13.5" hidden="1" customHeight="1" outlineLevel="1" x14ac:dyDescent="0.3">
      <c r="A212" s="290">
        <f t="shared" si="21"/>
        <v>0</v>
      </c>
      <c r="B212" s="49"/>
      <c r="C212" s="49"/>
      <c r="D212" s="140" t="s">
        <v>454</v>
      </c>
      <c r="E212" s="67" t="str">
        <f>VLOOKUP(D212,'03. Insumos'!A:D,2,0)</f>
        <v>Escavação Manual</v>
      </c>
      <c r="F212" s="68"/>
      <c r="G212" s="68" t="str">
        <f>VLOOKUP(D212,'03. Insumos'!A:F,3,0)</f>
        <v>m³</v>
      </c>
      <c r="H212" s="69">
        <v>1</v>
      </c>
      <c r="I212" s="141">
        <f>I206</f>
        <v>0</v>
      </c>
      <c r="J212" s="70">
        <f t="shared" si="28"/>
        <v>150</v>
      </c>
      <c r="K212" s="54">
        <f>IF(A212=0,VLOOKUP(D212,'03. Insumos'!A:F,4,0),"")</f>
        <v>150</v>
      </c>
      <c r="L212" s="338">
        <f t="shared" si="30"/>
        <v>0</v>
      </c>
      <c r="M212" s="153">
        <f t="shared" ca="1" si="20"/>
        <v>0</v>
      </c>
      <c r="O212" s="148">
        <f t="shared" si="27"/>
        <v>0</v>
      </c>
      <c r="P212" s="194"/>
      <c r="Q212" s="194"/>
      <c r="R212" s="12">
        <f t="shared" si="23"/>
        <v>-4.3689320388349415</v>
      </c>
    </row>
    <row r="213" spans="1:18" s="51" customFormat="1" ht="13.5" hidden="1" customHeight="1" outlineLevel="1" x14ac:dyDescent="0.3">
      <c r="A213" s="290">
        <f t="shared" si="21"/>
        <v>0</v>
      </c>
      <c r="B213" s="49"/>
      <c r="C213" s="49"/>
      <c r="D213" s="140" t="s">
        <v>455</v>
      </c>
      <c r="E213" s="67" t="str">
        <f>VLOOKUP(D213,'03. Insumos'!A:D,2,0)</f>
        <v>Acerto de Terreno MAT+MO</v>
      </c>
      <c r="F213" s="68"/>
      <c r="G213" s="68" t="str">
        <f>VLOOKUP(D213,'03. Insumos'!A:F,3,0)</f>
        <v>m²</v>
      </c>
      <c r="H213" s="69">
        <v>1</v>
      </c>
      <c r="I213" s="141"/>
      <c r="J213" s="70">
        <f t="shared" si="28"/>
        <v>20</v>
      </c>
      <c r="K213" s="54">
        <f>IF(A213=0,VLOOKUP(D213,'03. Insumos'!A:F,4,0),"")</f>
        <v>20</v>
      </c>
      <c r="L213" s="338">
        <f t="shared" si="30"/>
        <v>0</v>
      </c>
      <c r="M213" s="153">
        <f t="shared" ca="1" si="20"/>
        <v>0</v>
      </c>
      <c r="O213" s="148">
        <f t="shared" si="27"/>
        <v>0</v>
      </c>
      <c r="R213" s="12">
        <f t="shared" si="23"/>
        <v>-0.58252427184466171</v>
      </c>
    </row>
    <row r="214" spans="1:18" ht="13.5" hidden="1" customHeight="1" outlineLevel="1" x14ac:dyDescent="0.3">
      <c r="A214" s="290">
        <f t="shared" si="21"/>
        <v>6</v>
      </c>
      <c r="B214" s="4"/>
      <c r="C214" s="4" t="s">
        <v>1347</v>
      </c>
      <c r="D214" s="4" t="s">
        <v>1348</v>
      </c>
      <c r="E214" s="55"/>
      <c r="F214" s="56"/>
      <c r="G214" s="56" t="s">
        <v>29</v>
      </c>
      <c r="H214" s="57">
        <v>1</v>
      </c>
      <c r="I214" s="29"/>
      <c r="J214" s="58">
        <f t="shared" si="28"/>
        <v>0</v>
      </c>
      <c r="K214" s="27" t="str">
        <f>IF(A214=0,VLOOKUP(D214,'03. Insumos'!A:F,4,0),"")</f>
        <v/>
      </c>
      <c r="L214" s="58">
        <f>SUM(L215:L215)</f>
        <v>0</v>
      </c>
      <c r="M214" s="153">
        <f t="shared" ca="1" si="20"/>
        <v>0</v>
      </c>
      <c r="O214" s="148">
        <f t="shared" si="27"/>
        <v>0</v>
      </c>
      <c r="R214" s="12">
        <f t="shared" si="23"/>
        <v>0</v>
      </c>
    </row>
    <row r="215" spans="1:18" s="51" customFormat="1" ht="13.5" hidden="1" customHeight="1" outlineLevel="1" x14ac:dyDescent="0.3">
      <c r="A215" s="290">
        <f t="shared" si="21"/>
        <v>0</v>
      </c>
      <c r="B215" s="49"/>
      <c r="C215" s="49"/>
      <c r="D215" s="140" t="s">
        <v>443</v>
      </c>
      <c r="E215" s="67" t="str">
        <f>VLOOKUP(D215,'03. Insumos'!A:D,2,0)</f>
        <v>Bota Fora</v>
      </c>
      <c r="F215" s="68"/>
      <c r="G215" s="68" t="str">
        <f>VLOOKUP(D215,'03. Insumos'!A:F,3,0)</f>
        <v>m³</v>
      </c>
      <c r="H215" s="69">
        <v>1</v>
      </c>
      <c r="I215" s="141">
        <f>I206*1.3</f>
        <v>0</v>
      </c>
      <c r="J215" s="70">
        <f t="shared" si="28"/>
        <v>57.142857142857146</v>
      </c>
      <c r="K215" s="54">
        <f>IF(A215=0,VLOOKUP(D215,'03. Insumos'!A:F,4,0),"")</f>
        <v>57.142857142857146</v>
      </c>
      <c r="L215" s="338">
        <f>H215*J215*I215</f>
        <v>0</v>
      </c>
      <c r="M215" s="153">
        <f t="shared" ca="1" si="20"/>
        <v>0</v>
      </c>
      <c r="O215" s="148">
        <f t="shared" si="27"/>
        <v>0</v>
      </c>
      <c r="R215" s="12">
        <f t="shared" si="23"/>
        <v>-1.6643550624133141</v>
      </c>
    </row>
    <row r="216" spans="1:18" s="18" customFormat="1" ht="13.5" customHeight="1" collapsed="1" x14ac:dyDescent="0.3">
      <c r="A216" s="290">
        <f t="shared" si="21"/>
        <v>3</v>
      </c>
      <c r="B216" s="35"/>
      <c r="C216" s="35" t="s">
        <v>345</v>
      </c>
      <c r="D216" s="35" t="s">
        <v>942</v>
      </c>
      <c r="E216" s="390"/>
      <c r="F216" s="323"/>
      <c r="G216" s="323"/>
      <c r="H216" s="324"/>
      <c r="I216" s="37"/>
      <c r="J216" s="333"/>
      <c r="K216" s="38"/>
      <c r="L216" s="333">
        <f>SUMIF(A217:A257,4,L217:L257)</f>
        <v>827049.45284183684</v>
      </c>
      <c r="M216" s="153">
        <f t="shared" ca="1" si="20"/>
        <v>3.1171465749867528E-2</v>
      </c>
      <c r="O216" s="148">
        <f t="shared" si="27"/>
        <v>0</v>
      </c>
      <c r="R216" s="12">
        <f t="shared" si="23"/>
        <v>0</v>
      </c>
    </row>
    <row r="217" spans="1:18" s="18" customFormat="1" ht="5.4" customHeight="1" outlineLevel="1" x14ac:dyDescent="0.3">
      <c r="A217" s="290">
        <f t="shared" si="21"/>
        <v>0</v>
      </c>
      <c r="B217" s="63"/>
      <c r="C217" s="63"/>
      <c r="D217" s="63"/>
      <c r="E217" s="391"/>
      <c r="F217" s="325"/>
      <c r="G217" s="325"/>
      <c r="H217" s="326"/>
      <c r="I217" s="65"/>
      <c r="J217" s="334"/>
      <c r="K217" s="66" t="e">
        <f>IF(A217=0,VLOOKUP(D217,'03. Insumos'!A:F,4,0),"")</f>
        <v>#N/A</v>
      </c>
      <c r="L217" s="334"/>
      <c r="M217" s="153">
        <f t="shared" ca="1" si="20"/>
        <v>0</v>
      </c>
      <c r="O217" s="148">
        <f t="shared" si="27"/>
        <v>0</v>
      </c>
      <c r="R217" s="12">
        <f t="shared" si="23"/>
        <v>0</v>
      </c>
    </row>
    <row r="218" spans="1:18" s="18" customFormat="1" ht="13.5" customHeight="1" outlineLevel="1" x14ac:dyDescent="0.3">
      <c r="A218" s="290">
        <f t="shared" si="21"/>
        <v>4</v>
      </c>
      <c r="B218" s="45"/>
      <c r="C218" s="45" t="s">
        <v>379</v>
      </c>
      <c r="D218" s="45" t="s">
        <v>979</v>
      </c>
      <c r="E218" s="347"/>
      <c r="F218" s="327"/>
      <c r="G218" s="329"/>
      <c r="H218" s="330"/>
      <c r="I218" s="47"/>
      <c r="J218" s="336"/>
      <c r="K218" s="48" t="str">
        <f>IF(A218=0,VLOOKUP(D218,'03. Insumos'!A:F,4,0),"")</f>
        <v/>
      </c>
      <c r="L218" s="335">
        <f>SUMIF(A219:A257,6,L219:L257)</f>
        <v>827049.45284183684</v>
      </c>
      <c r="M218" s="153">
        <f t="shared" ca="1" si="20"/>
        <v>3.1171465749867528E-2</v>
      </c>
      <c r="O218" s="148">
        <f t="shared" si="27"/>
        <v>0</v>
      </c>
      <c r="R218" s="12">
        <f t="shared" si="23"/>
        <v>0</v>
      </c>
    </row>
    <row r="219" spans="1:18" ht="13.5" customHeight="1" outlineLevel="1" x14ac:dyDescent="0.3">
      <c r="A219" s="290">
        <f t="shared" si="21"/>
        <v>6</v>
      </c>
      <c r="B219" s="4"/>
      <c r="C219" s="4" t="s">
        <v>939</v>
      </c>
      <c r="D219" s="4" t="s">
        <v>2926</v>
      </c>
      <c r="E219" s="55"/>
      <c r="F219" s="56"/>
      <c r="G219" s="56"/>
      <c r="H219" s="57"/>
      <c r="I219" s="29"/>
      <c r="J219" s="58"/>
      <c r="K219" s="27" t="str">
        <f>IF(A219=0,VLOOKUP(D219,'03. Insumos'!A:F,4,0),"")</f>
        <v/>
      </c>
      <c r="L219" s="58">
        <f>SUM(L220:L225)</f>
        <v>62501.341031276781</v>
      </c>
      <c r="M219" s="153">
        <f t="shared" ref="M219:M332" ca="1" si="31">L219/$L$7</f>
        <v>2.3556734178141279E-3</v>
      </c>
      <c r="O219" s="148">
        <f t="shared" si="27"/>
        <v>0</v>
      </c>
      <c r="R219" s="12">
        <f t="shared" si="23"/>
        <v>0</v>
      </c>
    </row>
    <row r="220" spans="1:18" s="51" customFormat="1" ht="13.5" customHeight="1" outlineLevel="1" x14ac:dyDescent="0.3">
      <c r="A220" s="290">
        <f t="shared" si="21"/>
        <v>0</v>
      </c>
      <c r="B220" s="49"/>
      <c r="C220" s="49"/>
      <c r="D220" s="140" t="s">
        <v>133</v>
      </c>
      <c r="E220" s="67" t="str">
        <f>VLOOKUP(D220,'03. Insumos'!A:D,2,0)</f>
        <v>Projeto, Ampliação em Estrutura Metálica, Reforço de Paredes internas</v>
      </c>
      <c r="F220" s="68" t="s">
        <v>2612</v>
      </c>
      <c r="G220" s="68" t="str">
        <f>VLOOKUP(D220,'03. Insumos'!A:F,3,0)</f>
        <v>vb</v>
      </c>
      <c r="H220" s="69">
        <v>1</v>
      </c>
      <c r="I220" s="141">
        <f>((PI()*(1.5^2))/4)*0.2</f>
        <v>0.35342917352885173</v>
      </c>
      <c r="J220" s="70">
        <f t="shared" ref="J220:J225" si="32">IFERROR(IF(K220&lt;&gt;0,K220*$K$5,0),0)</f>
        <v>107600</v>
      </c>
      <c r="K220" s="70">
        <f>IF(A220=0,VLOOKUP(D220,'03. Insumos'!A:F,4,0),"")</f>
        <v>107600</v>
      </c>
      <c r="L220" s="70">
        <f t="shared" ref="L220:L225" si="33">H220*J220*I220</f>
        <v>38028.979071704445</v>
      </c>
      <c r="M220" s="153">
        <f t="shared" ca="1" si="31"/>
        <v>1.4333109278566456E-3</v>
      </c>
      <c r="O220" s="148">
        <f t="shared" si="27"/>
        <v>38028.979071704445</v>
      </c>
      <c r="R220" s="12">
        <f t="shared" si="23"/>
        <v>-3133.9805825242802</v>
      </c>
    </row>
    <row r="221" spans="1:18" s="51" customFormat="1" ht="13.5" hidden="1" customHeight="1" outlineLevel="1" x14ac:dyDescent="0.3">
      <c r="A221" s="290">
        <f t="shared" ref="A221:A334" si="34">LEN(C221)</f>
        <v>0</v>
      </c>
      <c r="B221" s="49"/>
      <c r="C221" s="49"/>
      <c r="D221" s="140" t="s">
        <v>2262</v>
      </c>
      <c r="E221" s="67" t="str">
        <f>VLOOKUP(D221,'03. Insumos'!A:D,2,0)</f>
        <v>Aterro com Areia</v>
      </c>
      <c r="F221" s="68"/>
      <c r="G221" s="68" t="str">
        <f>VLOOKUP(D221,'03. Insumos'!A:F,3,0)</f>
        <v>m³</v>
      </c>
      <c r="H221" s="69">
        <v>1</v>
      </c>
      <c r="I221" s="141"/>
      <c r="J221" s="70">
        <f t="shared" si="32"/>
        <v>400</v>
      </c>
      <c r="K221" s="70">
        <f>IF(A221=0,VLOOKUP(D221,'03. Insumos'!A:F,4,0),"")</f>
        <v>400</v>
      </c>
      <c r="L221" s="70">
        <f t="shared" si="33"/>
        <v>0</v>
      </c>
      <c r="M221" s="153">
        <f t="shared" ca="1" si="31"/>
        <v>0</v>
      </c>
      <c r="O221" s="148">
        <f t="shared" si="27"/>
        <v>0</v>
      </c>
      <c r="R221" s="12">
        <f t="shared" si="23"/>
        <v>-11.650485436893234</v>
      </c>
    </row>
    <row r="222" spans="1:18" s="51" customFormat="1" ht="13.5" hidden="1" customHeight="1" outlineLevel="1" x14ac:dyDescent="0.3">
      <c r="A222" s="290">
        <f t="shared" si="34"/>
        <v>0</v>
      </c>
      <c r="B222" s="49"/>
      <c r="C222" s="49"/>
      <c r="D222" s="140" t="s">
        <v>442</v>
      </c>
      <c r="E222" s="67" t="str">
        <f>VLOOKUP(D222,'03. Insumos'!A:D,2,0)</f>
        <v>Compactação com Sapinho</v>
      </c>
      <c r="F222" s="68"/>
      <c r="G222" s="68" t="str">
        <f>VLOOKUP(D222,'03. Insumos'!A:F,3,0)</f>
        <v>mês</v>
      </c>
      <c r="H222" s="69">
        <v>1</v>
      </c>
      <c r="I222" s="141"/>
      <c r="J222" s="70">
        <f t="shared" si="32"/>
        <v>520</v>
      </c>
      <c r="K222" s="70">
        <f>IF(A222=0,VLOOKUP(D222,'03. Insumos'!A:F,4,0),"")</f>
        <v>520</v>
      </c>
      <c r="L222" s="70">
        <f t="shared" si="33"/>
        <v>0</v>
      </c>
      <c r="M222" s="153">
        <f t="shared" ca="1" si="31"/>
        <v>0</v>
      </c>
      <c r="O222" s="148">
        <f t="shared" si="27"/>
        <v>0</v>
      </c>
      <c r="R222" s="12">
        <f t="shared" si="23"/>
        <v>-15.145631067961176</v>
      </c>
    </row>
    <row r="223" spans="1:18" s="51" customFormat="1" ht="13.5" customHeight="1" outlineLevel="1" x14ac:dyDescent="0.3">
      <c r="A223" s="290">
        <f t="shared" si="34"/>
        <v>0</v>
      </c>
      <c r="B223" s="49"/>
      <c r="C223" s="49"/>
      <c r="D223" s="140" t="s">
        <v>179</v>
      </c>
      <c r="E223" s="67" t="str">
        <f>VLOOKUP(D223,'03. Insumos'!A:D,2,0)</f>
        <v>Ampliação em Estr. Metálica + Laje</v>
      </c>
      <c r="F223" s="68" t="s">
        <v>2612</v>
      </c>
      <c r="G223" s="68" t="str">
        <f>VLOOKUP(D223,'03. Insumos'!A:F,3,0)</f>
        <v>m²</v>
      </c>
      <c r="H223" s="69">
        <v>1</v>
      </c>
      <c r="I223" s="141">
        <f>I220*110</f>
        <v>38.877209088173693</v>
      </c>
      <c r="J223" s="70">
        <f t="shared" si="32"/>
        <v>628.23199999999997</v>
      </c>
      <c r="K223" s="70">
        <f>IF(A223=0,VLOOKUP(D223,'03. Insumos'!A:F,4,0),"")</f>
        <v>628.23199999999997</v>
      </c>
      <c r="L223" s="70">
        <f t="shared" si="33"/>
        <v>24423.906819881533</v>
      </c>
      <c r="M223" s="153">
        <f t="shared" ca="1" si="31"/>
        <v>9.2053621739048301E-4</v>
      </c>
      <c r="O223" s="148">
        <f t="shared" si="27"/>
        <v>24423.906819881533</v>
      </c>
      <c r="R223" s="12">
        <f t="shared" si="23"/>
        <v>-18.298019417475757</v>
      </c>
    </row>
    <row r="224" spans="1:18" s="51" customFormat="1" ht="13.5" hidden="1" customHeight="1" outlineLevel="1" x14ac:dyDescent="0.3">
      <c r="A224" s="290">
        <f t="shared" si="34"/>
        <v>0</v>
      </c>
      <c r="B224" s="49"/>
      <c r="C224" s="49"/>
      <c r="D224" s="140" t="s">
        <v>441</v>
      </c>
      <c r="E224" s="67" t="str">
        <f>VLOOKUP(D224,'03. Insumos'!A:D,2,0)</f>
        <v>Lançamento de Concreto - Mat</v>
      </c>
      <c r="F224" s="68"/>
      <c r="G224" s="68" t="str">
        <f>VLOOKUP(D224,'03. Insumos'!A:F,3,0)</f>
        <v>Kg</v>
      </c>
      <c r="H224" s="69">
        <v>1</v>
      </c>
      <c r="I224" s="141"/>
      <c r="J224" s="70">
        <f t="shared" si="32"/>
        <v>1.48</v>
      </c>
      <c r="K224" s="70">
        <f>IF(A224=0,VLOOKUP(D224,'03. Insumos'!A:F,4,0),"")</f>
        <v>1.48</v>
      </c>
      <c r="L224" s="70">
        <f t="shared" si="33"/>
        <v>0</v>
      </c>
      <c r="M224" s="153">
        <f t="shared" ca="1" si="31"/>
        <v>0</v>
      </c>
      <c r="O224" s="148">
        <f t="shared" si="27"/>
        <v>0</v>
      </c>
      <c r="R224" s="12">
        <f t="shared" si="23"/>
        <v>-4.3106796116504809E-2</v>
      </c>
    </row>
    <row r="225" spans="1:18" s="51" customFormat="1" ht="13.5" customHeight="1" outlineLevel="1" x14ac:dyDescent="0.3">
      <c r="A225" s="290">
        <f t="shared" si="34"/>
        <v>0</v>
      </c>
      <c r="B225" s="49"/>
      <c r="C225" s="49"/>
      <c r="D225" s="140" t="s">
        <v>2260</v>
      </c>
      <c r="E225" s="67" t="str">
        <f>VLOOKUP(D225,'03. Insumos'!A:D,2,0)</f>
        <v>Forma (Mat - Chapa plastificada 12 mm+ perna 3'+ tábua)</v>
      </c>
      <c r="F225" s="68" t="s">
        <v>2612</v>
      </c>
      <c r="G225" s="68" t="str">
        <f>VLOOKUP(D225,'03. Insumos'!A:F,3,0)</f>
        <v>m²</v>
      </c>
      <c r="H225" s="69">
        <v>1</v>
      </c>
      <c r="I225" s="141">
        <f>I220/0.2</f>
        <v>1.7671458676442586</v>
      </c>
      <c r="J225" s="70">
        <f t="shared" si="32"/>
        <v>27.42</v>
      </c>
      <c r="K225" s="70">
        <f>IF(A225=0,VLOOKUP(D225,'03. Insumos'!A:F,4,0),"")</f>
        <v>27.42</v>
      </c>
      <c r="L225" s="70">
        <f t="shared" si="33"/>
        <v>48.455139690805574</v>
      </c>
      <c r="M225" s="153">
        <f t="shared" ca="1" si="31"/>
        <v>1.8262725669994991E-6</v>
      </c>
      <c r="O225" s="148">
        <f t="shared" si="27"/>
        <v>48.455139690805574</v>
      </c>
      <c r="R225" s="12">
        <f t="shared" si="23"/>
        <v>-0.79864077669903111</v>
      </c>
    </row>
    <row r="226" spans="1:18" ht="13.5" hidden="1" customHeight="1" outlineLevel="1" x14ac:dyDescent="0.3">
      <c r="A226" s="290">
        <f t="shared" si="34"/>
        <v>6</v>
      </c>
      <c r="B226" s="4"/>
      <c r="C226" s="4" t="s">
        <v>1331</v>
      </c>
      <c r="D226" s="451" t="s">
        <v>2645</v>
      </c>
      <c r="E226" s="450"/>
      <c r="F226" s="56"/>
      <c r="G226" s="56"/>
      <c r="H226" s="57"/>
      <c r="I226" s="29"/>
      <c r="J226" s="58"/>
      <c r="K226" s="58" t="str">
        <f>IF(A226=0,VLOOKUP(D226,'03. Insumos'!A:F,4,0),"")</f>
        <v/>
      </c>
      <c r="L226" s="58">
        <f>SUM(L227:L232)</f>
        <v>0</v>
      </c>
      <c r="M226" s="153">
        <f t="shared" ca="1" si="31"/>
        <v>0</v>
      </c>
      <c r="O226" s="148">
        <f t="shared" si="27"/>
        <v>0</v>
      </c>
      <c r="R226" s="12">
        <f t="shared" ref="R226:R232" si="35">IF(J226&lt;&gt;0,J226/1.03-K226,0)</f>
        <v>0</v>
      </c>
    </row>
    <row r="227" spans="1:18" s="51" customFormat="1" ht="13.5" hidden="1" customHeight="1" outlineLevel="1" x14ac:dyDescent="0.3">
      <c r="A227" s="290">
        <f t="shared" si="34"/>
        <v>0</v>
      </c>
      <c r="B227" s="49"/>
      <c r="C227" s="49"/>
      <c r="D227" s="140" t="s">
        <v>133</v>
      </c>
      <c r="E227" s="67" t="str">
        <f>VLOOKUP(D227,'03. Insumos'!A:D,2,0)</f>
        <v>Projeto, Ampliação em Estrutura Metálica, Reforço de Paredes internas</v>
      </c>
      <c r="F227" s="68" t="s">
        <v>2612</v>
      </c>
      <c r="G227" s="68" t="str">
        <f>VLOOKUP(D227,'03. Insumos'!A:F,3,0)</f>
        <v>vb</v>
      </c>
      <c r="H227" s="69">
        <v>1</v>
      </c>
      <c r="I227" s="141"/>
      <c r="J227" s="70">
        <f t="shared" ref="J227:J232" si="36">IFERROR(IF(K227&lt;&gt;0,K227*$K$5,0),0)</f>
        <v>107600</v>
      </c>
      <c r="K227" s="70">
        <f>IF(A227=0,VLOOKUP(D227,'03. Insumos'!A:F,4,0),"")</f>
        <v>107600</v>
      </c>
      <c r="L227" s="70">
        <f t="shared" ref="L227:L232" si="37">H227*J227*I227</f>
        <v>0</v>
      </c>
      <c r="M227" s="153">
        <f t="shared" ca="1" si="31"/>
        <v>0</v>
      </c>
      <c r="O227" s="148">
        <f t="shared" si="27"/>
        <v>0</v>
      </c>
      <c r="R227" s="12">
        <f t="shared" si="35"/>
        <v>-3133.9805825242802</v>
      </c>
    </row>
    <row r="228" spans="1:18" s="51" customFormat="1" ht="13.5" hidden="1" customHeight="1" outlineLevel="1" x14ac:dyDescent="0.3">
      <c r="A228" s="290">
        <f>LEN(C228)</f>
        <v>0</v>
      </c>
      <c r="B228" s="49"/>
      <c r="C228" s="49"/>
      <c r="D228" s="140" t="s">
        <v>2262</v>
      </c>
      <c r="E228" s="67" t="str">
        <f>VLOOKUP(D228,'03. Insumos'!A:D,2,0)</f>
        <v>Aterro com Areia</v>
      </c>
      <c r="F228" s="68"/>
      <c r="G228" s="68" t="str">
        <f>VLOOKUP(D228,'03. Insumos'!A:F,3,0)</f>
        <v>m³</v>
      </c>
      <c r="H228" s="69">
        <v>1</v>
      </c>
      <c r="I228" s="141"/>
      <c r="J228" s="70">
        <f t="shared" si="36"/>
        <v>400</v>
      </c>
      <c r="K228" s="70">
        <f>IF(A228=0,VLOOKUP(D228,'03. Insumos'!A:F,4,0),"")</f>
        <v>400</v>
      </c>
      <c r="L228" s="70">
        <f t="shared" si="37"/>
        <v>0</v>
      </c>
      <c r="M228" s="153">
        <f t="shared" ca="1" si="31"/>
        <v>0</v>
      </c>
      <c r="O228" s="148">
        <f t="shared" si="27"/>
        <v>0</v>
      </c>
      <c r="R228" s="12">
        <f t="shared" si="35"/>
        <v>-11.650485436893234</v>
      </c>
    </row>
    <row r="229" spans="1:18" s="51" customFormat="1" ht="13.5" hidden="1" customHeight="1" outlineLevel="1" x14ac:dyDescent="0.3">
      <c r="A229" s="290">
        <f>LEN(C229)</f>
        <v>0</v>
      </c>
      <c r="B229" s="49"/>
      <c r="C229" s="49"/>
      <c r="D229" s="140" t="s">
        <v>442</v>
      </c>
      <c r="E229" s="67" t="str">
        <f>VLOOKUP(D229,'03. Insumos'!A:D,2,0)</f>
        <v>Compactação com Sapinho</v>
      </c>
      <c r="F229" s="68"/>
      <c r="G229" s="68" t="str">
        <f>VLOOKUP(D229,'03. Insumos'!A:F,3,0)</f>
        <v>mês</v>
      </c>
      <c r="H229" s="69">
        <v>1</v>
      </c>
      <c r="I229" s="141"/>
      <c r="J229" s="70">
        <f t="shared" si="36"/>
        <v>520</v>
      </c>
      <c r="K229" s="70">
        <f>IF(A229=0,VLOOKUP(D229,'03. Insumos'!A:F,4,0),"")</f>
        <v>520</v>
      </c>
      <c r="L229" s="70">
        <f t="shared" si="37"/>
        <v>0</v>
      </c>
      <c r="M229" s="153">
        <f t="shared" ca="1" si="31"/>
        <v>0</v>
      </c>
      <c r="O229" s="148">
        <f t="shared" si="27"/>
        <v>0</v>
      </c>
      <c r="R229" s="12">
        <f t="shared" si="35"/>
        <v>-15.145631067961176</v>
      </c>
    </row>
    <row r="230" spans="1:18" s="51" customFormat="1" ht="13.5" hidden="1" customHeight="1" outlineLevel="1" x14ac:dyDescent="0.3">
      <c r="A230" s="290">
        <f>LEN(C230)</f>
        <v>0</v>
      </c>
      <c r="B230" s="49"/>
      <c r="C230" s="49"/>
      <c r="D230" s="140" t="s">
        <v>179</v>
      </c>
      <c r="E230" s="67" t="str">
        <f>VLOOKUP(D230,'03. Insumos'!A:D,2,0)</f>
        <v>Ampliação em Estr. Metálica + Laje</v>
      </c>
      <c r="F230" s="68" t="s">
        <v>2612</v>
      </c>
      <c r="G230" s="68" t="str">
        <f>VLOOKUP(D230,'03. Insumos'!A:F,3,0)</f>
        <v>m²</v>
      </c>
      <c r="H230" s="69">
        <v>1</v>
      </c>
      <c r="I230" s="141">
        <f>I227*110</f>
        <v>0</v>
      </c>
      <c r="J230" s="70">
        <f t="shared" si="36"/>
        <v>628.23199999999997</v>
      </c>
      <c r="K230" s="70">
        <f>IF(A230=0,VLOOKUP(D230,'03. Insumos'!A:F,4,0),"")</f>
        <v>628.23199999999997</v>
      </c>
      <c r="L230" s="70">
        <f t="shared" si="37"/>
        <v>0</v>
      </c>
      <c r="M230" s="153">
        <f t="shared" ca="1" si="31"/>
        <v>0</v>
      </c>
      <c r="O230" s="148">
        <f t="shared" si="27"/>
        <v>0</v>
      </c>
      <c r="R230" s="12">
        <f t="shared" si="35"/>
        <v>-18.298019417475757</v>
      </c>
    </row>
    <row r="231" spans="1:18" s="51" customFormat="1" ht="13.5" hidden="1" customHeight="1" outlineLevel="1" x14ac:dyDescent="0.3">
      <c r="A231" s="290">
        <f>LEN(C231)</f>
        <v>0</v>
      </c>
      <c r="B231" s="49"/>
      <c r="C231" s="49"/>
      <c r="D231" s="140" t="s">
        <v>441</v>
      </c>
      <c r="E231" s="67" t="str">
        <f>VLOOKUP(D231,'03. Insumos'!A:D,2,0)</f>
        <v>Lançamento de Concreto - Mat</v>
      </c>
      <c r="F231" s="68"/>
      <c r="G231" s="68" t="str">
        <f>VLOOKUP(D231,'03. Insumos'!A:F,3,0)</f>
        <v>Kg</v>
      </c>
      <c r="H231" s="69">
        <v>1</v>
      </c>
      <c r="I231" s="141"/>
      <c r="J231" s="70">
        <f t="shared" si="36"/>
        <v>1.48</v>
      </c>
      <c r="K231" s="70">
        <f>IF(A231=0,VLOOKUP(D231,'03. Insumos'!A:F,4,0),"")</f>
        <v>1.48</v>
      </c>
      <c r="L231" s="70">
        <f t="shared" si="37"/>
        <v>0</v>
      </c>
      <c r="M231" s="153">
        <f t="shared" ca="1" si="31"/>
        <v>0</v>
      </c>
      <c r="O231" s="148">
        <f t="shared" si="27"/>
        <v>0</v>
      </c>
      <c r="R231" s="12">
        <f t="shared" si="35"/>
        <v>-4.3106796116504809E-2</v>
      </c>
    </row>
    <row r="232" spans="1:18" s="51" customFormat="1" ht="13.5" hidden="1" customHeight="1" outlineLevel="1" x14ac:dyDescent="0.3">
      <c r="A232" s="290">
        <f>LEN(C232)</f>
        <v>0</v>
      </c>
      <c r="B232" s="49"/>
      <c r="C232" s="49"/>
      <c r="D232" s="140" t="s">
        <v>2260</v>
      </c>
      <c r="E232" s="67" t="str">
        <f>VLOOKUP(D232,'03. Insumos'!A:D,2,0)</f>
        <v>Forma (Mat - Chapa plastificada 12 mm+ perna 3'+ tábua)</v>
      </c>
      <c r="F232" s="68" t="s">
        <v>2612</v>
      </c>
      <c r="G232" s="68" t="str">
        <f>VLOOKUP(D232,'03. Insumos'!A:F,3,0)</f>
        <v>m²</v>
      </c>
      <c r="H232" s="69">
        <v>1</v>
      </c>
      <c r="I232" s="141">
        <f>I227/0.2</f>
        <v>0</v>
      </c>
      <c r="J232" s="70">
        <f t="shared" si="36"/>
        <v>27.42</v>
      </c>
      <c r="K232" s="70">
        <f>IF(A232=0,VLOOKUP(D232,'03. Insumos'!A:F,4,0),"")</f>
        <v>27.42</v>
      </c>
      <c r="L232" s="70">
        <f t="shared" si="37"/>
        <v>0</v>
      </c>
      <c r="M232" s="153">
        <f t="shared" ca="1" si="31"/>
        <v>0</v>
      </c>
      <c r="O232" s="148">
        <f t="shared" si="27"/>
        <v>0</v>
      </c>
      <c r="R232" s="12">
        <f t="shared" si="35"/>
        <v>-0.79864077669903111</v>
      </c>
    </row>
    <row r="233" spans="1:18" ht="13.5" customHeight="1" outlineLevel="1" x14ac:dyDescent="0.3">
      <c r="A233" s="290">
        <f t="shared" si="34"/>
        <v>6</v>
      </c>
      <c r="B233" s="4"/>
      <c r="C233" s="4" t="s">
        <v>1332</v>
      </c>
      <c r="D233" s="4" t="s">
        <v>2927</v>
      </c>
      <c r="E233" s="55"/>
      <c r="F233" s="56"/>
      <c r="G233" s="68" t="s">
        <v>72</v>
      </c>
      <c r="H233" s="57">
        <v>3.9292800000000003</v>
      </c>
      <c r="I233" s="29"/>
      <c r="J233" s="58"/>
      <c r="K233" s="27" t="str">
        <f>IF(A233=0,VLOOKUP(D233,'03. Insumos'!A:F,4,0),"")</f>
        <v/>
      </c>
      <c r="L233" s="58">
        <f>SUM(L234:L240)</f>
        <v>764548.11181056011</v>
      </c>
      <c r="M233" s="153">
        <f t="shared" ca="1" si="31"/>
        <v>2.8815792332053402E-2</v>
      </c>
      <c r="O233" s="148">
        <f t="shared" si="27"/>
        <v>0</v>
      </c>
      <c r="R233" s="12">
        <f>IF(J233&lt;&gt;0,J233/1.03-K233,0)</f>
        <v>0</v>
      </c>
    </row>
    <row r="234" spans="1:18" ht="13.5" customHeight="1" outlineLevel="1" x14ac:dyDescent="0.3">
      <c r="A234" s="290">
        <f t="shared" si="34"/>
        <v>0</v>
      </c>
      <c r="B234" s="4"/>
      <c r="C234" s="4"/>
      <c r="D234" s="140" t="s">
        <v>133</v>
      </c>
      <c r="E234" s="67" t="str">
        <f>VLOOKUP(D234,'03. Insumos'!A:D,2,0)</f>
        <v>Projeto, Ampliação em Estrutura Metálica, Reforço de Paredes internas</v>
      </c>
      <c r="F234" s="68" t="s">
        <v>2612</v>
      </c>
      <c r="G234" s="68" t="str">
        <f>VLOOKUP(D234,'03. Insumos'!A:F,3,0)</f>
        <v>vb</v>
      </c>
      <c r="H234" s="69">
        <v>1</v>
      </c>
      <c r="I234" s="141">
        <f>H233*1.1</f>
        <v>4.3222080000000007</v>
      </c>
      <c r="J234" s="70">
        <f t="shared" ref="J234:J239" si="38">IFERROR(IF(K234&lt;&gt;0,K234*$K$5,0),0)</f>
        <v>107600</v>
      </c>
      <c r="K234" s="70">
        <f>IF(A234=0,VLOOKUP(D234,'03. Insumos'!A:F,4,0),"")</f>
        <v>107600</v>
      </c>
      <c r="L234" s="70">
        <f t="shared" ref="L234:L239" si="39">H234*J234*I234</f>
        <v>465069.58080000005</v>
      </c>
      <c r="M234" s="153">
        <f t="shared" ca="1" si="31"/>
        <v>1.7528456683453979E-2</v>
      </c>
      <c r="O234" s="148"/>
      <c r="R234" s="12"/>
    </row>
    <row r="235" spans="1:18" s="51" customFormat="1" ht="13.5" hidden="1" customHeight="1" outlineLevel="1" x14ac:dyDescent="0.3">
      <c r="A235" s="290">
        <f t="shared" si="34"/>
        <v>0</v>
      </c>
      <c r="B235" s="49"/>
      <c r="C235" s="49"/>
      <c r="D235" s="140" t="s">
        <v>2262</v>
      </c>
      <c r="E235" s="67" t="str">
        <f>VLOOKUP(D235,'03. Insumos'!A:D,2,0)</f>
        <v>Aterro com Areia</v>
      </c>
      <c r="F235" s="68"/>
      <c r="G235" s="68" t="str">
        <f>VLOOKUP(D235,'03. Insumos'!A:F,3,0)</f>
        <v>m³</v>
      </c>
      <c r="H235" s="69">
        <v>1</v>
      </c>
      <c r="I235" s="141"/>
      <c r="J235" s="70">
        <f t="shared" si="38"/>
        <v>400</v>
      </c>
      <c r="K235" s="70">
        <f>IF(A235=0,VLOOKUP(D235,'03. Insumos'!A:F,4,0),"")</f>
        <v>400</v>
      </c>
      <c r="L235" s="70">
        <f t="shared" si="39"/>
        <v>0</v>
      </c>
      <c r="M235" s="153">
        <f t="shared" ca="1" si="31"/>
        <v>0</v>
      </c>
      <c r="O235" s="148">
        <f t="shared" si="27"/>
        <v>0</v>
      </c>
      <c r="R235" s="12">
        <f t="shared" ref="R235:R241" si="40">IF(J235&lt;&gt;0,J235/1.03-K235,0)</f>
        <v>-11.650485436893234</v>
      </c>
    </row>
    <row r="236" spans="1:18" s="51" customFormat="1" ht="13.5" hidden="1" customHeight="1" outlineLevel="1" x14ac:dyDescent="0.3">
      <c r="A236" s="290">
        <f t="shared" si="34"/>
        <v>0</v>
      </c>
      <c r="B236" s="49"/>
      <c r="C236" s="49"/>
      <c r="D236" s="140" t="s">
        <v>442</v>
      </c>
      <c r="E236" s="67" t="str">
        <f>VLOOKUP(D236,'03. Insumos'!A:D,2,0)</f>
        <v>Compactação com Sapinho</v>
      </c>
      <c r="F236" s="68"/>
      <c r="G236" s="68" t="str">
        <f>VLOOKUP(D236,'03. Insumos'!A:F,3,0)</f>
        <v>mês</v>
      </c>
      <c r="H236" s="69">
        <v>1</v>
      </c>
      <c r="I236" s="141"/>
      <c r="J236" s="70">
        <f t="shared" si="38"/>
        <v>520</v>
      </c>
      <c r="K236" s="70">
        <f>IF(A236=0,VLOOKUP(D236,'03. Insumos'!A:F,4,0),"")</f>
        <v>520</v>
      </c>
      <c r="L236" s="70">
        <f t="shared" si="39"/>
        <v>0</v>
      </c>
      <c r="M236" s="153">
        <f t="shared" ca="1" si="31"/>
        <v>0</v>
      </c>
      <c r="O236" s="148">
        <f t="shared" ref="O236:O299" si="41">IF(I236&lt;&gt;0,I236*H236*K236,)</f>
        <v>0</v>
      </c>
      <c r="R236" s="12">
        <f t="shared" si="40"/>
        <v>-15.145631067961176</v>
      </c>
    </row>
    <row r="237" spans="1:18" s="51" customFormat="1" ht="13.5" customHeight="1" outlineLevel="1" x14ac:dyDescent="0.3">
      <c r="A237" s="290">
        <f t="shared" si="34"/>
        <v>0</v>
      </c>
      <c r="B237" s="49"/>
      <c r="C237" s="49"/>
      <c r="D237" s="140" t="s">
        <v>179</v>
      </c>
      <c r="E237" s="67" t="str">
        <f>VLOOKUP(D237,'03. Insumos'!A:D,2,0)</f>
        <v>Ampliação em Estr. Metálica + Laje</v>
      </c>
      <c r="F237" s="68" t="s">
        <v>2612</v>
      </c>
      <c r="G237" s="68" t="str">
        <f>VLOOKUP(D237,'03. Insumos'!A:F,3,0)</f>
        <v>m²</v>
      </c>
      <c r="H237" s="69">
        <v>1</v>
      </c>
      <c r="I237" s="141">
        <f>I234*110</f>
        <v>475.44288000000006</v>
      </c>
      <c r="J237" s="70">
        <f t="shared" si="38"/>
        <v>628.23199999999997</v>
      </c>
      <c r="K237" s="70">
        <f>IF(A237=0,VLOOKUP(D237,'03. Insumos'!A:F,4,0),"")</f>
        <v>628.23199999999997</v>
      </c>
      <c r="L237" s="70">
        <f t="shared" si="39"/>
        <v>298688.43138816004</v>
      </c>
      <c r="M237" s="153">
        <f t="shared" ca="1" si="31"/>
        <v>1.1257556820702255E-2</v>
      </c>
      <c r="O237" s="148">
        <f t="shared" si="41"/>
        <v>298688.43138816004</v>
      </c>
      <c r="R237" s="12">
        <f t="shared" si="40"/>
        <v>-18.298019417475757</v>
      </c>
    </row>
    <row r="238" spans="1:18" s="51" customFormat="1" ht="13.5" hidden="1" customHeight="1" outlineLevel="1" x14ac:dyDescent="0.3">
      <c r="A238" s="290">
        <f t="shared" si="34"/>
        <v>0</v>
      </c>
      <c r="B238" s="49"/>
      <c r="C238" s="49"/>
      <c r="D238" s="140" t="s">
        <v>441</v>
      </c>
      <c r="E238" s="67" t="str">
        <f>VLOOKUP(D238,'03. Insumos'!A:D,2,0)</f>
        <v>Lançamento de Concreto - Mat</v>
      </c>
      <c r="F238" s="68"/>
      <c r="G238" s="68" t="str">
        <f>VLOOKUP(D238,'03. Insumos'!A:F,3,0)</f>
        <v>Kg</v>
      </c>
      <c r="H238" s="69">
        <v>1</v>
      </c>
      <c r="I238" s="141"/>
      <c r="J238" s="70">
        <f t="shared" si="38"/>
        <v>1.48</v>
      </c>
      <c r="K238" s="70">
        <f>IF(A238=0,VLOOKUP(D238,'03. Insumos'!A:F,4,0),"")</f>
        <v>1.48</v>
      </c>
      <c r="L238" s="70">
        <f t="shared" si="39"/>
        <v>0</v>
      </c>
      <c r="M238" s="153">
        <f t="shared" ca="1" si="31"/>
        <v>0</v>
      </c>
      <c r="O238" s="148">
        <f t="shared" si="41"/>
        <v>0</v>
      </c>
      <c r="R238" s="12">
        <f t="shared" si="40"/>
        <v>-4.3106796116504809E-2</v>
      </c>
    </row>
    <row r="239" spans="1:18" s="51" customFormat="1" ht="13.5" customHeight="1" outlineLevel="1" x14ac:dyDescent="0.3">
      <c r="A239" s="290">
        <f t="shared" si="34"/>
        <v>0</v>
      </c>
      <c r="B239" s="49"/>
      <c r="C239" s="49"/>
      <c r="D239" s="140" t="s">
        <v>2260</v>
      </c>
      <c r="E239" s="67" t="str">
        <f>VLOOKUP(D239,'03. Insumos'!A:D,2,0)</f>
        <v>Forma (Mat - Chapa plastificada 12 mm+ perna 3'+ tábua)</v>
      </c>
      <c r="F239" s="68" t="s">
        <v>2612</v>
      </c>
      <c r="G239" s="68" t="str">
        <f>VLOOKUP(D239,'03. Insumos'!A:F,3,0)</f>
        <v>m²</v>
      </c>
      <c r="H239" s="69">
        <v>1</v>
      </c>
      <c r="I239" s="141">
        <f>I234/0.15</f>
        <v>28.814720000000005</v>
      </c>
      <c r="J239" s="70">
        <f t="shared" si="38"/>
        <v>27.42</v>
      </c>
      <c r="K239" s="70">
        <f>IF(A239=0,VLOOKUP(D239,'03. Insumos'!A:F,4,0),"")</f>
        <v>27.42</v>
      </c>
      <c r="L239" s="70">
        <f t="shared" si="39"/>
        <v>790.09962240000016</v>
      </c>
      <c r="M239" s="153">
        <f t="shared" ca="1" si="31"/>
        <v>2.9778827897169028E-5</v>
      </c>
      <c r="O239" s="148">
        <f t="shared" si="41"/>
        <v>790.09962240000016</v>
      </c>
      <c r="R239" s="12">
        <f t="shared" si="40"/>
        <v>-0.79864077669903111</v>
      </c>
    </row>
    <row r="240" spans="1:18" s="51" customFormat="1" ht="13.5" hidden="1" customHeight="1" outlineLevel="1" x14ac:dyDescent="0.3">
      <c r="A240" s="290">
        <f t="shared" si="34"/>
        <v>0</v>
      </c>
      <c r="B240" s="49"/>
      <c r="C240" s="49"/>
      <c r="D240" s="140" t="s">
        <v>238</v>
      </c>
      <c r="E240" s="67" t="str">
        <f>VLOOKUP(D240,'03. Insumos'!A:D,2,0)</f>
        <v>Forma MAT+MO</v>
      </c>
      <c r="F240" s="68"/>
      <c r="G240" s="68" t="str">
        <f>VLOOKUP(D240,'03. Insumos'!A:F,3,0)</f>
        <v>m²</v>
      </c>
      <c r="H240" s="69"/>
      <c r="I240" s="141"/>
      <c r="J240" s="70">
        <f>IFERROR(IF(K240&lt;&gt;0,K240*$K$5,0),0)</f>
        <v>78</v>
      </c>
      <c r="K240" s="54">
        <f>IF(A240=0,VLOOKUP(D240,'03. Insumos'!A:F,4,0),"")</f>
        <v>78</v>
      </c>
      <c r="L240" s="338">
        <f>H240*J240*I240</f>
        <v>0</v>
      </c>
      <c r="M240" s="153">
        <f t="shared" ca="1" si="31"/>
        <v>0</v>
      </c>
      <c r="O240" s="148">
        <f t="shared" si="41"/>
        <v>0</v>
      </c>
      <c r="R240" s="12">
        <f t="shared" si="40"/>
        <v>-2.2718446601941764</v>
      </c>
    </row>
    <row r="241" spans="1:18" ht="13.5" hidden="1" customHeight="1" outlineLevel="1" x14ac:dyDescent="0.3">
      <c r="A241" s="290">
        <f t="shared" si="34"/>
        <v>6</v>
      </c>
      <c r="B241" s="4"/>
      <c r="C241" s="4" t="s">
        <v>1332</v>
      </c>
      <c r="D241" s="4" t="s">
        <v>2111</v>
      </c>
      <c r="E241" s="55"/>
      <c r="F241" s="56"/>
      <c r="G241" s="56" t="s">
        <v>73</v>
      </c>
      <c r="H241" s="57"/>
      <c r="I241" s="29"/>
      <c r="J241" s="58"/>
      <c r="K241" s="27" t="str">
        <f>IF(A241=0,VLOOKUP(D241,'03. Insumos'!A:F,4,0),"")</f>
        <v/>
      </c>
      <c r="L241" s="58">
        <f>SUM(L242:L250)</f>
        <v>0</v>
      </c>
      <c r="M241" s="153">
        <f t="shared" ca="1" si="31"/>
        <v>0</v>
      </c>
      <c r="O241" s="148">
        <f>IF(I241&lt;&gt;0,I241*H241*K241,)</f>
        <v>0</v>
      </c>
      <c r="R241" s="12">
        <f t="shared" si="40"/>
        <v>0</v>
      </c>
    </row>
    <row r="242" spans="1:18" ht="13.5" hidden="1" customHeight="1" outlineLevel="1" x14ac:dyDescent="0.3">
      <c r="A242" s="290">
        <f t="shared" si="34"/>
        <v>0</v>
      </c>
      <c r="B242" s="4"/>
      <c r="C242" s="4"/>
      <c r="D242" s="140" t="s">
        <v>2109</v>
      </c>
      <c r="E242" s="67" t="str">
        <f>VLOOKUP(D242,'03. Insumos'!A:D,2,0)</f>
        <v>Escada Tipo Caracol</v>
      </c>
      <c r="F242" s="68"/>
      <c r="G242" s="68" t="str">
        <f>VLOOKUP(D242,'03. Insumos'!A:F,3,0)</f>
        <v>unid</v>
      </c>
      <c r="H242" s="69">
        <v>1</v>
      </c>
      <c r="I242" s="141">
        <f>H241</f>
        <v>0</v>
      </c>
      <c r="J242" s="70">
        <f t="shared" ref="J242:J250" si="42">IFERROR(IF(K242&lt;&gt;0,K242*$K$5,0),0)</f>
        <v>4280</v>
      </c>
      <c r="K242" s="54">
        <f>IF(A242=0,VLOOKUP(D242,'03. Insumos'!A:F,4,0),"")</f>
        <v>4280</v>
      </c>
      <c r="L242" s="338">
        <f t="shared" ref="L242:L250" si="43">H242*J242*I242</f>
        <v>0</v>
      </c>
      <c r="M242" s="153">
        <f t="shared" ca="1" si="31"/>
        <v>0</v>
      </c>
      <c r="O242" s="148"/>
      <c r="R242" s="12"/>
    </row>
    <row r="243" spans="1:18" ht="13.5" hidden="1" customHeight="1" outlineLevel="1" x14ac:dyDescent="0.3">
      <c r="A243" s="290">
        <f t="shared" si="34"/>
        <v>0</v>
      </c>
      <c r="B243" s="4"/>
      <c r="C243" s="4"/>
      <c r="D243" s="140" t="s">
        <v>2153</v>
      </c>
      <c r="E243" s="67" t="str">
        <f>VLOOKUP(D243,'03. Insumos'!A:D,2,0)</f>
        <v>Escada tipo reta</v>
      </c>
      <c r="F243" s="68"/>
      <c r="G243" s="68" t="str">
        <f>VLOOKUP(D243,'03. Insumos'!A:F,3,0)</f>
        <v>unid</v>
      </c>
      <c r="H243" s="69">
        <v>1</v>
      </c>
      <c r="I243" s="141">
        <f>ROUNDUP((H241/(2.45*6)),0)</f>
        <v>0</v>
      </c>
      <c r="J243" s="70">
        <f t="shared" si="42"/>
        <v>7350</v>
      </c>
      <c r="K243" s="54">
        <f>IF(A243=0,VLOOKUP(D243,'03. Insumos'!A:F,4,0),"")</f>
        <v>7350</v>
      </c>
      <c r="L243" s="338">
        <f>H243*J243*I243</f>
        <v>0</v>
      </c>
      <c r="M243" s="153">
        <f t="shared" ca="1" si="31"/>
        <v>0</v>
      </c>
      <c r="O243" s="148"/>
      <c r="R243" s="12"/>
    </row>
    <row r="244" spans="1:18" ht="13.5" hidden="1" customHeight="1" outlineLevel="1" x14ac:dyDescent="0.3">
      <c r="A244" s="290">
        <f t="shared" si="34"/>
        <v>0</v>
      </c>
      <c r="B244" s="4"/>
      <c r="C244" s="4"/>
      <c r="D244" s="140" t="s">
        <v>2154</v>
      </c>
      <c r="E244" s="67" t="str">
        <f>VLOOKUP(D244,'03. Insumos'!A:D,2,0)</f>
        <v>Aterro com Brita</v>
      </c>
      <c r="F244" s="68"/>
      <c r="G244" s="68" t="str">
        <f>VLOOKUP(D244,'03. Insumos'!A:F,3,0)</f>
        <v>m³</v>
      </c>
      <c r="H244" s="69">
        <v>1</v>
      </c>
      <c r="I244" s="141">
        <f>H241*0.06</f>
        <v>0</v>
      </c>
      <c r="J244" s="70">
        <f t="shared" si="42"/>
        <v>266</v>
      </c>
      <c r="K244" s="54">
        <f>IF(A244=0,VLOOKUP(D244,'03. Insumos'!A:F,4,0),"")</f>
        <v>266</v>
      </c>
      <c r="L244" s="338">
        <f>H244*J244*I244</f>
        <v>0</v>
      </c>
      <c r="M244" s="153">
        <f t="shared" ca="1" si="31"/>
        <v>0</v>
      </c>
      <c r="O244" s="148"/>
      <c r="R244" s="12"/>
    </row>
    <row r="245" spans="1:18" s="51" customFormat="1" ht="13.5" hidden="1" customHeight="1" outlineLevel="1" x14ac:dyDescent="0.3">
      <c r="A245" s="290">
        <f t="shared" si="34"/>
        <v>0</v>
      </c>
      <c r="B245" s="49"/>
      <c r="C245" s="49"/>
      <c r="D245" s="140" t="s">
        <v>133</v>
      </c>
      <c r="E245" s="67" t="str">
        <f>VLOOKUP(D245,'03. Insumos'!A:D,2,0)</f>
        <v>Projeto, Ampliação em Estrutura Metálica, Reforço de Paredes internas</v>
      </c>
      <c r="F245" s="68"/>
      <c r="G245" s="68" t="str">
        <f>VLOOKUP(D245,'03. Insumos'!A:F,3,0)</f>
        <v>vb</v>
      </c>
      <c r="H245" s="69">
        <v>1</v>
      </c>
      <c r="I245" s="141"/>
      <c r="J245" s="70">
        <f t="shared" si="42"/>
        <v>107600</v>
      </c>
      <c r="K245" s="54">
        <f>IF(A245=0,VLOOKUP(D245,'03. Insumos'!A:F,4,0),"")</f>
        <v>107600</v>
      </c>
      <c r="L245" s="338">
        <f t="shared" si="43"/>
        <v>0</v>
      </c>
      <c r="M245" s="153">
        <f t="shared" ca="1" si="31"/>
        <v>0</v>
      </c>
      <c r="O245" s="148">
        <f t="shared" ref="O245:O250" si="44">IF(I245&lt;&gt;0,I245*H245*K245,)</f>
        <v>0</v>
      </c>
      <c r="R245" s="12">
        <f t="shared" ref="R245:R262" si="45">IF(J245&lt;&gt;0,J245/1.03-K245,0)</f>
        <v>-3133.9805825242802</v>
      </c>
    </row>
    <row r="246" spans="1:18" s="51" customFormat="1" ht="13.5" hidden="1" customHeight="1" outlineLevel="1" x14ac:dyDescent="0.3">
      <c r="A246" s="290">
        <f t="shared" si="34"/>
        <v>0</v>
      </c>
      <c r="B246" s="49"/>
      <c r="C246" s="49"/>
      <c r="D246" s="140" t="s">
        <v>134</v>
      </c>
      <c r="E246" s="67" t="str">
        <f>VLOOKUP(D246,'03. Insumos'!A:D,2,0)</f>
        <v>Bombeamento de concreto - até 40m³</v>
      </c>
      <c r="F246" s="68"/>
      <c r="G246" s="68" t="str">
        <f>VLOOKUP(D246,'03. Insumos'!A:F,3,0)</f>
        <v>dia</v>
      </c>
      <c r="H246" s="69">
        <v>1</v>
      </c>
      <c r="I246" s="141"/>
      <c r="J246" s="70">
        <f t="shared" si="42"/>
        <v>2400</v>
      </c>
      <c r="K246" s="54">
        <f>IF(A246=0,VLOOKUP(D246,'03. Insumos'!A:F,4,0),"")</f>
        <v>2400</v>
      </c>
      <c r="L246" s="338">
        <f t="shared" si="43"/>
        <v>0</v>
      </c>
      <c r="M246" s="153">
        <f t="shared" ca="1" si="31"/>
        <v>0</v>
      </c>
      <c r="O246" s="148">
        <f t="shared" si="44"/>
        <v>0</v>
      </c>
      <c r="R246" s="12">
        <f t="shared" si="45"/>
        <v>-69.902912621359064</v>
      </c>
    </row>
    <row r="247" spans="1:18" s="51" customFormat="1" ht="13.5" hidden="1" customHeight="1" outlineLevel="1" x14ac:dyDescent="0.3">
      <c r="A247" s="290">
        <f t="shared" si="34"/>
        <v>0</v>
      </c>
      <c r="B247" s="49"/>
      <c r="C247" s="49"/>
      <c r="D247" s="140" t="s">
        <v>442</v>
      </c>
      <c r="E247" s="67" t="str">
        <f>VLOOKUP(D247,'03. Insumos'!A:D,2,0)</f>
        <v>Compactação com Sapinho</v>
      </c>
      <c r="F247" s="68"/>
      <c r="G247" s="68" t="str">
        <f>VLOOKUP(D247,'03. Insumos'!A:F,3,0)</f>
        <v>mês</v>
      </c>
      <c r="H247" s="69">
        <v>1</v>
      </c>
      <c r="I247" s="141"/>
      <c r="J247" s="70">
        <f t="shared" si="42"/>
        <v>520</v>
      </c>
      <c r="K247" s="54">
        <f>IF(A247=0,VLOOKUP(D247,'03. Insumos'!A:F,4,0),"")</f>
        <v>520</v>
      </c>
      <c r="L247" s="338">
        <f t="shared" si="43"/>
        <v>0</v>
      </c>
      <c r="M247" s="153">
        <f t="shared" ca="1" si="31"/>
        <v>0</v>
      </c>
      <c r="O247" s="148">
        <f t="shared" si="44"/>
        <v>0</v>
      </c>
      <c r="R247" s="12">
        <f t="shared" si="45"/>
        <v>-15.145631067961176</v>
      </c>
    </row>
    <row r="248" spans="1:18" s="51" customFormat="1" ht="13.5" hidden="1" customHeight="1" outlineLevel="1" x14ac:dyDescent="0.3">
      <c r="A248" s="290">
        <f t="shared" si="34"/>
        <v>0</v>
      </c>
      <c r="B248" s="49"/>
      <c r="C248" s="49"/>
      <c r="D248" s="140" t="s">
        <v>179</v>
      </c>
      <c r="E248" s="67" t="str">
        <f>VLOOKUP(D248,'03. Insumos'!A:D,2,0)</f>
        <v>Ampliação em Estr. Metálica + Laje</v>
      </c>
      <c r="F248" s="68"/>
      <c r="G248" s="68" t="str">
        <f>VLOOKUP(D248,'03. Insumos'!A:F,3,0)</f>
        <v>m²</v>
      </c>
      <c r="H248" s="69">
        <v>1</v>
      </c>
      <c r="I248" s="141"/>
      <c r="J248" s="70">
        <f t="shared" si="42"/>
        <v>628.23199999999997</v>
      </c>
      <c r="K248" s="54">
        <f>IF(A248=0,VLOOKUP(D248,'03. Insumos'!A:F,4,0),"")</f>
        <v>628.23199999999997</v>
      </c>
      <c r="L248" s="338">
        <f t="shared" si="43"/>
        <v>0</v>
      </c>
      <c r="M248" s="153">
        <f t="shared" ca="1" si="31"/>
        <v>0</v>
      </c>
      <c r="O248" s="148">
        <f t="shared" si="44"/>
        <v>0</v>
      </c>
      <c r="R248" s="12">
        <f t="shared" si="45"/>
        <v>-18.298019417475757</v>
      </c>
    </row>
    <row r="249" spans="1:18" s="51" customFormat="1" ht="13.5" hidden="1" customHeight="1" outlineLevel="1" x14ac:dyDescent="0.3">
      <c r="A249" s="290">
        <f t="shared" si="34"/>
        <v>0</v>
      </c>
      <c r="B249" s="49"/>
      <c r="C249" s="49"/>
      <c r="D249" s="140" t="s">
        <v>441</v>
      </c>
      <c r="E249" s="67" t="str">
        <f>VLOOKUP(D249,'03. Insumos'!A:D,2,0)</f>
        <v>Lançamento de Concreto - Mat</v>
      </c>
      <c r="F249" s="68"/>
      <c r="G249" s="68" t="str">
        <f>VLOOKUP(D249,'03. Insumos'!A:F,3,0)</f>
        <v>Kg</v>
      </c>
      <c r="H249" s="69">
        <v>1</v>
      </c>
      <c r="I249" s="141">
        <f>I245*100</f>
        <v>0</v>
      </c>
      <c r="J249" s="70">
        <f t="shared" si="42"/>
        <v>1.48</v>
      </c>
      <c r="K249" s="54">
        <f>IF(A249=0,VLOOKUP(D249,'03. Insumos'!A:F,4,0),"")</f>
        <v>1.48</v>
      </c>
      <c r="L249" s="338">
        <f t="shared" si="43"/>
        <v>0</v>
      </c>
      <c r="M249" s="153">
        <f t="shared" ca="1" si="31"/>
        <v>0</v>
      </c>
      <c r="O249" s="148">
        <f t="shared" si="44"/>
        <v>0</v>
      </c>
      <c r="R249" s="12">
        <f t="shared" si="45"/>
        <v>-4.3106796116504809E-2</v>
      </c>
    </row>
    <row r="250" spans="1:18" s="51" customFormat="1" ht="13.5" hidden="1" customHeight="1" outlineLevel="1" x14ac:dyDescent="0.3">
      <c r="A250" s="290">
        <f t="shared" si="34"/>
        <v>0</v>
      </c>
      <c r="B250" s="49"/>
      <c r="C250" s="49"/>
      <c r="D250" s="140" t="s">
        <v>238</v>
      </c>
      <c r="E250" s="67" t="str">
        <f>VLOOKUP(D250,'03. Insumos'!A:D,2,0)</f>
        <v>Forma MAT+MO</v>
      </c>
      <c r="F250" s="68"/>
      <c r="G250" s="68" t="str">
        <f>VLOOKUP(D250,'03. Insumos'!A:F,3,0)</f>
        <v>m²</v>
      </c>
      <c r="H250" s="69">
        <v>1</v>
      </c>
      <c r="I250" s="141"/>
      <c r="J250" s="70">
        <f t="shared" si="42"/>
        <v>78</v>
      </c>
      <c r="K250" s="54">
        <f>IF(A250=0,VLOOKUP(D250,'03. Insumos'!A:F,4,0),"")</f>
        <v>78</v>
      </c>
      <c r="L250" s="338">
        <f t="shared" si="43"/>
        <v>0</v>
      </c>
      <c r="M250" s="153">
        <f t="shared" ca="1" si="31"/>
        <v>0</v>
      </c>
      <c r="O250" s="148">
        <f t="shared" si="44"/>
        <v>0</v>
      </c>
      <c r="R250" s="12">
        <f t="shared" si="45"/>
        <v>-2.2718446601941764</v>
      </c>
    </row>
    <row r="251" spans="1:18" ht="13.5" hidden="1" customHeight="1" outlineLevel="1" x14ac:dyDescent="0.3">
      <c r="A251" s="290">
        <f t="shared" si="34"/>
        <v>6</v>
      </c>
      <c r="B251" s="4"/>
      <c r="C251" s="4" t="s">
        <v>2110</v>
      </c>
      <c r="D251" s="4" t="s">
        <v>2241</v>
      </c>
      <c r="E251" s="55"/>
      <c r="F251" s="56"/>
      <c r="G251" s="56" t="s">
        <v>72</v>
      </c>
      <c r="H251" s="57"/>
      <c r="I251" s="29"/>
      <c r="J251" s="58"/>
      <c r="K251" s="27" t="str">
        <f>IF(A251=0,VLOOKUP(D251,'03. Insumos'!A:F,4,0),"")</f>
        <v/>
      </c>
      <c r="L251" s="58">
        <f>SUM(L252:L253)</f>
        <v>0</v>
      </c>
      <c r="M251" s="153">
        <f t="shared" ca="1" si="31"/>
        <v>0</v>
      </c>
      <c r="O251" s="148">
        <f t="shared" si="41"/>
        <v>0</v>
      </c>
      <c r="R251" s="12">
        <f t="shared" si="45"/>
        <v>0</v>
      </c>
    </row>
    <row r="252" spans="1:18" s="51" customFormat="1" ht="13.5" hidden="1" customHeight="1" outlineLevel="1" x14ac:dyDescent="0.3">
      <c r="A252" s="290">
        <f t="shared" si="34"/>
        <v>0</v>
      </c>
      <c r="B252" s="49"/>
      <c r="C252" s="49"/>
      <c r="D252" s="140" t="s">
        <v>2242</v>
      </c>
      <c r="E252" s="67" t="str">
        <f>VLOOKUP(D252,'03. Insumos'!A:D,2,0)</f>
        <v>Execução de Light Steel frame</v>
      </c>
      <c r="F252" s="68"/>
      <c r="G252" s="68" t="str">
        <f>VLOOKUP(D252,'03. Insumos'!A:F,3,0)</f>
        <v>vb</v>
      </c>
      <c r="H252" s="69">
        <v>1</v>
      </c>
      <c r="I252" s="141"/>
      <c r="J252" s="70">
        <f t="shared" ref="J252:J257" si="46">IFERROR(IF(K252&lt;&gt;0,K252*$K$5,0),0)</f>
        <v>68550.52</v>
      </c>
      <c r="K252" s="54">
        <f>IF(A252=0,VLOOKUP(D252,'03. Insumos'!A:F,4,0),"")</f>
        <v>68550.52</v>
      </c>
      <c r="L252" s="338">
        <f t="shared" ref="L252:L257" si="47">H252*J252*I252</f>
        <v>0</v>
      </c>
      <c r="M252" s="153">
        <f t="shared" ca="1" si="31"/>
        <v>0</v>
      </c>
      <c r="O252" s="148">
        <f t="shared" si="41"/>
        <v>0</v>
      </c>
      <c r="R252" s="12">
        <f t="shared" si="45"/>
        <v>-1996.6170873786468</v>
      </c>
    </row>
    <row r="253" spans="1:18" s="51" customFormat="1" ht="13.5" hidden="1" customHeight="1" outlineLevel="1" x14ac:dyDescent="0.3">
      <c r="A253" s="290">
        <f t="shared" si="34"/>
        <v>0</v>
      </c>
      <c r="B253" s="49"/>
      <c r="C253" s="49"/>
      <c r="D253" s="140" t="s">
        <v>2245</v>
      </c>
      <c r="E253" s="67" t="str">
        <f>VLOOKUP(D253,'03. Insumos'!A:D,2,0)</f>
        <v>Projeto de Light Steel Frame</v>
      </c>
      <c r="F253" s="68"/>
      <c r="G253" s="68" t="str">
        <f>VLOOKUP(D253,'03. Insumos'!A:F,3,0)</f>
        <v>vb</v>
      </c>
      <c r="H253" s="69">
        <v>1</v>
      </c>
      <c r="I253" s="141"/>
      <c r="J253" s="70">
        <f t="shared" si="46"/>
        <v>2000</v>
      </c>
      <c r="K253" s="54">
        <f>IF(A253=0,VLOOKUP(D253,'03. Insumos'!A:F,4,0),"")</f>
        <v>2000</v>
      </c>
      <c r="L253" s="338">
        <f t="shared" si="47"/>
        <v>0</v>
      </c>
      <c r="M253" s="153">
        <f t="shared" ca="1" si="31"/>
        <v>0</v>
      </c>
      <c r="O253" s="148">
        <f t="shared" si="41"/>
        <v>0</v>
      </c>
      <c r="R253" s="12">
        <f t="shared" si="45"/>
        <v>-58.252427184466114</v>
      </c>
    </row>
    <row r="254" spans="1:18" s="51" customFormat="1" ht="13.5" hidden="1" customHeight="1" outlineLevel="1" x14ac:dyDescent="0.3">
      <c r="A254" s="290">
        <f t="shared" si="34"/>
        <v>0</v>
      </c>
      <c r="B254" s="49"/>
      <c r="C254" s="49"/>
      <c r="D254" s="140"/>
      <c r="E254" s="67" t="e">
        <f>VLOOKUP(D254,'03. Insumos'!A:D,2,0)</f>
        <v>#N/A</v>
      </c>
      <c r="F254" s="68"/>
      <c r="G254" s="68" t="e">
        <f>VLOOKUP(D254,'03. Insumos'!A:F,3,0)</f>
        <v>#N/A</v>
      </c>
      <c r="H254" s="69">
        <v>1</v>
      </c>
      <c r="I254" s="141"/>
      <c r="J254" s="70">
        <f t="shared" si="46"/>
        <v>0</v>
      </c>
      <c r="K254" s="54" t="e">
        <f>IF(A254=0,VLOOKUP(D254,'03. Insumos'!A:F,4,0),"")</f>
        <v>#N/A</v>
      </c>
      <c r="L254" s="338">
        <f t="shared" si="47"/>
        <v>0</v>
      </c>
      <c r="M254" s="153">
        <f t="shared" ca="1" si="31"/>
        <v>0</v>
      </c>
      <c r="O254" s="148">
        <f t="shared" si="41"/>
        <v>0</v>
      </c>
      <c r="R254" s="12">
        <f t="shared" si="45"/>
        <v>0</v>
      </c>
    </row>
    <row r="255" spans="1:18" s="51" customFormat="1" ht="13.5" hidden="1" customHeight="1" outlineLevel="1" x14ac:dyDescent="0.3">
      <c r="A255" s="290">
        <f t="shared" si="34"/>
        <v>0</v>
      </c>
      <c r="B255" s="49"/>
      <c r="C255" s="49"/>
      <c r="D255" s="140"/>
      <c r="E255" s="67" t="e">
        <f>VLOOKUP(D255,'03. Insumos'!A:D,2,0)</f>
        <v>#N/A</v>
      </c>
      <c r="F255" s="68"/>
      <c r="G255" s="68" t="e">
        <f>VLOOKUP(D255,'03. Insumos'!A:F,3,0)</f>
        <v>#N/A</v>
      </c>
      <c r="H255" s="69">
        <v>1</v>
      </c>
      <c r="I255" s="141"/>
      <c r="J255" s="70">
        <f t="shared" si="46"/>
        <v>0</v>
      </c>
      <c r="K255" s="54" t="e">
        <f>IF(A255=0,VLOOKUP(D255,'03. Insumos'!A:F,4,0),"")</f>
        <v>#N/A</v>
      </c>
      <c r="L255" s="338">
        <f t="shared" si="47"/>
        <v>0</v>
      </c>
      <c r="M255" s="153">
        <f t="shared" ca="1" si="31"/>
        <v>0</v>
      </c>
      <c r="O255" s="148">
        <f t="shared" si="41"/>
        <v>0</v>
      </c>
      <c r="R255" s="12">
        <f t="shared" si="45"/>
        <v>0</v>
      </c>
    </row>
    <row r="256" spans="1:18" s="51" customFormat="1" ht="13.5" hidden="1" customHeight="1" outlineLevel="1" x14ac:dyDescent="0.3">
      <c r="A256" s="290">
        <f t="shared" si="34"/>
        <v>0</v>
      </c>
      <c r="B256" s="49"/>
      <c r="C256" s="49"/>
      <c r="D256" s="140"/>
      <c r="E256" s="67" t="e">
        <f>VLOOKUP(D256,'03. Insumos'!A:D,2,0)</f>
        <v>#N/A</v>
      </c>
      <c r="F256" s="68"/>
      <c r="G256" s="68" t="e">
        <f>VLOOKUP(D256,'03. Insumos'!A:F,3,0)</f>
        <v>#N/A</v>
      </c>
      <c r="H256" s="69">
        <v>1</v>
      </c>
      <c r="I256" s="141">
        <f>I252*100</f>
        <v>0</v>
      </c>
      <c r="J256" s="70">
        <f t="shared" si="46"/>
        <v>0</v>
      </c>
      <c r="K256" s="54" t="e">
        <f>IF(A256=0,VLOOKUP(D256,'03. Insumos'!A:F,4,0),"")</f>
        <v>#N/A</v>
      </c>
      <c r="L256" s="338">
        <f t="shared" si="47"/>
        <v>0</v>
      </c>
      <c r="M256" s="153">
        <f t="shared" ca="1" si="31"/>
        <v>0</v>
      </c>
      <c r="O256" s="148">
        <f t="shared" si="41"/>
        <v>0</v>
      </c>
      <c r="R256" s="12">
        <f t="shared" si="45"/>
        <v>0</v>
      </c>
    </row>
    <row r="257" spans="1:18" s="51" customFormat="1" ht="13.5" hidden="1" customHeight="1" outlineLevel="1" x14ac:dyDescent="0.3">
      <c r="A257" s="290">
        <f t="shared" si="34"/>
        <v>0</v>
      </c>
      <c r="B257" s="49"/>
      <c r="C257" s="49"/>
      <c r="D257" s="140"/>
      <c r="E257" s="67" t="e">
        <f>VLOOKUP(D257,'03. Insumos'!A:D,2,0)</f>
        <v>#N/A</v>
      </c>
      <c r="F257" s="68"/>
      <c r="G257" s="68" t="e">
        <f>VLOOKUP(D257,'03. Insumos'!A:F,3,0)</f>
        <v>#N/A</v>
      </c>
      <c r="H257" s="69">
        <v>1</v>
      </c>
      <c r="I257" s="141"/>
      <c r="J257" s="70">
        <f t="shared" si="46"/>
        <v>0</v>
      </c>
      <c r="K257" s="54" t="e">
        <f>IF(A257=0,VLOOKUP(D257,'03. Insumos'!A:F,4,0),"")</f>
        <v>#N/A</v>
      </c>
      <c r="L257" s="338">
        <f t="shared" si="47"/>
        <v>0</v>
      </c>
      <c r="M257" s="153">
        <f t="shared" ca="1" si="31"/>
        <v>0</v>
      </c>
      <c r="O257" s="148">
        <f t="shared" si="41"/>
        <v>0</v>
      </c>
      <c r="R257" s="12">
        <f t="shared" si="45"/>
        <v>0</v>
      </c>
    </row>
    <row r="258" spans="1:18" s="18" customFormat="1" ht="13.5" customHeight="1" x14ac:dyDescent="0.3">
      <c r="A258" s="290">
        <f t="shared" si="34"/>
        <v>3</v>
      </c>
      <c r="B258" s="35"/>
      <c r="C258" s="35" t="s">
        <v>80</v>
      </c>
      <c r="D258" s="35" t="s">
        <v>261</v>
      </c>
      <c r="E258" s="390"/>
      <c r="F258" s="323"/>
      <c r="G258" s="323"/>
      <c r="H258" s="324"/>
      <c r="I258" s="37"/>
      <c r="J258" s="333"/>
      <c r="K258" s="38"/>
      <c r="L258" s="333">
        <f>SUMIF(A259:A266,4,L259:L266)</f>
        <v>1525</v>
      </c>
      <c r="M258" s="153">
        <f t="shared" ca="1" si="31"/>
        <v>5.7477198135138307E-5</v>
      </c>
      <c r="O258" s="148">
        <f t="shared" si="41"/>
        <v>0</v>
      </c>
      <c r="R258" s="12">
        <f t="shared" si="45"/>
        <v>0</v>
      </c>
    </row>
    <row r="259" spans="1:18" s="18" customFormat="1" ht="5.25" customHeight="1" outlineLevel="1" x14ac:dyDescent="0.3">
      <c r="A259" s="290">
        <f t="shared" si="34"/>
        <v>0</v>
      </c>
      <c r="B259" s="63"/>
      <c r="C259" s="63"/>
      <c r="D259" s="63"/>
      <c r="E259" s="391"/>
      <c r="F259" s="325"/>
      <c r="G259" s="325"/>
      <c r="H259" s="326"/>
      <c r="I259" s="65"/>
      <c r="J259" s="334">
        <f>IFERROR(IF(K259&lt;&gt;0,K259*$K$5,0),0)</f>
        <v>0</v>
      </c>
      <c r="K259" s="66" t="e">
        <f>IF(A259=0,VLOOKUP(D259,'03. Insumos'!A:F,4,0),"")</f>
        <v>#N/A</v>
      </c>
      <c r="L259" s="334"/>
      <c r="M259" s="153">
        <f t="shared" ca="1" si="31"/>
        <v>0</v>
      </c>
      <c r="O259" s="148">
        <f t="shared" si="41"/>
        <v>0</v>
      </c>
      <c r="R259" s="12">
        <f t="shared" si="45"/>
        <v>0</v>
      </c>
    </row>
    <row r="260" spans="1:18" s="18" customFormat="1" ht="13.5" customHeight="1" outlineLevel="1" x14ac:dyDescent="0.3">
      <c r="A260" s="290">
        <f t="shared" si="34"/>
        <v>4</v>
      </c>
      <c r="B260" s="45"/>
      <c r="C260" s="45" t="s">
        <v>262</v>
      </c>
      <c r="D260" s="45" t="s">
        <v>1877</v>
      </c>
      <c r="E260" s="347"/>
      <c r="F260" s="327"/>
      <c r="G260" s="327"/>
      <c r="H260" s="328"/>
      <c r="I260" s="61"/>
      <c r="J260" s="335"/>
      <c r="K260" s="62" t="str">
        <f>IF(A260=0,VLOOKUP(D260,'03. Insumos'!A:F,4,0),"")</f>
        <v/>
      </c>
      <c r="L260" s="335">
        <f>SUMIF(A261:A268,6,L261:L268)</f>
        <v>1525</v>
      </c>
      <c r="M260" s="153">
        <f t="shared" ca="1" si="31"/>
        <v>5.7477198135138307E-5</v>
      </c>
      <c r="O260" s="148">
        <f t="shared" si="41"/>
        <v>0</v>
      </c>
      <c r="R260" s="12">
        <f t="shared" si="45"/>
        <v>0</v>
      </c>
    </row>
    <row r="261" spans="1:18" s="59" customFormat="1" ht="13.5" customHeight="1" outlineLevel="1" x14ac:dyDescent="0.3">
      <c r="A261" s="290">
        <f t="shared" si="34"/>
        <v>6</v>
      </c>
      <c r="B261" s="55"/>
      <c r="C261" s="55" t="s">
        <v>263</v>
      </c>
      <c r="D261" s="4" t="s">
        <v>1159</v>
      </c>
      <c r="E261" s="55"/>
      <c r="F261" s="56"/>
      <c r="G261" s="68" t="s">
        <v>73</v>
      </c>
      <c r="H261" s="69">
        <v>130.79</v>
      </c>
      <c r="I261" s="57"/>
      <c r="J261" s="58"/>
      <c r="K261" s="58" t="str">
        <f>IF(A261=0,VLOOKUP(D261,'03. Insumos'!A:F,4,0),"")</f>
        <v/>
      </c>
      <c r="L261" s="58">
        <f>SUM(L262:L266)</f>
        <v>1525</v>
      </c>
      <c r="M261" s="153">
        <f t="shared" ca="1" si="31"/>
        <v>5.7477198135138307E-5</v>
      </c>
      <c r="O261" s="148">
        <f t="shared" si="41"/>
        <v>0</v>
      </c>
      <c r="R261" s="12">
        <f t="shared" si="45"/>
        <v>0</v>
      </c>
    </row>
    <row r="262" spans="1:18" s="51" customFormat="1" ht="13.5" customHeight="1" outlineLevel="1" x14ac:dyDescent="0.3">
      <c r="A262" s="290">
        <f t="shared" si="34"/>
        <v>0</v>
      </c>
      <c r="B262" s="49"/>
      <c r="C262" s="49"/>
      <c r="D262" s="140" t="s">
        <v>2269</v>
      </c>
      <c r="E262" s="67">
        <f>VLOOKUP(D262,'03. Insumos'!A:D,2,0)</f>
        <v>0</v>
      </c>
      <c r="F262" s="68" t="s">
        <v>2612</v>
      </c>
      <c r="G262" s="68">
        <f>VLOOKUP(D262,'03. Insumos'!A:F,3,0)</f>
        <v>0</v>
      </c>
      <c r="H262" s="69">
        <v>1</v>
      </c>
      <c r="I262" s="141">
        <f>ROUND((H261*14*1.1),0)</f>
        <v>2014</v>
      </c>
      <c r="J262" s="70">
        <f>IFERROR(IF(K262&lt;&gt;0,K262*$K$5,0),0)</f>
        <v>0</v>
      </c>
      <c r="K262" s="70">
        <f>IF(A262=0,VLOOKUP(D262,'03. Insumos'!A:F,4,0),"")</f>
        <v>0</v>
      </c>
      <c r="L262" s="70">
        <f>H262*J262*I262</f>
        <v>0</v>
      </c>
      <c r="M262" s="153">
        <f t="shared" ca="1" si="31"/>
        <v>0</v>
      </c>
      <c r="O262" s="148">
        <f t="shared" si="41"/>
        <v>0</v>
      </c>
      <c r="R262" s="12">
        <f t="shared" si="45"/>
        <v>0</v>
      </c>
    </row>
    <row r="263" spans="1:18" s="51" customFormat="1" ht="13.5" hidden="1" customHeight="1" outlineLevel="1" x14ac:dyDescent="0.3">
      <c r="A263" s="290">
        <f t="shared" si="34"/>
        <v>0</v>
      </c>
      <c r="B263" s="49"/>
      <c r="C263" s="49"/>
      <c r="D263" s="140" t="s">
        <v>2080</v>
      </c>
      <c r="E263" s="67" t="str">
        <f>VLOOKUP(D263,'03. Insumos'!A:D,2,0)</f>
        <v>Aditivo compensador de retração 3kg - Vedacit</v>
      </c>
      <c r="F263" s="68"/>
      <c r="G263" s="68" t="str">
        <f>VLOOKUP(D263,'03. Insumos'!A:F,3,0)</f>
        <v>gl</v>
      </c>
      <c r="H263" s="69">
        <v>1</v>
      </c>
      <c r="I263" s="141"/>
      <c r="J263" s="70">
        <f>IFERROR(IF(K263&lt;&gt;0,K263*$K$5,0),0)</f>
        <v>141.33000000000001</v>
      </c>
      <c r="K263" s="70">
        <f>IF(A263=0,VLOOKUP(D263,'03. Insumos'!A:F,4,0),"")</f>
        <v>141.33000000000001</v>
      </c>
      <c r="L263" s="70">
        <f>H263*J263*I263</f>
        <v>0</v>
      </c>
      <c r="M263" s="153">
        <f t="shared" ca="1" si="31"/>
        <v>0</v>
      </c>
      <c r="O263" s="148"/>
      <c r="R263" s="12"/>
    </row>
    <row r="264" spans="1:18" s="51" customFormat="1" ht="13.5" customHeight="1" outlineLevel="1" x14ac:dyDescent="0.3">
      <c r="A264" s="290">
        <f t="shared" si="34"/>
        <v>0</v>
      </c>
      <c r="B264" s="49"/>
      <c r="C264" s="49"/>
      <c r="D264" s="140" t="s">
        <v>2272</v>
      </c>
      <c r="E264" s="67" t="str">
        <f>VLOOKUP(D264,'03. Insumos'!A:D,2,0)</f>
        <v>Argamassa multiuso 50kg (grandes Qtde, acima de 240)</v>
      </c>
      <c r="F264" s="68" t="s">
        <v>2612</v>
      </c>
      <c r="G264" s="68" t="str">
        <f>VLOOKUP(D264,'03. Insumos'!A:F,3,0)</f>
        <v>sc</v>
      </c>
      <c r="H264" s="69">
        <v>1</v>
      </c>
      <c r="I264" s="141">
        <f>ROUND(I262/45,0)</f>
        <v>45</v>
      </c>
      <c r="J264" s="70">
        <f>IFERROR(IF(K264&lt;&gt;0,K264*$K$5,0),0)</f>
        <v>23</v>
      </c>
      <c r="K264" s="70">
        <f>IF(A264=0,VLOOKUP(D264,'03. Insumos'!A:F,4,0),"")</f>
        <v>23</v>
      </c>
      <c r="L264" s="70">
        <f>H264*J264*I264</f>
        <v>1035</v>
      </c>
      <c r="M264" s="153">
        <f t="shared" ca="1" si="31"/>
        <v>3.9009114799913538E-5</v>
      </c>
      <c r="O264" s="148">
        <f t="shared" si="41"/>
        <v>1035</v>
      </c>
      <c r="R264" s="12">
        <f>IF(J264&lt;&gt;0,J264/1.03-K264,0)</f>
        <v>-0.66990291262136026</v>
      </c>
    </row>
    <row r="265" spans="1:18" s="51" customFormat="1" ht="13.5" customHeight="1" outlineLevel="1" x14ac:dyDescent="0.3">
      <c r="A265" s="290">
        <f t="shared" si="34"/>
        <v>0</v>
      </c>
      <c r="B265" s="49"/>
      <c r="C265" s="49"/>
      <c r="D265" s="140" t="s">
        <v>192</v>
      </c>
      <c r="E265" s="67" t="str">
        <f>VLOOKUP(D265,'03. Insumos'!A:D,2,0)</f>
        <v>Tela galvanizada</v>
      </c>
      <c r="F265" s="68" t="s">
        <v>2612</v>
      </c>
      <c r="G265" s="68" t="str">
        <f>VLOOKUP(D265,'03. Insumos'!A:F,3,0)</f>
        <v>Cx</v>
      </c>
      <c r="H265" s="69">
        <v>1</v>
      </c>
      <c r="I265" s="141">
        <v>2</v>
      </c>
      <c r="J265" s="70">
        <f>IFERROR(IF(K265&lt;&gt;0,K265*$K$5,0),0)</f>
        <v>245</v>
      </c>
      <c r="K265" s="70">
        <f>IF(A265=0,VLOOKUP(D265,'03. Insumos'!A:F,4,0),"")</f>
        <v>245</v>
      </c>
      <c r="L265" s="70">
        <f>H265*J265*I265</f>
        <v>490</v>
      </c>
      <c r="M265" s="153">
        <f t="shared" ca="1" si="31"/>
        <v>1.8468083335224768E-5</v>
      </c>
      <c r="O265" s="148">
        <f t="shared" si="41"/>
        <v>490</v>
      </c>
      <c r="R265" s="12">
        <f>IF(J265&lt;&gt;0,J265/1.03-K265,0)</f>
        <v>-7.1359223300970882</v>
      </c>
    </row>
    <row r="266" spans="1:18" s="51" customFormat="1" ht="13.5" hidden="1" customHeight="1" outlineLevel="1" x14ac:dyDescent="0.3">
      <c r="A266" s="290">
        <f t="shared" si="34"/>
        <v>0</v>
      </c>
      <c r="B266" s="49"/>
      <c r="C266" s="49"/>
      <c r="D266" s="140" t="s">
        <v>457</v>
      </c>
      <c r="E266" s="67" t="str">
        <f>VLOOKUP(D266,'03. Insumos'!A:D,2,0)</f>
        <v>Execução Alvenaria  - Bloco Concreto</v>
      </c>
      <c r="F266" s="68"/>
      <c r="G266" s="68" t="str">
        <f>VLOOKUP(D266,'03. Insumos'!A:F,3,0)</f>
        <v>m²</v>
      </c>
      <c r="H266" s="69">
        <v>1</v>
      </c>
      <c r="I266" s="141"/>
      <c r="J266" s="70">
        <f>IFERROR(IF(K266&lt;&gt;0,K266*$K$5,0),0)</f>
        <v>66</v>
      </c>
      <c r="K266" s="54">
        <f>IF(A266=0,VLOOKUP(D266,'03. Insumos'!A:F,4,0),"")</f>
        <v>66</v>
      </c>
      <c r="L266" s="338">
        <f>H266*J266*I266</f>
        <v>0</v>
      </c>
      <c r="M266" s="153">
        <f t="shared" ca="1" si="31"/>
        <v>0</v>
      </c>
      <c r="O266" s="148">
        <f t="shared" si="41"/>
        <v>0</v>
      </c>
      <c r="R266" s="12">
        <f>IF(J266&lt;&gt;0,J266/1.03-K266,0)</f>
        <v>-1.9223300970873822</v>
      </c>
    </row>
    <row r="267" spans="1:18" s="59" customFormat="1" ht="13.5" hidden="1" customHeight="1" outlineLevel="1" x14ac:dyDescent="0.3">
      <c r="A267" s="290">
        <f t="shared" si="34"/>
        <v>6</v>
      </c>
      <c r="B267" s="55"/>
      <c r="C267" s="55" t="s">
        <v>263</v>
      </c>
      <c r="D267" s="55" t="s">
        <v>1808</v>
      </c>
      <c r="E267" s="55"/>
      <c r="F267" s="56"/>
      <c r="G267" s="56" t="s">
        <v>73</v>
      </c>
      <c r="H267" s="57"/>
      <c r="I267" s="57"/>
      <c r="J267" s="58"/>
      <c r="K267" s="58" t="str">
        <f>IF(A267=0,VLOOKUP(D267,'03. Insumos'!A:F,4,0),"")</f>
        <v/>
      </c>
      <c r="L267" s="58">
        <f>SUM(L268:L269)</f>
        <v>0</v>
      </c>
      <c r="M267" s="153">
        <f t="shared" ca="1" si="31"/>
        <v>0</v>
      </c>
      <c r="O267" s="148">
        <f t="shared" si="41"/>
        <v>0</v>
      </c>
      <c r="R267" s="12">
        <f>IF(J267&lt;&gt;0,J267/1.03-K267,0)</f>
        <v>0</v>
      </c>
    </row>
    <row r="268" spans="1:18" s="51" customFormat="1" ht="13.5" hidden="1" customHeight="1" outlineLevel="1" x14ac:dyDescent="0.3">
      <c r="A268" s="290">
        <f t="shared" si="34"/>
        <v>0</v>
      </c>
      <c r="B268" s="49"/>
      <c r="C268" s="49"/>
      <c r="D268" s="140" t="s">
        <v>1975</v>
      </c>
      <c r="E268" s="67" t="str">
        <f>VLOOKUP(D268,'03. Insumos'!A:D,2,0)</f>
        <v>Material - Dry wall parede e forro</v>
      </c>
      <c r="F268" s="68"/>
      <c r="G268" s="68" t="str">
        <f>VLOOKUP(D268,'03. Insumos'!A:F,3,0)</f>
        <v>m²</v>
      </c>
      <c r="H268" s="69">
        <v>1</v>
      </c>
      <c r="I268" s="141">
        <f>H267</f>
        <v>0</v>
      </c>
      <c r="J268" s="70">
        <f>IFERROR(IF(K268&lt;&gt;0,K268*$K$5,0),0)</f>
        <v>36.799999999999997</v>
      </c>
      <c r="K268" s="54">
        <f>IF(A268=0,VLOOKUP(D268,'03. Insumos'!A:F,4,0),"")</f>
        <v>36.799999999999997</v>
      </c>
      <c r="L268" s="338">
        <f>H268*J268*I268</f>
        <v>0</v>
      </c>
      <c r="M268" s="153">
        <f t="shared" ca="1" si="31"/>
        <v>0</v>
      </c>
      <c r="O268" s="148">
        <f t="shared" si="41"/>
        <v>0</v>
      </c>
      <c r="R268" s="12">
        <f>IF(J268&lt;&gt;0,J268/1.03-K268,0)</f>
        <v>-1.0718446601941736</v>
      </c>
    </row>
    <row r="269" spans="1:18" s="51" customFormat="1" ht="13.5" hidden="1" customHeight="1" outlineLevel="1" x14ac:dyDescent="0.3">
      <c r="A269" s="290">
        <f t="shared" si="34"/>
        <v>0</v>
      </c>
      <c r="B269" s="49"/>
      <c r="C269" s="49"/>
      <c r="D269" s="140" t="s">
        <v>1976</v>
      </c>
      <c r="E269" s="67" t="str">
        <f>VLOOKUP(D269,'03. Insumos'!A:D,2,0)</f>
        <v>Mão de obra - Dry wall parede e forro (encarregado+ 8 profissionais + 16 ajudantes)</v>
      </c>
      <c r="F269" s="68"/>
      <c r="G269" s="68" t="str">
        <f>VLOOKUP(D269,'03. Insumos'!A:F,3,0)</f>
        <v>vb</v>
      </c>
      <c r="H269" s="69">
        <v>1</v>
      </c>
      <c r="I269" s="141"/>
      <c r="J269" s="70">
        <f>IFERROR(IF(K269&lt;&gt;0,K269*$K$5,0),0)</f>
        <v>336814.19999999995</v>
      </c>
      <c r="K269" s="54">
        <f>IF(A269=0,VLOOKUP(D269,'03. Insumos'!A:F,4,0),"")</f>
        <v>336814.19999999995</v>
      </c>
      <c r="L269" s="338">
        <f>H269*J269*I269</f>
        <v>0</v>
      </c>
      <c r="M269" s="153">
        <f t="shared" ca="1" si="31"/>
        <v>0</v>
      </c>
      <c r="O269" s="148"/>
      <c r="R269" s="12"/>
    </row>
    <row r="270" spans="1:18" s="18" customFormat="1" ht="13.5" customHeight="1" x14ac:dyDescent="0.3">
      <c r="A270" s="290">
        <f t="shared" si="34"/>
        <v>3</v>
      </c>
      <c r="B270" s="35"/>
      <c r="C270" s="35" t="s">
        <v>81</v>
      </c>
      <c r="D270" s="35" t="s">
        <v>86</v>
      </c>
      <c r="E270" s="390"/>
      <c r="F270" s="323"/>
      <c r="G270" s="323"/>
      <c r="H270" s="324"/>
      <c r="I270" s="37"/>
      <c r="J270" s="333"/>
      <c r="K270" s="38"/>
      <c r="L270" s="333">
        <f ca="1">SUMIF(A271:A298,4,L271:L298)</f>
        <v>783269.5</v>
      </c>
      <c r="M270" s="153">
        <f t="shared" ca="1" si="31"/>
        <v>2.9521400816203747E-2</v>
      </c>
      <c r="O270" s="148">
        <f t="shared" si="41"/>
        <v>0</v>
      </c>
      <c r="R270" s="12">
        <f>IF(J270&lt;&gt;0,J270/1.03-K270,0)</f>
        <v>0</v>
      </c>
    </row>
    <row r="271" spans="1:18" s="18" customFormat="1" ht="5.25" customHeight="1" outlineLevel="1" x14ac:dyDescent="0.3">
      <c r="A271" s="290">
        <f t="shared" si="34"/>
        <v>0</v>
      </c>
      <c r="B271" s="63"/>
      <c r="C271" s="63"/>
      <c r="D271" s="63"/>
      <c r="E271" s="391"/>
      <c r="F271" s="325"/>
      <c r="G271" s="325"/>
      <c r="H271" s="326"/>
      <c r="I271" s="65"/>
      <c r="J271" s="334">
        <f>IFERROR(IF(K271&lt;&gt;0,K271*$K$5,0),0)</f>
        <v>0</v>
      </c>
      <c r="K271" s="66" t="e">
        <f>IF(A271=0,VLOOKUP(D271,'03. Insumos'!A:F,4,0),"")</f>
        <v>#N/A</v>
      </c>
      <c r="L271" s="334"/>
      <c r="M271" s="153">
        <f t="shared" ca="1" si="31"/>
        <v>0</v>
      </c>
      <c r="O271" s="148">
        <f t="shared" si="41"/>
        <v>0</v>
      </c>
      <c r="R271" s="12">
        <f>IF(J271&lt;&gt;0,J271/1.03-K271,0)</f>
        <v>0</v>
      </c>
    </row>
    <row r="272" spans="1:18" s="18" customFormat="1" ht="13.5" customHeight="1" outlineLevel="1" x14ac:dyDescent="0.3">
      <c r="A272" s="290">
        <f t="shared" si="34"/>
        <v>4</v>
      </c>
      <c r="B272" s="45"/>
      <c r="C272" s="45" t="s">
        <v>361</v>
      </c>
      <c r="D272" s="45" t="s">
        <v>1160</v>
      </c>
      <c r="E272" s="347"/>
      <c r="F272" s="327"/>
      <c r="G272" s="327"/>
      <c r="H272" s="328"/>
      <c r="I272" s="61"/>
      <c r="J272" s="335"/>
      <c r="K272" s="62" t="str">
        <f>IF(A272=0,VLOOKUP(D272,'03. Insumos'!A:F,4,0),"")</f>
        <v/>
      </c>
      <c r="L272" s="335">
        <f>SUMIF(A273:A279,6,L273:L279)</f>
        <v>90476.900000000009</v>
      </c>
      <c r="M272" s="153">
        <f t="shared" ca="1" si="31"/>
        <v>3.4100712839036694E-3</v>
      </c>
      <c r="O272" s="148">
        <f t="shared" si="41"/>
        <v>0</v>
      </c>
      <c r="R272" s="12">
        <f>IF(J272&lt;&gt;0,J272/1.03-K272,0)</f>
        <v>0</v>
      </c>
    </row>
    <row r="273" spans="1:18" s="59" customFormat="1" ht="13.5" customHeight="1" outlineLevel="1" x14ac:dyDescent="0.3">
      <c r="A273" s="290">
        <f t="shared" si="34"/>
        <v>6</v>
      </c>
      <c r="B273" s="55"/>
      <c r="C273" s="55" t="s">
        <v>266</v>
      </c>
      <c r="D273" s="4" t="s">
        <v>1160</v>
      </c>
      <c r="E273" s="55"/>
      <c r="F273" s="56"/>
      <c r="G273" s="56"/>
      <c r="H273" s="57"/>
      <c r="I273" s="57"/>
      <c r="J273" s="58"/>
      <c r="K273" s="58" t="str">
        <f>IF(A273=0,VLOOKUP(D273,'03. Insumos'!A:F,4,0),"")</f>
        <v/>
      </c>
      <c r="L273" s="58">
        <f>SUM(L274:L277)</f>
        <v>90476.900000000009</v>
      </c>
      <c r="M273" s="153">
        <f t="shared" ca="1" si="31"/>
        <v>3.4100712839036694E-3</v>
      </c>
      <c r="O273" s="148">
        <f t="shared" si="41"/>
        <v>0</v>
      </c>
      <c r="R273" s="12">
        <f>IF(J273&lt;&gt;0,J273/1.03-K273,0)</f>
        <v>0</v>
      </c>
    </row>
    <row r="274" spans="1:18" s="51" customFormat="1" ht="13.5" customHeight="1" outlineLevel="1" x14ac:dyDescent="0.3">
      <c r="A274" s="290">
        <f t="shared" si="34"/>
        <v>0</v>
      </c>
      <c r="B274" s="49"/>
      <c r="C274" s="49"/>
      <c r="D274" s="140" t="s">
        <v>1906</v>
      </c>
      <c r="E274" s="67" t="str">
        <f>VLOOKUP(D274,'03. Insumos'!A:D,2,0)</f>
        <v>Instalações Prediais: Trocas de Acabamento + Ampliações</v>
      </c>
      <c r="F274" s="68" t="s">
        <v>2599</v>
      </c>
      <c r="G274" s="68" t="str">
        <f>VLOOKUP(D274,'03. Insumos'!A:F,3,0)</f>
        <v>vb</v>
      </c>
      <c r="H274" s="69">
        <v>1</v>
      </c>
      <c r="I274" s="141">
        <v>1</v>
      </c>
      <c r="J274" s="70">
        <f>IFERROR(IF(K274&lt;&gt;0,K274*$K$5,0),0)</f>
        <v>52800.000000000007</v>
      </c>
      <c r="K274" s="70">
        <f>IF(A274=0,VLOOKUP(D274,'03. Insumos'!A:F,4,0),"")</f>
        <v>52800.000000000007</v>
      </c>
      <c r="L274" s="70">
        <f>H274*J274*I274</f>
        <v>52800.000000000007</v>
      </c>
      <c r="M274" s="153">
        <f t="shared" ca="1" si="31"/>
        <v>1.9900302042854447E-3</v>
      </c>
      <c r="O274" s="148">
        <f t="shared" si="41"/>
        <v>52800.000000000007</v>
      </c>
      <c r="R274" s="12">
        <f>IF(J274&lt;&gt;0,J274/1.03-K274,0)</f>
        <v>-1537.8640776699031</v>
      </c>
    </row>
    <row r="275" spans="1:18" s="51" customFormat="1" ht="13.5" customHeight="1" outlineLevel="1" x14ac:dyDescent="0.3">
      <c r="A275" s="290">
        <f t="shared" si="34"/>
        <v>0</v>
      </c>
      <c r="B275" s="49"/>
      <c r="C275" s="49"/>
      <c r="D275" s="140" t="s">
        <v>1738</v>
      </c>
      <c r="E275" s="67" t="str">
        <f>VLOOKUP(D275,'03. Insumos'!A:D,2,0)</f>
        <v>Acabamento de tomadas e interruptores linha Pial Plus</v>
      </c>
      <c r="F275" s="68" t="s">
        <v>2613</v>
      </c>
      <c r="G275" s="68" t="str">
        <f>VLOOKUP(D275,'03. Insumos'!A:F,3,0)</f>
        <v>vb</v>
      </c>
      <c r="H275" s="69">
        <v>1</v>
      </c>
      <c r="I275" s="141">
        <v>1</v>
      </c>
      <c r="J275" s="70">
        <f>IFERROR(IF(K275&lt;&gt;0,K275*$K$5,0),0)</f>
        <v>3500</v>
      </c>
      <c r="K275" s="70">
        <f>IF(A275=0,VLOOKUP(D275,'03. Insumos'!A:F,4,0),"")</f>
        <v>3500</v>
      </c>
      <c r="L275" s="70">
        <f>H275*J275*I275</f>
        <v>3500</v>
      </c>
      <c r="M275" s="153">
        <f t="shared" ca="1" si="31"/>
        <v>1.319148809658912E-4</v>
      </c>
      <c r="O275" s="148"/>
      <c r="R275" s="12"/>
    </row>
    <row r="276" spans="1:18" s="51" customFormat="1" ht="13.5" customHeight="1" outlineLevel="1" x14ac:dyDescent="0.3">
      <c r="A276" s="290">
        <f>LEN(C276)</f>
        <v>0</v>
      </c>
      <c r="B276" s="49"/>
      <c r="C276" s="49"/>
      <c r="D276" s="140" t="s">
        <v>1825</v>
      </c>
      <c r="E276" s="67" t="str">
        <f>VLOOKUP(D276,'03. Insumos'!A:D,2,0)</f>
        <v>Material - luminárias</v>
      </c>
      <c r="F276" s="68" t="s">
        <v>2613</v>
      </c>
      <c r="G276" s="68" t="str">
        <f>VLOOKUP(D276,'03. Insumos'!A:F,3,0)</f>
        <v>vb</v>
      </c>
      <c r="H276" s="69">
        <v>1</v>
      </c>
      <c r="I276" s="141">
        <v>1</v>
      </c>
      <c r="J276" s="70">
        <f>IFERROR(IF(K276&lt;&gt;0,K276*$K$5,0),0)</f>
        <v>34175.9</v>
      </c>
      <c r="K276" s="70">
        <f>IF(A276=0,VLOOKUP(D276,'03. Insumos'!A:F,4,0),"")</f>
        <v>34175.9</v>
      </c>
      <c r="L276" s="70">
        <f>H276*J276*I276</f>
        <v>34175.9</v>
      </c>
      <c r="M276" s="153">
        <f ca="1">L276/$L$7</f>
        <v>1.2880885086863432E-3</v>
      </c>
      <c r="O276" s="148"/>
      <c r="R276" s="12"/>
    </row>
    <row r="277" spans="1:18" s="51" customFormat="1" ht="13.5" customHeight="1" outlineLevel="1" x14ac:dyDescent="0.3">
      <c r="A277" s="290">
        <f t="shared" si="34"/>
        <v>0</v>
      </c>
      <c r="B277" s="49"/>
      <c r="C277" s="49"/>
      <c r="D277" s="140" t="s">
        <v>2785</v>
      </c>
      <c r="E277" s="67" t="str">
        <f>VLOOKUP(D277,'03. Insumos'!A:D,2,0)</f>
        <v>Eventuais de instalações (Bombas, Caixa D'água)</v>
      </c>
      <c r="F277" s="68" t="s">
        <v>2599</v>
      </c>
      <c r="G277" s="68" t="str">
        <f>VLOOKUP(D277,'03. Insumos'!A:F,3,0)</f>
        <v>vb</v>
      </c>
      <c r="H277" s="69">
        <v>1</v>
      </c>
      <c r="I277" s="141">
        <v>1</v>
      </c>
      <c r="J277" s="70">
        <f>IFERROR(IF(K277&lt;&gt;0,K277*$K$5,0),0)</f>
        <v>1</v>
      </c>
      <c r="K277" s="70">
        <f>IF(A277=0,VLOOKUP(D277,'03. Insumos'!A:F,4,0),"")</f>
        <v>1</v>
      </c>
      <c r="L277" s="70">
        <f>H277*J277*I277</f>
        <v>1</v>
      </c>
      <c r="M277" s="153">
        <f t="shared" ca="1" si="31"/>
        <v>3.7689965990254626E-8</v>
      </c>
      <c r="O277" s="148"/>
      <c r="R277" s="12"/>
    </row>
    <row r="278" spans="1:18" s="51" customFormat="1" ht="13.5" hidden="1" customHeight="1" outlineLevel="1" x14ac:dyDescent="0.3">
      <c r="A278" s="290">
        <f t="shared" si="34"/>
        <v>6</v>
      </c>
      <c r="B278" s="49"/>
      <c r="C278" s="55" t="s">
        <v>1679</v>
      </c>
      <c r="D278" s="55" t="s">
        <v>1680</v>
      </c>
      <c r="E278" s="67"/>
      <c r="F278" s="68"/>
      <c r="G278" s="68"/>
      <c r="H278" s="69"/>
      <c r="I278" s="141"/>
      <c r="J278" s="70"/>
      <c r="K278" s="54"/>
      <c r="L278" s="58">
        <f>SUM(L279:L279)</f>
        <v>0</v>
      </c>
      <c r="M278" s="153">
        <f t="shared" ca="1" si="31"/>
        <v>0</v>
      </c>
      <c r="O278" s="148"/>
      <c r="R278" s="12"/>
    </row>
    <row r="279" spans="1:18" s="51" customFormat="1" ht="13.5" hidden="1" customHeight="1" outlineLevel="1" x14ac:dyDescent="0.3">
      <c r="A279" s="290">
        <f t="shared" si="34"/>
        <v>0</v>
      </c>
      <c r="B279" s="49"/>
      <c r="C279" s="49"/>
      <c r="D279" s="140" t="s">
        <v>1822</v>
      </c>
      <c r="E279" s="67" t="str">
        <f>VLOOKUP(D279,'03. Insumos'!A:D,2,0)</f>
        <v>Execução das instalações hidrosanitárias (mat + mo)</v>
      </c>
      <c r="F279" s="68"/>
      <c r="G279" s="68" t="str">
        <f>VLOOKUP(D279,'03. Insumos'!A:F,3,0)</f>
        <v>vb</v>
      </c>
      <c r="H279" s="69">
        <v>1</v>
      </c>
      <c r="I279" s="141"/>
      <c r="J279" s="70">
        <f>IFERROR(IF(K279&lt;&gt;0,K279*$K$5,0),0)</f>
        <v>2000</v>
      </c>
      <c r="K279" s="54">
        <v>2000</v>
      </c>
      <c r="L279" s="338">
        <f>H279*J279*I279</f>
        <v>0</v>
      </c>
      <c r="M279" s="153">
        <f t="shared" ca="1" si="31"/>
        <v>0</v>
      </c>
      <c r="O279" s="148"/>
      <c r="R279" s="12"/>
    </row>
    <row r="280" spans="1:18" s="18" customFormat="1" ht="13.5" customHeight="1" outlineLevel="1" x14ac:dyDescent="0.3">
      <c r="A280" s="290">
        <f t="shared" si="34"/>
        <v>4</v>
      </c>
      <c r="B280" s="45"/>
      <c r="C280" s="45" t="s">
        <v>1352</v>
      </c>
      <c r="D280" s="45" t="s">
        <v>1350</v>
      </c>
      <c r="E280" s="347"/>
      <c r="F280" s="327"/>
      <c r="G280" s="327"/>
      <c r="H280" s="328"/>
      <c r="I280" s="61"/>
      <c r="J280" s="335"/>
      <c r="K280" s="62"/>
      <c r="L280" s="335">
        <f>SUMIF(A281:A288,6,L281:L288)</f>
        <v>687082.6</v>
      </c>
      <c r="M280" s="153">
        <f t="shared" ca="1" si="31"/>
        <v>2.5896119826495725E-2</v>
      </c>
      <c r="O280" s="148">
        <f t="shared" si="41"/>
        <v>0</v>
      </c>
      <c r="R280" s="12">
        <f>IF(J280&lt;&gt;0,J280/1.03-K280,0)</f>
        <v>0</v>
      </c>
    </row>
    <row r="281" spans="1:18" s="59" customFormat="1" ht="13.5" customHeight="1" outlineLevel="1" x14ac:dyDescent="0.3">
      <c r="A281" s="290">
        <f t="shared" si="34"/>
        <v>6</v>
      </c>
      <c r="B281" s="55"/>
      <c r="C281" s="55" t="s">
        <v>1353</v>
      </c>
      <c r="D281" s="4" t="s">
        <v>1350</v>
      </c>
      <c r="E281" s="55"/>
      <c r="F281" s="56"/>
      <c r="G281" s="56"/>
      <c r="H281" s="57"/>
      <c r="I281" s="57"/>
      <c r="J281" s="58"/>
      <c r="K281" s="58"/>
      <c r="L281" s="58">
        <f>SUM(L282:L289)</f>
        <v>687082.6</v>
      </c>
      <c r="M281" s="153">
        <f t="shared" ca="1" si="31"/>
        <v>2.5896119826495725E-2</v>
      </c>
      <c r="O281" s="148">
        <f t="shared" si="41"/>
        <v>0</v>
      </c>
      <c r="R281" s="12">
        <f>IF(J281&lt;&gt;0,J281/1.03-K281,0)</f>
        <v>0</v>
      </c>
    </row>
    <row r="282" spans="1:18" s="59" customFormat="1" ht="13.5" hidden="1" customHeight="1" outlineLevel="1" x14ac:dyDescent="0.3">
      <c r="A282" s="290">
        <f t="shared" si="34"/>
        <v>0</v>
      </c>
      <c r="B282" s="55"/>
      <c r="C282" s="55"/>
      <c r="D282" s="140" t="s">
        <v>2850</v>
      </c>
      <c r="E282" s="67" t="str">
        <f>VLOOKUP(D282,'03. Insumos'!A:D,2,0)</f>
        <v>Instalação de Ar condicionado -  Mão de Obra</v>
      </c>
      <c r="F282" s="68" t="s">
        <v>2599</v>
      </c>
      <c r="G282" s="68" t="str">
        <f>VLOOKUP(D282,'03. Insumos'!A:F,3,0)</f>
        <v>Vb</v>
      </c>
      <c r="H282" s="69">
        <v>1</v>
      </c>
      <c r="I282" s="141"/>
      <c r="J282" s="70">
        <f t="shared" ref="J282:J289" si="48">IFERROR(IF(K282&lt;&gt;0,K282*$K$5,0),0)</f>
        <v>38360</v>
      </c>
      <c r="K282" s="70">
        <f>IF(A282=0,VLOOKUP(D282,'03. Insumos'!A:F,4,0),"")</f>
        <v>38360</v>
      </c>
      <c r="L282" s="70">
        <f t="shared" ref="L282:L289" si="49">H282*J282*I282</f>
        <v>0</v>
      </c>
      <c r="M282" s="153">
        <f t="shared" ca="1" si="31"/>
        <v>0</v>
      </c>
      <c r="O282" s="148"/>
      <c r="R282" s="12"/>
    </row>
    <row r="283" spans="1:18" s="59" customFormat="1" ht="13.5" hidden="1" customHeight="1" outlineLevel="1" x14ac:dyDescent="0.3">
      <c r="A283" s="290">
        <f t="shared" si="34"/>
        <v>0</v>
      </c>
      <c r="B283" s="55"/>
      <c r="C283" s="55"/>
      <c r="D283" s="140" t="s">
        <v>2851</v>
      </c>
      <c r="E283" s="67" t="str">
        <f>VLOOKUP(D283,'03. Insumos'!A:D,2,0)</f>
        <v>Ar condicionado split dutado 36.000 BTU's (equipamento)</v>
      </c>
      <c r="F283" s="68" t="s">
        <v>2599</v>
      </c>
      <c r="G283" s="68" t="str">
        <f>VLOOKUP(D283,'03. Insumos'!A:F,3,0)</f>
        <v>unid</v>
      </c>
      <c r="H283" s="69">
        <v>1</v>
      </c>
      <c r="I283" s="141"/>
      <c r="J283" s="70">
        <f t="shared" si="48"/>
        <v>6016</v>
      </c>
      <c r="K283" s="70">
        <f>IF(A283=0,VLOOKUP(D283,'03. Insumos'!A:F,4,0),"")</f>
        <v>6016</v>
      </c>
      <c r="L283" s="70">
        <f t="shared" si="49"/>
        <v>0</v>
      </c>
      <c r="M283" s="153">
        <f t="shared" ca="1" si="31"/>
        <v>0</v>
      </c>
      <c r="O283" s="148"/>
      <c r="R283" s="12"/>
    </row>
    <row r="284" spans="1:18" s="59" customFormat="1" ht="13.5" customHeight="1" outlineLevel="1" x14ac:dyDescent="0.3">
      <c r="A284" s="290">
        <f>LEN(C284)</f>
        <v>0</v>
      </c>
      <c r="B284" s="55"/>
      <c r="C284" s="55"/>
      <c r="D284" s="140" t="s">
        <v>2658</v>
      </c>
      <c r="E284" s="67" t="str">
        <f>VLOOKUP(D284,'03. Insumos'!A:D,2,0)</f>
        <v xml:space="preserve"> Área Gourmet - Ar condicionado split hi-wall 33.000 BTU's (equipamento)</v>
      </c>
      <c r="F284" s="68" t="s">
        <v>2599</v>
      </c>
      <c r="G284" s="68" t="str">
        <f>VLOOKUP(D284,'03. Insumos'!A:F,3,0)</f>
        <v>unid</v>
      </c>
      <c r="H284" s="69">
        <v>1</v>
      </c>
      <c r="I284" s="141">
        <v>2</v>
      </c>
      <c r="J284" s="70">
        <f>IFERROR(IF(K284&lt;&gt;0,K284*$K$5,0),0)</f>
        <v>5250</v>
      </c>
      <c r="K284" s="70">
        <f>IF(A284=0,VLOOKUP(D284,'03. Insumos'!A:F,4,0),"")</f>
        <v>5250</v>
      </c>
      <c r="L284" s="70">
        <f>H284*J284*I284</f>
        <v>10500</v>
      </c>
      <c r="M284" s="153">
        <f ca="1">L284/$L$7</f>
        <v>3.9574464289767358E-4</v>
      </c>
      <c r="O284" s="148"/>
      <c r="R284" s="12"/>
    </row>
    <row r="285" spans="1:18" s="59" customFormat="1" ht="13.5" customHeight="1" outlineLevel="1" x14ac:dyDescent="0.3">
      <c r="A285" s="290">
        <f t="shared" si="34"/>
        <v>0</v>
      </c>
      <c r="B285" s="55"/>
      <c r="C285" s="55"/>
      <c r="D285" s="140" t="s">
        <v>2659</v>
      </c>
      <c r="E285" s="67" t="str">
        <f>VLOOKUP(D285,'03. Insumos'!A:D,2,0)</f>
        <v>Ar condicionado split hi-wall 12.000 BTU's (equipamento)</v>
      </c>
      <c r="F285" s="68" t="s">
        <v>2599</v>
      </c>
      <c r="G285" s="68" t="str">
        <f>VLOOKUP(D285,'03. Insumos'!A:F,3,0)</f>
        <v>unid</v>
      </c>
      <c r="H285" s="69">
        <v>1</v>
      </c>
      <c r="I285" s="141">
        <v>2</v>
      </c>
      <c r="J285" s="70">
        <f t="shared" si="48"/>
        <v>1493.1</v>
      </c>
      <c r="K285" s="70">
        <f>IF(A285=0,VLOOKUP(D285,'03. Insumos'!A:F,4,0),"")</f>
        <v>1493.1</v>
      </c>
      <c r="L285" s="70">
        <f t="shared" si="49"/>
        <v>2986.2</v>
      </c>
      <c r="M285" s="153">
        <f t="shared" ca="1" si="31"/>
        <v>1.1254977644009836E-4</v>
      </c>
      <c r="O285" s="148"/>
      <c r="R285" s="12"/>
    </row>
    <row r="286" spans="1:18" s="59" customFormat="1" ht="13.5" customHeight="1" outlineLevel="1" x14ac:dyDescent="0.3">
      <c r="A286" s="290">
        <f>LEN(C286)</f>
        <v>0</v>
      </c>
      <c r="B286" s="55"/>
      <c r="C286" s="55"/>
      <c r="D286" s="140" t="s">
        <v>2663</v>
      </c>
      <c r="E286" s="67" t="str">
        <f>VLOOKUP(D286,'03. Insumos'!A:D,2,0)</f>
        <v>Ar condicionado split inverter hi-wall 12.000 BTU's (equipamento)</v>
      </c>
      <c r="F286" s="68" t="s">
        <v>2599</v>
      </c>
      <c r="G286" s="68" t="str">
        <f>VLOOKUP(D286,'03. Insumos'!A:F,3,0)</f>
        <v>unid</v>
      </c>
      <c r="H286" s="69">
        <v>1</v>
      </c>
      <c r="I286" s="141">
        <v>4</v>
      </c>
      <c r="J286" s="70">
        <f t="shared" si="48"/>
        <v>1979.1</v>
      </c>
      <c r="K286" s="70">
        <f>IF(A286=0,VLOOKUP(D286,'03. Insumos'!A:F,4,0),"")</f>
        <v>1979.1</v>
      </c>
      <c r="L286" s="70">
        <f t="shared" si="49"/>
        <v>7916.4</v>
      </c>
      <c r="M286" s="153">
        <f ca="1">L286/$L$7</f>
        <v>2.9836884676525169E-4</v>
      </c>
      <c r="O286" s="148"/>
      <c r="R286" s="12"/>
    </row>
    <row r="287" spans="1:18" s="59" customFormat="1" ht="13.5" hidden="1" customHeight="1" outlineLevel="1" x14ac:dyDescent="0.3">
      <c r="A287" s="290">
        <f>LEN(C287)</f>
        <v>0</v>
      </c>
      <c r="B287" s="55"/>
      <c r="C287" s="55"/>
      <c r="D287" s="140" t="s">
        <v>2664</v>
      </c>
      <c r="E287" s="67" t="str">
        <f>VLOOKUP(D287,'03. Insumos'!A:D,2,0)</f>
        <v>Closet Master - Ar condicionado split hi-wall 9.000 BTU's (equipamento)</v>
      </c>
      <c r="F287" s="68" t="s">
        <v>2599</v>
      </c>
      <c r="G287" s="68" t="str">
        <f>VLOOKUP(D287,'03. Insumos'!A:F,3,0)</f>
        <v>unid</v>
      </c>
      <c r="H287" s="69">
        <v>1</v>
      </c>
      <c r="I287" s="141"/>
      <c r="J287" s="70">
        <f t="shared" si="48"/>
        <v>1778</v>
      </c>
      <c r="K287" s="70">
        <f>IF(A287=0,VLOOKUP(D287,'03. Insumos'!A:F,4,0),"")</f>
        <v>1778</v>
      </c>
      <c r="L287" s="70">
        <f t="shared" si="49"/>
        <v>0</v>
      </c>
      <c r="M287" s="153">
        <f ca="1">L287/$L$7</f>
        <v>0</v>
      </c>
      <c r="O287" s="148"/>
      <c r="R287" s="12"/>
    </row>
    <row r="288" spans="1:18" s="59" customFormat="1" ht="13.5" customHeight="1" outlineLevel="1" x14ac:dyDescent="0.3">
      <c r="A288" s="290">
        <f t="shared" si="34"/>
        <v>0</v>
      </c>
      <c r="B288" s="55"/>
      <c r="C288" s="55"/>
      <c r="D288" s="140" t="s">
        <v>2665</v>
      </c>
      <c r="E288" s="67" t="str">
        <f>VLOOKUP(D288,'03. Insumos'!A:D,2,0)</f>
        <v>Instalações Ar condicionado - Mão de Obra e Materiais complementares</v>
      </c>
      <c r="F288" s="68" t="s">
        <v>2599</v>
      </c>
      <c r="G288" s="68" t="str">
        <f>VLOOKUP(D288,'03. Insumos'!A:F,3,0)</f>
        <v>Vb</v>
      </c>
      <c r="H288" s="69">
        <v>1</v>
      </c>
      <c r="I288" s="141">
        <f>SUM(I282:I287)*10</f>
        <v>80</v>
      </c>
      <c r="J288" s="70">
        <f t="shared" si="48"/>
        <v>8321</v>
      </c>
      <c r="K288" s="70">
        <f>IF(A288=0,VLOOKUP(D288,'03. Insumos'!A:F,4,0),"")</f>
        <v>8321</v>
      </c>
      <c r="L288" s="70">
        <f t="shared" si="49"/>
        <v>665680</v>
      </c>
      <c r="M288" s="153">
        <f t="shared" ca="1" si="31"/>
        <v>2.5089456560392701E-2</v>
      </c>
      <c r="O288" s="148"/>
      <c r="R288" s="12"/>
    </row>
    <row r="289" spans="1:18" s="51" customFormat="1" ht="13.5" hidden="1" customHeight="1" outlineLevel="1" x14ac:dyDescent="0.3">
      <c r="A289" s="290">
        <f t="shared" si="34"/>
        <v>0</v>
      </c>
      <c r="B289" s="49"/>
      <c r="C289" s="49"/>
      <c r="D289" s="140" t="s">
        <v>2849</v>
      </c>
      <c r="E289" s="67" t="str">
        <f>VLOOKUP(D289,'03. Insumos'!A:D,2,0)</f>
        <v>Exaustor tipo ventokit, embutido no forro - MAT + MO</v>
      </c>
      <c r="F289" s="68" t="s">
        <v>2599</v>
      </c>
      <c r="G289" s="68" t="str">
        <f>VLOOKUP(D289,'03. Insumos'!A:F,3,0)</f>
        <v>unid</v>
      </c>
      <c r="H289" s="69">
        <v>1</v>
      </c>
      <c r="I289" s="141"/>
      <c r="J289" s="70">
        <f t="shared" si="48"/>
        <v>900</v>
      </c>
      <c r="K289" s="70">
        <f>IF(A289=0,VLOOKUP(D289,'03. Insumos'!A:F,4,0),"")</f>
        <v>900</v>
      </c>
      <c r="L289" s="70">
        <f t="shared" si="49"/>
        <v>0</v>
      </c>
      <c r="M289" s="153">
        <f t="shared" ca="1" si="31"/>
        <v>0</v>
      </c>
      <c r="O289" s="148">
        <f t="shared" si="41"/>
        <v>0</v>
      </c>
      <c r="R289" s="12">
        <f>IF(J289&lt;&gt;0,J289/1.03-K289,0)</f>
        <v>-26.213592233009763</v>
      </c>
    </row>
    <row r="290" spans="1:18" s="18" customFormat="1" ht="13.5" customHeight="1" outlineLevel="1" x14ac:dyDescent="0.3">
      <c r="A290" s="290">
        <f t="shared" si="34"/>
        <v>4</v>
      </c>
      <c r="B290" s="45"/>
      <c r="C290" s="45" t="s">
        <v>1354</v>
      </c>
      <c r="D290" s="45" t="s">
        <v>341</v>
      </c>
      <c r="E290" s="347"/>
      <c r="F290" s="327"/>
      <c r="G290" s="327"/>
      <c r="H290" s="328"/>
      <c r="I290" s="61"/>
      <c r="J290" s="335"/>
      <c r="K290" s="62"/>
      <c r="L290" s="335">
        <f ca="1">SUMIF(A291:A298,6,L291:L293)</f>
        <v>5710</v>
      </c>
      <c r="M290" s="153">
        <f t="shared" ca="1" si="31"/>
        <v>2.1520970580435393E-4</v>
      </c>
      <c r="O290" s="148">
        <f t="shared" si="41"/>
        <v>0</v>
      </c>
      <c r="R290" s="12">
        <f>IF(J290&lt;&gt;0,J290/1.03-K290,0)</f>
        <v>0</v>
      </c>
    </row>
    <row r="291" spans="1:18" s="59" customFormat="1" ht="13.5" customHeight="1" outlineLevel="1" x14ac:dyDescent="0.3">
      <c r="A291" s="290">
        <f t="shared" si="34"/>
        <v>6</v>
      </c>
      <c r="B291" s="55"/>
      <c r="C291" s="55" t="s">
        <v>1355</v>
      </c>
      <c r="D291" s="4" t="s">
        <v>2652</v>
      </c>
      <c r="E291" s="55"/>
      <c r="F291" s="56"/>
      <c r="G291" s="56"/>
      <c r="H291" s="57"/>
      <c r="I291" s="57"/>
      <c r="J291" s="58"/>
      <c r="K291" s="58"/>
      <c r="L291" s="58">
        <f>SUM(L292:L294)</f>
        <v>5710</v>
      </c>
      <c r="M291" s="153">
        <f t="shared" ca="1" si="31"/>
        <v>2.1520970580435393E-4</v>
      </c>
      <c r="O291" s="148">
        <f t="shared" si="41"/>
        <v>0</v>
      </c>
      <c r="R291" s="12">
        <f>IF(J291&lt;&gt;0,J291/1.03-K291,0)</f>
        <v>0</v>
      </c>
    </row>
    <row r="292" spans="1:18" s="51" customFormat="1" ht="13.5" customHeight="1" outlineLevel="1" x14ac:dyDescent="0.3">
      <c r="A292" s="290">
        <f t="shared" si="34"/>
        <v>0</v>
      </c>
      <c r="B292" s="49"/>
      <c r="C292" s="49"/>
      <c r="D292" s="140" t="s">
        <v>2916</v>
      </c>
      <c r="E292" s="67" t="str">
        <f>VLOOKUP(D292,'03. Insumos'!A:D,2,0)</f>
        <v>Filtração para pisicina, Dispositivo em inox e Capas</v>
      </c>
      <c r="F292" s="68" t="s">
        <v>2599</v>
      </c>
      <c r="G292" s="68" t="str">
        <f>VLOOKUP(D292,'03. Insumos'!A:F,3,0)</f>
        <v>vb</v>
      </c>
      <c r="H292" s="69">
        <v>1</v>
      </c>
      <c r="I292" s="141">
        <v>1</v>
      </c>
      <c r="J292" s="70">
        <f>IFERROR(IF(K292&lt;&gt;0,K292*$K$5,0),0)</f>
        <v>5710</v>
      </c>
      <c r="K292" s="70">
        <f>IF(A292=0,VLOOKUP(D292,'03. Insumos'!A:F,4,0),"")</f>
        <v>5710</v>
      </c>
      <c r="L292" s="70">
        <f>H292*J292*I292</f>
        <v>5710</v>
      </c>
      <c r="M292" s="153">
        <f t="shared" ca="1" si="31"/>
        <v>2.1520970580435393E-4</v>
      </c>
      <c r="O292" s="148">
        <f t="shared" si="41"/>
        <v>5710</v>
      </c>
      <c r="R292" s="12">
        <f>IF(J292&lt;&gt;0,J292/1.03-K292,0)</f>
        <v>-166.31067961165081</v>
      </c>
    </row>
    <row r="293" spans="1:18" s="51" customFormat="1" ht="13.5" hidden="1" customHeight="1" outlineLevel="1" x14ac:dyDescent="0.3">
      <c r="A293" s="290">
        <f t="shared" si="34"/>
        <v>0</v>
      </c>
      <c r="B293" s="49"/>
      <c r="C293" s="49"/>
      <c r="D293" s="140" t="s">
        <v>2656</v>
      </c>
      <c r="E293" s="67" t="str">
        <f>VLOOKUP(D293,'03. Insumos'!A:D,2,0)</f>
        <v>Içamento pisicina</v>
      </c>
      <c r="F293" s="68" t="s">
        <v>2599</v>
      </c>
      <c r="G293" s="68" t="str">
        <f>VLOOKUP(D293,'03. Insumos'!A:F,3,0)</f>
        <v>vb</v>
      </c>
      <c r="H293" s="69">
        <v>1</v>
      </c>
      <c r="I293" s="141"/>
      <c r="J293" s="70">
        <f>IFERROR(IF(K293&lt;&gt;0,K293*$K$5,0),0)</f>
        <v>2000</v>
      </c>
      <c r="K293" s="70">
        <f>IF(A293=0,VLOOKUP(D293,'03. Insumos'!A:F,4,0),"")</f>
        <v>2000</v>
      </c>
      <c r="L293" s="70">
        <f>H293*J293*I293</f>
        <v>0</v>
      </c>
      <c r="M293" s="153">
        <f t="shared" ca="1" si="31"/>
        <v>0</v>
      </c>
      <c r="O293" s="148"/>
      <c r="R293" s="12"/>
    </row>
    <row r="294" spans="1:18" s="51" customFormat="1" ht="13.5" hidden="1" customHeight="1" outlineLevel="1" x14ac:dyDescent="0.3">
      <c r="A294" s="13">
        <f t="shared" si="34"/>
        <v>0</v>
      </c>
      <c r="B294" s="49"/>
      <c r="C294" s="49"/>
      <c r="D294" s="140"/>
      <c r="E294" s="67" t="e">
        <f>VLOOKUP(D294,'03. Insumos'!A:D,2,0)</f>
        <v>#N/A</v>
      </c>
      <c r="F294" s="68"/>
      <c r="G294" s="68" t="e">
        <f>VLOOKUP(D294,'03. Insumos'!A:F,3,0)</f>
        <v>#N/A</v>
      </c>
      <c r="H294" s="69">
        <v>1</v>
      </c>
      <c r="I294" s="141">
        <v>10.1</v>
      </c>
      <c r="J294" s="70">
        <f>IFERROR(IF(K294&lt;&gt;0,K294*$K$5,0),0)</f>
        <v>0</v>
      </c>
      <c r="K294" s="54" t="e">
        <f>IF(A294=0,VLOOKUP(D294,'03. Insumos'!A:F,4,0),"")</f>
        <v>#N/A</v>
      </c>
      <c r="L294" s="70">
        <f>H294*J294*I294</f>
        <v>0</v>
      </c>
      <c r="M294" s="355">
        <f t="shared" ca="1" si="31"/>
        <v>0</v>
      </c>
      <c r="O294" s="148" t="e">
        <f t="shared" si="41"/>
        <v>#N/A</v>
      </c>
      <c r="R294" s="356">
        <f t="shared" ref="R294:R302" si="50">IF(J294&lt;&gt;0,J294/1.03-K294,0)</f>
        <v>0</v>
      </c>
    </row>
    <row r="295" spans="1:18" s="18" customFormat="1" ht="13.5" hidden="1" customHeight="1" outlineLevel="1" x14ac:dyDescent="0.3">
      <c r="A295" s="290">
        <f t="shared" si="34"/>
        <v>4</v>
      </c>
      <c r="B295" s="45"/>
      <c r="C295" s="45" t="s">
        <v>1356</v>
      </c>
      <c r="D295" s="45" t="s">
        <v>1358</v>
      </c>
      <c r="E295" s="347"/>
      <c r="F295" s="327"/>
      <c r="G295" s="327"/>
      <c r="H295" s="328"/>
      <c r="I295" s="61"/>
      <c r="J295" s="335"/>
      <c r="K295" s="62"/>
      <c r="L295" s="335">
        <f>L296</f>
        <v>0</v>
      </c>
      <c r="M295" s="153">
        <f t="shared" ca="1" si="31"/>
        <v>0</v>
      </c>
      <c r="O295" s="148">
        <f t="shared" si="41"/>
        <v>0</v>
      </c>
      <c r="R295" s="12">
        <f t="shared" si="50"/>
        <v>0</v>
      </c>
    </row>
    <row r="296" spans="1:18" s="59" customFormat="1" ht="13.5" hidden="1" customHeight="1" outlineLevel="1" x14ac:dyDescent="0.3">
      <c r="A296" s="290">
        <f t="shared" si="34"/>
        <v>6</v>
      </c>
      <c r="B296" s="55"/>
      <c r="C296" s="55" t="s">
        <v>1357</v>
      </c>
      <c r="D296" s="55" t="s">
        <v>1358</v>
      </c>
      <c r="E296" s="55"/>
      <c r="F296" s="56"/>
      <c r="G296" s="56"/>
      <c r="H296" s="57"/>
      <c r="I296" s="57"/>
      <c r="J296" s="58"/>
      <c r="K296" s="58"/>
      <c r="L296" s="58">
        <f>SUM(L297:L298)</f>
        <v>0</v>
      </c>
      <c r="M296" s="153">
        <f t="shared" ca="1" si="31"/>
        <v>0</v>
      </c>
      <c r="O296" s="148">
        <f t="shared" si="41"/>
        <v>0</v>
      </c>
      <c r="R296" s="12">
        <f t="shared" si="50"/>
        <v>0</v>
      </c>
    </row>
    <row r="297" spans="1:18" s="51" customFormat="1" ht="13.5" hidden="1" customHeight="1" outlineLevel="1" x14ac:dyDescent="0.3">
      <c r="A297" s="290">
        <f t="shared" si="34"/>
        <v>0</v>
      </c>
      <c r="B297" s="49"/>
      <c r="C297" s="49"/>
      <c r="D297" s="140"/>
      <c r="E297" s="67" t="s">
        <v>1359</v>
      </c>
      <c r="F297" s="68"/>
      <c r="G297" s="68" t="s">
        <v>29</v>
      </c>
      <c r="H297" s="69">
        <v>1</v>
      </c>
      <c r="I297" s="141"/>
      <c r="J297" s="70">
        <f>IFERROR(IF(K297&lt;&gt;0,K297*$K$5,0),0)</f>
        <v>4000</v>
      </c>
      <c r="K297" s="54">
        <v>4000</v>
      </c>
      <c r="L297" s="338">
        <f>H297*J297*I297</f>
        <v>0</v>
      </c>
      <c r="M297" s="153">
        <f t="shared" ca="1" si="31"/>
        <v>0</v>
      </c>
      <c r="O297" s="148">
        <f t="shared" si="41"/>
        <v>0</v>
      </c>
      <c r="R297" s="12">
        <f t="shared" si="50"/>
        <v>-116.50485436893223</v>
      </c>
    </row>
    <row r="298" spans="1:18" s="51" customFormat="1" ht="13.5" hidden="1" customHeight="1" outlineLevel="1" x14ac:dyDescent="0.3">
      <c r="A298" s="290">
        <f t="shared" si="34"/>
        <v>0</v>
      </c>
      <c r="B298" s="49"/>
      <c r="C298" s="49"/>
      <c r="D298" s="140"/>
      <c r="E298" s="67" t="s">
        <v>1360</v>
      </c>
      <c r="F298" s="68"/>
      <c r="G298" s="68" t="s">
        <v>29</v>
      </c>
      <c r="H298" s="69">
        <v>1</v>
      </c>
      <c r="I298" s="141"/>
      <c r="J298" s="70">
        <f>IFERROR(IF(K298&lt;&gt;0,K298*$K$5,0),0)</f>
        <v>3000</v>
      </c>
      <c r="K298" s="54">
        <v>3000</v>
      </c>
      <c r="L298" s="338">
        <f>H298*J298*I298</f>
        <v>0</v>
      </c>
      <c r="M298" s="153">
        <f t="shared" ca="1" si="31"/>
        <v>0</v>
      </c>
      <c r="O298" s="148">
        <f t="shared" si="41"/>
        <v>0</v>
      </c>
      <c r="R298" s="12">
        <f t="shared" si="50"/>
        <v>-87.378640776699285</v>
      </c>
    </row>
    <row r="299" spans="1:18" s="18" customFormat="1" ht="13.5" customHeight="1" x14ac:dyDescent="0.3">
      <c r="A299" s="290">
        <f t="shared" si="34"/>
        <v>3</v>
      </c>
      <c r="B299" s="35"/>
      <c r="C299" s="35" t="s">
        <v>82</v>
      </c>
      <c r="D299" s="35" t="s">
        <v>1340</v>
      </c>
      <c r="E299" s="390"/>
      <c r="F299" s="323"/>
      <c r="G299" s="323"/>
      <c r="H299" s="324"/>
      <c r="I299" s="37"/>
      <c r="J299" s="333"/>
      <c r="K299" s="38"/>
      <c r="L299" s="333">
        <f>SUMIF(A300:A334,4,L300:L334)</f>
        <v>24863.365575</v>
      </c>
      <c r="M299" s="153">
        <f t="shared" ca="1" si="31"/>
        <v>9.3709940292501773E-4</v>
      </c>
      <c r="O299" s="148">
        <f t="shared" si="41"/>
        <v>0</v>
      </c>
      <c r="R299" s="12">
        <f t="shared" si="50"/>
        <v>0</v>
      </c>
    </row>
    <row r="300" spans="1:18" s="18" customFormat="1" ht="5.25" customHeight="1" outlineLevel="1" x14ac:dyDescent="0.3">
      <c r="A300" s="290">
        <f t="shared" si="34"/>
        <v>0</v>
      </c>
      <c r="B300" s="63"/>
      <c r="C300" s="63"/>
      <c r="D300" s="63"/>
      <c r="E300" s="391"/>
      <c r="F300" s="325"/>
      <c r="G300" s="325"/>
      <c r="H300" s="326"/>
      <c r="I300" s="65"/>
      <c r="J300" s="334">
        <f>IFERROR(IF(K300&lt;&gt;0,K300*$K$5,0),0)</f>
        <v>0</v>
      </c>
      <c r="K300" s="66" t="e">
        <f>IF(A300=0,VLOOKUP(D300,'03. Insumos'!A:F,4,0),"")</f>
        <v>#N/A</v>
      </c>
      <c r="L300" s="334"/>
      <c r="M300" s="153">
        <f t="shared" ca="1" si="31"/>
        <v>0</v>
      </c>
      <c r="O300" s="148">
        <f>IF(I300&lt;&gt;0,I300*H300*K300,)</f>
        <v>0</v>
      </c>
      <c r="R300" s="12">
        <f t="shared" si="50"/>
        <v>0</v>
      </c>
    </row>
    <row r="301" spans="1:18" s="18" customFormat="1" ht="13.5" customHeight="1" outlineLevel="1" x14ac:dyDescent="0.3">
      <c r="A301" s="290">
        <f t="shared" si="34"/>
        <v>4</v>
      </c>
      <c r="B301" s="45"/>
      <c r="C301" s="45" t="s">
        <v>362</v>
      </c>
      <c r="D301" s="347" t="s">
        <v>1340</v>
      </c>
      <c r="E301" s="347"/>
      <c r="F301" s="327"/>
      <c r="G301" s="327"/>
      <c r="H301" s="328"/>
      <c r="I301" s="61"/>
      <c r="J301" s="335"/>
      <c r="K301" s="62" t="str">
        <f>IF(A301=0,VLOOKUP(D301,'03. Insumos'!A:F,4,0),"")</f>
        <v/>
      </c>
      <c r="L301" s="335">
        <f>SUMIF(A302:A334,6,L302:L334)</f>
        <v>24863.365575</v>
      </c>
      <c r="M301" s="153">
        <f t="shared" ca="1" si="31"/>
        <v>9.3709940292501773E-4</v>
      </c>
      <c r="O301" s="148">
        <f>IF(I301&lt;&gt;0,I301*H301*K301,)</f>
        <v>0</v>
      </c>
      <c r="R301" s="12">
        <f t="shared" si="50"/>
        <v>0</v>
      </c>
    </row>
    <row r="302" spans="1:18" s="59" customFormat="1" ht="13.5" customHeight="1" outlineLevel="1" x14ac:dyDescent="0.3">
      <c r="A302" s="290">
        <f t="shared" si="34"/>
        <v>6</v>
      </c>
      <c r="B302" s="55"/>
      <c r="C302" s="55" t="s">
        <v>277</v>
      </c>
      <c r="D302" s="4" t="s">
        <v>1598</v>
      </c>
      <c r="E302" s="55"/>
      <c r="F302" s="56"/>
      <c r="G302" s="56" t="s">
        <v>73</v>
      </c>
      <c r="H302" s="57">
        <v>139.46530000000001</v>
      </c>
      <c r="I302" s="57"/>
      <c r="J302" s="58"/>
      <c r="K302" s="58" t="str">
        <f>IF(A302=0,VLOOKUP(D302,'03. Insumos'!A:F,4,0),"")</f>
        <v/>
      </c>
      <c r="L302" s="58">
        <f>SUM(L303:L307)</f>
        <v>5234.2366000000002</v>
      </c>
      <c r="M302" s="153">
        <f t="shared" ca="1" si="31"/>
        <v>1.9727819943894602E-4</v>
      </c>
      <c r="O302" s="148">
        <f>IF(I302&lt;&gt;0,I302*H302*K302,)</f>
        <v>0</v>
      </c>
      <c r="R302" s="12">
        <f t="shared" si="50"/>
        <v>0</v>
      </c>
    </row>
    <row r="303" spans="1:18" s="59" customFormat="1" ht="13.5" customHeight="1" outlineLevel="1" x14ac:dyDescent="0.3">
      <c r="A303" s="290">
        <f t="shared" si="34"/>
        <v>0</v>
      </c>
      <c r="B303" s="55"/>
      <c r="C303" s="55"/>
      <c r="D303" s="140" t="s">
        <v>2192</v>
      </c>
      <c r="E303" s="67" t="str">
        <f>VLOOKUP(D303,'03. Insumos'!A:D,2,0)</f>
        <v>Execução da argamassa de regularização</v>
      </c>
      <c r="F303" s="68" t="s">
        <v>2607</v>
      </c>
      <c r="G303" s="68" t="str">
        <f>VLOOKUP(D303,'03. Insumos'!A:F,3,0)</f>
        <v>m²</v>
      </c>
      <c r="H303" s="69">
        <v>1</v>
      </c>
      <c r="I303" s="141">
        <f>H302</f>
        <v>139.46530000000001</v>
      </c>
      <c r="J303" s="70">
        <f>IFERROR(IF(K303&lt;&gt;0,K303*$K$5,0),0)</f>
        <v>22</v>
      </c>
      <c r="K303" s="70">
        <f>IF(A303=0,VLOOKUP(D303,'03. Insumos'!A:F,4,0),"")</f>
        <v>22</v>
      </c>
      <c r="L303" s="70">
        <f>H303*J303*I303</f>
        <v>3068.2366000000002</v>
      </c>
      <c r="M303" s="153">
        <f t="shared" ca="1" si="31"/>
        <v>1.156417331040545E-4</v>
      </c>
      <c r="O303" s="148"/>
      <c r="R303" s="12"/>
    </row>
    <row r="304" spans="1:18" s="51" customFormat="1" ht="13.5" hidden="1" customHeight="1" outlineLevel="1" x14ac:dyDescent="0.3">
      <c r="A304" s="290">
        <f t="shared" si="34"/>
        <v>0</v>
      </c>
      <c r="B304" s="49"/>
      <c r="C304" s="49"/>
      <c r="D304" s="140" t="s">
        <v>733</v>
      </c>
      <c r="E304" s="67" t="str">
        <f>VLOOKUP(D304,'03. Insumos'!A:D,2,0)</f>
        <v>Material - Execução argamassa de Regularização</v>
      </c>
      <c r="F304" s="68"/>
      <c r="G304" s="68" t="str">
        <f>VLOOKUP(D304,'03. Insumos'!A:F,3,0)</f>
        <v>m²</v>
      </c>
      <c r="H304" s="69"/>
      <c r="I304" s="141">
        <f>H302</f>
        <v>139.46530000000001</v>
      </c>
      <c r="J304" s="70">
        <f>IFERROR(IF(K304&lt;&gt;0,K304*$K$5,0),0)</f>
        <v>11.664</v>
      </c>
      <c r="K304" s="70">
        <f>IF(A304=0,VLOOKUP(D304,'03. Insumos'!A:F,4,0),"")</f>
        <v>11.664</v>
      </c>
      <c r="L304" s="70">
        <f>H304*J304*I304</f>
        <v>0</v>
      </c>
      <c r="M304" s="153">
        <f t="shared" ca="1" si="31"/>
        <v>0</v>
      </c>
      <c r="O304" s="148">
        <f>IF(I304&lt;&gt;0,I304*H304*K304,)</f>
        <v>0</v>
      </c>
      <c r="R304" s="12">
        <f>IF(J304&lt;&gt;0,J304/1.03-K304,0)</f>
        <v>-0.33972815533980594</v>
      </c>
    </row>
    <row r="305" spans="1:18" s="51" customFormat="1" ht="13.5" hidden="1" customHeight="1" outlineLevel="1" x14ac:dyDescent="0.3">
      <c r="A305" s="290">
        <f t="shared" si="34"/>
        <v>0</v>
      </c>
      <c r="B305" s="49"/>
      <c r="C305" s="49"/>
      <c r="D305" s="140" t="s">
        <v>734</v>
      </c>
      <c r="E305" s="67" t="str">
        <f>VLOOKUP(D305,'03. Insumos'!A:D,2,0)</f>
        <v xml:space="preserve">Mão de obra - Execução argamassa de Regularização </v>
      </c>
      <c r="F305" s="68"/>
      <c r="G305" s="68" t="str">
        <f>VLOOKUP(D305,'03. Insumos'!A:F,3,0)</f>
        <v>m²</v>
      </c>
      <c r="H305" s="69"/>
      <c r="I305" s="141">
        <f>H302</f>
        <v>139.46530000000001</v>
      </c>
      <c r="J305" s="70">
        <f>IFERROR(IF(K305&lt;&gt;0,K305*$K$5,0),0)</f>
        <v>7.7759999999999998</v>
      </c>
      <c r="K305" s="70">
        <f>IF(A305=0,VLOOKUP(D305,'03. Insumos'!A:F,4,0),"")</f>
        <v>7.7759999999999998</v>
      </c>
      <c r="L305" s="70">
        <f>H305*J305*I305</f>
        <v>0</v>
      </c>
      <c r="M305" s="153">
        <f t="shared" ca="1" si="31"/>
        <v>0</v>
      </c>
      <c r="O305" s="148"/>
      <c r="R305" s="12"/>
    </row>
    <row r="306" spans="1:18" s="51" customFormat="1" ht="13.5" customHeight="1" outlineLevel="1" x14ac:dyDescent="0.3">
      <c r="A306" s="290">
        <f t="shared" si="34"/>
        <v>0</v>
      </c>
      <c r="B306" s="49"/>
      <c r="C306" s="49"/>
      <c r="D306" s="140" t="s">
        <v>1591</v>
      </c>
      <c r="E306" s="67" t="str">
        <f>VLOOKUP(D306,'03. Insumos'!A:D,2,0)</f>
        <v>Areia (granel)</v>
      </c>
      <c r="F306" s="68" t="s">
        <v>2612</v>
      </c>
      <c r="G306" s="68" t="str">
        <f>VLOOKUP(D306,'03. Insumos'!A:F,3,0)</f>
        <v>m³</v>
      </c>
      <c r="H306" s="69">
        <v>1</v>
      </c>
      <c r="I306" s="141">
        <f>ROUNDUP((H302*0.04),0)</f>
        <v>6</v>
      </c>
      <c r="J306" s="70">
        <f>IFERROR(IF(K306&lt;&gt;0,K306*$K$5,0),0)</f>
        <v>65</v>
      </c>
      <c r="K306" s="70">
        <f>IF(A306=0,VLOOKUP(D306,'03. Insumos'!A:F,4,0),"")</f>
        <v>65</v>
      </c>
      <c r="L306" s="70">
        <f>H306*J306*I306</f>
        <v>390</v>
      </c>
      <c r="M306" s="153">
        <f t="shared" ca="1" si="31"/>
        <v>1.4699086736199304E-5</v>
      </c>
      <c r="O306" s="148"/>
      <c r="R306" s="12"/>
    </row>
    <row r="307" spans="1:18" s="51" customFormat="1" ht="13.5" customHeight="1" outlineLevel="1" x14ac:dyDescent="0.3">
      <c r="A307" s="290">
        <f t="shared" si="34"/>
        <v>0</v>
      </c>
      <c r="B307" s="49"/>
      <c r="C307" s="49"/>
      <c r="D307" s="140" t="s">
        <v>747</v>
      </c>
      <c r="E307" s="67" t="str">
        <f>VLOOKUP(D307,'03. Insumos'!A:D,2,0)</f>
        <v>Cimento (saco 50 Kg)</v>
      </c>
      <c r="F307" s="68" t="s">
        <v>2612</v>
      </c>
      <c r="G307" s="68" t="str">
        <f>VLOOKUP(D307,'03. Insumos'!A:F,3,0)</f>
        <v>unid</v>
      </c>
      <c r="H307" s="69">
        <v>1</v>
      </c>
      <c r="I307" s="141">
        <f>ROUNDUP((H302*0.04*8.6),0)</f>
        <v>48</v>
      </c>
      <c r="J307" s="70">
        <f>IFERROR(IF(K307&lt;&gt;0,K307*$K$5,0),0)</f>
        <v>37</v>
      </c>
      <c r="K307" s="70">
        <f>IF(A307=0,VLOOKUP(D307,'03. Insumos'!A:F,4,0),"")</f>
        <v>37</v>
      </c>
      <c r="L307" s="70">
        <f>H307*J307*I307</f>
        <v>1776</v>
      </c>
      <c r="M307" s="153">
        <f t="shared" ca="1" si="31"/>
        <v>6.6937379598692214E-5</v>
      </c>
      <c r="O307" s="148"/>
      <c r="R307" s="12"/>
    </row>
    <row r="308" spans="1:18" s="59" customFormat="1" ht="13.5" customHeight="1" outlineLevel="1" x14ac:dyDescent="0.3">
      <c r="A308" s="290">
        <f t="shared" si="34"/>
        <v>6</v>
      </c>
      <c r="B308" s="55"/>
      <c r="C308" s="55" t="s">
        <v>363</v>
      </c>
      <c r="D308" s="4" t="s">
        <v>1397</v>
      </c>
      <c r="E308" s="55"/>
      <c r="F308" s="56"/>
      <c r="G308" s="56" t="s">
        <v>73</v>
      </c>
      <c r="H308" s="57">
        <f>H302</f>
        <v>139.46530000000001</v>
      </c>
      <c r="I308" s="142"/>
      <c r="J308" s="70"/>
      <c r="K308" s="70" t="str">
        <f>IF(A308=0,VLOOKUP(D308,'03. Insumos'!A:F,4,0),"")</f>
        <v/>
      </c>
      <c r="L308" s="58">
        <f>SUM(L309:L311)</f>
        <v>12272.946400000001</v>
      </c>
      <c r="M308" s="153">
        <f t="shared" ca="1" si="31"/>
        <v>4.62566932416218E-4</v>
      </c>
      <c r="O308" s="148">
        <f>IF(I308&lt;&gt;0,I308*H308*K308,)</f>
        <v>0</v>
      </c>
      <c r="R308" s="12">
        <f>IF(J308&lt;&gt;0,J308/1.03-K308,0)</f>
        <v>0</v>
      </c>
    </row>
    <row r="309" spans="1:18" s="59" customFormat="1" ht="13.5" customHeight="1" outlineLevel="1" x14ac:dyDescent="0.3">
      <c r="A309" s="290">
        <f t="shared" si="34"/>
        <v>0</v>
      </c>
      <c r="B309" s="55"/>
      <c r="C309" s="55"/>
      <c r="D309" s="140" t="s">
        <v>2193</v>
      </c>
      <c r="E309" s="67" t="str">
        <f>VLOOKUP(D309,'03. Insumos'!A:D,2,0)</f>
        <v>Impermeabilização com manta asfáltica</v>
      </c>
      <c r="F309" s="68" t="s">
        <v>2607</v>
      </c>
      <c r="G309" s="68" t="str">
        <f>VLOOKUP(D309,'03. Insumos'!A:F,3,0)</f>
        <v>m²</v>
      </c>
      <c r="H309" s="69">
        <v>1</v>
      </c>
      <c r="I309" s="141">
        <f>H308</f>
        <v>139.46530000000001</v>
      </c>
      <c r="J309" s="70">
        <f>IFERROR(IF(K309&lt;&gt;0,K309*$K$5,0),0)</f>
        <v>88</v>
      </c>
      <c r="K309" s="70">
        <f>IF(A309=0,VLOOKUP(D309,'03. Insumos'!A:F,4,0),"")</f>
        <v>88</v>
      </c>
      <c r="L309" s="70">
        <f>H309*J309*I309</f>
        <v>12272.946400000001</v>
      </c>
      <c r="M309" s="153">
        <f t="shared" ca="1" si="31"/>
        <v>4.62566932416218E-4</v>
      </c>
      <c r="O309" s="148"/>
      <c r="R309" s="12"/>
    </row>
    <row r="310" spans="1:18" s="51" customFormat="1" ht="13.5" hidden="1" customHeight="1" outlineLevel="1" x14ac:dyDescent="0.3">
      <c r="A310" s="290">
        <f t="shared" si="34"/>
        <v>0</v>
      </c>
      <c r="B310" s="49"/>
      <c r="C310" s="49"/>
      <c r="D310" s="140" t="s">
        <v>735</v>
      </c>
      <c r="E310" s="67" t="str">
        <f>VLOOKUP(D310,'03. Insumos'!A:D,2,0)</f>
        <v xml:space="preserve">Material - Execução Impermeabilização  manta asfáltica tipo III-4mm  </v>
      </c>
      <c r="F310" s="68"/>
      <c r="G310" s="68" t="str">
        <f>VLOOKUP(D310,'03. Insumos'!A:F,3,0)</f>
        <v>m²</v>
      </c>
      <c r="H310" s="69"/>
      <c r="I310" s="141">
        <f>H308</f>
        <v>139.46530000000001</v>
      </c>
      <c r="J310" s="70">
        <f>IFERROR(IF(K310&lt;&gt;0,K310*$K$5,0),0)</f>
        <v>46.181999999999995</v>
      </c>
      <c r="K310" s="70">
        <f>IF(A310=0,VLOOKUP(D310,'03. Insumos'!A:F,4,0),"")</f>
        <v>46.181999999999995</v>
      </c>
      <c r="L310" s="338">
        <f>H310*J310*I310</f>
        <v>0</v>
      </c>
      <c r="M310" s="153">
        <f t="shared" ca="1" si="31"/>
        <v>0</v>
      </c>
      <c r="O310" s="148">
        <f>IF(I310&lt;&gt;0,I310*H310*K310,)</f>
        <v>0</v>
      </c>
      <c r="R310" s="12">
        <f>IF(J310&lt;&gt;0,J310/1.03-K310,0)</f>
        <v>-1.3451067961165037</v>
      </c>
    </row>
    <row r="311" spans="1:18" s="51" customFormat="1" ht="13.5" hidden="1" customHeight="1" outlineLevel="1" x14ac:dyDescent="0.3">
      <c r="A311" s="290">
        <f t="shared" si="34"/>
        <v>0</v>
      </c>
      <c r="B311" s="49"/>
      <c r="C311" s="49"/>
      <c r="D311" s="140" t="s">
        <v>736</v>
      </c>
      <c r="E311" s="67" t="str">
        <f>VLOOKUP(D311,'03. Insumos'!A:D,2,0)</f>
        <v xml:space="preserve">Mão de obra - Execução Impermeabilização  manta asfáltica tipo III-4mm  </v>
      </c>
      <c r="F311" s="68"/>
      <c r="G311" s="68" t="str">
        <f>VLOOKUP(D311,'03. Insumos'!A:F,3,0)</f>
        <v>m²</v>
      </c>
      <c r="H311" s="69"/>
      <c r="I311" s="141">
        <f>H308</f>
        <v>139.46530000000001</v>
      </c>
      <c r="J311" s="70">
        <f>IFERROR(IF(K311&lt;&gt;0,K311*$K$5,0),0)</f>
        <v>30.788</v>
      </c>
      <c r="K311" s="70">
        <f>IF(A311=0,VLOOKUP(D311,'03. Insumos'!A:F,4,0),"")</f>
        <v>30.788</v>
      </c>
      <c r="L311" s="338">
        <f>H311*J311*I311</f>
        <v>0</v>
      </c>
      <c r="M311" s="153">
        <f t="shared" ca="1" si="31"/>
        <v>0</v>
      </c>
      <c r="O311" s="148">
        <f>IF(I311&lt;&gt;0,I311*H311*K311,)</f>
        <v>0</v>
      </c>
      <c r="R311" s="12"/>
    </row>
    <row r="312" spans="1:18" s="51" customFormat="1" ht="13.5" hidden="1" customHeight="1" outlineLevel="1" x14ac:dyDescent="0.3">
      <c r="A312" s="290">
        <f t="shared" si="34"/>
        <v>6</v>
      </c>
      <c r="B312" s="49"/>
      <c r="C312" s="55" t="s">
        <v>1341</v>
      </c>
      <c r="D312" s="55" t="s">
        <v>2199</v>
      </c>
      <c r="E312" s="67"/>
      <c r="F312" s="68"/>
      <c r="G312" s="56" t="s">
        <v>73</v>
      </c>
      <c r="H312" s="57"/>
      <c r="I312" s="141"/>
      <c r="J312" s="70"/>
      <c r="K312" s="70"/>
      <c r="L312" s="58">
        <f>SUM(L313)</f>
        <v>0</v>
      </c>
      <c r="M312" s="153">
        <f t="shared" ca="1" si="31"/>
        <v>0</v>
      </c>
      <c r="O312" s="148"/>
      <c r="R312" s="12"/>
    </row>
    <row r="313" spans="1:18" s="51" customFormat="1" ht="13.5" hidden="1" customHeight="1" outlineLevel="1" x14ac:dyDescent="0.3">
      <c r="A313" s="290">
        <f t="shared" si="34"/>
        <v>0</v>
      </c>
      <c r="B313" s="49"/>
      <c r="C313" s="49"/>
      <c r="D313" s="140" t="s">
        <v>2194</v>
      </c>
      <c r="E313" s="67" t="str">
        <f>VLOOKUP(D313,'03. Insumos'!A:D,2,0)</f>
        <v>Execução da impermeabilização com manta asfáltica tipo III - 4 mm protegida com grânulos de ardósia</v>
      </c>
      <c r="F313" s="68"/>
      <c r="G313" s="68" t="str">
        <f>VLOOKUP(D313,'03. Insumos'!A:F,3,0)</f>
        <v>m²</v>
      </c>
      <c r="H313" s="69">
        <v>1</v>
      </c>
      <c r="I313" s="141">
        <f>H312</f>
        <v>0</v>
      </c>
      <c r="J313" s="70">
        <f>IFERROR(IF(K313&lt;&gt;0,K313*$K$5,0),0)</f>
        <v>82.67</v>
      </c>
      <c r="K313" s="70">
        <f>IF(A313=0,VLOOKUP(D313,'03. Insumos'!A:F,4,0),"")</f>
        <v>82.67</v>
      </c>
      <c r="L313" s="338">
        <f>H313*J313*I313</f>
        <v>0</v>
      </c>
      <c r="M313" s="153">
        <f t="shared" ca="1" si="31"/>
        <v>0</v>
      </c>
      <c r="O313" s="148"/>
      <c r="R313" s="12"/>
    </row>
    <row r="314" spans="1:18" s="51" customFormat="1" ht="13.5" hidden="1" customHeight="1" outlineLevel="1" x14ac:dyDescent="0.3">
      <c r="A314" s="290">
        <f t="shared" si="34"/>
        <v>6</v>
      </c>
      <c r="B314" s="49"/>
      <c r="C314" s="55" t="s">
        <v>1398</v>
      </c>
      <c r="D314" s="343" t="s">
        <v>2184</v>
      </c>
      <c r="E314" s="384"/>
      <c r="F314" s="68"/>
      <c r="G314" s="56" t="s">
        <v>73</v>
      </c>
      <c r="H314" s="57"/>
      <c r="I314" s="141"/>
      <c r="J314" s="70"/>
      <c r="K314" s="70"/>
      <c r="L314" s="58">
        <f>SUM(L315:L318)</f>
        <v>0</v>
      </c>
      <c r="M314" s="153">
        <f t="shared" ca="1" si="31"/>
        <v>0</v>
      </c>
      <c r="O314" s="148"/>
      <c r="R314" s="12"/>
    </row>
    <row r="315" spans="1:18" s="51" customFormat="1" ht="13.5" hidden="1" customHeight="1" outlineLevel="1" x14ac:dyDescent="0.3">
      <c r="A315" s="290">
        <f t="shared" si="34"/>
        <v>0</v>
      </c>
      <c r="B315" s="49"/>
      <c r="C315" s="49"/>
      <c r="D315" s="140" t="s">
        <v>2180</v>
      </c>
      <c r="E315" s="67" t="str">
        <f>VLOOKUP(D315,'03. Insumos'!A:D,2,0)</f>
        <v>Fornecimento e aplicação de chapa XPS</v>
      </c>
      <c r="F315" s="68"/>
      <c r="G315" s="68" t="str">
        <f>VLOOKUP(D315,'03. Insumos'!A:F,3,0)</f>
        <v>m²</v>
      </c>
      <c r="H315" s="69"/>
      <c r="I315" s="141">
        <f>H314</f>
        <v>0</v>
      </c>
      <c r="J315" s="70">
        <f>IFERROR(IF(K315&lt;&gt;0,K315*$K$5,0),0)</f>
        <v>50.72</v>
      </c>
      <c r="K315" s="70">
        <f>IF(A315=0,VLOOKUP(D315,'03. Insumos'!A:F,4,0),"")</f>
        <v>50.72</v>
      </c>
      <c r="L315" s="338">
        <f>H315*J315*I315</f>
        <v>0</v>
      </c>
      <c r="M315" s="153">
        <f t="shared" ca="1" si="31"/>
        <v>0</v>
      </c>
      <c r="O315" s="148"/>
      <c r="R315" s="12"/>
    </row>
    <row r="316" spans="1:18" s="51" customFormat="1" ht="13.5" hidden="1" customHeight="1" outlineLevel="1" x14ac:dyDescent="0.3">
      <c r="A316" s="290">
        <f t="shared" si="34"/>
        <v>0</v>
      </c>
      <c r="B316" s="49"/>
      <c r="C316" s="49"/>
      <c r="D316" s="140" t="s">
        <v>2569</v>
      </c>
      <c r="E316" s="67" t="str">
        <f>VLOOKUP(D316,'03. Insumos'!A:D,2,0)</f>
        <v>Camada separadora: Papel Kraft</v>
      </c>
      <c r="F316" s="68" t="s">
        <v>2612</v>
      </c>
      <c r="G316" s="68" t="str">
        <f>VLOOKUP(D316,'03. Insumos'!A:F,3,0)</f>
        <v>m²</v>
      </c>
      <c r="H316" s="69">
        <v>1</v>
      </c>
      <c r="I316" s="141">
        <f>H314</f>
        <v>0</v>
      </c>
      <c r="J316" s="70">
        <f>IFERROR(IF(K316&lt;&gt;0,K316*$K$5,0),0)</f>
        <v>10.92</v>
      </c>
      <c r="K316" s="70">
        <f>IF(A316=0,VLOOKUP(D316,'03. Insumos'!A:F,4,0),"")</f>
        <v>10.92</v>
      </c>
      <c r="L316" s="70">
        <f>H316*J316*I316</f>
        <v>0</v>
      </c>
      <c r="M316" s="153">
        <f t="shared" ca="1" si="31"/>
        <v>0</v>
      </c>
      <c r="O316" s="148"/>
      <c r="R316" s="12"/>
    </row>
    <row r="317" spans="1:18" s="51" customFormat="1" ht="13.5" hidden="1" customHeight="1" outlineLevel="1" x14ac:dyDescent="0.3">
      <c r="A317" s="290">
        <f t="shared" si="34"/>
        <v>0</v>
      </c>
      <c r="B317" s="49"/>
      <c r="C317" s="49"/>
      <c r="D317" s="140" t="s">
        <v>2571</v>
      </c>
      <c r="E317" s="67" t="str">
        <f>VLOOKUP(D317,'03. Insumos'!A:D,2,0)</f>
        <v>Poliestireno extrudado esp=2,5 cm</v>
      </c>
      <c r="F317" s="68" t="s">
        <v>2612</v>
      </c>
      <c r="G317" s="68" t="str">
        <f>VLOOKUP(D317,'03. Insumos'!A:F,3,0)</f>
        <v>m²</v>
      </c>
      <c r="H317" s="69">
        <v>1</v>
      </c>
      <c r="I317" s="141">
        <f>H314</f>
        <v>0</v>
      </c>
      <c r="J317" s="70">
        <f>IFERROR(IF(K317&lt;&gt;0,K317*$K$5,0),0)</f>
        <v>37.4</v>
      </c>
      <c r="K317" s="70">
        <f>IF(A317=0,VLOOKUP(D317,'03. Insumos'!A:F,4,0),"")</f>
        <v>37.4</v>
      </c>
      <c r="L317" s="70">
        <f>H317*J317*I317</f>
        <v>0</v>
      </c>
      <c r="M317" s="153">
        <f t="shared" ca="1" si="31"/>
        <v>0</v>
      </c>
      <c r="O317" s="148"/>
      <c r="R317" s="12"/>
    </row>
    <row r="318" spans="1:18" s="51" customFormat="1" ht="13.5" hidden="1" customHeight="1" outlineLevel="1" x14ac:dyDescent="0.3">
      <c r="A318" s="290">
        <f t="shared" si="34"/>
        <v>0</v>
      </c>
      <c r="B318" s="49"/>
      <c r="C318" s="49"/>
      <c r="D318" s="140" t="s">
        <v>2181</v>
      </c>
      <c r="E318" s="67" t="str">
        <f>VLOOKUP(D318,'03. Insumos'!A:D,2,0)</f>
        <v>Cinasita</v>
      </c>
      <c r="F318" s="68"/>
      <c r="G318" s="68" t="str">
        <f>VLOOKUP(D318,'03. Insumos'!A:F,3,0)</f>
        <v>m³</v>
      </c>
      <c r="H318" s="69"/>
      <c r="I318" s="141">
        <f>H314*0.05</f>
        <v>0</v>
      </c>
      <c r="J318" s="70">
        <f>IFERROR(IF(K318&lt;&gt;0,K318*$K$5,0),0)</f>
        <v>600</v>
      </c>
      <c r="K318" s="70">
        <f>IF(A318=0,VLOOKUP(D318,'03. Insumos'!A:F,4,0),"")</f>
        <v>600</v>
      </c>
      <c r="L318" s="338">
        <f>H318*J318*I318</f>
        <v>0</v>
      </c>
      <c r="M318" s="153">
        <f t="shared" ca="1" si="31"/>
        <v>0</v>
      </c>
      <c r="O318" s="148"/>
      <c r="R318" s="12"/>
    </row>
    <row r="319" spans="1:18" s="51" customFormat="1" ht="13.5" customHeight="1" outlineLevel="1" x14ac:dyDescent="0.3">
      <c r="A319" s="290">
        <f t="shared" si="34"/>
        <v>6</v>
      </c>
      <c r="B319" s="49"/>
      <c r="C319" s="55" t="s">
        <v>2200</v>
      </c>
      <c r="D319" s="4" t="s">
        <v>1599</v>
      </c>
      <c r="E319" s="55"/>
      <c r="F319" s="68"/>
      <c r="G319" s="56" t="s">
        <v>73</v>
      </c>
      <c r="H319" s="57">
        <f>H308</f>
        <v>139.46530000000001</v>
      </c>
      <c r="I319" s="141"/>
      <c r="J319" s="70"/>
      <c r="K319" s="70"/>
      <c r="L319" s="58">
        <f>SUM(L320:L324)</f>
        <v>2871.1825750000003</v>
      </c>
      <c r="M319" s="153">
        <f t="shared" ca="1" si="31"/>
        <v>1.0821477360356172E-4</v>
      </c>
      <c r="O319" s="148"/>
      <c r="R319" s="12"/>
    </row>
    <row r="320" spans="1:18" s="51" customFormat="1" ht="13.5" customHeight="1" outlineLevel="1" x14ac:dyDescent="0.3">
      <c r="A320" s="290">
        <f t="shared" si="34"/>
        <v>0</v>
      </c>
      <c r="B320" s="49"/>
      <c r="C320" s="55"/>
      <c r="D320" s="140" t="s">
        <v>2195</v>
      </c>
      <c r="E320" s="67" t="str">
        <f>VLOOKUP(D320,'03. Insumos'!A:D,2,0)</f>
        <v>Execução da proteção primária do piso</v>
      </c>
      <c r="F320" s="68" t="s">
        <v>2607</v>
      </c>
      <c r="G320" s="68" t="str">
        <f>VLOOKUP(D320,'03. Insumos'!A:F,3,0)</f>
        <v>m²</v>
      </c>
      <c r="H320" s="69">
        <v>1</v>
      </c>
      <c r="I320" s="141">
        <f>H319</f>
        <v>139.46530000000001</v>
      </c>
      <c r="J320" s="70">
        <f>IFERROR(IF(K320&lt;&gt;0,K320*$K$5,0),0)</f>
        <v>12.75</v>
      </c>
      <c r="K320" s="70">
        <f>IF(A320=0,VLOOKUP(D320,'03. Insumos'!A:F,4,0),"")</f>
        <v>12.75</v>
      </c>
      <c r="L320" s="70">
        <f>H320*J320*I320</f>
        <v>1778.1825750000003</v>
      </c>
      <c r="M320" s="153">
        <f t="shared" ca="1" si="31"/>
        <v>6.7019640776213411E-5</v>
      </c>
      <c r="O320" s="148"/>
      <c r="R320" s="12"/>
    </row>
    <row r="321" spans="1:18" s="51" customFormat="1" ht="13.5" hidden="1" customHeight="1" outlineLevel="1" x14ac:dyDescent="0.3">
      <c r="A321" s="290">
        <f t="shared" si="34"/>
        <v>0</v>
      </c>
      <c r="B321" s="49"/>
      <c r="C321" s="49"/>
      <c r="D321" s="140" t="s">
        <v>737</v>
      </c>
      <c r="E321" s="67" t="str">
        <f>VLOOKUP(D321,'03. Insumos'!A:D,2,0)</f>
        <v>Material - Execução proteção primária do piso</v>
      </c>
      <c r="F321" s="68"/>
      <c r="G321" s="68" t="str">
        <f>VLOOKUP(D321,'03. Insumos'!A:F,3,0)</f>
        <v>m²</v>
      </c>
      <c r="H321" s="69"/>
      <c r="I321" s="141">
        <f>H319</f>
        <v>139.46530000000001</v>
      </c>
      <c r="J321" s="70">
        <f>IFERROR(IF(K321&lt;&gt;0,K321*$K$5,0),0)</f>
        <v>7.8000000000000007</v>
      </c>
      <c r="K321" s="70">
        <f>IF(A321=0,VLOOKUP(D321,'03. Insumos'!A:F,4,0),"")</f>
        <v>7.8000000000000007</v>
      </c>
      <c r="L321" s="70">
        <f>H321*J321*I321</f>
        <v>0</v>
      </c>
      <c r="M321" s="153">
        <f t="shared" ca="1" si="31"/>
        <v>0</v>
      </c>
      <c r="O321" s="148"/>
      <c r="R321" s="12"/>
    </row>
    <row r="322" spans="1:18" s="51" customFormat="1" ht="13.5" hidden="1" customHeight="1" outlineLevel="1" x14ac:dyDescent="0.3">
      <c r="A322" s="290">
        <f t="shared" si="34"/>
        <v>0</v>
      </c>
      <c r="B322" s="49"/>
      <c r="C322" s="49"/>
      <c r="D322" s="140" t="s">
        <v>738</v>
      </c>
      <c r="E322" s="67" t="str">
        <f>VLOOKUP(D322,'03. Insumos'!A:D,2,0)</f>
        <v xml:space="preserve">Mão de obra - Execução proteção primária do piso </v>
      </c>
      <c r="F322" s="68"/>
      <c r="G322" s="68" t="str">
        <f>VLOOKUP(D322,'03. Insumos'!A:F,3,0)</f>
        <v>m²</v>
      </c>
      <c r="H322" s="69"/>
      <c r="I322" s="141">
        <f>H319</f>
        <v>139.46530000000001</v>
      </c>
      <c r="J322" s="70">
        <f>IFERROR(IF(K322&lt;&gt;0,K322*$K$5,0),0)</f>
        <v>5.2</v>
      </c>
      <c r="K322" s="70">
        <f>IF(A322=0,VLOOKUP(D322,'03. Insumos'!A:F,4,0),"")</f>
        <v>5.2</v>
      </c>
      <c r="L322" s="70">
        <f>H322*J322*I322</f>
        <v>0</v>
      </c>
      <c r="M322" s="153">
        <f t="shared" ca="1" si="31"/>
        <v>0</v>
      </c>
      <c r="O322" s="148"/>
      <c r="R322" s="12"/>
    </row>
    <row r="323" spans="1:18" s="51" customFormat="1" ht="13.5" customHeight="1" outlineLevel="1" x14ac:dyDescent="0.3">
      <c r="A323" s="290">
        <f t="shared" si="34"/>
        <v>0</v>
      </c>
      <c r="B323" s="49"/>
      <c r="C323" s="49"/>
      <c r="D323" s="140" t="s">
        <v>1591</v>
      </c>
      <c r="E323" s="67" t="str">
        <f>VLOOKUP(D323,'03. Insumos'!A:D,2,0)</f>
        <v>Areia (granel)</v>
      </c>
      <c r="F323" s="68" t="s">
        <v>2612</v>
      </c>
      <c r="G323" s="68" t="str">
        <f>VLOOKUP(D323,'03. Insumos'!A:F,3,0)</f>
        <v>m³</v>
      </c>
      <c r="H323" s="69">
        <v>1</v>
      </c>
      <c r="I323" s="141">
        <f>ROUNDUP((H319*0.03*1.2),0)</f>
        <v>6</v>
      </c>
      <c r="J323" s="70">
        <f>IFERROR(IF(K323&lt;&gt;0,K323*$K$5,0),0)</f>
        <v>65</v>
      </c>
      <c r="K323" s="70">
        <f>IF(A323=0,VLOOKUP(D323,'03. Insumos'!A:F,4,0),"")</f>
        <v>65</v>
      </c>
      <c r="L323" s="70">
        <f>H323*J323*I323</f>
        <v>390</v>
      </c>
      <c r="M323" s="153">
        <f t="shared" ca="1" si="31"/>
        <v>1.4699086736199304E-5</v>
      </c>
      <c r="O323" s="148"/>
      <c r="R323" s="12"/>
    </row>
    <row r="324" spans="1:18" s="51" customFormat="1" ht="13.5" customHeight="1" outlineLevel="1" x14ac:dyDescent="0.3">
      <c r="A324" s="290">
        <f t="shared" si="34"/>
        <v>0</v>
      </c>
      <c r="B324" s="49"/>
      <c r="C324" s="49"/>
      <c r="D324" s="140" t="s">
        <v>747</v>
      </c>
      <c r="E324" s="67" t="str">
        <f>VLOOKUP(D324,'03. Insumos'!A:D,2,0)</f>
        <v>Cimento (saco 50 Kg)</v>
      </c>
      <c r="F324" s="68" t="s">
        <v>2612</v>
      </c>
      <c r="G324" s="68" t="str">
        <f>VLOOKUP(D324,'03. Insumos'!A:F,3,0)</f>
        <v>unid</v>
      </c>
      <c r="H324" s="69">
        <v>1</v>
      </c>
      <c r="I324" s="141">
        <f>ROUNDUP((H319*0.03*4.35),0)</f>
        <v>19</v>
      </c>
      <c r="J324" s="70">
        <f>IFERROR(IF(K324&lt;&gt;0,K324*$K$5,0),0)</f>
        <v>37</v>
      </c>
      <c r="K324" s="70">
        <f>IF(A324=0,VLOOKUP(D324,'03. Insumos'!A:F,4,0),"")</f>
        <v>37</v>
      </c>
      <c r="L324" s="70">
        <f>H324*J324*I324</f>
        <v>703</v>
      </c>
      <c r="M324" s="153">
        <f t="shared" ca="1" si="31"/>
        <v>2.6496046091149003E-5</v>
      </c>
      <c r="O324" s="148"/>
      <c r="R324" s="12"/>
    </row>
    <row r="325" spans="1:18" s="51" customFormat="1" ht="13.5" hidden="1" customHeight="1" outlineLevel="1" x14ac:dyDescent="0.3">
      <c r="A325" s="290">
        <f t="shared" si="34"/>
        <v>6</v>
      </c>
      <c r="B325" s="49"/>
      <c r="C325" s="55" t="s">
        <v>2201</v>
      </c>
      <c r="D325" s="55" t="s">
        <v>2202</v>
      </c>
      <c r="E325" s="67"/>
      <c r="F325" s="68"/>
      <c r="G325" s="56" t="s">
        <v>73</v>
      </c>
      <c r="H325" s="69"/>
      <c r="I325" s="141"/>
      <c r="J325" s="70"/>
      <c r="K325" s="70"/>
      <c r="L325" s="58">
        <f>SUM(L326)</f>
        <v>0</v>
      </c>
      <c r="M325" s="153">
        <f t="shared" ca="1" si="31"/>
        <v>0</v>
      </c>
      <c r="O325" s="148"/>
      <c r="R325" s="12"/>
    </row>
    <row r="326" spans="1:18" s="51" customFormat="1" ht="13.5" hidden="1" customHeight="1" outlineLevel="1" x14ac:dyDescent="0.3">
      <c r="A326" s="290">
        <f t="shared" si="34"/>
        <v>0</v>
      </c>
      <c r="B326" s="49"/>
      <c r="C326" s="49"/>
      <c r="D326" s="140" t="s">
        <v>2196</v>
      </c>
      <c r="E326" s="67" t="str">
        <f>VLOOKUP(D326,'03. Insumos'!A:D,2,0)</f>
        <v>Execução da impermeabilização com poliuretano bicomponente</v>
      </c>
      <c r="F326" s="68"/>
      <c r="G326" s="68" t="str">
        <f>VLOOKUP(D326,'03. Insumos'!A:F,3,0)</f>
        <v>m²</v>
      </c>
      <c r="H326" s="69">
        <v>1</v>
      </c>
      <c r="I326" s="141">
        <f>H325</f>
        <v>0</v>
      </c>
      <c r="J326" s="70">
        <f>IFERROR(IF(K326&lt;&gt;0,K326*$K$5,0),0)</f>
        <v>124.50000000000001</v>
      </c>
      <c r="K326" s="70">
        <f>IF(A326=0,VLOOKUP(D326,'03. Insumos'!A:F,4,0),"")</f>
        <v>124.50000000000001</v>
      </c>
      <c r="L326" s="338">
        <f>H326*J326*I326</f>
        <v>0</v>
      </c>
      <c r="M326" s="153">
        <f t="shared" ca="1" si="31"/>
        <v>0</v>
      </c>
      <c r="O326" s="148"/>
      <c r="R326" s="12"/>
    </row>
    <row r="327" spans="1:18" s="51" customFormat="1" ht="13.5" hidden="1" customHeight="1" outlineLevel="1" x14ac:dyDescent="0.3">
      <c r="A327" s="290">
        <f>LEN(C327)</f>
        <v>6</v>
      </c>
      <c r="B327" s="49"/>
      <c r="C327" s="55" t="s">
        <v>2205</v>
      </c>
      <c r="D327" s="55" t="s">
        <v>2203</v>
      </c>
      <c r="E327" s="67"/>
      <c r="F327" s="68"/>
      <c r="G327" s="56" t="s">
        <v>73</v>
      </c>
      <c r="H327" s="69"/>
      <c r="I327" s="141"/>
      <c r="J327" s="70"/>
      <c r="K327" s="70"/>
      <c r="L327" s="58">
        <f>SUM(L328)</f>
        <v>0</v>
      </c>
      <c r="M327" s="153">
        <f ca="1">L327/$L$7</f>
        <v>0</v>
      </c>
      <c r="O327" s="148"/>
      <c r="R327" s="12"/>
    </row>
    <row r="328" spans="1:18" s="51" customFormat="1" ht="13.5" hidden="1" customHeight="1" outlineLevel="1" x14ac:dyDescent="0.3">
      <c r="A328" s="290">
        <f>LEN(C328)</f>
        <v>0</v>
      </c>
      <c r="B328" s="49"/>
      <c r="C328" s="49"/>
      <c r="D328" s="140" t="s">
        <v>2197</v>
      </c>
      <c r="E328" s="67" t="str">
        <f>VLOOKUP(D328,'03. Insumos'!A:D,2,0)</f>
        <v>Execução da impermeabilização com epóxi</v>
      </c>
      <c r="F328" s="68"/>
      <c r="G328" s="68" t="str">
        <f>VLOOKUP(D328,'03. Insumos'!A:F,3,0)</f>
        <v>m²</v>
      </c>
      <c r="H328" s="69">
        <v>1</v>
      </c>
      <c r="I328" s="141">
        <f>H327</f>
        <v>0</v>
      </c>
      <c r="J328" s="70">
        <f>IFERROR(IF(K328&lt;&gt;0,K328*$K$5,0),0)</f>
        <v>55.72</v>
      </c>
      <c r="K328" s="70">
        <f>IF(A328=0,VLOOKUP(D328,'03. Insumos'!A:F,4,0),"")</f>
        <v>55.72</v>
      </c>
      <c r="L328" s="338">
        <f>H328*J328*I328</f>
        <v>0</v>
      </c>
      <c r="M328" s="153">
        <f ca="1">L328/$L$7</f>
        <v>0</v>
      </c>
      <c r="O328" s="148"/>
      <c r="R328" s="12"/>
    </row>
    <row r="329" spans="1:18" s="51" customFormat="1" ht="13.5" hidden="1" customHeight="1" outlineLevel="1" x14ac:dyDescent="0.3">
      <c r="A329" s="290">
        <f>LEN(C329)</f>
        <v>6</v>
      </c>
      <c r="B329" s="49"/>
      <c r="C329" s="55" t="s">
        <v>2206</v>
      </c>
      <c r="D329" s="55" t="s">
        <v>2204</v>
      </c>
      <c r="E329" s="67"/>
      <c r="F329" s="68"/>
      <c r="G329" s="56" t="s">
        <v>73</v>
      </c>
      <c r="H329" s="69"/>
      <c r="I329" s="141"/>
      <c r="J329" s="70"/>
      <c r="K329" s="70"/>
      <c r="L329" s="58">
        <f>SUM(L330)</f>
        <v>0</v>
      </c>
      <c r="M329" s="153">
        <f ca="1">L329/$L$7</f>
        <v>0</v>
      </c>
      <c r="O329" s="148"/>
      <c r="R329" s="12"/>
    </row>
    <row r="330" spans="1:18" s="51" customFormat="1" ht="13.5" hidden="1" customHeight="1" outlineLevel="1" x14ac:dyDescent="0.3">
      <c r="A330" s="290">
        <f>LEN(C330)</f>
        <v>0</v>
      </c>
      <c r="B330" s="49"/>
      <c r="C330" s="49"/>
      <c r="D330" s="140" t="s">
        <v>2198</v>
      </c>
      <c r="E330" s="67" t="str">
        <f>VLOOKUP(D330,'03. Insumos'!A:D,2,0)</f>
        <v>Execução da impermeabilização pelo sistema de manta líquida à base de copolímero acrílico</v>
      </c>
      <c r="F330" s="68"/>
      <c r="G330" s="68" t="str">
        <f>VLOOKUP(D330,'03. Insumos'!A:F,3,0)</f>
        <v>m²</v>
      </c>
      <c r="H330" s="69">
        <v>1</v>
      </c>
      <c r="I330" s="141">
        <f>H329</f>
        <v>0</v>
      </c>
      <c r="J330" s="70">
        <f>IFERROR(IF(K330&lt;&gt;0,K330*$K$5,0),0)</f>
        <v>48</v>
      </c>
      <c r="K330" s="70">
        <f>IF(A330=0,VLOOKUP(D330,'03. Insumos'!A:F,4,0),"")</f>
        <v>48</v>
      </c>
      <c r="L330" s="338">
        <f>H330*J330*I330</f>
        <v>0</v>
      </c>
      <c r="M330" s="153">
        <f ca="1">L330/$L$7</f>
        <v>0</v>
      </c>
      <c r="O330" s="148"/>
      <c r="R330" s="12"/>
    </row>
    <row r="331" spans="1:18" s="51" customFormat="1" ht="13.5" customHeight="1" outlineLevel="1" x14ac:dyDescent="0.3">
      <c r="A331" s="290">
        <f t="shared" si="34"/>
        <v>6</v>
      </c>
      <c r="B331" s="49"/>
      <c r="C331" s="55" t="s">
        <v>2207</v>
      </c>
      <c r="D331" s="4" t="s">
        <v>2081</v>
      </c>
      <c r="E331" s="55"/>
      <c r="F331" s="68"/>
      <c r="G331" s="56" t="s">
        <v>73</v>
      </c>
      <c r="H331" s="57">
        <v>115</v>
      </c>
      <c r="I331" s="141"/>
      <c r="J331" s="70"/>
      <c r="K331" s="70"/>
      <c r="L331" s="58">
        <f>SUM(L332:L334)</f>
        <v>4485</v>
      </c>
      <c r="M331" s="153">
        <f t="shared" ca="1" si="31"/>
        <v>1.6903949746629202E-4</v>
      </c>
      <c r="O331" s="148"/>
      <c r="R331" s="12"/>
    </row>
    <row r="332" spans="1:18" s="51" customFormat="1" ht="13.5" hidden="1" customHeight="1" outlineLevel="1" x14ac:dyDescent="0.3">
      <c r="A332" s="290">
        <f t="shared" si="34"/>
        <v>0</v>
      </c>
      <c r="B332" s="49"/>
      <c r="C332" s="55"/>
      <c r="D332" s="140" t="s">
        <v>2083</v>
      </c>
      <c r="E332" s="67" t="str">
        <f>VLOOKUP(D332,'03. Insumos'!A:D,2,0)</f>
        <v>Preparo da superfície</v>
      </c>
      <c r="F332" s="68"/>
      <c r="G332" s="68" t="str">
        <f>VLOOKUP(D332,'03. Insumos'!A:F,3,0)</f>
        <v>m²</v>
      </c>
      <c r="H332" s="69"/>
      <c r="I332" s="141">
        <f>H331</f>
        <v>115</v>
      </c>
      <c r="J332" s="70">
        <f>IFERROR(IF(K332&lt;&gt;0,K332*$K$5,0),0)</f>
        <v>13</v>
      </c>
      <c r="K332" s="70">
        <f>IF(A332=0,VLOOKUP(D332,'03. Insumos'!A:F,4,0),"")</f>
        <v>13</v>
      </c>
      <c r="L332" s="338">
        <f>H332*J332*I332</f>
        <v>0</v>
      </c>
      <c r="M332" s="153">
        <f t="shared" ca="1" si="31"/>
        <v>0</v>
      </c>
      <c r="O332" s="148"/>
      <c r="R332" s="12"/>
    </row>
    <row r="333" spans="1:18" s="51" customFormat="1" ht="13.5" hidden="1" customHeight="1" outlineLevel="1" x14ac:dyDescent="0.3">
      <c r="A333" s="290">
        <f t="shared" si="34"/>
        <v>0</v>
      </c>
      <c r="B333" s="49"/>
      <c r="C333" s="55"/>
      <c r="D333" s="140" t="s">
        <v>2582</v>
      </c>
      <c r="E333" s="67" t="str">
        <f>VLOOKUP(D333,'03. Insumos'!A:D,2,0)</f>
        <v>Sikatop100 (saco 18 Kg)</v>
      </c>
      <c r="F333" s="68" t="s">
        <v>2612</v>
      </c>
      <c r="G333" s="68" t="str">
        <f>VLOOKUP(D333,'03. Insumos'!A:F,3,0)</f>
        <v>Unid</v>
      </c>
      <c r="H333" s="69">
        <v>1</v>
      </c>
      <c r="I333" s="141"/>
      <c r="J333" s="70">
        <f>IFERROR(IF(K333&lt;&gt;0,K333*$K$5,0),0)</f>
        <v>44.9</v>
      </c>
      <c r="K333" s="70">
        <f>IF(A333=0,VLOOKUP(D333,'03. Insumos'!A:F,4,0),"")</f>
        <v>44.9</v>
      </c>
      <c r="L333" s="70">
        <f>H333*J333*I333</f>
        <v>0</v>
      </c>
      <c r="M333" s="153">
        <f ca="1">L333/$L$7</f>
        <v>0</v>
      </c>
      <c r="O333" s="148"/>
      <c r="R333" s="12"/>
    </row>
    <row r="334" spans="1:18" s="51" customFormat="1" ht="13.5" customHeight="1" outlineLevel="1" x14ac:dyDescent="0.3">
      <c r="A334" s="290">
        <f t="shared" si="34"/>
        <v>0</v>
      </c>
      <c r="B334" s="49"/>
      <c r="C334" s="55"/>
      <c r="D334" s="140" t="s">
        <v>2084</v>
      </c>
      <c r="E334" s="67" t="str">
        <f>VLOOKUP(D334,'03. Insumos'!A:D,2,0)</f>
        <v>Mat + MO - Impermeabilização com argamassa polimérica</v>
      </c>
      <c r="F334" s="68" t="s">
        <v>2612</v>
      </c>
      <c r="G334" s="68" t="str">
        <f>VLOOKUP(D334,'03. Insumos'!A:F,3,0)</f>
        <v>m²</v>
      </c>
      <c r="H334" s="69">
        <v>1</v>
      </c>
      <c r="I334" s="141">
        <f>H331</f>
        <v>115</v>
      </c>
      <c r="J334" s="70">
        <f>IFERROR(IF(K334&lt;&gt;0,K334*$K$5,0),0)</f>
        <v>39</v>
      </c>
      <c r="K334" s="70">
        <f>IF(A334=0,VLOOKUP(D334,'03. Insumos'!A:F,4,0),"")</f>
        <v>39</v>
      </c>
      <c r="L334" s="70">
        <f>H334*J334*I334</f>
        <v>4485</v>
      </c>
      <c r="M334" s="153">
        <f t="shared" ref="M334:M424" ca="1" si="51">L334/$L$7</f>
        <v>1.6903949746629202E-4</v>
      </c>
      <c r="O334" s="148"/>
      <c r="R334" s="12"/>
    </row>
    <row r="335" spans="1:18" s="18" customFormat="1" ht="13.5" customHeight="1" x14ac:dyDescent="0.3">
      <c r="A335" s="290">
        <f t="shared" ref="A335:A426" si="52">LEN(C335)</f>
        <v>3</v>
      </c>
      <c r="B335" s="35"/>
      <c r="C335" s="35" t="s">
        <v>275</v>
      </c>
      <c r="D335" s="35" t="s">
        <v>265</v>
      </c>
      <c r="E335" s="390"/>
      <c r="F335" s="323"/>
      <c r="G335" s="323"/>
      <c r="H335" s="324"/>
      <c r="I335" s="37"/>
      <c r="J335" s="333"/>
      <c r="K335" s="38"/>
      <c r="L335" s="333">
        <f>SUMIF(A336:A360,4,L336:L361)</f>
        <v>23488.3</v>
      </c>
      <c r="M335" s="153">
        <f t="shared" ca="1" si="51"/>
        <v>8.8527322816889774E-4</v>
      </c>
      <c r="O335" s="148">
        <f t="shared" ref="O335:O340" si="53">IF(I335&lt;&gt;0,I335*H335*K335,)</f>
        <v>0</v>
      </c>
      <c r="R335" s="12">
        <f t="shared" ref="R335:R340" si="54">IF(J335&lt;&gt;0,J335/1.03-K335,0)</f>
        <v>0</v>
      </c>
    </row>
    <row r="336" spans="1:18" s="18" customFormat="1" ht="5.25" customHeight="1" outlineLevel="1" x14ac:dyDescent="0.3">
      <c r="A336" s="290">
        <f t="shared" si="52"/>
        <v>0</v>
      </c>
      <c r="B336" s="63"/>
      <c r="C336" s="63"/>
      <c r="D336" s="63"/>
      <c r="E336" s="391"/>
      <c r="F336" s="325"/>
      <c r="G336" s="325"/>
      <c r="H336" s="326"/>
      <c r="I336" s="65"/>
      <c r="J336" s="334">
        <f>IFERROR(IF(K336&lt;&gt;0,K336*$K$5,0),0)</f>
        <v>0</v>
      </c>
      <c r="K336" s="66" t="e">
        <f>IF(A336=0,VLOOKUP(D336,'03. Insumos'!A:F,4,0),"")</f>
        <v>#N/A</v>
      </c>
      <c r="L336" s="334"/>
      <c r="M336" s="153">
        <f t="shared" ca="1" si="51"/>
        <v>0</v>
      </c>
      <c r="O336" s="148">
        <f t="shared" si="53"/>
        <v>0</v>
      </c>
      <c r="R336" s="12">
        <f t="shared" si="54"/>
        <v>0</v>
      </c>
    </row>
    <row r="337" spans="1:18" s="18" customFormat="1" ht="13.5" customHeight="1" outlineLevel="1" x14ac:dyDescent="0.3">
      <c r="A337" s="290">
        <f t="shared" si="52"/>
        <v>4</v>
      </c>
      <c r="B337" s="45"/>
      <c r="C337" s="45" t="s">
        <v>364</v>
      </c>
      <c r="D337" s="45" t="s">
        <v>265</v>
      </c>
      <c r="E337" s="347"/>
      <c r="F337" s="327"/>
      <c r="G337" s="327"/>
      <c r="H337" s="328"/>
      <c r="I337" s="61"/>
      <c r="J337" s="335"/>
      <c r="K337" s="62" t="str">
        <f>IF(A337=0,VLOOKUP(D337,'03. Insumos'!A:F,4,0),"")</f>
        <v/>
      </c>
      <c r="L337" s="335">
        <f>SUMIF(A338:A361,6,L338:L361)</f>
        <v>23488.3</v>
      </c>
      <c r="M337" s="153">
        <f t="shared" ca="1" si="51"/>
        <v>8.8527322816889774E-4</v>
      </c>
      <c r="O337" s="148">
        <f t="shared" si="53"/>
        <v>0</v>
      </c>
      <c r="R337" s="12">
        <f t="shared" si="54"/>
        <v>0</v>
      </c>
    </row>
    <row r="338" spans="1:18" s="59" customFormat="1" ht="13.5" customHeight="1" outlineLevel="1" x14ac:dyDescent="0.3">
      <c r="A338" s="290">
        <f t="shared" si="52"/>
        <v>6</v>
      </c>
      <c r="B338" s="55"/>
      <c r="C338" s="55" t="s">
        <v>278</v>
      </c>
      <c r="D338" s="4" t="s">
        <v>92</v>
      </c>
      <c r="E338" s="55"/>
      <c r="F338" s="56"/>
      <c r="G338" s="56" t="s">
        <v>73</v>
      </c>
      <c r="H338" s="57">
        <v>291.91000000000003</v>
      </c>
      <c r="I338" s="57"/>
      <c r="J338" s="58"/>
      <c r="K338" s="58" t="str">
        <f>IF(A338=0,VLOOKUP(D338,'03. Insumos'!A:F,4,0),"")</f>
        <v/>
      </c>
      <c r="L338" s="58">
        <f>SUM(L339:L342)</f>
        <v>13391.3</v>
      </c>
      <c r="M338" s="153">
        <f t="shared" ca="1" si="51"/>
        <v>5.0471764156529678E-4</v>
      </c>
      <c r="O338" s="148">
        <f t="shared" si="53"/>
        <v>0</v>
      </c>
      <c r="R338" s="12">
        <f t="shared" si="54"/>
        <v>0</v>
      </c>
    </row>
    <row r="339" spans="1:18" s="51" customFormat="1" ht="13.5" hidden="1" customHeight="1" outlineLevel="1" x14ac:dyDescent="0.3">
      <c r="A339" s="290">
        <f t="shared" si="52"/>
        <v>0</v>
      </c>
      <c r="B339" s="49"/>
      <c r="C339" s="49"/>
      <c r="D339" s="140" t="s">
        <v>746</v>
      </c>
      <c r="E339" s="67" t="str">
        <f>VLOOKUP(D339,'03. Insumos'!A:D,2,0)</f>
        <v>Mão de obra - Execução de Contrapiso</v>
      </c>
      <c r="F339" s="68"/>
      <c r="G339" s="68" t="str">
        <f>VLOOKUP(D339,'03. Insumos'!A:F,3,0)</f>
        <v>m²</v>
      </c>
      <c r="H339" s="69">
        <v>1</v>
      </c>
      <c r="I339" s="141"/>
      <c r="J339" s="70">
        <f>IFERROR(IF(K339&lt;&gt;0,K339*$K$5,0),0)</f>
        <v>20</v>
      </c>
      <c r="K339" s="54">
        <f>IF(A339=0,VLOOKUP(D339,'03. Insumos'!A:F,4,0),"")</f>
        <v>20</v>
      </c>
      <c r="L339" s="338">
        <f>H339*J339*I339</f>
        <v>0</v>
      </c>
      <c r="M339" s="153">
        <f t="shared" ca="1" si="51"/>
        <v>0</v>
      </c>
      <c r="O339" s="148">
        <f t="shared" si="53"/>
        <v>0</v>
      </c>
      <c r="R339" s="12">
        <f t="shared" si="54"/>
        <v>-0.58252427184466171</v>
      </c>
    </row>
    <row r="340" spans="1:18" s="51" customFormat="1" ht="13.5" customHeight="1" outlineLevel="1" x14ac:dyDescent="0.3">
      <c r="A340" s="290">
        <f t="shared" si="52"/>
        <v>0</v>
      </c>
      <c r="B340" s="49"/>
      <c r="C340" s="49"/>
      <c r="D340" s="140" t="s">
        <v>2272</v>
      </c>
      <c r="E340" s="67" t="str">
        <f>VLOOKUP(D340,'03. Insumos'!A:D,2,0)</f>
        <v>Argamassa multiuso 50kg (grandes Qtde, acima de 240)</v>
      </c>
      <c r="F340" s="68" t="s">
        <v>2612</v>
      </c>
      <c r="G340" s="68" t="str">
        <f>VLOOKUP(D340,'03. Insumos'!A:F,3,0)</f>
        <v>sc</v>
      </c>
      <c r="H340" s="69">
        <v>1</v>
      </c>
      <c r="I340" s="141">
        <f>ROUND((H338/(2.7/4)),0)</f>
        <v>432</v>
      </c>
      <c r="J340" s="70">
        <f>IFERROR(IF(K340&lt;&gt;0,K340*$K$5,0),0)</f>
        <v>23</v>
      </c>
      <c r="K340" s="70">
        <f>IF(A340=0,VLOOKUP(D340,'03. Insumos'!A:F,4,0),"")</f>
        <v>23</v>
      </c>
      <c r="L340" s="70">
        <f>H340*J340*I340</f>
        <v>9936</v>
      </c>
      <c r="M340" s="153">
        <f t="shared" ca="1" si="51"/>
        <v>3.7448750207916997E-4</v>
      </c>
      <c r="O340" s="148">
        <f t="shared" si="53"/>
        <v>9936</v>
      </c>
      <c r="R340" s="12">
        <f t="shared" si="54"/>
        <v>-0.66990291262136026</v>
      </c>
    </row>
    <row r="341" spans="1:18" s="51" customFormat="1" ht="13.5" customHeight="1" outlineLevel="1" x14ac:dyDescent="0.3">
      <c r="A341" s="290">
        <f t="shared" si="52"/>
        <v>0</v>
      </c>
      <c r="B341" s="49"/>
      <c r="C341" s="49"/>
      <c r="D341" s="140" t="s">
        <v>747</v>
      </c>
      <c r="E341" s="67" t="str">
        <f>VLOOKUP(D341,'03. Insumos'!A:D,2,0)</f>
        <v>Cimento (saco 50 Kg)</v>
      </c>
      <c r="F341" s="68" t="s">
        <v>2612</v>
      </c>
      <c r="G341" s="68" t="str">
        <f>VLOOKUP(D341,'03. Insumos'!A:F,3,0)</f>
        <v>unid</v>
      </c>
      <c r="H341" s="69">
        <v>1</v>
      </c>
      <c r="I341" s="141">
        <f>ROUND((I340/12),0)+ROUND((H338/25),0)</f>
        <v>48</v>
      </c>
      <c r="J341" s="70">
        <f>IFERROR(IF(K341&lt;&gt;0,K341*$K$5,0),0)</f>
        <v>37</v>
      </c>
      <c r="K341" s="70">
        <f>IF(A341=0,VLOOKUP(D341,'03. Insumos'!A:F,4,0),"")</f>
        <v>37</v>
      </c>
      <c r="L341" s="70">
        <f>H341*J341*I341</f>
        <v>1776</v>
      </c>
      <c r="M341" s="153">
        <f t="shared" ca="1" si="51"/>
        <v>6.6937379598692214E-5</v>
      </c>
      <c r="O341" s="148"/>
      <c r="R341" s="12"/>
    </row>
    <row r="342" spans="1:18" s="51" customFormat="1" ht="13.5" customHeight="1" outlineLevel="1" x14ac:dyDescent="0.3">
      <c r="A342" s="290">
        <f t="shared" si="52"/>
        <v>0</v>
      </c>
      <c r="B342" s="49"/>
      <c r="C342" s="49"/>
      <c r="D342" s="140" t="s">
        <v>1915</v>
      </c>
      <c r="E342" s="67" t="str">
        <f>VLOOKUP(D342,'03. Insumos'!A:D,2,0)</f>
        <v>Bianco Vedacit</v>
      </c>
      <c r="F342" s="68" t="s">
        <v>2612</v>
      </c>
      <c r="G342" s="68" t="str">
        <f>VLOOKUP(D342,'03. Insumos'!A:F,3,0)</f>
        <v>Balde 18 L</v>
      </c>
      <c r="H342" s="69">
        <v>1</v>
      </c>
      <c r="I342" s="141">
        <f>ROUNDUP(((H338*0.4)/18),0)</f>
        <v>7</v>
      </c>
      <c r="J342" s="70">
        <f>IFERROR(IF(K342&lt;&gt;0,K342*$K$5,0),0)</f>
        <v>239.9</v>
      </c>
      <c r="K342" s="70">
        <f>IF(A342=0,VLOOKUP(D342,'03. Insumos'!A:F,4,0),"")</f>
        <v>239.9</v>
      </c>
      <c r="L342" s="70">
        <f>H342*J342*I342</f>
        <v>1679.3</v>
      </c>
      <c r="M342" s="153">
        <f t="shared" ca="1" si="51"/>
        <v>6.3292759887434595E-5</v>
      </c>
      <c r="O342" s="148"/>
      <c r="R342" s="12"/>
    </row>
    <row r="343" spans="1:18" s="59" customFormat="1" ht="13.5" customHeight="1" outlineLevel="1" x14ac:dyDescent="0.3">
      <c r="A343" s="290">
        <f t="shared" si="52"/>
        <v>6</v>
      </c>
      <c r="B343" s="55"/>
      <c r="C343" s="55" t="s">
        <v>1897</v>
      </c>
      <c r="D343" s="4" t="s">
        <v>1399</v>
      </c>
      <c r="E343" s="55"/>
      <c r="F343" s="56"/>
      <c r="G343" s="56" t="s">
        <v>73</v>
      </c>
      <c r="H343" s="57">
        <f>(H261*2)+((923.12-(H261*2))*0.5)</f>
        <v>592.34999999999991</v>
      </c>
      <c r="I343" s="57"/>
      <c r="J343" s="58"/>
      <c r="K343" s="58" t="str">
        <f>IF(A343=0,VLOOKUP(D343,'03. Insumos'!A:F,4,0),"")</f>
        <v/>
      </c>
      <c r="L343" s="58">
        <f>SUM(L344:L345)</f>
        <v>10097</v>
      </c>
      <c r="M343" s="153">
        <f t="shared" ca="1" si="51"/>
        <v>3.8055558660360096E-4</v>
      </c>
      <c r="O343" s="148">
        <f>IF(I343&lt;&gt;0,I343*H343*K343,)</f>
        <v>0</v>
      </c>
      <c r="R343" s="12">
        <f>IF(J343&lt;&gt;0,J343/1.03-K343,0)</f>
        <v>0</v>
      </c>
    </row>
    <row r="344" spans="1:18" s="51" customFormat="1" ht="13.5" hidden="1" customHeight="1" outlineLevel="1" x14ac:dyDescent="0.3">
      <c r="A344" s="290">
        <f t="shared" si="52"/>
        <v>0</v>
      </c>
      <c r="B344" s="49"/>
      <c r="C344" s="49"/>
      <c r="D344" s="140" t="s">
        <v>742</v>
      </c>
      <c r="E344" s="67" t="str">
        <f>VLOOKUP(D344,'03. Insumos'!A:D,2,0)</f>
        <v>Mão de obra - Execução de emboço interno</v>
      </c>
      <c r="F344" s="68"/>
      <c r="G344" s="68" t="str">
        <f>VLOOKUP(D344,'03. Insumos'!A:F,3,0)</f>
        <v>m²</v>
      </c>
      <c r="H344" s="69">
        <v>1</v>
      </c>
      <c r="I344" s="141"/>
      <c r="J344" s="70">
        <f>IFERROR(IF(K344&lt;&gt;0,K344*$K$5,0),0)</f>
        <v>25</v>
      </c>
      <c r="K344" s="70">
        <f>IF(A344=0,VLOOKUP(D344,'03. Insumos'!A:F,4,0),"")</f>
        <v>25</v>
      </c>
      <c r="L344" s="338">
        <f>H344*J344*I344</f>
        <v>0</v>
      </c>
      <c r="M344" s="153">
        <f t="shared" ca="1" si="51"/>
        <v>0</v>
      </c>
      <c r="O344" s="148">
        <f>IF(I344&lt;&gt;0,I344*H344*K344,)</f>
        <v>0</v>
      </c>
      <c r="R344" s="12">
        <f>IF(J344&lt;&gt;0,J344/1.03-K344,0)</f>
        <v>-0.72815533980582714</v>
      </c>
    </row>
    <row r="345" spans="1:18" s="51" customFormat="1" ht="13.5" customHeight="1" outlineLevel="1" x14ac:dyDescent="0.3">
      <c r="A345" s="290">
        <f t="shared" si="52"/>
        <v>0</v>
      </c>
      <c r="B345" s="49"/>
      <c r="C345" s="49"/>
      <c r="D345" s="140" t="s">
        <v>2272</v>
      </c>
      <c r="E345" s="67" t="str">
        <f>VLOOKUP(D345,'03. Insumos'!A:D,2,0)</f>
        <v>Argamassa multiuso 50kg (grandes Qtde, acima de 240)</v>
      </c>
      <c r="F345" s="68" t="s">
        <v>2612</v>
      </c>
      <c r="G345" s="68" t="str">
        <f>VLOOKUP(D345,'03. Insumos'!A:F,3,0)</f>
        <v>sc</v>
      </c>
      <c r="H345" s="69">
        <v>1</v>
      </c>
      <c r="I345" s="141">
        <f>ROUND(((H343/(2.7/2))),0)</f>
        <v>439</v>
      </c>
      <c r="J345" s="70">
        <f>IFERROR(IF(K345&lt;&gt;0,K345*$K$5,0),0)</f>
        <v>23</v>
      </c>
      <c r="K345" s="70">
        <f>IF(A345=0,VLOOKUP(D345,'03. Insumos'!A:F,4,0),"")</f>
        <v>23</v>
      </c>
      <c r="L345" s="70">
        <f>H345*J345*I345</f>
        <v>10097</v>
      </c>
      <c r="M345" s="153">
        <f t="shared" ca="1" si="51"/>
        <v>3.8055558660360096E-4</v>
      </c>
      <c r="O345" s="148">
        <f>IF(I345&lt;&gt;0,I345*H345*K345,)</f>
        <v>10097</v>
      </c>
      <c r="R345" s="12">
        <f>IF(J345&lt;&gt;0,J345/1.03-K345,0)</f>
        <v>-0.66990291262136026</v>
      </c>
    </row>
    <row r="346" spans="1:18" s="59" customFormat="1" ht="13.5" hidden="1" customHeight="1" outlineLevel="1" x14ac:dyDescent="0.3">
      <c r="A346" s="290">
        <f t="shared" si="52"/>
        <v>6</v>
      </c>
      <c r="B346" s="55"/>
      <c r="C346" s="55" t="s">
        <v>1421</v>
      </c>
      <c r="D346" s="55" t="s">
        <v>1400</v>
      </c>
      <c r="E346" s="55"/>
      <c r="F346" s="56"/>
      <c r="G346" s="56" t="s">
        <v>73</v>
      </c>
      <c r="H346" s="57"/>
      <c r="I346" s="57"/>
      <c r="J346" s="58"/>
      <c r="K346" s="58" t="str">
        <f>IF(A346=0,VLOOKUP(D346,'03. Insumos'!A:F,4,0),"")</f>
        <v/>
      </c>
      <c r="L346" s="58">
        <f>SUM(L347:L348)</f>
        <v>0</v>
      </c>
      <c r="M346" s="153">
        <f t="shared" ca="1" si="51"/>
        <v>0</v>
      </c>
      <c r="O346" s="148">
        <f>IF(I346&lt;&gt;0,I346*H346*K346,)</f>
        <v>0</v>
      </c>
      <c r="R346" s="12">
        <f>IF(J346&lt;&gt;0,J346/1.03-K346,0)</f>
        <v>0</v>
      </c>
    </row>
    <row r="347" spans="1:18" s="51" customFormat="1" ht="13.5" hidden="1" customHeight="1" outlineLevel="1" x14ac:dyDescent="0.3">
      <c r="A347" s="290">
        <f t="shared" si="52"/>
        <v>0</v>
      </c>
      <c r="B347" s="49"/>
      <c r="C347" s="49"/>
      <c r="D347" s="140" t="s">
        <v>743</v>
      </c>
      <c r="E347" s="67" t="str">
        <f>VLOOKUP(D347,'03. Insumos'!A:D,2,0)</f>
        <v>Mão de obra - Execução de emboço externo</v>
      </c>
      <c r="F347" s="68"/>
      <c r="G347" s="68" t="str">
        <f>VLOOKUP(D347,'03. Insumos'!A:F,3,0)</f>
        <v>m²</v>
      </c>
      <c r="H347" s="69">
        <v>1</v>
      </c>
      <c r="I347" s="141"/>
      <c r="J347" s="70">
        <f>IFERROR(IF(K347&lt;&gt;0,K347*$K$5,0),0)</f>
        <v>30</v>
      </c>
      <c r="K347" s="54">
        <f>IF(A347=0,VLOOKUP(D347,'03. Insumos'!A:F,4,0),"")</f>
        <v>30</v>
      </c>
      <c r="L347" s="338">
        <f>H347*J347*I347</f>
        <v>0</v>
      </c>
      <c r="M347" s="153">
        <f t="shared" ca="1" si="51"/>
        <v>0</v>
      </c>
      <c r="O347" s="148">
        <f>IF(I347&lt;&gt;0,I347*H347*K347,)</f>
        <v>0</v>
      </c>
      <c r="R347" s="12">
        <f>IF(J347&lt;&gt;0,J347/1.03-K347,0)</f>
        <v>-0.87378640776699257</v>
      </c>
    </row>
    <row r="348" spans="1:18" s="51" customFormat="1" ht="13.5" hidden="1" customHeight="1" outlineLevel="1" x14ac:dyDescent="0.3">
      <c r="A348" s="290">
        <f t="shared" si="52"/>
        <v>0</v>
      </c>
      <c r="B348" s="49"/>
      <c r="C348" s="49"/>
      <c r="D348" s="140" t="s">
        <v>191</v>
      </c>
      <c r="E348" s="67" t="str">
        <f>VLOOKUP(D348,'03. Insumos'!A:D,2,0)</f>
        <v>Argamassa multiuso 50kg (pequenas Qtde)</v>
      </c>
      <c r="F348" s="68"/>
      <c r="G348" s="68" t="str">
        <f>VLOOKUP(D348,'03. Insumos'!A:F,3,0)</f>
        <v>uni</v>
      </c>
      <c r="H348" s="69">
        <v>1</v>
      </c>
      <c r="I348" s="141"/>
      <c r="J348" s="70">
        <f>IFERROR(IF(K348&lt;&gt;0,K348*$K$5,0),0)</f>
        <v>21.5</v>
      </c>
      <c r="K348" s="54">
        <f>IF(A348=0,VLOOKUP(D348,'03. Insumos'!A:F,4,0),"")</f>
        <v>21.5</v>
      </c>
      <c r="L348" s="338">
        <f>H348*J348*I348</f>
        <v>0</v>
      </c>
      <c r="M348" s="153">
        <f t="shared" ca="1" si="51"/>
        <v>0</v>
      </c>
      <c r="O348" s="148"/>
      <c r="R348" s="12"/>
    </row>
    <row r="349" spans="1:18" s="51" customFormat="1" ht="13.5" hidden="1" customHeight="1" outlineLevel="1" x14ac:dyDescent="0.3">
      <c r="A349" s="290">
        <f t="shared" si="52"/>
        <v>6</v>
      </c>
      <c r="B349" s="49"/>
      <c r="C349" s="55" t="s">
        <v>1422</v>
      </c>
      <c r="D349" s="55" t="s">
        <v>1401</v>
      </c>
      <c r="E349" s="55"/>
      <c r="F349" s="56"/>
      <c r="G349" s="68"/>
      <c r="H349" s="57"/>
      <c r="I349" s="141"/>
      <c r="J349" s="70"/>
      <c r="K349" s="54"/>
      <c r="L349" s="58">
        <f>SUM(L350:L351)</f>
        <v>0</v>
      </c>
      <c r="M349" s="153">
        <f t="shared" ca="1" si="51"/>
        <v>0</v>
      </c>
      <c r="O349" s="148"/>
      <c r="R349" s="12"/>
    </row>
    <row r="350" spans="1:18" s="51" customFormat="1" ht="13.5" hidden="1" customHeight="1" outlineLevel="1" x14ac:dyDescent="0.3">
      <c r="A350" s="290">
        <f t="shared" si="52"/>
        <v>0</v>
      </c>
      <c r="B350" s="49"/>
      <c r="C350" s="49"/>
      <c r="D350" s="140" t="s">
        <v>744</v>
      </c>
      <c r="E350" s="67" t="str">
        <f>VLOOKUP(D350,'03. Insumos'!A:D,2,0)</f>
        <v>Mão de obra - Execução de emboço externo paulista</v>
      </c>
      <c r="F350" s="68"/>
      <c r="G350" s="68" t="str">
        <f>VLOOKUP(D350,'03. Insumos'!A:F,3,0)</f>
        <v>m²</v>
      </c>
      <c r="H350" s="69">
        <v>1</v>
      </c>
      <c r="I350" s="141">
        <f>H349</f>
        <v>0</v>
      </c>
      <c r="J350" s="70">
        <f>IFERROR(IF(K350&lt;&gt;0,K350*$K$5,0),0)</f>
        <v>35</v>
      </c>
      <c r="K350" s="54">
        <f>IF(A350=0,VLOOKUP(D350,'03. Insumos'!A:F,4,0),"")</f>
        <v>35</v>
      </c>
      <c r="L350" s="338">
        <f>H350*J350*I350</f>
        <v>0</v>
      </c>
      <c r="M350" s="153">
        <f t="shared" ca="1" si="51"/>
        <v>0</v>
      </c>
      <c r="O350" s="148"/>
      <c r="R350" s="12"/>
    </row>
    <row r="351" spans="1:18" s="51" customFormat="1" ht="13.5" hidden="1" customHeight="1" outlineLevel="1" x14ac:dyDescent="0.3">
      <c r="A351" s="290">
        <f t="shared" si="52"/>
        <v>0</v>
      </c>
      <c r="B351" s="49"/>
      <c r="C351" s="49"/>
      <c r="D351" s="140" t="s">
        <v>191</v>
      </c>
      <c r="E351" s="67" t="str">
        <f>VLOOKUP(D351,'03. Insumos'!A:D,2,0)</f>
        <v>Argamassa multiuso 50kg (pequenas Qtde)</v>
      </c>
      <c r="F351" s="68"/>
      <c r="G351" s="68" t="str">
        <f>VLOOKUP(D351,'03. Insumos'!A:F,3,0)</f>
        <v>uni</v>
      </c>
      <c r="H351" s="69">
        <v>1</v>
      </c>
      <c r="I351" s="141">
        <f>ROUND(H349/1.35,0)</f>
        <v>0</v>
      </c>
      <c r="J351" s="70">
        <f>IFERROR(IF(K351&lt;&gt;0,K351*$K$5,0),0)</f>
        <v>21.5</v>
      </c>
      <c r="K351" s="54">
        <f>IF(A351=0,VLOOKUP(D351,'03. Insumos'!A:F,4,0),"")</f>
        <v>21.5</v>
      </c>
      <c r="L351" s="338">
        <f>H351*J351*I351</f>
        <v>0</v>
      </c>
      <c r="M351" s="153">
        <f t="shared" ca="1" si="51"/>
        <v>0</v>
      </c>
      <c r="O351" s="148"/>
      <c r="R351" s="12"/>
    </row>
    <row r="352" spans="1:18" s="51" customFormat="1" ht="13.5" hidden="1" customHeight="1" outlineLevel="1" x14ac:dyDescent="0.3">
      <c r="A352" s="290">
        <f t="shared" si="52"/>
        <v>6</v>
      </c>
      <c r="B352" s="49"/>
      <c r="C352" s="55" t="s">
        <v>1423</v>
      </c>
      <c r="D352" s="55" t="s">
        <v>1402</v>
      </c>
      <c r="E352" s="55"/>
      <c r="F352" s="56"/>
      <c r="G352" s="68"/>
      <c r="H352" s="57"/>
      <c r="I352" s="141"/>
      <c r="J352" s="70"/>
      <c r="K352" s="54"/>
      <c r="L352" s="58">
        <f>SUM(L353:L354)</f>
        <v>0</v>
      </c>
      <c r="M352" s="153">
        <f t="shared" ca="1" si="51"/>
        <v>0</v>
      </c>
      <c r="O352" s="148"/>
      <c r="R352" s="12"/>
    </row>
    <row r="353" spans="1:18" s="51" customFormat="1" ht="13.5" hidden="1" customHeight="1" outlineLevel="1" x14ac:dyDescent="0.3">
      <c r="A353" s="290">
        <f t="shared" si="52"/>
        <v>0</v>
      </c>
      <c r="B353" s="49"/>
      <c r="C353" s="49"/>
      <c r="D353" s="140" t="s">
        <v>745</v>
      </c>
      <c r="E353" s="67" t="str">
        <f>VLOOKUP(D353,'03. Insumos'!A:D,2,0)</f>
        <v>Mão de obra - Execução de emboço externo sarrafeado</v>
      </c>
      <c r="F353" s="68"/>
      <c r="G353" s="68" t="str">
        <f>VLOOKUP(D353,'03. Insumos'!A:F,3,0)</f>
        <v>m²</v>
      </c>
      <c r="H353" s="69">
        <v>1</v>
      </c>
      <c r="I353" s="141">
        <f>H352</f>
        <v>0</v>
      </c>
      <c r="J353" s="70">
        <f>IFERROR(IF(K353&lt;&gt;0,K353*$K$5,0),0)</f>
        <v>30</v>
      </c>
      <c r="K353" s="54">
        <f>IF(A353=0,VLOOKUP(D353,'03. Insumos'!A:F,4,0),"")</f>
        <v>30</v>
      </c>
      <c r="L353" s="338">
        <f>H353*J353*I353</f>
        <v>0</v>
      </c>
      <c r="M353" s="153">
        <f t="shared" ca="1" si="51"/>
        <v>0</v>
      </c>
      <c r="O353" s="148"/>
      <c r="R353" s="12"/>
    </row>
    <row r="354" spans="1:18" s="51" customFormat="1" ht="13.5" hidden="1" customHeight="1" outlineLevel="1" x14ac:dyDescent="0.3">
      <c r="A354" s="290">
        <f t="shared" si="52"/>
        <v>0</v>
      </c>
      <c r="B354" s="49"/>
      <c r="C354" s="49"/>
      <c r="D354" s="140" t="s">
        <v>191</v>
      </c>
      <c r="E354" s="67" t="str">
        <f>VLOOKUP(D354,'03. Insumos'!A:D,2,0)</f>
        <v>Argamassa multiuso 50kg (pequenas Qtde)</v>
      </c>
      <c r="F354" s="68"/>
      <c r="G354" s="68" t="str">
        <f>VLOOKUP(D354,'03. Insumos'!A:F,3,0)</f>
        <v>uni</v>
      </c>
      <c r="H354" s="69">
        <v>1</v>
      </c>
      <c r="I354" s="141">
        <f>ROUND(H352/1.35,0)</f>
        <v>0</v>
      </c>
      <c r="J354" s="70">
        <f>IFERROR(IF(K354&lt;&gt;0,K354*$K$5,0),0)</f>
        <v>21.5</v>
      </c>
      <c r="K354" s="54">
        <f>IF(A354=0,VLOOKUP(D354,'03. Insumos'!A:F,4,0),"")</f>
        <v>21.5</v>
      </c>
      <c r="L354" s="338">
        <f>H354*J354*I354</f>
        <v>0</v>
      </c>
      <c r="M354" s="153">
        <f t="shared" ca="1" si="51"/>
        <v>0</v>
      </c>
      <c r="O354" s="148">
        <f>IF(I354&lt;&gt;0,I354*H354*K354,)</f>
        <v>0</v>
      </c>
      <c r="R354" s="12">
        <f>IF(J354&lt;&gt;0,J354/1.03-K354,0)</f>
        <v>-0.62621359223301098</v>
      </c>
    </row>
    <row r="355" spans="1:18" s="51" customFormat="1" ht="13.5" hidden="1" customHeight="1" outlineLevel="1" x14ac:dyDescent="0.3">
      <c r="A355" s="290">
        <f t="shared" si="52"/>
        <v>6</v>
      </c>
      <c r="B355" s="49"/>
      <c r="C355" s="55" t="s">
        <v>300</v>
      </c>
      <c r="D355" s="55" t="s">
        <v>1898</v>
      </c>
      <c r="E355" s="67"/>
      <c r="F355" s="68"/>
      <c r="G355" s="56" t="s">
        <v>72</v>
      </c>
      <c r="H355" s="57"/>
      <c r="I355" s="141"/>
      <c r="J355" s="70"/>
      <c r="K355" s="54"/>
      <c r="L355" s="58">
        <f>SUM(L356:L358)</f>
        <v>0</v>
      </c>
      <c r="M355" s="153">
        <f t="shared" ca="1" si="51"/>
        <v>0</v>
      </c>
      <c r="O355" s="148"/>
      <c r="R355" s="12"/>
    </row>
    <row r="356" spans="1:18" s="51" customFormat="1" ht="13.5" hidden="1" customHeight="1" outlineLevel="1" x14ac:dyDescent="0.3">
      <c r="A356" s="290">
        <f t="shared" si="52"/>
        <v>0</v>
      </c>
      <c r="B356" s="49"/>
      <c r="C356" s="49"/>
      <c r="D356" s="140" t="s">
        <v>1591</v>
      </c>
      <c r="E356" s="67" t="str">
        <f>VLOOKUP(D356,'03. Insumos'!A:D,2,0)</f>
        <v>Areia (granel)</v>
      </c>
      <c r="F356" s="68"/>
      <c r="G356" s="68" t="str">
        <f>VLOOKUP(D356,'03. Insumos'!A:F,3,0)</f>
        <v>m³</v>
      </c>
      <c r="H356" s="69">
        <v>1</v>
      </c>
      <c r="I356" s="141">
        <f>ROUND((H355*0.822),0)</f>
        <v>0</v>
      </c>
      <c r="J356" s="70">
        <f>IFERROR(IF(K356&lt;&gt;0,K356*$K$5,0),0)</f>
        <v>65</v>
      </c>
      <c r="K356" s="54">
        <f>IF(A356=0,VLOOKUP(D356,'03. Insumos'!A:F,4,0),"")</f>
        <v>65</v>
      </c>
      <c r="L356" s="338">
        <f>H356*J356*I356</f>
        <v>0</v>
      </c>
      <c r="M356" s="153">
        <f t="shared" ca="1" si="51"/>
        <v>0</v>
      </c>
      <c r="O356" s="148"/>
      <c r="R356" s="12"/>
    </row>
    <row r="357" spans="1:18" s="51" customFormat="1" ht="13.5" hidden="1" customHeight="1" outlineLevel="1" x14ac:dyDescent="0.3">
      <c r="A357" s="290">
        <f t="shared" si="52"/>
        <v>0</v>
      </c>
      <c r="B357" s="49"/>
      <c r="C357" s="49"/>
      <c r="D357" s="140" t="s">
        <v>747</v>
      </c>
      <c r="E357" s="67" t="str">
        <f>VLOOKUP(D357,'03. Insumos'!A:D,2,0)</f>
        <v>Cimento (saco 50 Kg)</v>
      </c>
      <c r="F357" s="68"/>
      <c r="G357" s="68" t="str">
        <f>VLOOKUP(D357,'03. Insumos'!A:F,3,0)</f>
        <v>unid</v>
      </c>
      <c r="H357" s="69">
        <v>1</v>
      </c>
      <c r="I357" s="141">
        <f>ROUND((H355*6.9),0)</f>
        <v>0</v>
      </c>
      <c r="J357" s="70">
        <f>IFERROR(IF(K357&lt;&gt;0,K357*$K$5,0),0)</f>
        <v>37</v>
      </c>
      <c r="K357" s="54">
        <f>IF(A357=0,VLOOKUP(D357,'03. Insumos'!A:F,4,0),"")</f>
        <v>37</v>
      </c>
      <c r="L357" s="338">
        <f>H357*J357*I357</f>
        <v>0</v>
      </c>
      <c r="M357" s="153">
        <f t="shared" ca="1" si="51"/>
        <v>0</v>
      </c>
      <c r="O357" s="148"/>
      <c r="R357" s="12"/>
    </row>
    <row r="358" spans="1:18" s="51" customFormat="1" ht="13.5" hidden="1" customHeight="1" outlineLevel="1" x14ac:dyDescent="0.3">
      <c r="A358" s="290">
        <f t="shared" si="52"/>
        <v>0</v>
      </c>
      <c r="B358" s="49"/>
      <c r="C358" s="49"/>
      <c r="D358" s="140" t="s">
        <v>1901</v>
      </c>
      <c r="E358" s="67" t="str">
        <f>VLOOKUP(D358,'03. Insumos'!A:D,2,0)</f>
        <v>Brita ensacada (saco de 20 Kg)</v>
      </c>
      <c r="F358" s="68"/>
      <c r="G358" s="68" t="str">
        <f>VLOOKUP(D358,'03. Insumos'!A:F,3,0)</f>
        <v>m³</v>
      </c>
      <c r="H358" s="69">
        <v>1</v>
      </c>
      <c r="I358" s="141">
        <f>ROUND((H355*0.764),0)</f>
        <v>0</v>
      </c>
      <c r="J358" s="70">
        <f>IFERROR(IF(K358&lt;&gt;0,K358*$K$5,0),0)</f>
        <v>342</v>
      </c>
      <c r="K358" s="54">
        <f>IF(A358=0,VLOOKUP(D358,'03. Insumos'!A:F,4,0),"")</f>
        <v>342</v>
      </c>
      <c r="L358" s="338">
        <f>H358*J358*I358</f>
        <v>0</v>
      </c>
      <c r="M358" s="153">
        <f t="shared" ca="1" si="51"/>
        <v>0</v>
      </c>
      <c r="O358" s="148"/>
      <c r="R358" s="12"/>
    </row>
    <row r="359" spans="1:18" s="51" customFormat="1" ht="13.5" hidden="1" customHeight="1" outlineLevel="1" x14ac:dyDescent="0.3">
      <c r="A359" s="290">
        <f t="shared" si="52"/>
        <v>6</v>
      </c>
      <c r="B359" s="49"/>
      <c r="C359" s="55" t="s">
        <v>1424</v>
      </c>
      <c r="D359" s="55" t="s">
        <v>1425</v>
      </c>
      <c r="E359" s="67"/>
      <c r="F359" s="68"/>
      <c r="G359" s="56" t="s">
        <v>73</v>
      </c>
      <c r="H359" s="57"/>
      <c r="I359" s="141"/>
      <c r="J359" s="70"/>
      <c r="K359" s="54"/>
      <c r="L359" s="58">
        <f>SUM(L360:L361)</f>
        <v>0</v>
      </c>
      <c r="M359" s="153">
        <f t="shared" ca="1" si="51"/>
        <v>0</v>
      </c>
      <c r="O359" s="148"/>
      <c r="R359" s="12"/>
    </row>
    <row r="360" spans="1:18" s="51" customFormat="1" ht="13.5" hidden="1" customHeight="1" outlineLevel="1" x14ac:dyDescent="0.3">
      <c r="A360" s="290">
        <f t="shared" si="52"/>
        <v>0</v>
      </c>
      <c r="B360" s="49"/>
      <c r="C360" s="49"/>
      <c r="D360" s="140" t="s">
        <v>752</v>
      </c>
      <c r="E360" s="67" t="str">
        <f>VLOOKUP(D360,'03. Insumos'!A:D,2,0)</f>
        <v>Moldura em volta do vão das esquadrias</v>
      </c>
      <c r="F360" s="68"/>
      <c r="G360" s="68" t="str">
        <f>VLOOKUP(D360,'03. Insumos'!A:F,3,0)</f>
        <v>vb</v>
      </c>
      <c r="H360" s="69">
        <v>1</v>
      </c>
      <c r="I360" s="141">
        <f>H359</f>
        <v>0</v>
      </c>
      <c r="J360" s="70">
        <f>IFERROR(IF(K360&lt;&gt;0,K360*$K$5,0),0)</f>
        <v>6000</v>
      </c>
      <c r="K360" s="54">
        <f>IF(A360=0,VLOOKUP(D360,'03. Insumos'!A:F,4,0),"")</f>
        <v>6000</v>
      </c>
      <c r="L360" s="338">
        <f>H360*J360*I360</f>
        <v>0</v>
      </c>
      <c r="M360" s="153">
        <f t="shared" ca="1" si="51"/>
        <v>0</v>
      </c>
      <c r="O360" s="148"/>
      <c r="R360" s="12"/>
    </row>
    <row r="361" spans="1:18" s="51" customFormat="1" ht="13.5" hidden="1" customHeight="1" outlineLevel="1" x14ac:dyDescent="0.3">
      <c r="A361" s="290">
        <f t="shared" si="52"/>
        <v>0</v>
      </c>
      <c r="B361" s="49"/>
      <c r="C361" s="49"/>
      <c r="D361" s="140" t="s">
        <v>753</v>
      </c>
      <c r="E361" s="67" t="str">
        <f>VLOOKUP(D361,'03. Insumos'!A:D,2,0)</f>
        <v>Mão de obra - Execução gesso estuque</v>
      </c>
      <c r="F361" s="68"/>
      <c r="G361" s="68" t="str">
        <f>VLOOKUP(D361,'03. Insumos'!A:F,3,0)</f>
        <v>m²</v>
      </c>
      <c r="H361" s="69">
        <v>1</v>
      </c>
      <c r="I361" s="141"/>
      <c r="J361" s="70">
        <f>IFERROR(IF(K361&lt;&gt;0,K361*$K$5,0),0)</f>
        <v>20</v>
      </c>
      <c r="K361" s="54">
        <f>IF(A361=0,VLOOKUP(D361,'03. Insumos'!A:F,4,0),"")</f>
        <v>20</v>
      </c>
      <c r="L361" s="338">
        <f>H361*J361*I361</f>
        <v>0</v>
      </c>
      <c r="M361" s="153">
        <f t="shared" ca="1" si="51"/>
        <v>0</v>
      </c>
      <c r="O361" s="148"/>
      <c r="R361" s="12"/>
    </row>
    <row r="362" spans="1:18" s="18" customFormat="1" ht="13.5" customHeight="1" x14ac:dyDescent="0.3">
      <c r="A362" s="290">
        <f t="shared" si="52"/>
        <v>3</v>
      </c>
      <c r="B362" s="35"/>
      <c r="C362" s="35" t="s">
        <v>301</v>
      </c>
      <c r="D362" s="35" t="s">
        <v>267</v>
      </c>
      <c r="E362" s="390"/>
      <c r="F362" s="323"/>
      <c r="G362" s="323"/>
      <c r="H362" s="324"/>
      <c r="I362" s="37"/>
      <c r="J362" s="333"/>
      <c r="K362" s="38"/>
      <c r="L362" s="333">
        <f ca="1">SUMIF(A363:A375,4,L363:L375)</f>
        <v>15881.037</v>
      </c>
      <c r="M362" s="153">
        <f t="shared" ca="1" si="51"/>
        <v>5.9855574441997539E-4</v>
      </c>
      <c r="O362" s="148">
        <f>IF(I362&lt;&gt;0,I362*H362*K362,)</f>
        <v>0</v>
      </c>
      <c r="R362" s="12">
        <f>IF(J362&lt;&gt;0,J362/1.03-K362,0)</f>
        <v>0</v>
      </c>
    </row>
    <row r="363" spans="1:18" s="18" customFormat="1" ht="5.25" customHeight="1" outlineLevel="1" x14ac:dyDescent="0.3">
      <c r="A363" s="290">
        <f t="shared" si="52"/>
        <v>0</v>
      </c>
      <c r="B363" s="63"/>
      <c r="C363" s="63"/>
      <c r="D363" s="63"/>
      <c r="E363" s="391"/>
      <c r="F363" s="325"/>
      <c r="G363" s="325"/>
      <c r="H363" s="326"/>
      <c r="I363" s="65"/>
      <c r="J363" s="334">
        <f>IFERROR(IF(K363&lt;&gt;0,K363*$K$5,0),0)</f>
        <v>0</v>
      </c>
      <c r="K363" s="66" t="e">
        <f>IF(A363=0,VLOOKUP(D363,'03. Insumos'!A:F,4,0),"")</f>
        <v>#N/A</v>
      </c>
      <c r="L363" s="334"/>
      <c r="M363" s="153">
        <f t="shared" ca="1" si="51"/>
        <v>0</v>
      </c>
      <c r="O363" s="148">
        <f>IF(I363&lt;&gt;0,I363*H363*K363,)</f>
        <v>0</v>
      </c>
      <c r="R363" s="12">
        <f>IF(J363&lt;&gt;0,J363/1.03-K363,0)</f>
        <v>0</v>
      </c>
    </row>
    <row r="364" spans="1:18" s="18" customFormat="1" outlineLevel="1" x14ac:dyDescent="0.3">
      <c r="A364" s="290">
        <f t="shared" si="52"/>
        <v>4</v>
      </c>
      <c r="B364" s="45"/>
      <c r="C364" s="45" t="s">
        <v>302</v>
      </c>
      <c r="D364" s="45" t="s">
        <v>267</v>
      </c>
      <c r="E364" s="347"/>
      <c r="F364" s="327"/>
      <c r="G364" s="327"/>
      <c r="H364" s="328"/>
      <c r="I364" s="61"/>
      <c r="J364" s="335"/>
      <c r="K364" s="62" t="str">
        <f>IF(A364=0,VLOOKUP(D364,'03. Insumos'!A:F,4,0),"")</f>
        <v/>
      </c>
      <c r="L364" s="335">
        <f ca="1">SUMIF(A365:B375,6,L365:L375)</f>
        <v>15881.037</v>
      </c>
      <c r="M364" s="153">
        <f t="shared" ca="1" si="51"/>
        <v>5.9855574441997539E-4</v>
      </c>
      <c r="O364" s="148">
        <f>IF(I364&lt;&gt;0,I364*H364*K364,)</f>
        <v>0</v>
      </c>
      <c r="R364" s="12">
        <f>IF(J364&lt;&gt;0,J364/1.03-K364,0)</f>
        <v>0</v>
      </c>
    </row>
    <row r="365" spans="1:18" s="59" customFormat="1" outlineLevel="1" x14ac:dyDescent="0.3">
      <c r="A365" s="290">
        <f t="shared" si="52"/>
        <v>6</v>
      </c>
      <c r="B365" s="55"/>
      <c r="C365" s="55" t="s">
        <v>303</v>
      </c>
      <c r="D365" s="4" t="s">
        <v>1843</v>
      </c>
      <c r="E365" s="55"/>
      <c r="F365" s="56"/>
      <c r="G365" s="56" t="s">
        <v>73</v>
      </c>
      <c r="H365" s="57">
        <f>251.21</f>
        <v>251.21</v>
      </c>
      <c r="I365" s="57"/>
      <c r="J365" s="58"/>
      <c r="K365" s="58" t="str">
        <f>IF(A365=0,VLOOKUP(D365,'03. Insumos'!A:F,4,0),"")</f>
        <v/>
      </c>
      <c r="L365" s="58">
        <f>SUM(L366:L370)</f>
        <v>15881.037</v>
      </c>
      <c r="M365" s="153">
        <f t="shared" ca="1" si="51"/>
        <v>5.9855574441997539E-4</v>
      </c>
      <c r="O365" s="148">
        <f>IF(I365&lt;&gt;0,I365*H365*K365,)</f>
        <v>0</v>
      </c>
      <c r="R365" s="12">
        <f>IF(J365&lt;&gt;0,J365/1.03-K365,0)</f>
        <v>0</v>
      </c>
    </row>
    <row r="366" spans="1:18" s="59" customFormat="1" hidden="1" outlineLevel="1" x14ac:dyDescent="0.3">
      <c r="A366" s="290">
        <f t="shared" si="52"/>
        <v>0</v>
      </c>
      <c r="B366" s="55"/>
      <c r="C366" s="55"/>
      <c r="D366" s="140" t="s">
        <v>2609</v>
      </c>
      <c r="E366" s="67" t="str">
        <f>VLOOKUP(D366,'03. Insumos'!A:D,2,0)</f>
        <v>Material - Execução forro liso em dry wall</v>
      </c>
      <c r="F366" s="68" t="s">
        <v>2598</v>
      </c>
      <c r="G366" s="68" t="str">
        <f>VLOOKUP(D366,'03. Insumos'!A:F,3,0)</f>
        <v>m²</v>
      </c>
      <c r="H366" s="69">
        <v>1</v>
      </c>
      <c r="I366" s="141">
        <f>H365</f>
        <v>251.21</v>
      </c>
      <c r="J366" s="70">
        <f>IFERROR(IF(K366&lt;&gt;0,K366*$K$5,0),0)</f>
        <v>0</v>
      </c>
      <c r="K366" s="54">
        <f>IF(A366=0,VLOOKUP(D366,'03. Insumos'!A:F,4,0),"")</f>
        <v>0</v>
      </c>
      <c r="L366" s="338">
        <f>H366*J366*I366</f>
        <v>0</v>
      </c>
      <c r="M366" s="153">
        <f t="shared" ca="1" si="51"/>
        <v>0</v>
      </c>
      <c r="O366" s="148"/>
      <c r="R366" s="12"/>
    </row>
    <row r="367" spans="1:18" s="59" customFormat="1" outlineLevel="1" x14ac:dyDescent="0.3">
      <c r="A367" s="290">
        <f t="shared" si="52"/>
        <v>0</v>
      </c>
      <c r="B367" s="55"/>
      <c r="C367" s="55"/>
      <c r="D367" s="140" t="s">
        <v>2210</v>
      </c>
      <c r="E367" s="67" t="str">
        <f>VLOOKUP(D367,'03. Insumos'!A:D,2,0)</f>
        <v>Execução forro liso em dry wall</v>
      </c>
      <c r="F367" s="68" t="s">
        <v>2599</v>
      </c>
      <c r="G367" s="68" t="str">
        <f>VLOOKUP(D367,'03. Insumos'!A:F,3,0)</f>
        <v>m²</v>
      </c>
      <c r="H367" s="69">
        <v>1</v>
      </c>
      <c r="I367" s="141">
        <f>H365</f>
        <v>251.21</v>
      </c>
      <c r="J367" s="70">
        <f>IFERROR(IF(K367&lt;&gt;0,K367*$K$5,0),0)</f>
        <v>56.9</v>
      </c>
      <c r="K367" s="70">
        <f>IF(A367=0,VLOOKUP(D367,'03. Insumos'!A:F,4,0),"")</f>
        <v>56.9</v>
      </c>
      <c r="L367" s="70">
        <f>H367*J367*I367</f>
        <v>14293.849</v>
      </c>
      <c r="M367" s="153">
        <f t="shared" ca="1" si="51"/>
        <v>5.387346826798351E-4</v>
      </c>
      <c r="O367" s="148"/>
      <c r="R367" s="12"/>
    </row>
    <row r="368" spans="1:18" s="59" customFormat="1" outlineLevel="1" x14ac:dyDescent="0.3">
      <c r="A368" s="290">
        <f t="shared" si="52"/>
        <v>0</v>
      </c>
      <c r="B368" s="55"/>
      <c r="C368" s="55"/>
      <c r="D368" s="140" t="s">
        <v>2540</v>
      </c>
      <c r="E368" s="67" t="str">
        <f>VLOOKUP(D368,'03. Insumos'!A:D,2,0)</f>
        <v>Execução de sanca em dry wall</v>
      </c>
      <c r="F368" s="68" t="s">
        <v>2599</v>
      </c>
      <c r="G368" s="68" t="str">
        <f>VLOOKUP(D368,'03. Insumos'!A:F,3,0)</f>
        <v>m</v>
      </c>
      <c r="H368" s="69">
        <v>1</v>
      </c>
      <c r="I368" s="141">
        <f>(3.97+3.15+3.39+3.75+1.88+3+1.9+2.96+3.46)*2</f>
        <v>54.92</v>
      </c>
      <c r="J368" s="70">
        <f>IFERROR(IF(K368&lt;&gt;0,K368*$K$5,0),0)</f>
        <v>28.9</v>
      </c>
      <c r="K368" s="70">
        <f>IF(A368=0,VLOOKUP(D368,'03. Insumos'!A:F,4,0),"")</f>
        <v>28.9</v>
      </c>
      <c r="L368" s="70">
        <f>H368*J368*I368</f>
        <v>1587.1879999999999</v>
      </c>
      <c r="M368" s="153">
        <f t="shared" ca="1" si="51"/>
        <v>5.9821061740140258E-5</v>
      </c>
      <c r="O368" s="148"/>
      <c r="R368" s="12"/>
    </row>
    <row r="369" spans="1:18" s="51" customFormat="1" hidden="1" outlineLevel="1" x14ac:dyDescent="0.3">
      <c r="A369" s="290">
        <f t="shared" si="52"/>
        <v>0</v>
      </c>
      <c r="B369" s="49"/>
      <c r="C369" s="49"/>
      <c r="D369" s="140" t="s">
        <v>748</v>
      </c>
      <c r="E369" s="67" t="str">
        <f>VLOOKUP(D369,'03. Insumos'!A:D,2,0)</f>
        <v>Montagem de Forro Liso em Drywall estruturado ST - MAT + MO</v>
      </c>
      <c r="F369" s="68"/>
      <c r="G369" s="68" t="str">
        <f>VLOOKUP(D369,'03. Insumos'!A:F,3,0)</f>
        <v>m²</v>
      </c>
      <c r="H369" s="69"/>
      <c r="I369" s="141">
        <f>H365</f>
        <v>251.21</v>
      </c>
      <c r="J369" s="70">
        <f>IFERROR(IF(K369&lt;&gt;0,K369*$K$5,0),0)</f>
        <v>65</v>
      </c>
      <c r="K369" s="54">
        <f>IF(A369=0,VLOOKUP(D369,'03. Insumos'!A:F,4,0),"")</f>
        <v>65</v>
      </c>
      <c r="L369" s="338">
        <f>H369*J369*I369</f>
        <v>0</v>
      </c>
      <c r="M369" s="153">
        <f t="shared" ca="1" si="51"/>
        <v>0</v>
      </c>
      <c r="O369" s="148">
        <f>IF(I369&lt;&gt;0,I369*H369*K369,)</f>
        <v>0</v>
      </c>
      <c r="R369" s="12">
        <f>IF(J369&lt;&gt;0,J369/1.03-K369,0)</f>
        <v>-1.893203883495147</v>
      </c>
    </row>
    <row r="370" spans="1:18" s="51" customFormat="1" hidden="1" outlineLevel="1" x14ac:dyDescent="0.3">
      <c r="A370" s="290">
        <f t="shared" si="52"/>
        <v>0</v>
      </c>
      <c r="B370" s="49"/>
      <c r="C370" s="49"/>
      <c r="D370" s="140" t="s">
        <v>749</v>
      </c>
      <c r="E370" s="67" t="str">
        <f>VLOOKUP(D370,'03. Insumos'!A:D,2,0)</f>
        <v xml:space="preserve">Mão de obra - Execução forro de gesso drywall ST </v>
      </c>
      <c r="F370" s="68"/>
      <c r="G370" s="68" t="str">
        <f>VLOOKUP(D370,'03. Insumos'!A:F,3,0)</f>
        <v>m²</v>
      </c>
      <c r="H370" s="69"/>
      <c r="I370" s="141">
        <f>H365</f>
        <v>251.21</v>
      </c>
      <c r="J370" s="70">
        <f>IFERROR(IF(K370&lt;&gt;0,K370*$K$5,0),0)</f>
        <v>28.5</v>
      </c>
      <c r="K370" s="54">
        <f>IF(A370=0,VLOOKUP(D370,'03. Insumos'!A:F,4,0),"")</f>
        <v>28.5</v>
      </c>
      <c r="L370" s="338">
        <f>H370*J370*I370</f>
        <v>0</v>
      </c>
      <c r="M370" s="153">
        <f t="shared" ca="1" si="51"/>
        <v>0</v>
      </c>
      <c r="O370" s="148"/>
      <c r="R370" s="12"/>
    </row>
    <row r="371" spans="1:18" s="59" customFormat="1" hidden="1" outlineLevel="1" x14ac:dyDescent="0.3">
      <c r="A371" s="290">
        <f t="shared" si="52"/>
        <v>6</v>
      </c>
      <c r="B371" s="55"/>
      <c r="C371" s="55" t="s">
        <v>303</v>
      </c>
      <c r="D371" s="55" t="s">
        <v>1803</v>
      </c>
      <c r="E371" s="55"/>
      <c r="F371" s="56"/>
      <c r="G371" s="56" t="s">
        <v>73</v>
      </c>
      <c r="H371" s="57"/>
      <c r="I371" s="57"/>
      <c r="J371" s="58"/>
      <c r="K371" s="58" t="str">
        <f>IF(A371=0,VLOOKUP(D371,'03. Insumos'!A:F,4,0),"")</f>
        <v/>
      </c>
      <c r="L371" s="58">
        <f>SUM(L372:L373)</f>
        <v>0</v>
      </c>
      <c r="M371" s="153">
        <f t="shared" ca="1" si="51"/>
        <v>0</v>
      </c>
      <c r="O371" s="148">
        <f>IF(I371&lt;&gt;0,I371*H371*K371,)</f>
        <v>0</v>
      </c>
      <c r="R371" s="12">
        <f>IF(J371&lt;&gt;0,J371/1.03-K371,0)</f>
        <v>0</v>
      </c>
    </row>
    <row r="372" spans="1:18" s="51" customFormat="1" hidden="1" outlineLevel="1" x14ac:dyDescent="0.3">
      <c r="A372" s="290">
        <f t="shared" si="52"/>
        <v>0</v>
      </c>
      <c r="B372" s="49"/>
      <c r="C372" s="49"/>
      <c r="D372" s="140" t="s">
        <v>1801</v>
      </c>
      <c r="E372" s="67" t="str">
        <f>VLOOKUP(D372,'03. Insumos'!A:D,2,0)</f>
        <v>Material - Fornecimento e instalação de forro removível</v>
      </c>
      <c r="F372" s="68"/>
      <c r="G372" s="68" t="str">
        <f>VLOOKUP(D372,'03. Insumos'!A:F,3,0)</f>
        <v>m²</v>
      </c>
      <c r="H372" s="69">
        <v>1</v>
      </c>
      <c r="I372" s="141"/>
      <c r="J372" s="70">
        <f>IFERROR(IF(K372&lt;&gt;0,K372*$K$5,0),0)</f>
        <v>45</v>
      </c>
      <c r="K372" s="54">
        <f>IF(A372=0,VLOOKUP(D372,'03. Insumos'!A:F,4,0),"")</f>
        <v>45</v>
      </c>
      <c r="L372" s="338">
        <f>H372*J372*I372</f>
        <v>0</v>
      </c>
      <c r="M372" s="153">
        <f t="shared" ca="1" si="51"/>
        <v>0</v>
      </c>
      <c r="O372" s="148">
        <f>IF(I372&lt;&gt;0,I372*H372*K372,)</f>
        <v>0</v>
      </c>
      <c r="R372" s="12">
        <f>IF(J372&lt;&gt;0,J372/1.03-K372,0)</f>
        <v>-1.3106796116504853</v>
      </c>
    </row>
    <row r="373" spans="1:18" s="51" customFormat="1" hidden="1" outlineLevel="1" x14ac:dyDescent="0.3">
      <c r="A373" s="290">
        <f t="shared" si="52"/>
        <v>0</v>
      </c>
      <c r="B373" s="49"/>
      <c r="C373" s="49"/>
      <c r="D373" s="140" t="s">
        <v>1802</v>
      </c>
      <c r="E373" s="67" t="str">
        <f>VLOOKUP(D373,'03. Insumos'!A:D,2,0)</f>
        <v>Mão de obra - Fornecimento e instalação de forro removível</v>
      </c>
      <c r="F373" s="68"/>
      <c r="G373" s="68" t="str">
        <f>VLOOKUP(D373,'03. Insumos'!A:F,3,0)</f>
        <v>m²</v>
      </c>
      <c r="H373" s="69">
        <v>1</v>
      </c>
      <c r="I373" s="141"/>
      <c r="J373" s="70">
        <f>IFERROR(IF(K373&lt;&gt;0,K373*$K$5,0),0)</f>
        <v>32</v>
      </c>
      <c r="K373" s="54">
        <f>IF(A373=0,VLOOKUP(D373,'03. Insumos'!A:F,4,0),"")</f>
        <v>32</v>
      </c>
      <c r="L373" s="338">
        <f>H373*J373*I373</f>
        <v>0</v>
      </c>
      <c r="M373" s="153">
        <f t="shared" ca="1" si="51"/>
        <v>0</v>
      </c>
      <c r="O373" s="148"/>
      <c r="R373" s="12"/>
    </row>
    <row r="374" spans="1:18" s="59" customFormat="1" hidden="1" outlineLevel="1" x14ac:dyDescent="0.3">
      <c r="A374" s="290">
        <f t="shared" si="52"/>
        <v>6</v>
      </c>
      <c r="B374" s="55"/>
      <c r="C374" s="55" t="s">
        <v>1297</v>
      </c>
      <c r="D374" s="55" t="s">
        <v>1296</v>
      </c>
      <c r="E374" s="55"/>
      <c r="F374" s="56"/>
      <c r="G374" s="56" t="s">
        <v>73</v>
      </c>
      <c r="H374" s="57"/>
      <c r="I374" s="57"/>
      <c r="J374" s="58">
        <f>IFERROR(IF(K374&lt;&gt;0,K374*$K$5,0),0)</f>
        <v>0</v>
      </c>
      <c r="K374" s="58" t="str">
        <f>IF(A374=0,VLOOKUP(D374,'03. Insumos'!A:F,4,0),"")</f>
        <v/>
      </c>
      <c r="L374" s="58">
        <f>SUM(L375:L375)</f>
        <v>0</v>
      </c>
      <c r="M374" s="153">
        <f t="shared" ca="1" si="51"/>
        <v>0</v>
      </c>
      <c r="O374" s="148">
        <f>IF(I374&lt;&gt;0,I374*H374*K374,)</f>
        <v>0</v>
      </c>
      <c r="R374" s="12">
        <f>IF(J374&lt;&gt;0,J374/1.03-K374,0)</f>
        <v>0</v>
      </c>
    </row>
    <row r="375" spans="1:18" s="51" customFormat="1" hidden="1" outlineLevel="1" x14ac:dyDescent="0.3">
      <c r="A375" s="290">
        <f t="shared" si="52"/>
        <v>0</v>
      </c>
      <c r="B375" s="49"/>
      <c r="C375" s="49"/>
      <c r="D375" s="140" t="s">
        <v>614</v>
      </c>
      <c r="E375" s="67" t="str">
        <f>VLOOKUP(D375,'03. Insumos'!A:D,2,0)</f>
        <v>Revestimento Acústico Sobre Laje Climatex Madeira Branco</v>
      </c>
      <c r="F375" s="68"/>
      <c r="G375" s="68" t="str">
        <f>VLOOKUP(D375,'03. Insumos'!A:F,3,0)</f>
        <v>m²</v>
      </c>
      <c r="H375" s="69">
        <v>1</v>
      </c>
      <c r="I375" s="141"/>
      <c r="J375" s="70">
        <f>IFERROR(IF(K375&lt;&gt;0,K375*$K$5,0),0)</f>
        <v>280</v>
      </c>
      <c r="K375" s="54">
        <f>IF(A375=0,VLOOKUP(D375,'03. Insumos'!A:F,4,0),"")</f>
        <v>280</v>
      </c>
      <c r="L375" s="338">
        <f>H375*J375*I375</f>
        <v>0</v>
      </c>
      <c r="M375" s="153">
        <f t="shared" ca="1" si="51"/>
        <v>0</v>
      </c>
      <c r="O375" s="148">
        <f>IF(I375&lt;&gt;0,I375*H375*K375,)</f>
        <v>0</v>
      </c>
      <c r="R375" s="12">
        <f>IF(J375&lt;&gt;0,J375/1.03-K375,0)</f>
        <v>-8.1553398058252355</v>
      </c>
    </row>
    <row r="376" spans="1:18" s="18" customFormat="1" x14ac:dyDescent="0.3">
      <c r="A376" s="290">
        <f t="shared" si="52"/>
        <v>3</v>
      </c>
      <c r="B376" s="35"/>
      <c r="C376" s="35" t="s">
        <v>319</v>
      </c>
      <c r="D376" s="35" t="s">
        <v>335</v>
      </c>
      <c r="E376" s="390"/>
      <c r="F376" s="323"/>
      <c r="G376" s="323"/>
      <c r="H376" s="324"/>
      <c r="I376" s="37"/>
      <c r="J376" s="333"/>
      <c r="K376" s="38"/>
      <c r="L376" s="333">
        <f>SUMIF(A377:A595,4,L377:L595)</f>
        <v>33222.495999999999</v>
      </c>
      <c r="M376" s="153">
        <f t="shared" ca="1" si="51"/>
        <v>1.2521547443513704E-3</v>
      </c>
      <c r="O376" s="148">
        <f>IF(I376&lt;&gt;0,I376*H376*K376,)</f>
        <v>0</v>
      </c>
      <c r="R376" s="12">
        <f>IF(J376&lt;&gt;0,J376/1.03-K376,0)</f>
        <v>0</v>
      </c>
    </row>
    <row r="377" spans="1:18" s="18" customFormat="1" ht="5.25" customHeight="1" outlineLevel="1" x14ac:dyDescent="0.3">
      <c r="A377" s="290">
        <f t="shared" si="52"/>
        <v>0</v>
      </c>
      <c r="B377" s="63"/>
      <c r="C377" s="63"/>
      <c r="D377" s="63"/>
      <c r="E377" s="391"/>
      <c r="F377" s="325"/>
      <c r="G377" s="325"/>
      <c r="H377" s="326"/>
      <c r="I377" s="65"/>
      <c r="J377" s="334">
        <f>IFERROR(IF(K377&lt;&gt;0,K377*$K$5,0),0)</f>
        <v>0</v>
      </c>
      <c r="K377" s="66" t="e">
        <f>IF(A377=0,VLOOKUP(D377,'03. Insumos'!A:F,4,0),"")</f>
        <v>#N/A</v>
      </c>
      <c r="L377" s="334"/>
      <c r="M377" s="153">
        <f t="shared" ca="1" si="51"/>
        <v>0</v>
      </c>
      <c r="O377" s="148">
        <f>IF(I377&lt;&gt;0,I377*H377*K377,)</f>
        <v>0</v>
      </c>
      <c r="R377" s="12">
        <f>IF(J377&lt;&gt;0,J377/1.03-K377,0)</f>
        <v>0</v>
      </c>
    </row>
    <row r="378" spans="1:18" s="18" customFormat="1" ht="13.5" customHeight="1" outlineLevel="1" x14ac:dyDescent="0.3">
      <c r="A378" s="290">
        <f t="shared" si="52"/>
        <v>4</v>
      </c>
      <c r="B378" s="45"/>
      <c r="C378" s="45" t="s">
        <v>320</v>
      </c>
      <c r="D378" s="45" t="s">
        <v>1507</v>
      </c>
      <c r="E378" s="347"/>
      <c r="F378" s="327"/>
      <c r="G378" s="327"/>
      <c r="H378" s="328"/>
      <c r="I378" s="61"/>
      <c r="J378" s="335"/>
      <c r="K378" s="62" t="str">
        <f>IF(A378=0,VLOOKUP(D378,'03. Insumos'!A:F,4,0),"")</f>
        <v/>
      </c>
      <c r="L378" s="335">
        <f>SUMIF(A378:A461,6,L378:L461)</f>
        <v>11309.860000000002</v>
      </c>
      <c r="M378" s="153">
        <f t="shared" ca="1" si="51"/>
        <v>4.262682387545413E-4</v>
      </c>
      <c r="O378" s="148">
        <f>IF(I378&lt;&gt;0,I378*H378*K378,)</f>
        <v>0</v>
      </c>
      <c r="R378" s="12">
        <f>IF(J378&lt;&gt;0,J378/1.03-K378,0)</f>
        <v>0</v>
      </c>
    </row>
    <row r="379" spans="1:18" s="51" customFormat="1" ht="13.5" customHeight="1" outlineLevel="1" x14ac:dyDescent="0.3">
      <c r="A379" s="290">
        <f t="shared" si="52"/>
        <v>6</v>
      </c>
      <c r="B379" s="55"/>
      <c r="C379" s="55" t="s">
        <v>321</v>
      </c>
      <c r="D379" s="4" t="s">
        <v>2934</v>
      </c>
      <c r="E379" s="55"/>
      <c r="F379" s="56"/>
      <c r="G379" s="56" t="s">
        <v>73</v>
      </c>
      <c r="H379" s="57">
        <v>206.71</v>
      </c>
      <c r="I379" s="57"/>
      <c r="J379" s="58"/>
      <c r="K379" s="58" t="str">
        <f>IF(A379=0,VLOOKUP(D379,'03. Insumos'!A:F,4,0),"")</f>
        <v/>
      </c>
      <c r="L379" s="58">
        <f>SUM(L380:L384)</f>
        <v>9765.760000000002</v>
      </c>
      <c r="M379" s="153">
        <f t="shared" ca="1" si="51"/>
        <v>3.6807116226898913E-4</v>
      </c>
      <c r="O379" s="148"/>
      <c r="R379" s="12"/>
    </row>
    <row r="380" spans="1:18" s="51" customFormat="1" ht="13.5" customHeight="1" outlineLevel="1" x14ac:dyDescent="0.3">
      <c r="A380" s="13">
        <f t="shared" si="52"/>
        <v>0</v>
      </c>
      <c r="B380" s="49"/>
      <c r="C380" s="49"/>
      <c r="D380" s="140" t="s">
        <v>2919</v>
      </c>
      <c r="E380" s="67" t="str">
        <f>VLOOKUP(D380,'03. Insumos'!A:D,2,0)</f>
        <v>Revestimento Parede Branco Eliane Munari - 30x60</v>
      </c>
      <c r="F380" s="68" t="s">
        <v>2613</v>
      </c>
      <c r="G380" s="68" t="str">
        <f>VLOOKUP(D380,'03. Insumos'!A:F,3,0)</f>
        <v>m²</v>
      </c>
      <c r="H380" s="69"/>
      <c r="I380" s="141">
        <f>H379*1.15</f>
        <v>237.7165</v>
      </c>
      <c r="J380" s="70">
        <f>IFERROR(IF(K380&lt;&gt;0,K380*$K$5,0),0)</f>
        <v>62.139999999999993</v>
      </c>
      <c r="K380" s="70">
        <f>IF(A380=0,VLOOKUP(D380,'03. Insumos'!A:F,4,0),"")</f>
        <v>62.139999999999993</v>
      </c>
      <c r="L380" s="70">
        <f>H380*J380*I380</f>
        <v>0</v>
      </c>
      <c r="M380" s="355">
        <f t="shared" ca="1" si="51"/>
        <v>0</v>
      </c>
      <c r="O380" s="148">
        <f>IF(I380&lt;&gt;0,I380*H380*K380,)</f>
        <v>0</v>
      </c>
      <c r="R380" s="356">
        <f>IF(J380&lt;&gt;0,J380/1.03-K380,0)</f>
        <v>-1.8099029126213608</v>
      </c>
    </row>
    <row r="381" spans="1:18" s="51" customFormat="1" ht="13.5" customHeight="1" outlineLevel="1" x14ac:dyDescent="0.3">
      <c r="A381" s="13">
        <f t="shared" si="52"/>
        <v>0</v>
      </c>
      <c r="B381" s="49"/>
      <c r="C381" s="49"/>
      <c r="D381" s="140" t="s">
        <v>2405</v>
      </c>
      <c r="E381" s="67" t="str">
        <f>VLOOKUP(D381,'03. Insumos'!A:D,2,0)</f>
        <v>Mão de obra - Assentamento até 60x60cm</v>
      </c>
      <c r="F381" s="68" t="s">
        <v>2607</v>
      </c>
      <c r="G381" s="68" t="str">
        <f>VLOOKUP(D381,'03. Insumos'!A:F,3,0)</f>
        <v>m²</v>
      </c>
      <c r="H381" s="69">
        <v>1</v>
      </c>
      <c r="I381" s="141">
        <f>H379</f>
        <v>206.71</v>
      </c>
      <c r="J381" s="70">
        <f>IFERROR(IF(K381&lt;&gt;0,K381*$K$5,0),0)</f>
        <v>35</v>
      </c>
      <c r="K381" s="70">
        <f>IF(A381=0,VLOOKUP(D381,'03. Insumos'!A:F,4,0),"")</f>
        <v>35</v>
      </c>
      <c r="L381" s="70">
        <f>H381*J381*I381</f>
        <v>7234.85</v>
      </c>
      <c r="M381" s="355">
        <f t="shared" ca="1" si="51"/>
        <v>2.7268125044459371E-4</v>
      </c>
      <c r="O381" s="148"/>
      <c r="R381" s="356"/>
    </row>
    <row r="382" spans="1:18" s="59" customFormat="1" ht="13.5" customHeight="1" outlineLevel="1" x14ac:dyDescent="0.3">
      <c r="A382" s="13">
        <f t="shared" si="52"/>
        <v>0</v>
      </c>
      <c r="B382" s="55"/>
      <c r="C382" s="55"/>
      <c r="D382" s="140" t="s">
        <v>2775</v>
      </c>
      <c r="E382" s="67" t="str">
        <f>VLOOKUP(D382,'03. Insumos'!A:D,2,0)</f>
        <v>Celumassa Colante AC3 flexível 20Kg</v>
      </c>
      <c r="F382" s="68" t="s">
        <v>2612</v>
      </c>
      <c r="G382" s="68" t="str">
        <f>VLOOKUP(D382,'03. Insumos'!A:F,3,0)</f>
        <v>sc</v>
      </c>
      <c r="H382" s="69">
        <v>1</v>
      </c>
      <c r="I382" s="141">
        <f>ROUND((H379*8)/20,0)</f>
        <v>83</v>
      </c>
      <c r="J382" s="70">
        <f>IFERROR(IF(K382&lt;&gt;0,K382*$K$5,0),0)</f>
        <v>17.5</v>
      </c>
      <c r="K382" s="70">
        <f>IF(A382=0,VLOOKUP(D382,'03. Insumos'!A:F,4,0),"")</f>
        <v>17.5</v>
      </c>
      <c r="L382" s="70">
        <f>H382*J382*I382</f>
        <v>1452.5</v>
      </c>
      <c r="M382" s="355">
        <f t="shared" ca="1" si="51"/>
        <v>5.4744675600844843E-5</v>
      </c>
      <c r="O382" s="148">
        <f>IF(I382&lt;&gt;0,I382*H382*K382,)</f>
        <v>1452.5</v>
      </c>
      <c r="R382" s="356">
        <f>IF(J382&lt;&gt;0,J382/1.03-K382,0)</f>
        <v>-0.50970873786407722</v>
      </c>
    </row>
    <row r="383" spans="1:18" s="51" customFormat="1" ht="13.5" customHeight="1" outlineLevel="1" x14ac:dyDescent="0.3">
      <c r="A383" s="13">
        <f t="shared" si="52"/>
        <v>0</v>
      </c>
      <c r="B383" s="49"/>
      <c r="C383" s="49"/>
      <c r="D383" s="140" t="s">
        <v>772</v>
      </c>
      <c r="E383" s="67" t="str">
        <f>VLOOKUP(D383,'03. Insumos'!A:D,2,0)</f>
        <v xml:space="preserve">Rejunte acrílico Portokoll </v>
      </c>
      <c r="F383" s="68" t="s">
        <v>2612</v>
      </c>
      <c r="G383" s="68" t="str">
        <f>VLOOKUP(D383,'03. Insumos'!A:F,3,0)</f>
        <v>Kg</v>
      </c>
      <c r="H383" s="69">
        <v>1</v>
      </c>
      <c r="I383" s="141">
        <f>ROUNDUP((H379*0.2),0)</f>
        <v>42</v>
      </c>
      <c r="J383" s="70">
        <f>IFERROR(IF(K383&lt;&gt;0,K383*$K$5,0),0)</f>
        <v>19.87</v>
      </c>
      <c r="K383" s="70">
        <f>IF(A383=0,VLOOKUP(D383,'03. Insumos'!A:F,4,0),"")</f>
        <v>19.87</v>
      </c>
      <c r="L383" s="70">
        <f>H383*J383*I383</f>
        <v>834.54000000000008</v>
      </c>
      <c r="M383" s="355">
        <f t="shared" ca="1" si="51"/>
        <v>3.14537842175071E-5</v>
      </c>
      <c r="O383" s="148">
        <f>IF(I383&lt;&gt;0,I383*H383*K383,)</f>
        <v>834.54000000000008</v>
      </c>
      <c r="R383" s="356">
        <f>IF(J383&lt;&gt;0,J383/1.03-K383,0)</f>
        <v>-0.57873786407767014</v>
      </c>
    </row>
    <row r="384" spans="1:18" s="51" customFormat="1" ht="13.5" customHeight="1" outlineLevel="1" x14ac:dyDescent="0.3">
      <c r="A384" s="13">
        <f t="shared" si="52"/>
        <v>0</v>
      </c>
      <c r="B384" s="49"/>
      <c r="C384" s="49"/>
      <c r="D384" s="140" t="s">
        <v>773</v>
      </c>
      <c r="E384" s="67" t="str">
        <f>VLOOKUP(D384,'03. Insumos'!A:D,2,0)</f>
        <v>Espaçador - Cunha</v>
      </c>
      <c r="F384" s="68" t="s">
        <v>2612</v>
      </c>
      <c r="G384" s="68" t="str">
        <f>VLOOKUP(D384,'03. Insumos'!A:F,3,0)</f>
        <v>50 pcs</v>
      </c>
      <c r="H384" s="69">
        <v>1</v>
      </c>
      <c r="I384" s="141">
        <f>ROUNDUP(((H379*5)/100),0)</f>
        <v>11</v>
      </c>
      <c r="J384" s="70">
        <f>IFERROR(IF(K384&lt;&gt;0,K384*$K$5,0),0)</f>
        <v>22.17</v>
      </c>
      <c r="K384" s="70">
        <f>IF(A384=0,VLOOKUP(D384,'03. Insumos'!A:F,4,0),"")</f>
        <v>22.17</v>
      </c>
      <c r="L384" s="70">
        <f>H384*J384*I384</f>
        <v>243.87</v>
      </c>
      <c r="M384" s="355">
        <f t="shared" ca="1" si="51"/>
        <v>9.1914520060433958E-6</v>
      </c>
      <c r="O384" s="148">
        <f>IF(I384&lt;&gt;0,I384*H384*K384,)</f>
        <v>243.87</v>
      </c>
      <c r="R384" s="356">
        <f>IF(J384&lt;&gt;0,J384/1.03-K384,0)</f>
        <v>-0.64572815533980688</v>
      </c>
    </row>
    <row r="385" spans="1:18" s="51" customFormat="1" ht="13.5" customHeight="1" outlineLevel="1" x14ac:dyDescent="0.3">
      <c r="A385" s="290">
        <f t="shared" si="52"/>
        <v>6</v>
      </c>
      <c r="B385" s="55"/>
      <c r="C385" s="55" t="s">
        <v>1298</v>
      </c>
      <c r="D385" s="4" t="s">
        <v>2936</v>
      </c>
      <c r="E385" s="55"/>
      <c r="F385" s="56"/>
      <c r="G385" s="56" t="s">
        <v>73</v>
      </c>
      <c r="H385" s="57">
        <v>21.12</v>
      </c>
      <c r="I385" s="57"/>
      <c r="J385" s="58"/>
      <c r="K385" s="58" t="str">
        <f>IF(A385=0,VLOOKUP(D385,'03. Insumos'!A:F,4,0),"")</f>
        <v/>
      </c>
      <c r="L385" s="58">
        <f>SUM(L386:L390)</f>
        <v>1544.1000000000001</v>
      </c>
      <c r="M385" s="153">
        <f t="shared" ca="1" si="51"/>
        <v>5.8197076485552177E-5</v>
      </c>
      <c r="O385" s="148"/>
      <c r="R385" s="12"/>
    </row>
    <row r="386" spans="1:18" s="51" customFormat="1" ht="13.5" customHeight="1" outlineLevel="1" x14ac:dyDescent="0.3">
      <c r="A386" s="13">
        <f t="shared" si="52"/>
        <v>0</v>
      </c>
      <c r="B386" s="49"/>
      <c r="C386" s="49"/>
      <c r="D386" s="140" t="s">
        <v>2425</v>
      </c>
      <c r="E386" s="67" t="str">
        <f>VLOOKUP(D386,'03. Insumos'!A:D,2,0)</f>
        <v>Material - Cerâmica Jatobá 5x5 Verde Etna</v>
      </c>
      <c r="F386" s="68" t="s">
        <v>2613</v>
      </c>
      <c r="G386" s="68" t="str">
        <f>VLOOKUP(D386,'03. Insumos'!A:F,3,0)</f>
        <v>m²</v>
      </c>
      <c r="H386" s="69"/>
      <c r="I386" s="141">
        <f>H385*1.1</f>
        <v>23.232000000000003</v>
      </c>
      <c r="J386" s="70">
        <f>IFERROR(IF(K386&lt;&gt;0,K386*$K$5,0),0)</f>
        <v>202.6</v>
      </c>
      <c r="K386" s="70">
        <f>IF(A386=0,VLOOKUP(D386,'03. Insumos'!A:F,4,0),"")</f>
        <v>202.6</v>
      </c>
      <c r="L386" s="70">
        <f>H386*J386*I386</f>
        <v>0</v>
      </c>
      <c r="M386" s="355">
        <f t="shared" ca="1" si="51"/>
        <v>0</v>
      </c>
      <c r="O386" s="148">
        <f>IF(I386&lt;&gt;0,I386*H386*K386,)</f>
        <v>0</v>
      </c>
      <c r="R386" s="356">
        <f>IF(J386&lt;&gt;0,J386/1.03-K386,0)</f>
        <v>-5.9009708737864059</v>
      </c>
    </row>
    <row r="387" spans="1:18" s="51" customFormat="1" ht="13.5" customHeight="1" outlineLevel="1" x14ac:dyDescent="0.3">
      <c r="A387" s="13">
        <f t="shared" si="52"/>
        <v>0</v>
      </c>
      <c r="B387" s="49"/>
      <c r="C387" s="49"/>
      <c r="D387" s="140" t="s">
        <v>2426</v>
      </c>
      <c r="E387" s="67" t="str">
        <f>VLOOKUP(D387,'03. Insumos'!A:D,2,0)</f>
        <v>Mão de obra - Assentamento Cerâmica Jatobá 5x5 Verde Etna</v>
      </c>
      <c r="F387" s="68" t="s">
        <v>2607</v>
      </c>
      <c r="G387" s="68" t="str">
        <f>VLOOKUP(D387,'03. Insumos'!A:F,3,0)</f>
        <v>m²</v>
      </c>
      <c r="H387" s="69">
        <v>1</v>
      </c>
      <c r="I387" s="141">
        <f>H385</f>
        <v>21.12</v>
      </c>
      <c r="J387" s="70">
        <f>IFERROR(IF(K387&lt;&gt;0,K387*$K$5,0),0)</f>
        <v>40</v>
      </c>
      <c r="K387" s="70">
        <f>IF(A387=0,VLOOKUP(D387,'03. Insumos'!A:F,4,0),"")</f>
        <v>40</v>
      </c>
      <c r="L387" s="70">
        <f>H387*J387*I387</f>
        <v>844.80000000000007</v>
      </c>
      <c r="M387" s="355">
        <f t="shared" ca="1" si="51"/>
        <v>3.1840483268567112E-5</v>
      </c>
      <c r="O387" s="148"/>
      <c r="R387" s="356"/>
    </row>
    <row r="388" spans="1:18" s="59" customFormat="1" ht="13.5" customHeight="1" outlineLevel="1" x14ac:dyDescent="0.3">
      <c r="A388" s="13">
        <f t="shared" si="52"/>
        <v>0</v>
      </c>
      <c r="B388" s="55"/>
      <c r="C388" s="55"/>
      <c r="D388" s="140" t="s">
        <v>2557</v>
      </c>
      <c r="E388" s="67" t="str">
        <f>VLOOKUP(D388,'03. Insumos'!A:D,2,0)</f>
        <v xml:space="preserve">Argamassa Pastilhas e Mosaicos Interno e Externo Branco 20kg Axton
</v>
      </c>
      <c r="F388" s="68" t="s">
        <v>2612</v>
      </c>
      <c r="G388" s="68" t="str">
        <f>VLOOKUP(D388,'03. Insumos'!A:F,3,0)</f>
        <v>Unid</v>
      </c>
      <c r="H388" s="69">
        <v>1</v>
      </c>
      <c r="I388" s="141">
        <f>ROUND((H385*8)/20,0)</f>
        <v>8</v>
      </c>
      <c r="J388" s="70">
        <f>IFERROR(IF(K388&lt;&gt;0,K388*$K$5,0),0)</f>
        <v>62</v>
      </c>
      <c r="K388" s="70">
        <f>IF(A388=0,VLOOKUP(D388,'03. Insumos'!A:F,4,0),"")</f>
        <v>62</v>
      </c>
      <c r="L388" s="70">
        <f>H388*J388*I388</f>
        <v>496</v>
      </c>
      <c r="M388" s="355">
        <f t="shared" ca="1" si="51"/>
        <v>1.8694223131166295E-5</v>
      </c>
      <c r="O388" s="148">
        <f>IF(I388&lt;&gt;0,I388*H388*K388,)</f>
        <v>496</v>
      </c>
      <c r="R388" s="356">
        <f>IF(J388&lt;&gt;0,J388/1.03-K388,0)</f>
        <v>-1.8058252427184485</v>
      </c>
    </row>
    <row r="389" spans="1:18" s="51" customFormat="1" ht="13.5" customHeight="1" outlineLevel="1" x14ac:dyDescent="0.3">
      <c r="A389" s="13">
        <f t="shared" si="52"/>
        <v>0</v>
      </c>
      <c r="B389" s="49"/>
      <c r="C389" s="49"/>
      <c r="D389" s="140" t="s">
        <v>772</v>
      </c>
      <c r="E389" s="67" t="str">
        <f>VLOOKUP(D389,'03. Insumos'!A:D,2,0)</f>
        <v xml:space="preserve">Rejunte acrílico Portokoll </v>
      </c>
      <c r="F389" s="68" t="s">
        <v>2612</v>
      </c>
      <c r="G389" s="68" t="str">
        <f>VLOOKUP(D389,'03. Insumos'!A:F,3,0)</f>
        <v>Kg</v>
      </c>
      <c r="H389" s="69">
        <v>1</v>
      </c>
      <c r="I389" s="141">
        <f>ROUNDUP((H385*0.35),0)</f>
        <v>8</v>
      </c>
      <c r="J389" s="70">
        <f>IFERROR(IF(K389&lt;&gt;0,K389*$K$5,0),0)</f>
        <v>19.87</v>
      </c>
      <c r="K389" s="70">
        <f>IF(A389=0,VLOOKUP(D389,'03. Insumos'!A:F,4,0),"")</f>
        <v>19.87</v>
      </c>
      <c r="L389" s="70">
        <f>H389*J389*I389</f>
        <v>158.96</v>
      </c>
      <c r="M389" s="355">
        <f t="shared" ca="1" si="51"/>
        <v>5.9911969938108756E-6</v>
      </c>
      <c r="O389" s="148">
        <f>IF(I389&lt;&gt;0,I389*H389*K389,)</f>
        <v>158.96</v>
      </c>
      <c r="R389" s="356">
        <f>IF(J389&lt;&gt;0,J389/1.03-K389,0)</f>
        <v>-0.57873786407767014</v>
      </c>
    </row>
    <row r="390" spans="1:18" s="51" customFormat="1" ht="13.5" customHeight="1" outlineLevel="1" x14ac:dyDescent="0.3">
      <c r="A390" s="13">
        <f t="shared" si="52"/>
        <v>0</v>
      </c>
      <c r="B390" s="49"/>
      <c r="C390" s="49"/>
      <c r="D390" s="140" t="s">
        <v>773</v>
      </c>
      <c r="E390" s="67" t="str">
        <f>VLOOKUP(D390,'03. Insumos'!A:D,2,0)</f>
        <v>Espaçador - Cunha</v>
      </c>
      <c r="F390" s="68" t="s">
        <v>2612</v>
      </c>
      <c r="G390" s="68" t="str">
        <f>VLOOKUP(D390,'03. Insumos'!A:F,3,0)</f>
        <v>50 pcs</v>
      </c>
      <c r="H390" s="69">
        <v>1</v>
      </c>
      <c r="I390" s="141">
        <f>ROUNDUP(((H385*5)/100),0)</f>
        <v>2</v>
      </c>
      <c r="J390" s="70">
        <f>IFERROR(IF(K390&lt;&gt;0,K390*$K$5,0),0)</f>
        <v>22.17</v>
      </c>
      <c r="K390" s="70">
        <f>IF(A390=0,VLOOKUP(D390,'03. Insumos'!A:F,4,0),"")</f>
        <v>22.17</v>
      </c>
      <c r="L390" s="70">
        <f>H390*J390*I390</f>
        <v>44.34</v>
      </c>
      <c r="M390" s="355">
        <f t="shared" ca="1" si="51"/>
        <v>1.6711730920078903E-6</v>
      </c>
      <c r="O390" s="148">
        <f>IF(I390&lt;&gt;0,I390*H390*K390,)</f>
        <v>44.34</v>
      </c>
      <c r="R390" s="356">
        <f>IF(J390&lt;&gt;0,J390/1.03-K390,0)</f>
        <v>-0.64572815533980688</v>
      </c>
    </row>
    <row r="391" spans="1:18" s="51" customFormat="1" ht="13.5" hidden="1" customHeight="1" outlineLevel="1" x14ac:dyDescent="0.3">
      <c r="A391" s="290">
        <f t="shared" si="52"/>
        <v>6</v>
      </c>
      <c r="B391" s="55"/>
      <c r="C391" s="55" t="s">
        <v>322</v>
      </c>
      <c r="D391" s="55" t="s">
        <v>2743</v>
      </c>
      <c r="E391" s="55"/>
      <c r="F391" s="56"/>
      <c r="G391" s="56" t="s">
        <v>73</v>
      </c>
      <c r="H391" s="57"/>
      <c r="I391" s="57"/>
      <c r="J391" s="58"/>
      <c r="K391" s="58" t="str">
        <f>IF(A391=0,VLOOKUP(D391,'03. Insumos'!A:F,4,0),"")</f>
        <v/>
      </c>
      <c r="L391" s="58">
        <f>SUM(L392:L396)</f>
        <v>0</v>
      </c>
      <c r="M391" s="153">
        <f t="shared" ca="1" si="51"/>
        <v>0</v>
      </c>
      <c r="O391" s="148"/>
      <c r="R391" s="12"/>
    </row>
    <row r="392" spans="1:18" s="51" customFormat="1" ht="13.5" hidden="1" customHeight="1" outlineLevel="1" x14ac:dyDescent="0.3">
      <c r="A392" s="13">
        <f t="shared" si="52"/>
        <v>0</v>
      </c>
      <c r="B392" s="49"/>
      <c r="C392" s="49"/>
      <c r="D392" s="140" t="s">
        <v>2765</v>
      </c>
      <c r="E392" s="67" t="str">
        <f>VLOOKUP(D392,'03. Insumos'!A:D,2,0)</f>
        <v>Azulejo Metro Roca Areia 10 x 20cm - Mat</v>
      </c>
      <c r="F392" s="68" t="s">
        <v>2613</v>
      </c>
      <c r="G392" s="68" t="str">
        <f>VLOOKUP(D392,'03. Insumos'!A:F,3,0)</f>
        <v>m²</v>
      </c>
      <c r="H392" s="69">
        <v>1</v>
      </c>
      <c r="I392" s="395">
        <f>H391*1.15</f>
        <v>0</v>
      </c>
      <c r="J392" s="70">
        <f>IFERROR(IF(K392&lt;&gt;0,K392*$K$5,0),0)</f>
        <v>70.47</v>
      </c>
      <c r="K392" s="70">
        <f>IF(A392=0,VLOOKUP(D392,'03. Insumos'!A:F,4,0),"")</f>
        <v>70.47</v>
      </c>
      <c r="L392" s="70">
        <f>H392*J392*I392</f>
        <v>0</v>
      </c>
      <c r="M392" s="355">
        <f t="shared" ca="1" si="51"/>
        <v>0</v>
      </c>
      <c r="O392" s="148">
        <f>IF(I392&lt;&gt;0,I392*H392*K392,)</f>
        <v>0</v>
      </c>
      <c r="R392" s="356">
        <f>IF(J392&lt;&gt;0,J392/1.03-K392,0)</f>
        <v>-2.0525242718446606</v>
      </c>
    </row>
    <row r="393" spans="1:18" s="51" customFormat="1" ht="13.5" hidden="1" customHeight="1" outlineLevel="1" x14ac:dyDescent="0.3">
      <c r="A393" s="13">
        <f t="shared" si="52"/>
        <v>0</v>
      </c>
      <c r="B393" s="49"/>
      <c r="C393" s="49"/>
      <c r="D393" s="140" t="s">
        <v>2405</v>
      </c>
      <c r="E393" s="67" t="str">
        <f>VLOOKUP(D393,'03. Insumos'!A:D,2,0)</f>
        <v>Mão de obra - Assentamento até 60x60cm</v>
      </c>
      <c r="F393" s="68" t="s">
        <v>2607</v>
      </c>
      <c r="G393" s="68" t="str">
        <f>VLOOKUP(D393,'03. Insumos'!A:F,3,0)</f>
        <v>m²</v>
      </c>
      <c r="H393" s="69">
        <v>1</v>
      </c>
      <c r="I393" s="141">
        <f>H391</f>
        <v>0</v>
      </c>
      <c r="J393" s="70">
        <f>IFERROR(IF(K393&lt;&gt;0,K393*$K$5,0),0)</f>
        <v>35</v>
      </c>
      <c r="K393" s="70">
        <f>IF(A393=0,VLOOKUP(D393,'03. Insumos'!A:F,4,0),"")</f>
        <v>35</v>
      </c>
      <c r="L393" s="70">
        <f>H393*J393*I393</f>
        <v>0</v>
      </c>
      <c r="M393" s="355">
        <f t="shared" ca="1" si="51"/>
        <v>0</v>
      </c>
      <c r="O393" s="148"/>
      <c r="R393" s="356"/>
    </row>
    <row r="394" spans="1:18" s="59" customFormat="1" ht="13.5" hidden="1" customHeight="1" outlineLevel="1" x14ac:dyDescent="0.3">
      <c r="A394" s="13">
        <f t="shared" si="52"/>
        <v>0</v>
      </c>
      <c r="B394" s="55"/>
      <c r="C394" s="55"/>
      <c r="D394" s="140" t="s">
        <v>2775</v>
      </c>
      <c r="E394" s="67" t="str">
        <f>VLOOKUP(D394,'03. Insumos'!A:D,2,0)</f>
        <v>Celumassa Colante AC3 flexível 20Kg</v>
      </c>
      <c r="F394" s="68" t="s">
        <v>2612</v>
      </c>
      <c r="G394" s="68" t="str">
        <f>VLOOKUP(D394,'03. Insumos'!A:F,3,0)</f>
        <v>sc</v>
      </c>
      <c r="H394" s="69">
        <v>1</v>
      </c>
      <c r="I394" s="141">
        <f>ROUND((H391*8)/20,0)</f>
        <v>0</v>
      </c>
      <c r="J394" s="70">
        <f>IFERROR(IF(K394&lt;&gt;0,K394*$K$5,0),0)</f>
        <v>17.5</v>
      </c>
      <c r="K394" s="70">
        <f>IF(A394=0,VLOOKUP(D394,'03. Insumos'!A:F,4,0),"")</f>
        <v>17.5</v>
      </c>
      <c r="L394" s="70">
        <f>H394*J394*I394</f>
        <v>0</v>
      </c>
      <c r="M394" s="355">
        <f t="shared" ca="1" si="51"/>
        <v>0</v>
      </c>
      <c r="O394" s="148">
        <f>IF(I394&lt;&gt;0,I394*H394*K394,)</f>
        <v>0</v>
      </c>
      <c r="R394" s="356">
        <f>IF(J394&lt;&gt;0,J394/1.03-K394,0)</f>
        <v>-0.50970873786407722</v>
      </c>
    </row>
    <row r="395" spans="1:18" s="51" customFormat="1" ht="13.5" hidden="1" customHeight="1" outlineLevel="1" x14ac:dyDescent="0.3">
      <c r="A395" s="13">
        <f t="shared" si="52"/>
        <v>0</v>
      </c>
      <c r="B395" s="49"/>
      <c r="C395" s="49"/>
      <c r="D395" s="140" t="s">
        <v>772</v>
      </c>
      <c r="E395" s="67" t="str">
        <f>VLOOKUP(D395,'03. Insumos'!A:D,2,0)</f>
        <v xml:space="preserve">Rejunte acrílico Portokoll </v>
      </c>
      <c r="F395" s="68" t="s">
        <v>2612</v>
      </c>
      <c r="G395" s="68" t="str">
        <f>VLOOKUP(D395,'03. Insumos'!A:F,3,0)</f>
        <v>Kg</v>
      </c>
      <c r="H395" s="69">
        <v>1</v>
      </c>
      <c r="I395" s="141">
        <f>ROUNDUP((H391*0.2),0)</f>
        <v>0</v>
      </c>
      <c r="J395" s="70">
        <f>IFERROR(IF(K395&lt;&gt;0,K395*$K$5,0),0)</f>
        <v>19.87</v>
      </c>
      <c r="K395" s="70">
        <f>IF(A395=0,VLOOKUP(D395,'03. Insumos'!A:F,4,0),"")</f>
        <v>19.87</v>
      </c>
      <c r="L395" s="70">
        <f>H395*J395*I395</f>
        <v>0</v>
      </c>
      <c r="M395" s="355">
        <f t="shared" ca="1" si="51"/>
        <v>0</v>
      </c>
      <c r="O395" s="148">
        <f>IF(I395&lt;&gt;0,I395*H395*K395,)</f>
        <v>0</v>
      </c>
      <c r="R395" s="356">
        <f>IF(J395&lt;&gt;0,J395/1.03-K395,0)</f>
        <v>-0.57873786407767014</v>
      </c>
    </row>
    <row r="396" spans="1:18" s="51" customFormat="1" ht="13.5" hidden="1" customHeight="1" outlineLevel="1" x14ac:dyDescent="0.3">
      <c r="A396" s="13">
        <f t="shared" si="52"/>
        <v>0</v>
      </c>
      <c r="B396" s="49"/>
      <c r="C396" s="49"/>
      <c r="D396" s="140" t="s">
        <v>773</v>
      </c>
      <c r="E396" s="67" t="str">
        <f>VLOOKUP(D396,'03. Insumos'!A:D,2,0)</f>
        <v>Espaçador - Cunha</v>
      </c>
      <c r="F396" s="68" t="s">
        <v>2612</v>
      </c>
      <c r="G396" s="68" t="str">
        <f>VLOOKUP(D396,'03. Insumos'!A:F,3,0)</f>
        <v>50 pcs</v>
      </c>
      <c r="H396" s="69">
        <v>1</v>
      </c>
      <c r="I396" s="141">
        <f>ROUNDUP(((H391*5)/100),0)</f>
        <v>0</v>
      </c>
      <c r="J396" s="70">
        <f>IFERROR(IF(K396&lt;&gt;0,K396*$K$5,0),0)</f>
        <v>22.17</v>
      </c>
      <c r="K396" s="70">
        <f>IF(A396=0,VLOOKUP(D396,'03. Insumos'!A:F,4,0),"")</f>
        <v>22.17</v>
      </c>
      <c r="L396" s="70">
        <f>H396*J396*I396</f>
        <v>0</v>
      </c>
      <c r="M396" s="355">
        <f t="shared" ca="1" si="51"/>
        <v>0</v>
      </c>
      <c r="O396" s="148">
        <f>IF(I396&lt;&gt;0,I396*H396*K396,)</f>
        <v>0</v>
      </c>
      <c r="R396" s="356">
        <f>IF(J396&lt;&gt;0,J396/1.03-K396,0)</f>
        <v>-0.64572815533980688</v>
      </c>
    </row>
    <row r="397" spans="1:18" s="51" customFormat="1" ht="13.5" hidden="1" customHeight="1" outlineLevel="1" x14ac:dyDescent="0.3">
      <c r="A397" s="290">
        <f t="shared" si="52"/>
        <v>6</v>
      </c>
      <c r="B397" s="55"/>
      <c r="C397" s="55" t="s">
        <v>323</v>
      </c>
      <c r="D397" s="55" t="s">
        <v>2744</v>
      </c>
      <c r="E397" s="55"/>
      <c r="F397" s="56"/>
      <c r="G397" s="56" t="s">
        <v>73</v>
      </c>
      <c r="H397" s="57"/>
      <c r="I397" s="57"/>
      <c r="J397" s="58"/>
      <c r="K397" s="58" t="str">
        <f>IF(A397=0,VLOOKUP(D397,'03. Insumos'!A:F,4,0),"")</f>
        <v/>
      </c>
      <c r="L397" s="58">
        <f>SUM(L398:L402)</f>
        <v>0</v>
      </c>
      <c r="M397" s="153">
        <f t="shared" ca="1" si="51"/>
        <v>0</v>
      </c>
      <c r="O397" s="148"/>
      <c r="R397" s="12"/>
    </row>
    <row r="398" spans="1:18" s="51" customFormat="1" ht="13.5" hidden="1" customHeight="1" outlineLevel="1" x14ac:dyDescent="0.3">
      <c r="A398" s="13">
        <f t="shared" si="52"/>
        <v>0</v>
      </c>
      <c r="B398" s="49"/>
      <c r="C398" s="49"/>
      <c r="D398" s="140" t="s">
        <v>2766</v>
      </c>
      <c r="E398" s="67" t="str">
        <f>VLOOKUP(D398,'03. Insumos'!A:D,2,0)</f>
        <v>Material - Rodapé Porcelanato Margres Time T21- Snow Anti Slip 60x60cm</v>
      </c>
      <c r="F398" s="68" t="s">
        <v>2613</v>
      </c>
      <c r="G398" s="68" t="str">
        <f>VLOOKUP(D398,'03. Insumos'!A:F,3,0)</f>
        <v>m²</v>
      </c>
      <c r="H398" s="69">
        <v>1</v>
      </c>
      <c r="I398" s="395">
        <f>H397*1.15</f>
        <v>0</v>
      </c>
      <c r="J398" s="70">
        <f>IFERROR(IF(K398&lt;&gt;0,K398*$K$5,0),0)</f>
        <v>155.04</v>
      </c>
      <c r="K398" s="70">
        <f>IF(A398=0,VLOOKUP(D398,'03. Insumos'!A:F,4,0),"")</f>
        <v>155.04</v>
      </c>
      <c r="L398" s="70">
        <f>H398*J398*I398</f>
        <v>0</v>
      </c>
      <c r="M398" s="355">
        <f t="shared" ca="1" si="51"/>
        <v>0</v>
      </c>
      <c r="O398" s="148">
        <f>IF(I398&lt;&gt;0,I398*H398*K398,)</f>
        <v>0</v>
      </c>
      <c r="R398" s="356">
        <f>IF(J398&lt;&gt;0,J398/1.03-K398,0)</f>
        <v>-4.515728155339815</v>
      </c>
    </row>
    <row r="399" spans="1:18" s="51" customFormat="1" ht="13.5" hidden="1" customHeight="1" outlineLevel="1" x14ac:dyDescent="0.3">
      <c r="A399" s="13">
        <f t="shared" si="52"/>
        <v>0</v>
      </c>
      <c r="B399" s="49"/>
      <c r="C399" s="49"/>
      <c r="D399" s="140" t="s">
        <v>2405</v>
      </c>
      <c r="E399" s="67" t="str">
        <f>VLOOKUP(D399,'03. Insumos'!A:D,2,0)</f>
        <v>Mão de obra - Assentamento até 60x60cm</v>
      </c>
      <c r="F399" s="68" t="s">
        <v>2607</v>
      </c>
      <c r="G399" s="68" t="str">
        <f>VLOOKUP(D399,'03. Insumos'!A:F,3,0)</f>
        <v>m²</v>
      </c>
      <c r="H399" s="69">
        <v>1</v>
      </c>
      <c r="I399" s="141">
        <f>H397</f>
        <v>0</v>
      </c>
      <c r="J399" s="70">
        <f>IFERROR(IF(K399&lt;&gt;0,K399*$K$5,0),0)</f>
        <v>35</v>
      </c>
      <c r="K399" s="70">
        <f>IF(A399=0,VLOOKUP(D399,'03. Insumos'!A:F,4,0),"")</f>
        <v>35</v>
      </c>
      <c r="L399" s="70">
        <f>H399*J399*I399</f>
        <v>0</v>
      </c>
      <c r="M399" s="355">
        <f t="shared" ca="1" si="51"/>
        <v>0</v>
      </c>
      <c r="O399" s="148"/>
      <c r="R399" s="356"/>
    </row>
    <row r="400" spans="1:18" s="59" customFormat="1" ht="13.5" hidden="1" customHeight="1" outlineLevel="1" x14ac:dyDescent="0.3">
      <c r="A400" s="13">
        <f t="shared" si="52"/>
        <v>0</v>
      </c>
      <c r="B400" s="55"/>
      <c r="C400" s="55"/>
      <c r="D400" s="140" t="s">
        <v>2775</v>
      </c>
      <c r="E400" s="67" t="str">
        <f>VLOOKUP(D400,'03. Insumos'!A:D,2,0)</f>
        <v>Celumassa Colante AC3 flexível 20Kg</v>
      </c>
      <c r="F400" s="68" t="s">
        <v>2612</v>
      </c>
      <c r="G400" s="68" t="str">
        <f>VLOOKUP(D400,'03. Insumos'!A:F,3,0)</f>
        <v>sc</v>
      </c>
      <c r="H400" s="69">
        <v>1</v>
      </c>
      <c r="I400" s="141">
        <f>ROUND((H397*8)/20,0)</f>
        <v>0</v>
      </c>
      <c r="J400" s="70">
        <f>IFERROR(IF(K400&lt;&gt;0,K400*$K$5,0),0)</f>
        <v>17.5</v>
      </c>
      <c r="K400" s="70">
        <f>IF(A400=0,VLOOKUP(D400,'03. Insumos'!A:F,4,0),"")</f>
        <v>17.5</v>
      </c>
      <c r="L400" s="70">
        <f>H400*J400*I400</f>
        <v>0</v>
      </c>
      <c r="M400" s="355">
        <f t="shared" ca="1" si="51"/>
        <v>0</v>
      </c>
      <c r="O400" s="148">
        <f>IF(I400&lt;&gt;0,I400*H400*K400,)</f>
        <v>0</v>
      </c>
      <c r="R400" s="356">
        <f>IF(J400&lt;&gt;0,J400/1.03-K400,0)</f>
        <v>-0.50970873786407722</v>
      </c>
    </row>
    <row r="401" spans="1:18" s="51" customFormat="1" ht="13.5" hidden="1" customHeight="1" outlineLevel="1" x14ac:dyDescent="0.3">
      <c r="A401" s="13">
        <f t="shared" si="52"/>
        <v>0</v>
      </c>
      <c r="B401" s="49"/>
      <c r="C401" s="49"/>
      <c r="D401" s="140" t="s">
        <v>772</v>
      </c>
      <c r="E401" s="67" t="str">
        <f>VLOOKUP(D401,'03. Insumos'!A:D,2,0)</f>
        <v xml:space="preserve">Rejunte acrílico Portokoll </v>
      </c>
      <c r="F401" s="68" t="s">
        <v>2612</v>
      </c>
      <c r="G401" s="68" t="str">
        <f>VLOOKUP(D401,'03. Insumos'!A:F,3,0)</f>
        <v>Kg</v>
      </c>
      <c r="H401" s="69">
        <v>1</v>
      </c>
      <c r="I401" s="141">
        <f>ROUNDUP((H397*0.2),0)</f>
        <v>0</v>
      </c>
      <c r="J401" s="70">
        <f>IFERROR(IF(K401&lt;&gt;0,K401*$K$5,0),0)</f>
        <v>19.87</v>
      </c>
      <c r="K401" s="70">
        <f>IF(A401=0,VLOOKUP(D401,'03. Insumos'!A:F,4,0),"")</f>
        <v>19.87</v>
      </c>
      <c r="L401" s="70">
        <f>H401*J401*I401</f>
        <v>0</v>
      </c>
      <c r="M401" s="355">
        <f t="shared" ca="1" si="51"/>
        <v>0</v>
      </c>
      <c r="O401" s="148">
        <f>IF(I401&lt;&gt;0,I401*H401*K401,)</f>
        <v>0</v>
      </c>
      <c r="R401" s="356">
        <f>IF(J401&lt;&gt;0,J401/1.03-K401,0)</f>
        <v>-0.57873786407767014</v>
      </c>
    </row>
    <row r="402" spans="1:18" s="51" customFormat="1" ht="13.5" hidden="1" customHeight="1" outlineLevel="1" x14ac:dyDescent="0.3">
      <c r="A402" s="13">
        <f t="shared" si="52"/>
        <v>0</v>
      </c>
      <c r="B402" s="49"/>
      <c r="C402" s="49"/>
      <c r="D402" s="140" t="s">
        <v>773</v>
      </c>
      <c r="E402" s="67" t="str">
        <f>VLOOKUP(D402,'03. Insumos'!A:D,2,0)</f>
        <v>Espaçador - Cunha</v>
      </c>
      <c r="F402" s="68" t="s">
        <v>2612</v>
      </c>
      <c r="G402" s="68" t="str">
        <f>VLOOKUP(D402,'03. Insumos'!A:F,3,0)</f>
        <v>50 pcs</v>
      </c>
      <c r="H402" s="69">
        <v>1</v>
      </c>
      <c r="I402" s="141">
        <f>ROUNDUP(((H397*5)/100),0)</f>
        <v>0</v>
      </c>
      <c r="J402" s="70">
        <f>IFERROR(IF(K402&lt;&gt;0,K402*$K$5,0),0)</f>
        <v>22.17</v>
      </c>
      <c r="K402" s="70">
        <f>IF(A402=0,VLOOKUP(D402,'03. Insumos'!A:F,4,0),"")</f>
        <v>22.17</v>
      </c>
      <c r="L402" s="70">
        <f>H402*J402*I402</f>
        <v>0</v>
      </c>
      <c r="M402" s="355">
        <f t="shared" ca="1" si="51"/>
        <v>0</v>
      </c>
      <c r="O402" s="148">
        <f>IF(I402&lt;&gt;0,I402*H402*K402,)</f>
        <v>0</v>
      </c>
      <c r="R402" s="356">
        <f>IF(J402&lt;&gt;0,J402/1.03-K402,0)</f>
        <v>-0.64572815533980688</v>
      </c>
    </row>
    <row r="403" spans="1:18" s="51" customFormat="1" ht="13.5" hidden="1" customHeight="1" outlineLevel="1" x14ac:dyDescent="0.3">
      <c r="A403" s="13">
        <f t="shared" si="52"/>
        <v>6</v>
      </c>
      <c r="B403" s="49"/>
      <c r="C403" s="55" t="s">
        <v>1176</v>
      </c>
      <c r="D403" s="55" t="s">
        <v>2834</v>
      </c>
      <c r="E403" s="67"/>
      <c r="F403" s="68"/>
      <c r="G403" s="56" t="s">
        <v>73</v>
      </c>
      <c r="H403" s="57"/>
      <c r="I403" s="141"/>
      <c r="J403" s="70"/>
      <c r="K403" s="54"/>
      <c r="L403" s="58">
        <f>SUM(L404:L407)</f>
        <v>0</v>
      </c>
      <c r="M403" s="355">
        <f t="shared" ca="1" si="51"/>
        <v>0</v>
      </c>
      <c r="O403" s="148"/>
      <c r="R403" s="356"/>
    </row>
    <row r="404" spans="1:18" s="51" customFormat="1" ht="13.5" hidden="1" customHeight="1" outlineLevel="1" x14ac:dyDescent="0.3">
      <c r="A404" s="13">
        <f t="shared" si="52"/>
        <v>0</v>
      </c>
      <c r="B404" s="49"/>
      <c r="C404" s="49"/>
      <c r="D404" s="140" t="s">
        <v>2836</v>
      </c>
      <c r="E404" s="67" t="str">
        <f>VLOOKUP(D404,'03. Insumos'!A:D,2,0)</f>
        <v>material - fornecimento Travertino Rock Face 7,5x20,3cm</v>
      </c>
      <c r="F404" s="68" t="s">
        <v>2613</v>
      </c>
      <c r="G404" s="68" t="str">
        <f>VLOOKUP(D404,'03. Insumos'!A:F,3,0)</f>
        <v>m²</v>
      </c>
      <c r="H404" s="69">
        <v>1</v>
      </c>
      <c r="I404" s="395">
        <f>H403*1.1</f>
        <v>0</v>
      </c>
      <c r="J404" s="70">
        <f>IFERROR(IF(K404&lt;&gt;0,K404*$K$5,0),0)</f>
        <v>391</v>
      </c>
      <c r="K404" s="70">
        <f>IF(A404=0,VLOOKUP(D404,'03. Insumos'!A:F,4,0),"")</f>
        <v>391</v>
      </c>
      <c r="L404" s="70">
        <f>H404*J404*I404</f>
        <v>0</v>
      </c>
      <c r="M404" s="355">
        <f t="shared" ca="1" si="51"/>
        <v>0</v>
      </c>
      <c r="O404" s="148"/>
      <c r="R404" s="356"/>
    </row>
    <row r="405" spans="1:18" s="51" customFormat="1" ht="13.5" hidden="1" customHeight="1" outlineLevel="1" x14ac:dyDescent="0.3">
      <c r="A405" s="13">
        <f t="shared" si="52"/>
        <v>0</v>
      </c>
      <c r="B405" s="49"/>
      <c r="C405" s="49"/>
      <c r="D405" s="140" t="s">
        <v>2405</v>
      </c>
      <c r="E405" s="67" t="str">
        <f>VLOOKUP(D405,'03. Insumos'!A:D,2,0)</f>
        <v>Mão de obra - Assentamento até 60x60cm</v>
      </c>
      <c r="F405" s="68" t="s">
        <v>2607</v>
      </c>
      <c r="G405" s="68" t="str">
        <f>VLOOKUP(D405,'03. Insumos'!A:F,3,0)</f>
        <v>m²</v>
      </c>
      <c r="H405" s="69">
        <v>1</v>
      </c>
      <c r="I405" s="141">
        <f>H403</f>
        <v>0</v>
      </c>
      <c r="J405" s="70">
        <f>IFERROR(IF(K405&lt;&gt;0,K405*$K$5,0),0)</f>
        <v>35</v>
      </c>
      <c r="K405" s="70">
        <f>IF(A405=0,VLOOKUP(D405,'03. Insumos'!A:F,4,0),"")</f>
        <v>35</v>
      </c>
      <c r="L405" s="70">
        <f>H405*J405*I405</f>
        <v>0</v>
      </c>
      <c r="M405" s="355">
        <f t="shared" ca="1" si="51"/>
        <v>0</v>
      </c>
      <c r="O405" s="148"/>
      <c r="R405" s="356"/>
    </row>
    <row r="406" spans="1:18" s="51" customFormat="1" ht="13.5" hidden="1" customHeight="1" outlineLevel="1" x14ac:dyDescent="0.3">
      <c r="A406" s="13">
        <f t="shared" si="52"/>
        <v>0</v>
      </c>
      <c r="B406" s="49"/>
      <c r="C406" s="49"/>
      <c r="D406" s="140" t="s">
        <v>2775</v>
      </c>
      <c r="E406" s="67" t="str">
        <f>VLOOKUP(D406,'03. Insumos'!A:D,2,0)</f>
        <v>Celumassa Colante AC3 flexível 20Kg</v>
      </c>
      <c r="F406" s="68" t="s">
        <v>2612</v>
      </c>
      <c r="G406" s="68" t="str">
        <f>VLOOKUP(D406,'03. Insumos'!A:F,3,0)</f>
        <v>sc</v>
      </c>
      <c r="H406" s="69">
        <v>1</v>
      </c>
      <c r="I406" s="141">
        <f>ROUND((H403*8)/20,0)</f>
        <v>0</v>
      </c>
      <c r="J406" s="70">
        <f>IFERROR(IF(K406&lt;&gt;0,K406*$K$5,0),0)</f>
        <v>17.5</v>
      </c>
      <c r="K406" s="70">
        <f>IF(A406=0,VLOOKUP(D406,'03. Insumos'!A:F,4,0),"")</f>
        <v>17.5</v>
      </c>
      <c r="L406" s="70">
        <f>H406*J406*I406</f>
        <v>0</v>
      </c>
      <c r="M406" s="355">
        <f t="shared" ca="1" si="51"/>
        <v>0</v>
      </c>
      <c r="O406" s="148"/>
      <c r="R406" s="356"/>
    </row>
    <row r="407" spans="1:18" s="51" customFormat="1" ht="13.5" hidden="1" customHeight="1" outlineLevel="1" x14ac:dyDescent="0.3">
      <c r="A407" s="13">
        <f t="shared" si="52"/>
        <v>0</v>
      </c>
      <c r="B407" s="49"/>
      <c r="C407" s="49"/>
      <c r="D407" s="140" t="s">
        <v>773</v>
      </c>
      <c r="E407" s="67" t="str">
        <f>VLOOKUP(D407,'03. Insumos'!A:D,2,0)</f>
        <v>Espaçador - Cunha</v>
      </c>
      <c r="F407" s="68" t="s">
        <v>2612</v>
      </c>
      <c r="G407" s="68" t="str">
        <f>VLOOKUP(D407,'03. Insumos'!A:F,3,0)</f>
        <v>50 pcs</v>
      </c>
      <c r="H407" s="69">
        <v>1</v>
      </c>
      <c r="I407" s="141">
        <f>ROUNDUP(((H403*5)/100),0)</f>
        <v>0</v>
      </c>
      <c r="J407" s="70">
        <f>IFERROR(IF(K407&lt;&gt;0,K407*$K$5,0),0)</f>
        <v>22.17</v>
      </c>
      <c r="K407" s="70">
        <f>IF(A407=0,VLOOKUP(D407,'03. Insumos'!A:F,4,0),"")</f>
        <v>22.17</v>
      </c>
      <c r="L407" s="70">
        <f>H407*J407*I407</f>
        <v>0</v>
      </c>
      <c r="M407" s="355">
        <f t="shared" ca="1" si="51"/>
        <v>0</v>
      </c>
      <c r="O407" s="148"/>
      <c r="R407" s="356"/>
    </row>
    <row r="408" spans="1:18" s="59" customFormat="1" ht="13.5" hidden="1" customHeight="1" outlineLevel="1" x14ac:dyDescent="0.3">
      <c r="A408" s="13">
        <f t="shared" si="52"/>
        <v>6</v>
      </c>
      <c r="B408" s="55"/>
      <c r="C408" s="55" t="s">
        <v>321</v>
      </c>
      <c r="D408" s="55" t="s">
        <v>2283</v>
      </c>
      <c r="E408" s="55"/>
      <c r="F408" s="56"/>
      <c r="G408" s="56" t="s">
        <v>73</v>
      </c>
      <c r="H408" s="57"/>
      <c r="I408" s="57"/>
      <c r="J408" s="58"/>
      <c r="K408" s="58" t="str">
        <f>IF(A408=0,VLOOKUP(D408,'03. Insumos'!A:F,4,0),"")</f>
        <v/>
      </c>
      <c r="L408" s="58">
        <f>SUM(L409:L410)</f>
        <v>0</v>
      </c>
      <c r="M408" s="355">
        <f t="shared" ca="1" si="51"/>
        <v>0</v>
      </c>
      <c r="O408" s="148">
        <f>IF(I408&lt;&gt;0,I408*H408*K408,)</f>
        <v>0</v>
      </c>
      <c r="R408" s="356">
        <f>IF(J408&lt;&gt;0,J408/1.03-K408,0)</f>
        <v>0</v>
      </c>
    </row>
    <row r="409" spans="1:18" s="51" customFormat="1" ht="13.5" hidden="1" customHeight="1" outlineLevel="1" x14ac:dyDescent="0.3">
      <c r="A409" s="13">
        <f t="shared" si="52"/>
        <v>0</v>
      </c>
      <c r="B409" s="49"/>
      <c r="C409" s="49"/>
      <c r="D409" s="140" t="s">
        <v>2286</v>
      </c>
      <c r="E409" s="67" t="str">
        <f>VLOOKUP(D409,'03. Insumos'!A:D,2,0)</f>
        <v>Material - Fornecimento de microseixos</v>
      </c>
      <c r="F409" s="68" t="s">
        <v>2613</v>
      </c>
      <c r="G409" s="68" t="str">
        <f>VLOOKUP(D409,'03. Insumos'!A:F,3,0)</f>
        <v>m²</v>
      </c>
      <c r="H409" s="69">
        <v>1</v>
      </c>
      <c r="I409" s="141">
        <f>H408*1.1</f>
        <v>0</v>
      </c>
      <c r="J409" s="70">
        <f>IFERROR(IF(K409&lt;&gt;0,K409*$K$5,0),0)</f>
        <v>61.01</v>
      </c>
      <c r="K409" s="54">
        <f>IF(A409=0,VLOOKUP(D409,'03. Insumos'!A:F,4,0),"")</f>
        <v>61.01</v>
      </c>
      <c r="L409" s="70">
        <f>H409*J409*I409</f>
        <v>0</v>
      </c>
      <c r="M409" s="355">
        <f t="shared" ca="1" si="51"/>
        <v>0</v>
      </c>
      <c r="O409" s="148">
        <f>IF(I409&lt;&gt;0,I409*H409*K409,)</f>
        <v>0</v>
      </c>
      <c r="R409" s="356">
        <f>IF(J409&lt;&gt;0,J409/1.03-K409,0)</f>
        <v>-1.7769902912621376</v>
      </c>
    </row>
    <row r="410" spans="1:18" s="51" customFormat="1" ht="13.5" hidden="1" customHeight="1" outlineLevel="1" x14ac:dyDescent="0.3">
      <c r="A410" s="13">
        <f t="shared" si="52"/>
        <v>0</v>
      </c>
      <c r="B410" s="49"/>
      <c r="C410" s="49"/>
      <c r="D410" s="140" t="s">
        <v>2287</v>
      </c>
      <c r="E410" s="67" t="str">
        <f>VLOOKUP(D410,'03. Insumos'!A:D,2,0)</f>
        <v>Mão de obra - Assentamento de microseixos</v>
      </c>
      <c r="F410" s="68" t="s">
        <v>2607</v>
      </c>
      <c r="G410" s="68" t="str">
        <f>VLOOKUP(D410,'03. Insumos'!A:F,3,0)</f>
        <v>m²</v>
      </c>
      <c r="H410" s="69">
        <v>1</v>
      </c>
      <c r="I410" s="141">
        <f>H408</f>
        <v>0</v>
      </c>
      <c r="J410" s="70">
        <f>IFERROR(IF(K410&lt;&gt;0,K410*$K$5,0),0)</f>
        <v>30</v>
      </c>
      <c r="K410" s="54">
        <f>IF(A410=0,VLOOKUP(D410,'03. Insumos'!A:F,4,0),"")</f>
        <v>30</v>
      </c>
      <c r="L410" s="70">
        <f>H410*J410*I410</f>
        <v>0</v>
      </c>
      <c r="M410" s="355">
        <f t="shared" ca="1" si="51"/>
        <v>0</v>
      </c>
      <c r="O410" s="148"/>
      <c r="R410" s="356"/>
    </row>
    <row r="411" spans="1:18" s="59" customFormat="1" ht="13.5" hidden="1" customHeight="1" outlineLevel="1" x14ac:dyDescent="0.3">
      <c r="A411" s="13">
        <f t="shared" si="52"/>
        <v>6</v>
      </c>
      <c r="B411" s="55"/>
      <c r="C411" s="55" t="s">
        <v>1298</v>
      </c>
      <c r="D411" s="55" t="s">
        <v>2292</v>
      </c>
      <c r="E411" s="55"/>
      <c r="F411" s="56"/>
      <c r="G411" s="56" t="s">
        <v>73</v>
      </c>
      <c r="H411" s="57"/>
      <c r="I411" s="57"/>
      <c r="J411" s="58"/>
      <c r="K411" s="58" t="str">
        <f>IF(A411=0,VLOOKUP(D411,'03. Insumos'!A:F,4,0),"")</f>
        <v/>
      </c>
      <c r="L411" s="58">
        <f>SUM(L412:L416)</f>
        <v>0</v>
      </c>
      <c r="M411" s="355">
        <f t="shared" ca="1" si="51"/>
        <v>0</v>
      </c>
      <c r="O411" s="148">
        <f>IF(I411&lt;&gt;0,I411*H411*K411,)</f>
        <v>0</v>
      </c>
      <c r="R411" s="356">
        <f>IF(J411&lt;&gt;0,J411/1.03-K411,0)</f>
        <v>0</v>
      </c>
    </row>
    <row r="412" spans="1:18" s="51" customFormat="1" ht="13.5" hidden="1" customHeight="1" outlineLevel="1" x14ac:dyDescent="0.3">
      <c r="A412" s="13">
        <f t="shared" si="52"/>
        <v>0</v>
      </c>
      <c r="B412" s="49"/>
      <c r="C412" s="49"/>
      <c r="D412" s="140" t="s">
        <v>2290</v>
      </c>
      <c r="E412" s="67" t="str">
        <f>VLOOKUP(D412,'03. Insumos'!A:D,2,0)</f>
        <v>Material - Fornecimento de papel de parede</v>
      </c>
      <c r="F412" s="68" t="s">
        <v>2613</v>
      </c>
      <c r="G412" s="68" t="str">
        <f>VLOOKUP(D412,'03. Insumos'!A:F,3,0)</f>
        <v>m²</v>
      </c>
      <c r="H412" s="69">
        <v>1</v>
      </c>
      <c r="I412" s="141">
        <f>H411*1.1</f>
        <v>0</v>
      </c>
      <c r="J412" s="70">
        <f>IFERROR(IF(K412&lt;&gt;0,K412*$K$5,0),0)</f>
        <v>88.888888888888886</v>
      </c>
      <c r="K412" s="54">
        <f>IF(A412=0,VLOOKUP(D412,'03. Insumos'!A:F,4,0),"")</f>
        <v>88.888888888888886</v>
      </c>
      <c r="L412" s="70">
        <f>H412*J412*I412</f>
        <v>0</v>
      </c>
      <c r="M412" s="355">
        <f t="shared" ca="1" si="51"/>
        <v>0</v>
      </c>
      <c r="O412" s="148">
        <f>IF(I412&lt;&gt;0,I412*H412*K412,)</f>
        <v>0</v>
      </c>
      <c r="R412" s="356">
        <f>IF(J412&lt;&gt;0,J412/1.03-K412,0)</f>
        <v>-2.5889967637540536</v>
      </c>
    </row>
    <row r="413" spans="1:18" s="51" customFormat="1" ht="13.5" hidden="1" customHeight="1" outlineLevel="1" x14ac:dyDescent="0.3">
      <c r="A413" s="13">
        <f t="shared" si="52"/>
        <v>0</v>
      </c>
      <c r="B413" s="49"/>
      <c r="C413" s="49"/>
      <c r="D413" s="140" t="s">
        <v>2291</v>
      </c>
      <c r="E413" s="67" t="str">
        <f>VLOOKUP(D413,'03. Insumos'!A:D,2,0)</f>
        <v>Mão de obra - Instalação de papel de parede</v>
      </c>
      <c r="F413" s="68" t="s">
        <v>2599</v>
      </c>
      <c r="G413" s="68" t="str">
        <f>VLOOKUP(D413,'03. Insumos'!A:F,3,0)</f>
        <v>m²</v>
      </c>
      <c r="H413" s="69">
        <v>1</v>
      </c>
      <c r="I413" s="141">
        <f>H411</f>
        <v>0</v>
      </c>
      <c r="J413" s="70">
        <f>IFERROR(IF(K413&lt;&gt;0,K413*$K$5,0),0)</f>
        <v>40</v>
      </c>
      <c r="K413" s="54">
        <f>IF(A413=0,VLOOKUP(D413,'03. Insumos'!A:F,4,0),"")</f>
        <v>40</v>
      </c>
      <c r="L413" s="70">
        <f>H413*J413*I413</f>
        <v>0</v>
      </c>
      <c r="M413" s="355">
        <f t="shared" ca="1" si="51"/>
        <v>0</v>
      </c>
      <c r="O413" s="148"/>
      <c r="R413" s="356"/>
    </row>
    <row r="414" spans="1:18" s="51" customFormat="1" ht="13.5" hidden="1" customHeight="1" outlineLevel="1" x14ac:dyDescent="0.3">
      <c r="A414" s="13">
        <f t="shared" si="52"/>
        <v>0</v>
      </c>
      <c r="B414" s="49"/>
      <c r="C414" s="49"/>
      <c r="D414" s="140" t="s">
        <v>199</v>
      </c>
      <c r="E414" s="67" t="str">
        <f>VLOOKUP(D414,'03. Insumos'!A:D,2,0)</f>
        <v>Argamassa colante 20kg</v>
      </c>
      <c r="F414" s="68"/>
      <c r="G414" s="68" t="str">
        <f>VLOOKUP(D414,'03. Insumos'!A:F,3,0)</f>
        <v>uni</v>
      </c>
      <c r="H414" s="69"/>
      <c r="I414" s="141">
        <f>ROUND((H411*8)/20,0)</f>
        <v>0</v>
      </c>
      <c r="J414" s="70">
        <f>IFERROR(IF(K414&lt;&gt;0,K414*$K$5,0),0)</f>
        <v>21.9</v>
      </c>
      <c r="K414" s="54">
        <f>IF(A414=0,VLOOKUP(D414,'03. Insumos'!A:F,4,0),"")</f>
        <v>21.9</v>
      </c>
      <c r="L414" s="70">
        <f>H414*J414*I414</f>
        <v>0</v>
      </c>
      <c r="M414" s="355">
        <f t="shared" ca="1" si="51"/>
        <v>0</v>
      </c>
      <c r="O414" s="148"/>
      <c r="R414" s="356"/>
    </row>
    <row r="415" spans="1:18" s="51" customFormat="1" ht="13.5" hidden="1" customHeight="1" outlineLevel="1" x14ac:dyDescent="0.3">
      <c r="A415" s="13">
        <f t="shared" si="52"/>
        <v>0</v>
      </c>
      <c r="B415" s="49"/>
      <c r="C415" s="49"/>
      <c r="D415" s="140" t="s">
        <v>772</v>
      </c>
      <c r="E415" s="67" t="str">
        <f>VLOOKUP(D415,'03. Insumos'!A:D,2,0)</f>
        <v xml:space="preserve">Rejunte acrílico Portokoll </v>
      </c>
      <c r="F415" s="68"/>
      <c r="G415" s="68" t="str">
        <f>VLOOKUP(D415,'03. Insumos'!A:F,3,0)</f>
        <v>Kg</v>
      </c>
      <c r="H415" s="69"/>
      <c r="I415" s="141"/>
      <c r="J415" s="70">
        <f>IFERROR(IF(K415&lt;&gt;0,K415*$K$5,0),0)</f>
        <v>19.87</v>
      </c>
      <c r="K415" s="54">
        <f>IF(A415=0,VLOOKUP(D415,'03. Insumos'!A:F,4,0),"")</f>
        <v>19.87</v>
      </c>
      <c r="L415" s="70">
        <f>H415*J415*I415</f>
        <v>0</v>
      </c>
      <c r="M415" s="355">
        <f t="shared" ca="1" si="51"/>
        <v>0</v>
      </c>
      <c r="O415" s="148"/>
      <c r="R415" s="356"/>
    </row>
    <row r="416" spans="1:18" s="51" customFormat="1" ht="13.5" hidden="1" customHeight="1" outlineLevel="1" x14ac:dyDescent="0.3">
      <c r="A416" s="13">
        <f t="shared" si="52"/>
        <v>0</v>
      </c>
      <c r="B416" s="49"/>
      <c r="C416" s="49"/>
      <c r="D416" s="140" t="s">
        <v>773</v>
      </c>
      <c r="E416" s="67" t="str">
        <f>VLOOKUP(D416,'03. Insumos'!A:D,2,0)</f>
        <v>Espaçador - Cunha</v>
      </c>
      <c r="F416" s="68"/>
      <c r="G416" s="68" t="str">
        <f>VLOOKUP(D416,'03. Insumos'!A:F,3,0)</f>
        <v>50 pcs</v>
      </c>
      <c r="H416" s="69"/>
      <c r="I416" s="141"/>
      <c r="J416" s="70">
        <f>IFERROR(IF(K416&lt;&gt;0,K416*$K$5,0),0)</f>
        <v>22.17</v>
      </c>
      <c r="K416" s="54">
        <f>IF(A416=0,VLOOKUP(D416,'03. Insumos'!A:F,4,0),"")</f>
        <v>22.17</v>
      </c>
      <c r="L416" s="70">
        <f>H416*J416*I416</f>
        <v>0</v>
      </c>
      <c r="M416" s="355">
        <f t="shared" ca="1" si="51"/>
        <v>0</v>
      </c>
      <c r="O416" s="148"/>
      <c r="R416" s="356"/>
    </row>
    <row r="417" spans="1:18" s="51" customFormat="1" ht="13.5" hidden="1" customHeight="1" outlineLevel="1" x14ac:dyDescent="0.3">
      <c r="A417" s="13">
        <f t="shared" si="52"/>
        <v>6</v>
      </c>
      <c r="B417" s="49"/>
      <c r="C417" s="55" t="s">
        <v>322</v>
      </c>
      <c r="D417" s="55" t="s">
        <v>2295</v>
      </c>
      <c r="E417" s="67"/>
      <c r="F417" s="68"/>
      <c r="G417" s="56" t="s">
        <v>73</v>
      </c>
      <c r="H417" s="57"/>
      <c r="I417" s="141"/>
      <c r="J417" s="70"/>
      <c r="K417" s="54"/>
      <c r="L417" s="58">
        <f>SUM(L418:L421)</f>
        <v>0</v>
      </c>
      <c r="M417" s="355">
        <f t="shared" ca="1" si="51"/>
        <v>0</v>
      </c>
      <c r="O417" s="148"/>
      <c r="R417" s="356"/>
    </row>
    <row r="418" spans="1:18" s="51" customFormat="1" ht="13.5" hidden="1" customHeight="1" outlineLevel="1" x14ac:dyDescent="0.3">
      <c r="A418" s="13">
        <f t="shared" si="52"/>
        <v>0</v>
      </c>
      <c r="B418" s="49"/>
      <c r="C418" s="49"/>
      <c r="D418" s="140" t="s">
        <v>2293</v>
      </c>
      <c r="E418" s="67" t="str">
        <f>VLOOKUP(D418,'03. Insumos'!A:D,2,0)</f>
        <v>Material - Base seladora de alto desempenho</v>
      </c>
      <c r="F418" s="68" t="s">
        <v>2613</v>
      </c>
      <c r="G418" s="68" t="str">
        <f>VLOOKUP(D418,'03. Insumos'!A:F,3,0)</f>
        <v>L</v>
      </c>
      <c r="H418" s="69">
        <v>1</v>
      </c>
      <c r="I418" s="141">
        <f>H417*1.1</f>
        <v>0</v>
      </c>
      <c r="J418" s="70">
        <f>IFERROR(IF(K418&lt;&gt;0,K418*$K$5,0),0)</f>
        <v>54.5</v>
      </c>
      <c r="K418" s="54">
        <f>IF(A418=0,VLOOKUP(D418,'03. Insumos'!A:F,4,0),"")</f>
        <v>54.5</v>
      </c>
      <c r="L418" s="70">
        <f>H418*J418*I418</f>
        <v>0</v>
      </c>
      <c r="M418" s="355">
        <f t="shared" ca="1" si="51"/>
        <v>0</v>
      </c>
      <c r="O418" s="148"/>
      <c r="R418" s="356"/>
    </row>
    <row r="419" spans="1:18" s="51" customFormat="1" ht="13.5" hidden="1" customHeight="1" outlineLevel="1" x14ac:dyDescent="0.3">
      <c r="A419" s="13">
        <f t="shared" si="52"/>
        <v>0</v>
      </c>
      <c r="B419" s="49"/>
      <c r="C419" s="49"/>
      <c r="D419" s="140" t="s">
        <v>2294</v>
      </c>
      <c r="E419" s="67" t="str">
        <f>VLOOKUP(D419,'03. Insumos'!A:D,2,0)</f>
        <v>Material - Cera Impermeabilizante alto desempenho</v>
      </c>
      <c r="F419" s="68" t="s">
        <v>2607</v>
      </c>
      <c r="G419" s="68" t="str">
        <f>VLOOKUP(D419,'03. Insumos'!A:F,3,0)</f>
        <v>L</v>
      </c>
      <c r="H419" s="69">
        <v>1</v>
      </c>
      <c r="I419" s="141">
        <f>H417</f>
        <v>0</v>
      </c>
      <c r="J419" s="70">
        <f>IFERROR(IF(K419&lt;&gt;0,K419*$K$5,0),0)</f>
        <v>70.849999999999994</v>
      </c>
      <c r="K419" s="54">
        <f>IF(A419=0,VLOOKUP(D419,'03. Insumos'!A:F,4,0),"")</f>
        <v>70.849999999999994</v>
      </c>
      <c r="L419" s="70">
        <f>H419*J419*I419</f>
        <v>0</v>
      </c>
      <c r="M419" s="355">
        <f t="shared" ca="1" si="51"/>
        <v>0</v>
      </c>
      <c r="O419" s="148"/>
      <c r="R419" s="356"/>
    </row>
    <row r="420" spans="1:18" s="51" customFormat="1" ht="13.5" hidden="1" customHeight="1" outlineLevel="1" x14ac:dyDescent="0.3">
      <c r="A420" s="13">
        <f t="shared" si="52"/>
        <v>0</v>
      </c>
      <c r="B420" s="49"/>
      <c r="C420" s="49"/>
      <c r="D420" s="140" t="s">
        <v>199</v>
      </c>
      <c r="E420" s="67" t="str">
        <f>VLOOKUP(D420,'03. Insumos'!A:D,2,0)</f>
        <v>Argamassa colante 20kg</v>
      </c>
      <c r="F420" s="68" t="s">
        <v>2612</v>
      </c>
      <c r="G420" s="68" t="str">
        <f>VLOOKUP(D420,'03. Insumos'!A:F,3,0)</f>
        <v>uni</v>
      </c>
      <c r="H420" s="69">
        <v>1</v>
      </c>
      <c r="I420" s="141">
        <f>ROUND((H417*8)/20,0)</f>
        <v>0</v>
      </c>
      <c r="J420" s="70">
        <f>IFERROR(IF(K420&lt;&gt;0,K420*$K$5,0),0)</f>
        <v>21.9</v>
      </c>
      <c r="K420" s="54">
        <f>IF(A420=0,VLOOKUP(D420,'03. Insumos'!A:F,4,0),"")</f>
        <v>21.9</v>
      </c>
      <c r="L420" s="70">
        <f>H420*J420*I420</f>
        <v>0</v>
      </c>
      <c r="M420" s="355">
        <f t="shared" ca="1" si="51"/>
        <v>0</v>
      </c>
      <c r="O420" s="148"/>
      <c r="R420" s="356"/>
    </row>
    <row r="421" spans="1:18" s="51" customFormat="1" ht="13.5" hidden="1" customHeight="1" outlineLevel="1" x14ac:dyDescent="0.3">
      <c r="A421" s="13">
        <f t="shared" si="52"/>
        <v>0</v>
      </c>
      <c r="B421" s="49"/>
      <c r="C421" s="49"/>
      <c r="D421" s="140" t="s">
        <v>773</v>
      </c>
      <c r="E421" s="67" t="str">
        <f>VLOOKUP(D421,'03. Insumos'!A:D,2,0)</f>
        <v>Espaçador - Cunha</v>
      </c>
      <c r="F421" s="68" t="s">
        <v>2612</v>
      </c>
      <c r="G421" s="68" t="str">
        <f>VLOOKUP(D421,'03. Insumos'!A:F,3,0)</f>
        <v>50 pcs</v>
      </c>
      <c r="H421" s="69">
        <v>1</v>
      </c>
      <c r="I421" s="141">
        <f>ROUNDUP(((H417*5)/100),0)</f>
        <v>0</v>
      </c>
      <c r="J421" s="70">
        <f>IFERROR(IF(K421&lt;&gt;0,K421*$K$5,0),0)</f>
        <v>22.17</v>
      </c>
      <c r="K421" s="54">
        <f>IF(A421=0,VLOOKUP(D421,'03. Insumos'!A:F,4,0),"")</f>
        <v>22.17</v>
      </c>
      <c r="L421" s="70">
        <f>H421*J421*I421</f>
        <v>0</v>
      </c>
      <c r="M421" s="355">
        <f t="shared" ca="1" si="51"/>
        <v>0</v>
      </c>
      <c r="O421" s="148"/>
      <c r="R421" s="356"/>
    </row>
    <row r="422" spans="1:18" s="51" customFormat="1" ht="13.5" hidden="1" customHeight="1" outlineLevel="1" x14ac:dyDescent="0.3">
      <c r="A422" s="13">
        <f t="shared" si="52"/>
        <v>6</v>
      </c>
      <c r="B422" s="49"/>
      <c r="C422" s="55" t="s">
        <v>323</v>
      </c>
      <c r="D422" s="55" t="s">
        <v>2395</v>
      </c>
      <c r="E422" s="67"/>
      <c r="F422" s="68"/>
      <c r="G422" s="56" t="s">
        <v>73</v>
      </c>
      <c r="H422" s="57"/>
      <c r="I422" s="57"/>
      <c r="J422" s="70"/>
      <c r="K422" s="54"/>
      <c r="L422" s="58">
        <f>SUM(L423:L427)</f>
        <v>0</v>
      </c>
      <c r="M422" s="355">
        <f t="shared" ca="1" si="51"/>
        <v>0</v>
      </c>
      <c r="O422" s="148"/>
      <c r="R422" s="356"/>
    </row>
    <row r="423" spans="1:18" s="51" customFormat="1" ht="13.5" hidden="1" customHeight="1" outlineLevel="1" x14ac:dyDescent="0.3">
      <c r="A423" s="13">
        <f t="shared" si="52"/>
        <v>0</v>
      </c>
      <c r="B423" s="49"/>
      <c r="C423" s="49"/>
      <c r="D423" s="140" t="s">
        <v>2393</v>
      </c>
      <c r="E423" s="67" t="str">
        <f>VLOOKUP(D423,'03. Insumos'!A:D,2,0)</f>
        <v>Material - Fornecimento de Concret Decortiles - 60 x 120</v>
      </c>
      <c r="F423" s="68" t="s">
        <v>2613</v>
      </c>
      <c r="G423" s="68" t="str">
        <f>VLOOKUP(D423,'03. Insumos'!A:F,3,0)</f>
        <v>m²</v>
      </c>
      <c r="H423" s="69">
        <v>1</v>
      </c>
      <c r="I423" s="141">
        <f>H422*1.4</f>
        <v>0</v>
      </c>
      <c r="J423" s="70">
        <f>IFERROR(IF(K423&lt;&gt;0,K423*$K$5,0),0)</f>
        <v>83.52002291971732</v>
      </c>
      <c r="K423" s="54">
        <f>IF(A423=0,VLOOKUP(D423,'03. Insumos'!A:F,4,0),"")</f>
        <v>83.52002291971732</v>
      </c>
      <c r="L423" s="70">
        <f>H423*J423*I423</f>
        <v>0</v>
      </c>
      <c r="M423" s="355">
        <f t="shared" ca="1" si="51"/>
        <v>0</v>
      </c>
      <c r="O423" s="148"/>
      <c r="R423" s="356"/>
    </row>
    <row r="424" spans="1:18" s="51" customFormat="1" ht="13.5" hidden="1" customHeight="1" outlineLevel="1" x14ac:dyDescent="0.3">
      <c r="A424" s="13">
        <f t="shared" si="52"/>
        <v>0</v>
      </c>
      <c r="B424" s="49"/>
      <c r="C424" s="49"/>
      <c r="D424" s="140" t="s">
        <v>2394</v>
      </c>
      <c r="E424" s="67" t="str">
        <f>VLOOKUP(D424,'03. Insumos'!A:D,2,0)</f>
        <v>Mão de obra - Assentamento de Concret Decortiles - 60 x 120</v>
      </c>
      <c r="F424" s="68" t="s">
        <v>2607</v>
      </c>
      <c r="G424" s="68" t="str">
        <f>VLOOKUP(D424,'03. Insumos'!A:F,3,0)</f>
        <v>m²</v>
      </c>
      <c r="H424" s="69">
        <v>1</v>
      </c>
      <c r="I424" s="141">
        <f>H422</f>
        <v>0</v>
      </c>
      <c r="J424" s="70">
        <f>IFERROR(IF(K424&lt;&gt;0,K424*$K$5,0),0)</f>
        <v>49.75</v>
      </c>
      <c r="K424" s="54">
        <f>IF(A424=0,VLOOKUP(D424,'03. Insumos'!A:F,4,0),"")</f>
        <v>49.75</v>
      </c>
      <c r="L424" s="70">
        <f>H424*J424*I424</f>
        <v>0</v>
      </c>
      <c r="M424" s="355">
        <f t="shared" ca="1" si="51"/>
        <v>0</v>
      </c>
      <c r="O424" s="148"/>
      <c r="R424" s="356"/>
    </row>
    <row r="425" spans="1:18" s="51" customFormat="1" ht="13.5" hidden="1" customHeight="1" outlineLevel="1" x14ac:dyDescent="0.3">
      <c r="A425" s="13">
        <f t="shared" si="52"/>
        <v>0</v>
      </c>
      <c r="B425" s="49"/>
      <c r="C425" s="49"/>
      <c r="D425" s="140" t="s">
        <v>199</v>
      </c>
      <c r="E425" s="67" t="str">
        <f>VLOOKUP(D425,'03. Insumos'!A:D,2,0)</f>
        <v>Argamassa colante 20kg</v>
      </c>
      <c r="F425" s="68" t="s">
        <v>2612</v>
      </c>
      <c r="G425" s="68" t="str">
        <f>VLOOKUP(D425,'03. Insumos'!A:F,3,0)</f>
        <v>uni</v>
      </c>
      <c r="H425" s="69">
        <v>1</v>
      </c>
      <c r="I425" s="141">
        <f>ROUND((H422*8)/20,0)</f>
        <v>0</v>
      </c>
      <c r="J425" s="70">
        <f>IFERROR(IF(K425&lt;&gt;0,K425*$K$5,0),0)</f>
        <v>21.9</v>
      </c>
      <c r="K425" s="54">
        <f>IF(A425=0,VLOOKUP(D425,'03. Insumos'!A:F,4,0),"")</f>
        <v>21.9</v>
      </c>
      <c r="L425" s="70">
        <f>H425*J425*I425</f>
        <v>0</v>
      </c>
      <c r="M425" s="355">
        <f t="shared" ref="M425:M488" ca="1" si="55">L425/$L$7</f>
        <v>0</v>
      </c>
      <c r="O425" s="148"/>
      <c r="R425" s="356"/>
    </row>
    <row r="426" spans="1:18" s="51" customFormat="1" ht="13.5" hidden="1" customHeight="1" outlineLevel="1" x14ac:dyDescent="0.3">
      <c r="A426" s="13">
        <f t="shared" si="52"/>
        <v>0</v>
      </c>
      <c r="B426" s="49"/>
      <c r="C426" s="49"/>
      <c r="D426" s="140" t="s">
        <v>772</v>
      </c>
      <c r="E426" s="67" t="str">
        <f>VLOOKUP(D426,'03. Insumos'!A:D,2,0)</f>
        <v xml:space="preserve">Rejunte acrílico Portokoll </v>
      </c>
      <c r="F426" s="68" t="s">
        <v>2612</v>
      </c>
      <c r="G426" s="68" t="str">
        <f>VLOOKUP(D426,'03. Insumos'!A:F,3,0)</f>
        <v>Kg</v>
      </c>
      <c r="H426" s="69">
        <v>1</v>
      </c>
      <c r="I426" s="141"/>
      <c r="J426" s="70">
        <f>IFERROR(IF(K426&lt;&gt;0,K426*$K$5,0),0)</f>
        <v>19.87</v>
      </c>
      <c r="K426" s="54">
        <f>IF(A426=0,VLOOKUP(D426,'03. Insumos'!A:F,4,0),"")</f>
        <v>19.87</v>
      </c>
      <c r="L426" s="70">
        <f>H426*J426*I426</f>
        <v>0</v>
      </c>
      <c r="M426" s="355">
        <f t="shared" ca="1" si="55"/>
        <v>0</v>
      </c>
      <c r="O426" s="148"/>
      <c r="R426" s="356"/>
    </row>
    <row r="427" spans="1:18" s="51" customFormat="1" ht="13.5" hidden="1" customHeight="1" outlineLevel="1" x14ac:dyDescent="0.3">
      <c r="A427" s="13">
        <f t="shared" ref="A427:A490" si="56">LEN(C427)</f>
        <v>0</v>
      </c>
      <c r="B427" s="49"/>
      <c r="C427" s="49"/>
      <c r="D427" s="140" t="s">
        <v>773</v>
      </c>
      <c r="E427" s="67" t="str">
        <f>VLOOKUP(D427,'03. Insumos'!A:D,2,0)</f>
        <v>Espaçador - Cunha</v>
      </c>
      <c r="F427" s="68" t="s">
        <v>2612</v>
      </c>
      <c r="G427" s="68" t="str">
        <f>VLOOKUP(D427,'03. Insumos'!A:F,3,0)</f>
        <v>50 pcs</v>
      </c>
      <c r="H427" s="69">
        <v>1</v>
      </c>
      <c r="I427" s="141">
        <f>ROUNDUP(((H422*5)/100),0)</f>
        <v>0</v>
      </c>
      <c r="J427" s="70">
        <f>IFERROR(IF(K427&lt;&gt;0,K427*$K$5,0),0)</f>
        <v>22.17</v>
      </c>
      <c r="K427" s="54">
        <f>IF(A427=0,VLOOKUP(D427,'03. Insumos'!A:F,4,0),"")</f>
        <v>22.17</v>
      </c>
      <c r="L427" s="70">
        <f>H427*J427*I427</f>
        <v>0</v>
      </c>
      <c r="M427" s="355">
        <f t="shared" ca="1" si="55"/>
        <v>0</v>
      </c>
      <c r="O427" s="148"/>
      <c r="R427" s="356"/>
    </row>
    <row r="428" spans="1:18" s="51" customFormat="1" ht="13.5" hidden="1" customHeight="1" outlineLevel="1" x14ac:dyDescent="0.3">
      <c r="A428" s="13">
        <f t="shared" si="56"/>
        <v>6</v>
      </c>
      <c r="B428" s="49"/>
      <c r="C428" s="55" t="s">
        <v>1176</v>
      </c>
      <c r="D428" s="55" t="s">
        <v>2398</v>
      </c>
      <c r="E428" s="67"/>
      <c r="F428" s="68"/>
      <c r="G428" s="56" t="s">
        <v>73</v>
      </c>
      <c r="H428" s="57"/>
      <c r="I428" s="141"/>
      <c r="J428" s="70"/>
      <c r="K428" s="54"/>
      <c r="L428" s="58">
        <f>SUM(L429:L433)</f>
        <v>0</v>
      </c>
      <c r="M428" s="355">
        <f t="shared" ca="1" si="55"/>
        <v>0</v>
      </c>
      <c r="O428" s="148"/>
      <c r="R428" s="356"/>
    </row>
    <row r="429" spans="1:18" s="51" customFormat="1" ht="13.5" hidden="1" customHeight="1" outlineLevel="1" x14ac:dyDescent="0.3">
      <c r="A429" s="13">
        <f t="shared" si="56"/>
        <v>0</v>
      </c>
      <c r="B429" s="49"/>
      <c r="C429" s="49"/>
      <c r="D429" s="140" t="s">
        <v>2401</v>
      </c>
      <c r="E429" s="67" t="str">
        <f>VLOOKUP(D429,'03. Insumos'!A:D,2,0)</f>
        <v>Material - Fornecimento de Dunes Shape Black</v>
      </c>
      <c r="F429" s="68" t="s">
        <v>2613</v>
      </c>
      <c r="G429" s="68" t="str">
        <f>VLOOKUP(D429,'03. Insumos'!A:F,3,0)</f>
        <v>pç</v>
      </c>
      <c r="H429" s="69">
        <v>1</v>
      </c>
      <c r="I429" s="141">
        <f>(H428/(0.25*0.25))*1.15</f>
        <v>0</v>
      </c>
      <c r="J429" s="70">
        <f>IFERROR(IF(K429&lt;&gt;0,K429*$K$5,0),0)</f>
        <v>26</v>
      </c>
      <c r="K429" s="54">
        <f>IF(A429=0,VLOOKUP(D429,'03. Insumos'!A:F,4,0),"")</f>
        <v>26</v>
      </c>
      <c r="L429" s="70">
        <f>H429*J429*I429</f>
        <v>0</v>
      </c>
      <c r="M429" s="355">
        <f t="shared" ca="1" si="55"/>
        <v>0</v>
      </c>
      <c r="O429" s="148"/>
      <c r="R429" s="356"/>
    </row>
    <row r="430" spans="1:18" s="51" customFormat="1" ht="13.5" hidden="1" customHeight="1" outlineLevel="1" x14ac:dyDescent="0.3">
      <c r="A430" s="13">
        <f t="shared" si="56"/>
        <v>0</v>
      </c>
      <c r="B430" s="49"/>
      <c r="C430" s="49"/>
      <c r="D430" s="140" t="s">
        <v>2402</v>
      </c>
      <c r="E430" s="67" t="str">
        <f>VLOOKUP(D430,'03. Insumos'!A:D,2,0)</f>
        <v>Mão de obra - Assentamento de Dunes Shape Black</v>
      </c>
      <c r="F430" s="68" t="s">
        <v>2607</v>
      </c>
      <c r="G430" s="68" t="str">
        <f>VLOOKUP(D430,'03. Insumos'!A:F,3,0)</f>
        <v>m²</v>
      </c>
      <c r="H430" s="69">
        <v>1</v>
      </c>
      <c r="I430" s="141">
        <f>H428</f>
        <v>0</v>
      </c>
      <c r="J430" s="70">
        <f>IFERROR(IF(K430&lt;&gt;0,K430*$K$5,0),0)</f>
        <v>54.55</v>
      </c>
      <c r="K430" s="54">
        <f>IF(A430=0,VLOOKUP(D430,'03. Insumos'!A:F,4,0),"")</f>
        <v>54.55</v>
      </c>
      <c r="L430" s="70">
        <f>H430*J430*I430</f>
        <v>0</v>
      </c>
      <c r="M430" s="355">
        <f t="shared" ca="1" si="55"/>
        <v>0</v>
      </c>
      <c r="O430" s="148"/>
      <c r="R430" s="356"/>
    </row>
    <row r="431" spans="1:18" s="51" customFormat="1" ht="13.5" hidden="1" customHeight="1" outlineLevel="1" x14ac:dyDescent="0.3">
      <c r="A431" s="13">
        <f t="shared" si="56"/>
        <v>0</v>
      </c>
      <c r="B431" s="49"/>
      <c r="C431" s="49"/>
      <c r="D431" s="140" t="s">
        <v>199</v>
      </c>
      <c r="E431" s="67" t="str">
        <f>VLOOKUP(D431,'03. Insumos'!A:D,2,0)</f>
        <v>Argamassa colante 20kg</v>
      </c>
      <c r="F431" s="68" t="s">
        <v>2612</v>
      </c>
      <c r="G431" s="68" t="str">
        <f>VLOOKUP(D431,'03. Insumos'!A:F,3,0)</f>
        <v>uni</v>
      </c>
      <c r="H431" s="69">
        <v>1</v>
      </c>
      <c r="I431" s="141">
        <f>ROUND((H428*8)/20,0)</f>
        <v>0</v>
      </c>
      <c r="J431" s="70">
        <f>IFERROR(IF(K431&lt;&gt;0,K431*$K$5,0),0)</f>
        <v>21.9</v>
      </c>
      <c r="K431" s="54">
        <f>IF(A431=0,VLOOKUP(D431,'03. Insumos'!A:F,4,0),"")</f>
        <v>21.9</v>
      </c>
      <c r="L431" s="70">
        <f>H431*J431*I431</f>
        <v>0</v>
      </c>
      <c r="M431" s="355">
        <f t="shared" ca="1" si="55"/>
        <v>0</v>
      </c>
      <c r="O431" s="148"/>
      <c r="R431" s="356"/>
    </row>
    <row r="432" spans="1:18" s="51" customFormat="1" ht="13.5" hidden="1" customHeight="1" outlineLevel="1" x14ac:dyDescent="0.3">
      <c r="A432" s="13">
        <f t="shared" si="56"/>
        <v>0</v>
      </c>
      <c r="B432" s="49"/>
      <c r="C432" s="49"/>
      <c r="D432" s="140" t="s">
        <v>772</v>
      </c>
      <c r="E432" s="67" t="str">
        <f>VLOOKUP(D432,'03. Insumos'!A:D,2,0)</f>
        <v xml:space="preserve">Rejunte acrílico Portokoll </v>
      </c>
      <c r="F432" s="68" t="s">
        <v>2612</v>
      </c>
      <c r="G432" s="68" t="str">
        <f>VLOOKUP(D432,'03. Insumos'!A:F,3,0)</f>
        <v>Kg</v>
      </c>
      <c r="H432" s="69">
        <v>1</v>
      </c>
      <c r="I432" s="141">
        <f>ROUNDUP((H428*0.35),0)</f>
        <v>0</v>
      </c>
      <c r="J432" s="70">
        <f>IFERROR(IF(K432&lt;&gt;0,K432*$K$5,0),0)</f>
        <v>19.87</v>
      </c>
      <c r="K432" s="54">
        <f>IF(A432=0,VLOOKUP(D432,'03. Insumos'!A:F,4,0),"")</f>
        <v>19.87</v>
      </c>
      <c r="L432" s="70">
        <f>H432*J432*I432</f>
        <v>0</v>
      </c>
      <c r="M432" s="355">
        <f t="shared" ca="1" si="55"/>
        <v>0</v>
      </c>
      <c r="O432" s="148"/>
      <c r="R432" s="356"/>
    </row>
    <row r="433" spans="1:18" s="51" customFormat="1" ht="13.5" hidden="1" customHeight="1" outlineLevel="1" x14ac:dyDescent="0.3">
      <c r="A433" s="13">
        <f t="shared" si="56"/>
        <v>0</v>
      </c>
      <c r="B433" s="49"/>
      <c r="C433" s="49"/>
      <c r="D433" s="140" t="s">
        <v>773</v>
      </c>
      <c r="E433" s="67" t="str">
        <f>VLOOKUP(D433,'03. Insumos'!A:D,2,0)</f>
        <v>Espaçador - Cunha</v>
      </c>
      <c r="F433" s="68" t="s">
        <v>2612</v>
      </c>
      <c r="G433" s="68" t="str">
        <f>VLOOKUP(D433,'03. Insumos'!A:F,3,0)</f>
        <v>50 pcs</v>
      </c>
      <c r="H433" s="69">
        <v>1</v>
      </c>
      <c r="I433" s="141">
        <f>ROUNDUP(((H428*5)/100),0)</f>
        <v>0</v>
      </c>
      <c r="J433" s="70">
        <f>IFERROR(IF(K433&lt;&gt;0,K433*$K$5,0),0)</f>
        <v>22.17</v>
      </c>
      <c r="K433" s="54">
        <f>IF(A433=0,VLOOKUP(D433,'03. Insumos'!A:F,4,0),"")</f>
        <v>22.17</v>
      </c>
      <c r="L433" s="70">
        <f>H433*J433*I433</f>
        <v>0</v>
      </c>
      <c r="M433" s="355">
        <f t="shared" ca="1" si="55"/>
        <v>0</v>
      </c>
      <c r="O433" s="148"/>
      <c r="R433" s="356"/>
    </row>
    <row r="434" spans="1:18" s="51" customFormat="1" ht="13.5" hidden="1" customHeight="1" outlineLevel="1" x14ac:dyDescent="0.3">
      <c r="A434" s="13">
        <f t="shared" si="56"/>
        <v>6</v>
      </c>
      <c r="B434" s="49"/>
      <c r="C434" s="55" t="s">
        <v>1300</v>
      </c>
      <c r="D434" s="55" t="s">
        <v>2406</v>
      </c>
      <c r="E434" s="67"/>
      <c r="F434" s="68"/>
      <c r="G434" s="56" t="s">
        <v>73</v>
      </c>
      <c r="H434" s="57"/>
      <c r="I434" s="141"/>
      <c r="J434" s="70"/>
      <c r="K434" s="54"/>
      <c r="L434" s="58">
        <f>SUM(L435:L439)</f>
        <v>0</v>
      </c>
      <c r="M434" s="355">
        <f t="shared" ca="1" si="55"/>
        <v>0</v>
      </c>
      <c r="O434" s="148"/>
      <c r="R434" s="356"/>
    </row>
    <row r="435" spans="1:18" s="51" customFormat="1" ht="13.5" hidden="1" customHeight="1" outlineLevel="1" x14ac:dyDescent="0.3">
      <c r="A435" s="13">
        <f t="shared" si="56"/>
        <v>0</v>
      </c>
      <c r="B435" s="49"/>
      <c r="C435" s="49"/>
      <c r="D435" s="140" t="s">
        <v>2404</v>
      </c>
      <c r="E435" s="67" t="str">
        <f>VLOOKUP(D435,'03. Insumos'!A:D,2,0)</f>
        <v>Material - Fornecimento de Luminosita Statuario polido - 60 x 120</v>
      </c>
      <c r="F435" s="68" t="s">
        <v>2613</v>
      </c>
      <c r="G435" s="68" t="str">
        <f>VLOOKUP(D435,'03. Insumos'!A:F,3,0)</f>
        <v>m²</v>
      </c>
      <c r="H435" s="69">
        <v>1</v>
      </c>
      <c r="I435" s="141">
        <f>H434*1.4</f>
        <v>0</v>
      </c>
      <c r="J435" s="70">
        <f>IFERROR(IF(K435&lt;&gt;0,K435*$K$5,0),0)</f>
        <v>129</v>
      </c>
      <c r="K435" s="54">
        <f>IF(A435=0,VLOOKUP(D435,'03. Insumos'!A:F,4,0),"")</f>
        <v>129</v>
      </c>
      <c r="L435" s="70">
        <f>H435*J435*I435</f>
        <v>0</v>
      </c>
      <c r="M435" s="355">
        <f t="shared" ca="1" si="55"/>
        <v>0</v>
      </c>
      <c r="O435" s="148"/>
      <c r="R435" s="356"/>
    </row>
    <row r="436" spans="1:18" s="51" customFormat="1" ht="13.5" hidden="1" customHeight="1" outlineLevel="1" x14ac:dyDescent="0.3">
      <c r="A436" s="13">
        <f t="shared" si="56"/>
        <v>0</v>
      </c>
      <c r="B436" s="49"/>
      <c r="C436" s="49"/>
      <c r="D436" s="140" t="s">
        <v>2405</v>
      </c>
      <c r="E436" s="67" t="str">
        <f>VLOOKUP(D436,'03. Insumos'!A:D,2,0)</f>
        <v>Mão de obra - Assentamento até 60x60cm</v>
      </c>
      <c r="F436" s="68" t="s">
        <v>2607</v>
      </c>
      <c r="G436" s="68" t="str">
        <f>VLOOKUP(D436,'03. Insumos'!A:F,3,0)</f>
        <v>m²</v>
      </c>
      <c r="H436" s="69">
        <v>1</v>
      </c>
      <c r="I436" s="141">
        <f>H434</f>
        <v>0</v>
      </c>
      <c r="J436" s="70">
        <f>IFERROR(IF(K436&lt;&gt;0,K436*$K$5,0),0)</f>
        <v>35</v>
      </c>
      <c r="K436" s="54">
        <f>IF(A436=0,VLOOKUP(D436,'03. Insumos'!A:F,4,0),"")</f>
        <v>35</v>
      </c>
      <c r="L436" s="70">
        <f>H436*J436*I436</f>
        <v>0</v>
      </c>
      <c r="M436" s="355">
        <f t="shared" ca="1" si="55"/>
        <v>0</v>
      </c>
      <c r="O436" s="148"/>
      <c r="R436" s="356"/>
    </row>
    <row r="437" spans="1:18" s="51" customFormat="1" ht="13.5" hidden="1" customHeight="1" outlineLevel="1" x14ac:dyDescent="0.3">
      <c r="A437" s="13">
        <f t="shared" si="56"/>
        <v>0</v>
      </c>
      <c r="B437" s="49"/>
      <c r="C437" s="49"/>
      <c r="D437" s="140" t="s">
        <v>199</v>
      </c>
      <c r="E437" s="67" t="str">
        <f>VLOOKUP(D437,'03. Insumos'!A:D,2,0)</f>
        <v>Argamassa colante 20kg</v>
      </c>
      <c r="F437" s="68" t="s">
        <v>2612</v>
      </c>
      <c r="G437" s="68" t="str">
        <f>VLOOKUP(D437,'03. Insumos'!A:F,3,0)</f>
        <v>uni</v>
      </c>
      <c r="H437" s="69">
        <v>1</v>
      </c>
      <c r="I437" s="141">
        <f>ROUND((H434*8)/20,0)</f>
        <v>0</v>
      </c>
      <c r="J437" s="70">
        <f>IFERROR(IF(K437&lt;&gt;0,K437*$K$5,0),0)</f>
        <v>21.9</v>
      </c>
      <c r="K437" s="54">
        <f>IF(A437=0,VLOOKUP(D437,'03. Insumos'!A:F,4,0),"")</f>
        <v>21.9</v>
      </c>
      <c r="L437" s="70">
        <f>H437*J437*I437</f>
        <v>0</v>
      </c>
      <c r="M437" s="355">
        <f t="shared" ca="1" si="55"/>
        <v>0</v>
      </c>
      <c r="O437" s="148"/>
      <c r="R437" s="356"/>
    </row>
    <row r="438" spans="1:18" s="51" customFormat="1" ht="13.5" hidden="1" customHeight="1" outlineLevel="1" x14ac:dyDescent="0.3">
      <c r="A438" s="13">
        <f t="shared" si="56"/>
        <v>0</v>
      </c>
      <c r="B438" s="49"/>
      <c r="C438" s="49"/>
      <c r="D438" s="140" t="s">
        <v>772</v>
      </c>
      <c r="E438" s="67" t="str">
        <f>VLOOKUP(D438,'03. Insumos'!A:D,2,0)</f>
        <v xml:space="preserve">Rejunte acrílico Portokoll </v>
      </c>
      <c r="F438" s="68" t="s">
        <v>2612</v>
      </c>
      <c r="G438" s="68" t="str">
        <f>VLOOKUP(D438,'03. Insumos'!A:F,3,0)</f>
        <v>Kg</v>
      </c>
      <c r="H438" s="69">
        <v>1</v>
      </c>
      <c r="I438" s="141">
        <f>ROUNDUP((H434*0.35),0)</f>
        <v>0</v>
      </c>
      <c r="J438" s="70">
        <f>IFERROR(IF(K438&lt;&gt;0,K438*$K$5,0),0)</f>
        <v>19.87</v>
      </c>
      <c r="K438" s="54">
        <f>IF(A438=0,VLOOKUP(D438,'03. Insumos'!A:F,4,0),"")</f>
        <v>19.87</v>
      </c>
      <c r="L438" s="70">
        <f>H438*J438*I438</f>
        <v>0</v>
      </c>
      <c r="M438" s="355">
        <f t="shared" ca="1" si="55"/>
        <v>0</v>
      </c>
      <c r="O438" s="148"/>
      <c r="R438" s="356"/>
    </row>
    <row r="439" spans="1:18" s="51" customFormat="1" ht="13.5" hidden="1" customHeight="1" outlineLevel="1" x14ac:dyDescent="0.3">
      <c r="A439" s="13">
        <f t="shared" si="56"/>
        <v>0</v>
      </c>
      <c r="B439" s="49"/>
      <c r="C439" s="49"/>
      <c r="D439" s="140" t="s">
        <v>773</v>
      </c>
      <c r="E439" s="67" t="str">
        <f>VLOOKUP(D439,'03. Insumos'!A:D,2,0)</f>
        <v>Espaçador - Cunha</v>
      </c>
      <c r="F439" s="68" t="s">
        <v>2612</v>
      </c>
      <c r="G439" s="68" t="str">
        <f>VLOOKUP(D439,'03. Insumos'!A:F,3,0)</f>
        <v>50 pcs</v>
      </c>
      <c r="H439" s="69">
        <v>1</v>
      </c>
      <c r="I439" s="141">
        <f>ROUNDUP(((H434*5)/100),0)</f>
        <v>0</v>
      </c>
      <c r="J439" s="70">
        <f>IFERROR(IF(K439&lt;&gt;0,K439*$K$5,0),0)</f>
        <v>22.17</v>
      </c>
      <c r="K439" s="54">
        <f>IF(A439=0,VLOOKUP(D439,'03. Insumos'!A:F,4,0),"")</f>
        <v>22.17</v>
      </c>
      <c r="L439" s="70">
        <f>H439*J439*I439</f>
        <v>0</v>
      </c>
      <c r="M439" s="355">
        <f t="shared" ca="1" si="55"/>
        <v>0</v>
      </c>
      <c r="O439" s="148"/>
      <c r="R439" s="356"/>
    </row>
    <row r="440" spans="1:18" s="51" customFormat="1" ht="13.5" hidden="1" customHeight="1" outlineLevel="1" x14ac:dyDescent="0.3">
      <c r="A440" s="13">
        <f t="shared" si="56"/>
        <v>6</v>
      </c>
      <c r="B440" s="49"/>
      <c r="C440" s="55" t="s">
        <v>2407</v>
      </c>
      <c r="D440" s="55" t="s">
        <v>2414</v>
      </c>
      <c r="E440" s="67"/>
      <c r="F440" s="68"/>
      <c r="G440" s="56" t="s">
        <v>73</v>
      </c>
      <c r="H440" s="57"/>
      <c r="I440" s="57"/>
      <c r="J440" s="70"/>
      <c r="K440" s="54"/>
      <c r="L440" s="58">
        <f>SUM(L441:L445)</f>
        <v>0</v>
      </c>
      <c r="M440" s="355">
        <f t="shared" ca="1" si="55"/>
        <v>0</v>
      </c>
      <c r="O440" s="148"/>
      <c r="R440" s="356"/>
    </row>
    <row r="441" spans="1:18" s="51" customFormat="1" ht="13.5" hidden="1" customHeight="1" outlineLevel="1" x14ac:dyDescent="0.3">
      <c r="A441" s="13">
        <f t="shared" si="56"/>
        <v>0</v>
      </c>
      <c r="B441" s="49"/>
      <c r="C441" s="49"/>
      <c r="D441" s="140" t="s">
        <v>2412</v>
      </c>
      <c r="E441" s="67" t="str">
        <f>VLOOKUP(D441,'03. Insumos'!A:D,2,0)</f>
        <v>Material - Fornecimento de pedra moledo c/ Perda de 35%</v>
      </c>
      <c r="F441" s="68" t="s">
        <v>2613</v>
      </c>
      <c r="G441" s="68" t="str">
        <f>VLOOKUP(D441,'03. Insumos'!A:F,3,0)</f>
        <v>m²</v>
      </c>
      <c r="H441" s="69">
        <v>1</v>
      </c>
      <c r="I441" s="141">
        <f>H440*1.2</f>
        <v>0</v>
      </c>
      <c r="J441" s="342">
        <f>IFERROR(IF(K441&lt;&gt;0,K441*$K$5,0),0)</f>
        <v>220</v>
      </c>
      <c r="K441" s="54">
        <f>IF(A441=0,VLOOKUP(D441,'03. Insumos'!A:F,4,0),"")</f>
        <v>220</v>
      </c>
      <c r="L441" s="70">
        <f>H441*J441*I441</f>
        <v>0</v>
      </c>
      <c r="M441" s="355">
        <f t="shared" ca="1" si="55"/>
        <v>0</v>
      </c>
      <c r="O441" s="148"/>
      <c r="R441" s="356"/>
    </row>
    <row r="442" spans="1:18" s="51" customFormat="1" ht="13.5" hidden="1" customHeight="1" outlineLevel="1" x14ac:dyDescent="0.3">
      <c r="A442" s="13">
        <f t="shared" si="56"/>
        <v>0</v>
      </c>
      <c r="B442" s="49"/>
      <c r="C442" s="49"/>
      <c r="D442" s="140" t="s">
        <v>2413</v>
      </c>
      <c r="E442" s="67" t="str">
        <f>VLOOKUP(D442,'03. Insumos'!A:D,2,0)</f>
        <v>Mão de obra - Assentamento de pedra moledo</v>
      </c>
      <c r="F442" s="68" t="s">
        <v>2607</v>
      </c>
      <c r="G442" s="68" t="str">
        <f>VLOOKUP(D442,'03. Insumos'!A:F,3,0)</f>
        <v>m²</v>
      </c>
      <c r="H442" s="69">
        <v>1</v>
      </c>
      <c r="I442" s="141">
        <f>H440</f>
        <v>0</v>
      </c>
      <c r="J442" s="70">
        <f>IFERROR(IF(K442&lt;&gt;0,K442*$K$5,0),0)</f>
        <v>110</v>
      </c>
      <c r="K442" s="54">
        <f>IF(A442=0,VLOOKUP(D442,'03. Insumos'!A:F,4,0),"")</f>
        <v>110</v>
      </c>
      <c r="L442" s="70">
        <f>H442*J442*I442</f>
        <v>0</v>
      </c>
      <c r="M442" s="355">
        <f t="shared" ca="1" si="55"/>
        <v>0</v>
      </c>
      <c r="O442" s="148"/>
      <c r="R442" s="356"/>
    </row>
    <row r="443" spans="1:18" s="51" customFormat="1" ht="13.5" hidden="1" customHeight="1" outlineLevel="1" x14ac:dyDescent="0.3">
      <c r="A443" s="13">
        <f t="shared" si="56"/>
        <v>0</v>
      </c>
      <c r="B443" s="49"/>
      <c r="C443" s="49"/>
      <c r="D443" s="140" t="s">
        <v>2415</v>
      </c>
      <c r="E443" s="67" t="str">
        <f>VLOOKUP(D443,'03. Insumos'!A:D,2,0)</f>
        <v>Clarofilito (saco 18 Kg)</v>
      </c>
      <c r="F443" s="68" t="s">
        <v>2612</v>
      </c>
      <c r="G443" s="68" t="str">
        <f>VLOOKUP(D443,'03. Insumos'!A:F,3,0)</f>
        <v>Unid</v>
      </c>
      <c r="H443" s="69">
        <v>1</v>
      </c>
      <c r="I443" s="141">
        <f>ROUNDUP((H440*0.04*8.6),0)</f>
        <v>0</v>
      </c>
      <c r="J443" s="70">
        <f>IFERROR(IF(K443&lt;&gt;0,K443*$K$5,0),0)</f>
        <v>8.3000000000000007</v>
      </c>
      <c r="K443" s="54">
        <f>IF(A443=0,VLOOKUP(D443,'03. Insumos'!A:F,4,0),"")</f>
        <v>8.3000000000000007</v>
      </c>
      <c r="L443" s="70">
        <f>H443*J443*I443</f>
        <v>0</v>
      </c>
      <c r="M443" s="355">
        <f t="shared" ca="1" si="55"/>
        <v>0</v>
      </c>
      <c r="O443" s="148"/>
      <c r="R443" s="356"/>
    </row>
    <row r="444" spans="1:18" s="51" customFormat="1" ht="13.5" hidden="1" customHeight="1" outlineLevel="1" x14ac:dyDescent="0.3">
      <c r="A444" s="13">
        <f t="shared" si="56"/>
        <v>0</v>
      </c>
      <c r="B444" s="49"/>
      <c r="C444" s="49"/>
      <c r="D444" s="140" t="s">
        <v>1591</v>
      </c>
      <c r="E444" s="67" t="str">
        <f>VLOOKUP(D444,'03. Insumos'!A:D,2,0)</f>
        <v>Areia (granel)</v>
      </c>
      <c r="F444" s="68" t="s">
        <v>2612</v>
      </c>
      <c r="G444" s="68" t="str">
        <f>VLOOKUP(D444,'03. Insumos'!A:F,3,0)</f>
        <v>m³</v>
      </c>
      <c r="H444" s="69">
        <v>1</v>
      </c>
      <c r="I444" s="141">
        <f>ROUNDUP((H440*0.04),0)</f>
        <v>0</v>
      </c>
      <c r="J444" s="70">
        <f>IFERROR(IF(K444&lt;&gt;0,K444*$K$5,0),0)</f>
        <v>65</v>
      </c>
      <c r="K444" s="54">
        <f>IF(A444=0,VLOOKUP(D444,'03. Insumos'!A:F,4,0),"")</f>
        <v>65</v>
      </c>
      <c r="L444" s="70">
        <f>H444*J444*I444</f>
        <v>0</v>
      </c>
      <c r="M444" s="355">
        <f t="shared" ca="1" si="55"/>
        <v>0</v>
      </c>
      <c r="O444" s="148"/>
      <c r="R444" s="356"/>
    </row>
    <row r="445" spans="1:18" s="51" customFormat="1" ht="13.5" hidden="1" customHeight="1" outlineLevel="1" x14ac:dyDescent="0.3">
      <c r="A445" s="13">
        <f t="shared" si="56"/>
        <v>0</v>
      </c>
      <c r="B445" s="49"/>
      <c r="C445" s="49"/>
      <c r="D445" s="140" t="s">
        <v>747</v>
      </c>
      <c r="E445" s="67" t="str">
        <f>VLOOKUP(D445,'03. Insumos'!A:D,2,0)</f>
        <v>Cimento (saco 50 Kg)</v>
      </c>
      <c r="F445" s="68" t="s">
        <v>2612</v>
      </c>
      <c r="G445" s="68" t="str">
        <f>VLOOKUP(D445,'03. Insumos'!A:F,3,0)</f>
        <v>unid</v>
      </c>
      <c r="H445" s="69">
        <v>1</v>
      </c>
      <c r="I445" s="141">
        <f>ROUNDUP((H440*0.04*8.6),0)</f>
        <v>0</v>
      </c>
      <c r="J445" s="70">
        <f>IFERROR(IF(K445&lt;&gt;0,K445*$K$5,0),0)</f>
        <v>37</v>
      </c>
      <c r="K445" s="54">
        <f>IF(A445=0,VLOOKUP(D445,'03. Insumos'!A:F,4,0),"")</f>
        <v>37</v>
      </c>
      <c r="L445" s="70">
        <f>H445*J445*I445</f>
        <v>0</v>
      </c>
      <c r="M445" s="355">
        <f t="shared" ca="1" si="55"/>
        <v>0</v>
      </c>
      <c r="O445" s="148"/>
      <c r="R445" s="356"/>
    </row>
    <row r="446" spans="1:18" s="51" customFormat="1" ht="13.5" hidden="1" customHeight="1" outlineLevel="1" x14ac:dyDescent="0.3">
      <c r="A446" s="13">
        <f>LEN(C446)</f>
        <v>6</v>
      </c>
      <c r="B446" s="49"/>
      <c r="C446" s="55" t="s">
        <v>2408</v>
      </c>
      <c r="D446" s="55" t="s">
        <v>2416</v>
      </c>
      <c r="E446" s="67"/>
      <c r="F446" s="68"/>
      <c r="G446" s="56" t="s">
        <v>73</v>
      </c>
      <c r="H446" s="57">
        <v>15</v>
      </c>
      <c r="I446" s="141"/>
      <c r="J446" s="70"/>
      <c r="K446" s="54"/>
      <c r="L446" s="58">
        <f>SUM(L447:L447)</f>
        <v>0</v>
      </c>
      <c r="M446" s="355">
        <f ca="1">L446/$L$7</f>
        <v>0</v>
      </c>
      <c r="O446" s="148"/>
      <c r="R446" s="356"/>
    </row>
    <row r="447" spans="1:18" s="51" customFormat="1" ht="13.5" hidden="1" customHeight="1" outlineLevel="1" x14ac:dyDescent="0.3">
      <c r="A447" s="13">
        <f>LEN(C447)</f>
        <v>0</v>
      </c>
      <c r="B447" s="49"/>
      <c r="C447" s="49"/>
      <c r="D447" s="140" t="s">
        <v>2418</v>
      </c>
      <c r="E447" s="67" t="str">
        <f>VLOOKUP(D447,'03. Insumos'!A:D,2,0)</f>
        <v>Fornecimento e instalação de jardim vertical</v>
      </c>
      <c r="F447" s="68" t="s">
        <v>2599</v>
      </c>
      <c r="G447" s="68" t="str">
        <f>VLOOKUP(D447,'03. Insumos'!A:F,3,0)</f>
        <v>m²</v>
      </c>
      <c r="H447" s="69"/>
      <c r="I447" s="141">
        <f>H446</f>
        <v>15</v>
      </c>
      <c r="J447" s="342">
        <f>IFERROR(IF(K447&lt;&gt;0,K447*$K$5,0),0)</f>
        <v>1000</v>
      </c>
      <c r="K447" s="54">
        <f>IF(A447=0,VLOOKUP(D447,'03. Insumos'!A:F,4,0),"")</f>
        <v>1000</v>
      </c>
      <c r="L447" s="70">
        <f>H447*J447*I447</f>
        <v>0</v>
      </c>
      <c r="M447" s="355">
        <f ca="1">L447/$L$7</f>
        <v>0</v>
      </c>
      <c r="O447" s="148"/>
      <c r="R447" s="356"/>
    </row>
    <row r="448" spans="1:18" s="51" customFormat="1" ht="13.5" hidden="1" customHeight="1" outlineLevel="1" x14ac:dyDescent="0.3">
      <c r="A448" s="13">
        <f t="shared" si="56"/>
        <v>6</v>
      </c>
      <c r="B448" s="49"/>
      <c r="C448" s="55" t="s">
        <v>2409</v>
      </c>
      <c r="D448" s="55" t="s">
        <v>2419</v>
      </c>
      <c r="E448" s="67"/>
      <c r="F448" s="68"/>
      <c r="G448" s="56" t="s">
        <v>73</v>
      </c>
      <c r="H448" s="57"/>
      <c r="I448" s="141"/>
      <c r="J448" s="70"/>
      <c r="K448" s="54"/>
      <c r="L448" s="58">
        <f>SUM(L449:L454)</f>
        <v>0</v>
      </c>
      <c r="M448" s="355">
        <f t="shared" ca="1" si="55"/>
        <v>0</v>
      </c>
      <c r="O448" s="148"/>
      <c r="R448" s="356"/>
    </row>
    <row r="449" spans="1:18" s="51" customFormat="1" ht="13.5" hidden="1" customHeight="1" outlineLevel="1" x14ac:dyDescent="0.3">
      <c r="A449" s="13">
        <f t="shared" si="56"/>
        <v>0</v>
      </c>
      <c r="B449" s="49"/>
      <c r="C449" s="49"/>
      <c r="D449" s="140" t="s">
        <v>2420</v>
      </c>
      <c r="E449" s="67" t="str">
        <f>VLOOKUP(D449,'03. Insumos'!A:D,2,0)</f>
        <v>Material - Fornecimento de painel madeyra vecchia - 20 x 100</v>
      </c>
      <c r="F449" s="68" t="s">
        <v>2613</v>
      </c>
      <c r="G449" s="68" t="str">
        <f>VLOOKUP(D449,'03. Insumos'!A:F,3,0)</f>
        <v>m²</v>
      </c>
      <c r="H449" s="69">
        <v>1</v>
      </c>
      <c r="I449" s="141">
        <f>H448*1.2</f>
        <v>0</v>
      </c>
      <c r="J449" s="70">
        <f t="shared" ref="J449:J454" si="57">IFERROR(IF(K449&lt;&gt;0,K449*$K$5,0),0)</f>
        <v>279</v>
      </c>
      <c r="K449" s="54">
        <f>IF(A449=0,VLOOKUP(D449,'03. Insumos'!A:F,4,0),"")</f>
        <v>279</v>
      </c>
      <c r="L449" s="70">
        <f t="shared" ref="L449:L454" si="58">H449*J449*I449</f>
        <v>0</v>
      </c>
      <c r="M449" s="355">
        <f t="shared" ca="1" si="55"/>
        <v>0</v>
      </c>
      <c r="O449" s="148"/>
      <c r="R449" s="356"/>
    </row>
    <row r="450" spans="1:18" s="51" customFormat="1" ht="13.5" hidden="1" customHeight="1" outlineLevel="1" x14ac:dyDescent="0.3">
      <c r="A450" s="13">
        <f t="shared" si="56"/>
        <v>0</v>
      </c>
      <c r="B450" s="49"/>
      <c r="C450" s="49"/>
      <c r="D450" s="140" t="s">
        <v>2421</v>
      </c>
      <c r="E450" s="67" t="str">
        <f>VLOOKUP(D450,'03. Insumos'!A:D,2,0)</f>
        <v>Mão de obra - Assentamento de painel madeyra vecchia - 20 x 100</v>
      </c>
      <c r="F450" s="68" t="s">
        <v>2607</v>
      </c>
      <c r="G450" s="68" t="str">
        <f>VLOOKUP(D450,'03. Insumos'!A:F,3,0)</f>
        <v>m²</v>
      </c>
      <c r="H450" s="69">
        <v>1</v>
      </c>
      <c r="I450" s="141">
        <f>H448</f>
        <v>0</v>
      </c>
      <c r="J450" s="70">
        <f t="shared" si="57"/>
        <v>49.75</v>
      </c>
      <c r="K450" s="54">
        <f>IF(A450=0,VLOOKUP(D450,'03. Insumos'!A:F,4,0),"")</f>
        <v>49.75</v>
      </c>
      <c r="L450" s="70">
        <f t="shared" si="58"/>
        <v>0</v>
      </c>
      <c r="M450" s="355">
        <f t="shared" ca="1" si="55"/>
        <v>0</v>
      </c>
      <c r="O450" s="148"/>
      <c r="R450" s="356"/>
    </row>
    <row r="451" spans="1:18" s="51" customFormat="1" ht="13.5" hidden="1" customHeight="1" outlineLevel="1" x14ac:dyDescent="0.3">
      <c r="A451" s="13">
        <f t="shared" si="56"/>
        <v>0</v>
      </c>
      <c r="B451" s="49"/>
      <c r="C451" s="49"/>
      <c r="D451" s="140" t="s">
        <v>2577</v>
      </c>
      <c r="E451" s="67" t="str">
        <f>VLOOKUP(D451,'03. Insumos'!A:D,2,0)</f>
        <v>Cera BS 200 WB - canela (galão)</v>
      </c>
      <c r="F451" s="68" t="s">
        <v>2612</v>
      </c>
      <c r="G451" s="68" t="str">
        <f>VLOOKUP(D451,'03. Insumos'!A:F,3,0)</f>
        <v>Unid</v>
      </c>
      <c r="H451" s="69">
        <v>1</v>
      </c>
      <c r="I451" s="141">
        <f>ROUNDUP((H448*0.1818),0)</f>
        <v>0</v>
      </c>
      <c r="J451" s="70">
        <f t="shared" si="57"/>
        <v>128</v>
      </c>
      <c r="K451" s="54">
        <f>IF(A451=0,VLOOKUP(D451,'03. Insumos'!A:F,4,0),"")</f>
        <v>128</v>
      </c>
      <c r="L451" s="70">
        <f t="shared" si="58"/>
        <v>0</v>
      </c>
      <c r="M451" s="355">
        <f t="shared" ca="1" si="55"/>
        <v>0</v>
      </c>
      <c r="O451" s="148"/>
      <c r="R451" s="356"/>
    </row>
    <row r="452" spans="1:18" s="51" customFormat="1" ht="13.5" hidden="1" customHeight="1" outlineLevel="1" x14ac:dyDescent="0.3">
      <c r="A452" s="13">
        <f t="shared" si="56"/>
        <v>0</v>
      </c>
      <c r="B452" s="49"/>
      <c r="C452" s="49"/>
      <c r="D452" s="140" t="s">
        <v>199</v>
      </c>
      <c r="E452" s="67" t="str">
        <f>VLOOKUP(D452,'03. Insumos'!A:D,2,0)</f>
        <v>Argamassa colante 20kg</v>
      </c>
      <c r="F452" s="68" t="s">
        <v>2612</v>
      </c>
      <c r="G452" s="68" t="str">
        <f>VLOOKUP(D452,'03. Insumos'!A:F,3,0)</f>
        <v>uni</v>
      </c>
      <c r="H452" s="69">
        <v>1</v>
      </c>
      <c r="I452" s="141">
        <f>ROUND((H448*8)/20,0)</f>
        <v>0</v>
      </c>
      <c r="J452" s="70">
        <f t="shared" si="57"/>
        <v>21.9</v>
      </c>
      <c r="K452" s="54">
        <f>IF(A452=0,VLOOKUP(D452,'03. Insumos'!A:F,4,0),"")</f>
        <v>21.9</v>
      </c>
      <c r="L452" s="70">
        <f t="shared" si="58"/>
        <v>0</v>
      </c>
      <c r="M452" s="355">
        <f t="shared" ca="1" si="55"/>
        <v>0</v>
      </c>
      <c r="O452" s="148"/>
      <c r="R452" s="356"/>
    </row>
    <row r="453" spans="1:18" s="51" customFormat="1" ht="13.5" hidden="1" customHeight="1" outlineLevel="1" x14ac:dyDescent="0.3">
      <c r="A453" s="13">
        <f t="shared" si="56"/>
        <v>0</v>
      </c>
      <c r="B453" s="49"/>
      <c r="C453" s="49"/>
      <c r="D453" s="140" t="s">
        <v>772</v>
      </c>
      <c r="E453" s="67" t="str">
        <f>VLOOKUP(D453,'03. Insumos'!A:D,2,0)</f>
        <v xml:space="preserve">Rejunte acrílico Portokoll </v>
      </c>
      <c r="F453" s="68" t="s">
        <v>2612</v>
      </c>
      <c r="G453" s="68" t="str">
        <f>VLOOKUP(D453,'03. Insumos'!A:F,3,0)</f>
        <v>Kg</v>
      </c>
      <c r="H453" s="69">
        <v>1</v>
      </c>
      <c r="I453" s="141">
        <f>ROUNDUP((H448*0.35),0)</f>
        <v>0</v>
      </c>
      <c r="J453" s="70">
        <f t="shared" si="57"/>
        <v>19.87</v>
      </c>
      <c r="K453" s="54">
        <f>IF(A453=0,VLOOKUP(D453,'03. Insumos'!A:F,4,0),"")</f>
        <v>19.87</v>
      </c>
      <c r="L453" s="70">
        <f t="shared" si="58"/>
        <v>0</v>
      </c>
      <c r="M453" s="355">
        <f t="shared" ca="1" si="55"/>
        <v>0</v>
      </c>
      <c r="O453" s="148"/>
      <c r="R453" s="356"/>
    </row>
    <row r="454" spans="1:18" s="51" customFormat="1" ht="13.5" hidden="1" customHeight="1" outlineLevel="1" x14ac:dyDescent="0.3">
      <c r="A454" s="13">
        <f t="shared" si="56"/>
        <v>0</v>
      </c>
      <c r="B454" s="49"/>
      <c r="C454" s="49"/>
      <c r="D454" s="140" t="s">
        <v>773</v>
      </c>
      <c r="E454" s="67" t="str">
        <f>VLOOKUP(D454,'03. Insumos'!A:D,2,0)</f>
        <v>Espaçador - Cunha</v>
      </c>
      <c r="F454" s="68" t="s">
        <v>2612</v>
      </c>
      <c r="G454" s="68" t="str">
        <f>VLOOKUP(D454,'03. Insumos'!A:F,3,0)</f>
        <v>50 pcs</v>
      </c>
      <c r="H454" s="69">
        <v>1</v>
      </c>
      <c r="I454" s="141">
        <f>ROUNDUP(((H448*5)/100),0)</f>
        <v>0</v>
      </c>
      <c r="J454" s="70">
        <f t="shared" si="57"/>
        <v>22.17</v>
      </c>
      <c r="K454" s="54">
        <f>IF(A454=0,VLOOKUP(D454,'03. Insumos'!A:F,4,0),"")</f>
        <v>22.17</v>
      </c>
      <c r="L454" s="70">
        <f t="shared" si="58"/>
        <v>0</v>
      </c>
      <c r="M454" s="355">
        <f t="shared" ca="1" si="55"/>
        <v>0</v>
      </c>
      <c r="O454" s="148"/>
      <c r="R454" s="356"/>
    </row>
    <row r="455" spans="1:18" s="51" customFormat="1" ht="13.5" hidden="1" customHeight="1" outlineLevel="1" x14ac:dyDescent="0.3">
      <c r="A455" s="13">
        <f t="shared" si="56"/>
        <v>6</v>
      </c>
      <c r="B455" s="49"/>
      <c r="C455" s="55" t="s">
        <v>2409</v>
      </c>
      <c r="D455" s="55" t="s">
        <v>2423</v>
      </c>
      <c r="E455" s="67"/>
      <c r="F455" s="68"/>
      <c r="G455" s="56" t="s">
        <v>73</v>
      </c>
      <c r="H455" s="57"/>
      <c r="I455" s="141"/>
      <c r="J455" s="70"/>
      <c r="K455" s="54"/>
      <c r="L455" s="58">
        <f>SUM(L456:L458)</f>
        <v>0</v>
      </c>
      <c r="M455" s="355">
        <f t="shared" ca="1" si="55"/>
        <v>0</v>
      </c>
      <c r="O455" s="148"/>
      <c r="R455" s="356"/>
    </row>
    <row r="456" spans="1:18" s="51" customFormat="1" ht="13.5" hidden="1" customHeight="1" outlineLevel="1" x14ac:dyDescent="0.3">
      <c r="A456" s="13">
        <f t="shared" si="56"/>
        <v>0</v>
      </c>
      <c r="B456" s="49"/>
      <c r="C456" s="49"/>
      <c r="D456" s="140" t="s">
        <v>2425</v>
      </c>
      <c r="E456" s="67" t="str">
        <f>VLOOKUP(D456,'03. Insumos'!A:D,2,0)</f>
        <v>Material - Cerâmica Jatobá 5x5 Verde Etna</v>
      </c>
      <c r="F456" s="68" t="s">
        <v>2613</v>
      </c>
      <c r="G456" s="68" t="str">
        <f>VLOOKUP(D456,'03. Insumos'!A:F,3,0)</f>
        <v>m²</v>
      </c>
      <c r="H456" s="69">
        <v>1</v>
      </c>
      <c r="I456" s="141">
        <f>H455*1.15</f>
        <v>0</v>
      </c>
      <c r="J456" s="70">
        <f>IFERROR(IF(K456&lt;&gt;0,K456*$K$5,0),0)</f>
        <v>202.6</v>
      </c>
      <c r="K456" s="54">
        <f>IF(A456=0,VLOOKUP(D456,'03. Insumos'!A:F,4,0),"")</f>
        <v>202.6</v>
      </c>
      <c r="L456" s="70">
        <f>H456*J456*I456</f>
        <v>0</v>
      </c>
      <c r="M456" s="355">
        <f t="shared" ca="1" si="55"/>
        <v>0</v>
      </c>
      <c r="O456" s="148"/>
      <c r="R456" s="356"/>
    </row>
    <row r="457" spans="1:18" s="51" customFormat="1" ht="13.5" hidden="1" customHeight="1" outlineLevel="1" x14ac:dyDescent="0.3">
      <c r="A457" s="13">
        <f t="shared" si="56"/>
        <v>0</v>
      </c>
      <c r="B457" s="49"/>
      <c r="C457" s="49"/>
      <c r="D457" s="140" t="s">
        <v>2426</v>
      </c>
      <c r="E457" s="67" t="str">
        <f>VLOOKUP(D457,'03. Insumos'!A:D,2,0)</f>
        <v>Mão de obra - Assentamento Cerâmica Jatobá 5x5 Verde Etna</v>
      </c>
      <c r="F457" s="68" t="s">
        <v>2607</v>
      </c>
      <c r="G457" s="68" t="str">
        <f>VLOOKUP(D457,'03. Insumos'!A:F,3,0)</f>
        <v>m²</v>
      </c>
      <c r="H457" s="69">
        <v>1</v>
      </c>
      <c r="I457" s="141">
        <f>H455</f>
        <v>0</v>
      </c>
      <c r="J457" s="70">
        <f>IFERROR(IF(K457&lt;&gt;0,K457*$K$5,0),0)</f>
        <v>40</v>
      </c>
      <c r="K457" s="54">
        <f>IF(A457=0,VLOOKUP(D457,'03. Insumos'!A:F,4,0),"")</f>
        <v>40</v>
      </c>
      <c r="L457" s="70">
        <f>H457*J457*I457</f>
        <v>0</v>
      </c>
      <c r="M457" s="355">
        <f t="shared" ca="1" si="55"/>
        <v>0</v>
      </c>
      <c r="O457" s="148"/>
      <c r="R457" s="356"/>
    </row>
    <row r="458" spans="1:18" s="51" customFormat="1" ht="13.5" hidden="1" customHeight="1" outlineLevel="1" x14ac:dyDescent="0.3">
      <c r="A458" s="13">
        <f t="shared" si="56"/>
        <v>0</v>
      </c>
      <c r="B458" s="49"/>
      <c r="C458" s="49"/>
      <c r="D458" s="140" t="s">
        <v>2557</v>
      </c>
      <c r="E458" s="67" t="str">
        <f>VLOOKUP(D458,'03. Insumos'!A:D,2,0)</f>
        <v xml:space="preserve">Argamassa Pastilhas e Mosaicos Interno e Externo Branco 20kg Axton
</v>
      </c>
      <c r="F458" s="68" t="s">
        <v>2612</v>
      </c>
      <c r="G458" s="68" t="str">
        <f>VLOOKUP(D458,'03. Insumos'!A:F,3,0)</f>
        <v>Unid</v>
      </c>
      <c r="H458" s="69">
        <v>1</v>
      </c>
      <c r="I458" s="141">
        <f>ROUND((H455*8)/20,0)</f>
        <v>0</v>
      </c>
      <c r="J458" s="70">
        <f>IFERROR(IF(K458&lt;&gt;0,K458*$K$5,0),0)</f>
        <v>62</v>
      </c>
      <c r="K458" s="54">
        <f>IF(A458=0,VLOOKUP(D458,'03. Insumos'!A:F,4,0),"")</f>
        <v>62</v>
      </c>
      <c r="L458" s="70">
        <f>H458*J458*I458</f>
        <v>0</v>
      </c>
      <c r="M458" s="355">
        <f t="shared" ca="1" si="55"/>
        <v>0</v>
      </c>
      <c r="O458" s="148"/>
      <c r="R458" s="356"/>
    </row>
    <row r="459" spans="1:18" s="51" customFormat="1" ht="13.5" hidden="1" customHeight="1" outlineLevel="1" x14ac:dyDescent="0.3">
      <c r="A459" s="13">
        <f t="shared" si="56"/>
        <v>7</v>
      </c>
      <c r="B459" s="49"/>
      <c r="C459" s="55" t="s">
        <v>2410</v>
      </c>
      <c r="D459" s="55" t="s">
        <v>1461</v>
      </c>
      <c r="E459" s="67"/>
      <c r="F459" s="68"/>
      <c r="G459" s="56" t="s">
        <v>73</v>
      </c>
      <c r="H459" s="57"/>
      <c r="I459" s="141"/>
      <c r="J459" s="70"/>
      <c r="K459" s="54"/>
      <c r="L459" s="58">
        <f>SUM(L460:L461)</f>
        <v>0</v>
      </c>
      <c r="M459" s="355">
        <f t="shared" ca="1" si="55"/>
        <v>0</v>
      </c>
      <c r="O459" s="148"/>
      <c r="R459" s="356"/>
    </row>
    <row r="460" spans="1:18" s="51" customFormat="1" ht="13.5" hidden="1" customHeight="1" outlineLevel="1" x14ac:dyDescent="0.3">
      <c r="A460" s="13">
        <f t="shared" si="56"/>
        <v>0</v>
      </c>
      <c r="B460" s="49"/>
      <c r="C460" s="49"/>
      <c r="D460" s="140" t="s">
        <v>765</v>
      </c>
      <c r="E460" s="67" t="str">
        <f>VLOOKUP(D460,'03. Insumos'!A:D,2,0)</f>
        <v>Material - Execução pedra madeira</v>
      </c>
      <c r="F460" s="68"/>
      <c r="G460" s="68" t="str">
        <f>VLOOKUP(D460,'03. Insumos'!A:F,3,0)</f>
        <v>m²</v>
      </c>
      <c r="H460" s="69">
        <v>1</v>
      </c>
      <c r="I460" s="141">
        <f>H459*1.15</f>
        <v>0</v>
      </c>
      <c r="J460" s="70">
        <f>IFERROR(IF(K460&lt;&gt;0,K460*$K$5,0),0)</f>
        <v>600</v>
      </c>
      <c r="K460" s="54">
        <f>IF(A460=0,VLOOKUP(D460,'03. Insumos'!A:F,4,0),"")</f>
        <v>600</v>
      </c>
      <c r="L460" s="70">
        <f>H460*J460*I460</f>
        <v>0</v>
      </c>
      <c r="M460" s="355">
        <f t="shared" ca="1" si="55"/>
        <v>0</v>
      </c>
      <c r="O460" s="148"/>
      <c r="R460" s="356"/>
    </row>
    <row r="461" spans="1:18" s="51" customFormat="1" ht="13.5" hidden="1" customHeight="1" outlineLevel="1" x14ac:dyDescent="0.3">
      <c r="A461" s="13">
        <f t="shared" si="56"/>
        <v>0</v>
      </c>
      <c r="B461" s="49"/>
      <c r="C461" s="49"/>
      <c r="D461" s="140" t="s">
        <v>766</v>
      </c>
      <c r="E461" s="67" t="str">
        <f>VLOOKUP(D461,'03. Insumos'!A:D,2,0)</f>
        <v>Mão de obra - Execução pedra madeira</v>
      </c>
      <c r="F461" s="68"/>
      <c r="G461" s="68" t="str">
        <f>VLOOKUP(D461,'03. Insumos'!A:F,3,0)</f>
        <v>m²</v>
      </c>
      <c r="H461" s="69">
        <v>1</v>
      </c>
      <c r="I461" s="141">
        <f>H459</f>
        <v>0</v>
      </c>
      <c r="J461" s="70">
        <f>IFERROR(IF(K461&lt;&gt;0,K461*$K$5,0),0)</f>
        <v>180</v>
      </c>
      <c r="K461" s="54">
        <f>IF(A461=0,VLOOKUP(D461,'03. Insumos'!A:F,4,0),"")</f>
        <v>180</v>
      </c>
      <c r="L461" s="70">
        <f>H461*J461*I461</f>
        <v>0</v>
      </c>
      <c r="M461" s="355">
        <f t="shared" ca="1" si="55"/>
        <v>0</v>
      </c>
      <c r="O461" s="148"/>
      <c r="R461" s="356"/>
    </row>
    <row r="462" spans="1:18" s="51" customFormat="1" ht="13.5" customHeight="1" outlineLevel="1" x14ac:dyDescent="0.3">
      <c r="A462" s="290">
        <f t="shared" si="56"/>
        <v>4</v>
      </c>
      <c r="B462" s="45"/>
      <c r="C462" s="45" t="s">
        <v>1508</v>
      </c>
      <c r="D462" s="45" t="s">
        <v>1509</v>
      </c>
      <c r="E462" s="347"/>
      <c r="F462" s="327"/>
      <c r="G462" s="327"/>
      <c r="H462" s="328"/>
      <c r="I462" s="61"/>
      <c r="J462" s="335"/>
      <c r="K462" s="62"/>
      <c r="L462" s="335">
        <f>SUMIF(A463:A516,6,L463:L516)</f>
        <v>14125.619999999999</v>
      </c>
      <c r="M462" s="153">
        <f t="shared" ca="1" si="55"/>
        <v>5.3239413739126053E-4</v>
      </c>
      <c r="O462" s="148"/>
      <c r="R462" s="12"/>
    </row>
    <row r="463" spans="1:18" s="59" customFormat="1" ht="13.5" customHeight="1" outlineLevel="1" x14ac:dyDescent="0.3">
      <c r="A463" s="290">
        <f t="shared" si="56"/>
        <v>6</v>
      </c>
      <c r="B463" s="55"/>
      <c r="C463" s="55" t="s">
        <v>1310</v>
      </c>
      <c r="D463" s="4" t="s">
        <v>2934</v>
      </c>
      <c r="E463" s="55"/>
      <c r="F463" s="56"/>
      <c r="G463" s="56" t="s">
        <v>73</v>
      </c>
      <c r="H463" s="57">
        <v>288.44</v>
      </c>
      <c r="I463" s="57"/>
      <c r="J463" s="58"/>
      <c r="K463" s="58" t="str">
        <f>IF(A463=0,VLOOKUP(D463,'03. Insumos'!A:F,4,0),"")</f>
        <v/>
      </c>
      <c r="L463" s="58">
        <f>SUM(L464:L468)</f>
        <v>13592.91</v>
      </c>
      <c r="M463" s="153">
        <f t="shared" ca="1" si="55"/>
        <v>5.1231631560859207E-4</v>
      </c>
      <c r="O463" s="148">
        <f>IF(I463&lt;&gt;0,I463*H463*K463,)</f>
        <v>0</v>
      </c>
      <c r="R463" s="12">
        <f>IF(J463&lt;&gt;0,J463/1.03-K463,0)</f>
        <v>0</v>
      </c>
    </row>
    <row r="464" spans="1:18" s="51" customFormat="1" ht="13.5" customHeight="1" outlineLevel="1" x14ac:dyDescent="0.3">
      <c r="A464" s="13">
        <f t="shared" si="56"/>
        <v>0</v>
      </c>
      <c r="B464" s="49"/>
      <c r="C464" s="49"/>
      <c r="D464" s="140" t="s">
        <v>2919</v>
      </c>
      <c r="E464" s="67" t="str">
        <f>VLOOKUP(D464,'03. Insumos'!A:D,2,0)</f>
        <v>Revestimento Parede Branco Eliane Munari - 30x60</v>
      </c>
      <c r="F464" s="68" t="s">
        <v>2613</v>
      </c>
      <c r="G464" s="68" t="str">
        <f>VLOOKUP(D464,'03. Insumos'!A:F,3,0)</f>
        <v>m²</v>
      </c>
      <c r="H464" s="69"/>
      <c r="I464" s="141">
        <f>H463*1.15</f>
        <v>331.70599999999996</v>
      </c>
      <c r="J464" s="70">
        <f>IFERROR(IF(K464&lt;&gt;0,K464*$K$5,0),0)</f>
        <v>62.139999999999993</v>
      </c>
      <c r="K464" s="70">
        <f>IF(A464=0,VLOOKUP(D464,'03. Insumos'!A:F,4,0),"")</f>
        <v>62.139999999999993</v>
      </c>
      <c r="L464" s="70">
        <f>H464*J464*I464</f>
        <v>0</v>
      </c>
      <c r="M464" s="355">
        <f t="shared" ca="1" si="55"/>
        <v>0</v>
      </c>
      <c r="O464" s="148">
        <f>IF(I464&lt;&gt;0,I464*H464*K464,)</f>
        <v>0</v>
      </c>
      <c r="R464" s="356">
        <f>IF(J464&lt;&gt;0,J464/1.03-K464,0)</f>
        <v>-1.8099029126213608</v>
      </c>
    </row>
    <row r="465" spans="1:18" s="51" customFormat="1" ht="13.5" customHeight="1" outlineLevel="1" x14ac:dyDescent="0.3">
      <c r="A465" s="13">
        <f t="shared" si="56"/>
        <v>0</v>
      </c>
      <c r="B465" s="49"/>
      <c r="C465" s="49"/>
      <c r="D465" s="140" t="s">
        <v>2405</v>
      </c>
      <c r="E465" s="67" t="str">
        <f>VLOOKUP(D465,'03. Insumos'!A:D,2,0)</f>
        <v>Mão de obra - Assentamento até 60x60cm</v>
      </c>
      <c r="F465" s="68" t="s">
        <v>2607</v>
      </c>
      <c r="G465" s="68" t="str">
        <f>VLOOKUP(D465,'03. Insumos'!A:F,3,0)</f>
        <v>m²</v>
      </c>
      <c r="H465" s="69">
        <v>1</v>
      </c>
      <c r="I465" s="141">
        <f>H463</f>
        <v>288.44</v>
      </c>
      <c r="J465" s="70">
        <f>IFERROR(IF(K465&lt;&gt;0,K465*$K$5,0),0)</f>
        <v>35</v>
      </c>
      <c r="K465" s="70">
        <f>IF(A465=0,VLOOKUP(D465,'03. Insumos'!A:F,4,0),"")</f>
        <v>35</v>
      </c>
      <c r="L465" s="70">
        <f>H465*J465*I465</f>
        <v>10095.4</v>
      </c>
      <c r="M465" s="355">
        <f t="shared" ca="1" si="55"/>
        <v>3.8049528265801658E-4</v>
      </c>
      <c r="O465" s="148"/>
      <c r="R465" s="356"/>
    </row>
    <row r="466" spans="1:18" s="59" customFormat="1" ht="13.5" customHeight="1" outlineLevel="1" x14ac:dyDescent="0.3">
      <c r="A466" s="13">
        <f t="shared" si="56"/>
        <v>0</v>
      </c>
      <c r="B466" s="55"/>
      <c r="C466" s="55"/>
      <c r="D466" s="140" t="s">
        <v>2775</v>
      </c>
      <c r="E466" s="67" t="str">
        <f>VLOOKUP(D466,'03. Insumos'!A:D,2,0)</f>
        <v>Celumassa Colante AC3 flexível 20Kg</v>
      </c>
      <c r="F466" s="68" t="s">
        <v>2612</v>
      </c>
      <c r="G466" s="68" t="str">
        <f>VLOOKUP(D466,'03. Insumos'!A:F,3,0)</f>
        <v>sc</v>
      </c>
      <c r="H466" s="69">
        <v>1</v>
      </c>
      <c r="I466" s="141">
        <f>ROUND((H463*8)/20,0)</f>
        <v>115</v>
      </c>
      <c r="J466" s="70">
        <f>IFERROR(IF(K466&lt;&gt;0,K466*$K$5,0),0)</f>
        <v>17.5</v>
      </c>
      <c r="K466" s="70">
        <f>IF(A466=0,VLOOKUP(D466,'03. Insumos'!A:F,4,0),"")</f>
        <v>17.5</v>
      </c>
      <c r="L466" s="70">
        <f>H466*J466*I466</f>
        <v>2012.5</v>
      </c>
      <c r="M466" s="355">
        <f t="shared" ca="1" si="55"/>
        <v>7.5851056555387438E-5</v>
      </c>
      <c r="O466" s="148">
        <f>IF(I466&lt;&gt;0,I466*H466*K466,)</f>
        <v>2012.5</v>
      </c>
      <c r="R466" s="356">
        <f>IF(J466&lt;&gt;0,J466/1.03-K466,0)</f>
        <v>-0.50970873786407722</v>
      </c>
    </row>
    <row r="467" spans="1:18" s="51" customFormat="1" ht="13.5" customHeight="1" outlineLevel="1" x14ac:dyDescent="0.3">
      <c r="A467" s="13">
        <f t="shared" si="56"/>
        <v>0</v>
      </c>
      <c r="B467" s="49"/>
      <c r="C467" s="49"/>
      <c r="D467" s="140" t="s">
        <v>772</v>
      </c>
      <c r="E467" s="67" t="str">
        <f>VLOOKUP(D467,'03. Insumos'!A:D,2,0)</f>
        <v xml:space="preserve">Rejunte acrílico Portokoll </v>
      </c>
      <c r="F467" s="68" t="s">
        <v>2612</v>
      </c>
      <c r="G467" s="68" t="str">
        <f>VLOOKUP(D467,'03. Insumos'!A:F,3,0)</f>
        <v>Kg</v>
      </c>
      <c r="H467" s="69">
        <v>1</v>
      </c>
      <c r="I467" s="141">
        <f>ROUNDUP((H463*0.2),0)</f>
        <v>58</v>
      </c>
      <c r="J467" s="70">
        <f>IFERROR(IF(K467&lt;&gt;0,K467*$K$5,0),0)</f>
        <v>19.87</v>
      </c>
      <c r="K467" s="70">
        <f>IF(A467=0,VLOOKUP(D467,'03. Insumos'!A:F,4,0),"")</f>
        <v>19.87</v>
      </c>
      <c r="L467" s="70">
        <f>H467*J467*I467</f>
        <v>1152.46</v>
      </c>
      <c r="M467" s="355">
        <f t="shared" ca="1" si="55"/>
        <v>4.3436178205128851E-5</v>
      </c>
      <c r="O467" s="148">
        <f>IF(I467&lt;&gt;0,I467*H467*K467,)</f>
        <v>1152.46</v>
      </c>
      <c r="R467" s="356">
        <f>IF(J467&lt;&gt;0,J467/1.03-K467,0)</f>
        <v>-0.57873786407767014</v>
      </c>
    </row>
    <row r="468" spans="1:18" s="51" customFormat="1" ht="13.5" customHeight="1" outlineLevel="1" x14ac:dyDescent="0.3">
      <c r="A468" s="13">
        <f t="shared" si="56"/>
        <v>0</v>
      </c>
      <c r="B468" s="49"/>
      <c r="C468" s="49"/>
      <c r="D468" s="140" t="s">
        <v>773</v>
      </c>
      <c r="E468" s="67" t="str">
        <f>VLOOKUP(D468,'03. Insumos'!A:D,2,0)</f>
        <v>Espaçador - Cunha</v>
      </c>
      <c r="F468" s="68" t="s">
        <v>2612</v>
      </c>
      <c r="G468" s="68" t="str">
        <f>VLOOKUP(D468,'03. Insumos'!A:F,3,0)</f>
        <v>50 pcs</v>
      </c>
      <c r="H468" s="69">
        <v>1</v>
      </c>
      <c r="I468" s="141">
        <f>ROUNDUP(((H463*5)/100),0)</f>
        <v>15</v>
      </c>
      <c r="J468" s="70">
        <f>IFERROR(IF(K468&lt;&gt;0,K468*$K$5,0),0)</f>
        <v>22.17</v>
      </c>
      <c r="K468" s="70">
        <f>IF(A468=0,VLOOKUP(D468,'03. Insumos'!A:F,4,0),"")</f>
        <v>22.17</v>
      </c>
      <c r="L468" s="70">
        <f>H468*J468*I468</f>
        <v>332.55</v>
      </c>
      <c r="M468" s="355">
        <f t="shared" ca="1" si="55"/>
        <v>1.2533798190059177E-5</v>
      </c>
      <c r="O468" s="148">
        <f>IF(I468&lt;&gt;0,I468*H468*K468,)</f>
        <v>332.55</v>
      </c>
      <c r="R468" s="356">
        <f>IF(J468&lt;&gt;0,J468/1.03-K468,0)</f>
        <v>-0.64572815533980688</v>
      </c>
    </row>
    <row r="469" spans="1:18" s="51" customFormat="1" ht="13.5" customHeight="1" outlineLevel="1" x14ac:dyDescent="0.3">
      <c r="A469" s="290">
        <f t="shared" si="56"/>
        <v>6</v>
      </c>
      <c r="B469" s="55"/>
      <c r="C469" s="55" t="s">
        <v>1312</v>
      </c>
      <c r="D469" s="4" t="s">
        <v>2936</v>
      </c>
      <c r="E469" s="55"/>
      <c r="F469" s="56"/>
      <c r="G469" s="56" t="s">
        <v>73</v>
      </c>
      <c r="H469" s="57">
        <v>7.12</v>
      </c>
      <c r="I469" s="57"/>
      <c r="J469" s="58"/>
      <c r="K469" s="58" t="str">
        <f>IF(A469=0,VLOOKUP(D469,'03. Insumos'!A:F,4,0),"")</f>
        <v/>
      </c>
      <c r="L469" s="58">
        <f>SUM(L470:L474)</f>
        <v>532.71</v>
      </c>
      <c r="M469" s="153">
        <f t="shared" ca="1" si="55"/>
        <v>2.0077821782668544E-5</v>
      </c>
      <c r="O469" s="148"/>
      <c r="R469" s="12"/>
    </row>
    <row r="470" spans="1:18" s="51" customFormat="1" ht="13.5" customHeight="1" outlineLevel="1" x14ac:dyDescent="0.3">
      <c r="A470" s="13">
        <f t="shared" si="56"/>
        <v>0</v>
      </c>
      <c r="B470" s="49"/>
      <c r="C470" s="49"/>
      <c r="D470" s="140" t="s">
        <v>2425</v>
      </c>
      <c r="E470" s="67" t="str">
        <f>VLOOKUP(D470,'03. Insumos'!A:D,2,0)</f>
        <v>Material - Cerâmica Jatobá 5x5 Verde Etna</v>
      </c>
      <c r="F470" s="68" t="s">
        <v>2613</v>
      </c>
      <c r="G470" s="68" t="str">
        <f>VLOOKUP(D470,'03. Insumos'!A:F,3,0)</f>
        <v>m²</v>
      </c>
      <c r="H470" s="69"/>
      <c r="I470" s="141">
        <f>H469*1.15</f>
        <v>8.1879999999999988</v>
      </c>
      <c r="J470" s="70">
        <f>IFERROR(IF(K470&lt;&gt;0,K470*$K$5,0),0)</f>
        <v>202.6</v>
      </c>
      <c r="K470" s="70">
        <f>IF(A470=0,VLOOKUP(D470,'03. Insumos'!A:F,4,0),"")</f>
        <v>202.6</v>
      </c>
      <c r="L470" s="70">
        <f>H470*J470*I470</f>
        <v>0</v>
      </c>
      <c r="M470" s="355">
        <f t="shared" ca="1" si="55"/>
        <v>0</v>
      </c>
      <c r="O470" s="148">
        <f>IF(I470&lt;&gt;0,I470*H470*K470,)</f>
        <v>0</v>
      </c>
      <c r="R470" s="356">
        <f>IF(J470&lt;&gt;0,J470/1.03-K470,0)</f>
        <v>-5.9009708737864059</v>
      </c>
    </row>
    <row r="471" spans="1:18" s="51" customFormat="1" ht="13.5" customHeight="1" outlineLevel="1" x14ac:dyDescent="0.3">
      <c r="A471" s="13">
        <f t="shared" si="56"/>
        <v>0</v>
      </c>
      <c r="B471" s="49"/>
      <c r="C471" s="49"/>
      <c r="D471" s="140" t="s">
        <v>2426</v>
      </c>
      <c r="E471" s="67" t="str">
        <f>VLOOKUP(D471,'03. Insumos'!A:D,2,0)</f>
        <v>Mão de obra - Assentamento Cerâmica Jatobá 5x5 Verde Etna</v>
      </c>
      <c r="F471" s="68" t="s">
        <v>2607</v>
      </c>
      <c r="G471" s="68" t="str">
        <f>VLOOKUP(D471,'03. Insumos'!A:F,3,0)</f>
        <v>m²</v>
      </c>
      <c r="H471" s="69">
        <v>1</v>
      </c>
      <c r="I471" s="141">
        <f>H469</f>
        <v>7.12</v>
      </c>
      <c r="J471" s="70">
        <f>IFERROR(IF(K471&lt;&gt;0,K471*$K$5,0),0)</f>
        <v>40</v>
      </c>
      <c r="K471" s="70">
        <f>IF(A471=0,VLOOKUP(D471,'03. Insumos'!A:F,4,0),"")</f>
        <v>40</v>
      </c>
      <c r="L471" s="70">
        <f>H471*J471*I471</f>
        <v>284.8</v>
      </c>
      <c r="M471" s="355">
        <f t="shared" ca="1" si="55"/>
        <v>1.0734102314024519E-5</v>
      </c>
      <c r="O471" s="148"/>
      <c r="R471" s="356"/>
    </row>
    <row r="472" spans="1:18" s="59" customFormat="1" ht="13.5" customHeight="1" outlineLevel="1" x14ac:dyDescent="0.3">
      <c r="A472" s="13">
        <f t="shared" si="56"/>
        <v>0</v>
      </c>
      <c r="B472" s="55"/>
      <c r="C472" s="55"/>
      <c r="D472" s="140" t="s">
        <v>2557</v>
      </c>
      <c r="E472" s="67" t="str">
        <f>VLOOKUP(D472,'03. Insumos'!A:D,2,0)</f>
        <v xml:space="preserve">Argamassa Pastilhas e Mosaicos Interno e Externo Branco 20kg Axton
</v>
      </c>
      <c r="F472" s="68" t="s">
        <v>2612</v>
      </c>
      <c r="G472" s="68" t="str">
        <f>VLOOKUP(D472,'03. Insumos'!A:F,3,0)</f>
        <v>Unid</v>
      </c>
      <c r="H472" s="69">
        <v>1</v>
      </c>
      <c r="I472" s="141">
        <f>ROUND((H469*8)/20,0)</f>
        <v>3</v>
      </c>
      <c r="J472" s="70">
        <f>IFERROR(IF(K472&lt;&gt;0,K472*$K$5,0),0)</f>
        <v>62</v>
      </c>
      <c r="K472" s="70">
        <f>IF(A472=0,VLOOKUP(D472,'03. Insumos'!A:F,4,0),"")</f>
        <v>62</v>
      </c>
      <c r="L472" s="70">
        <f>H472*J472*I472</f>
        <v>186</v>
      </c>
      <c r="M472" s="355">
        <f t="shared" ca="1" si="55"/>
        <v>7.0103336741873607E-6</v>
      </c>
      <c r="O472" s="148">
        <f>IF(I472&lt;&gt;0,I472*H472*K472,)</f>
        <v>186</v>
      </c>
      <c r="R472" s="356">
        <f>IF(J472&lt;&gt;0,J472/1.03-K472,0)</f>
        <v>-1.8058252427184485</v>
      </c>
    </row>
    <row r="473" spans="1:18" s="51" customFormat="1" ht="13.5" customHeight="1" outlineLevel="1" x14ac:dyDescent="0.3">
      <c r="A473" s="13">
        <f t="shared" si="56"/>
        <v>0</v>
      </c>
      <c r="B473" s="49"/>
      <c r="C473" s="49"/>
      <c r="D473" s="140" t="s">
        <v>772</v>
      </c>
      <c r="E473" s="67" t="str">
        <f>VLOOKUP(D473,'03. Insumos'!A:D,2,0)</f>
        <v xml:space="preserve">Rejunte acrílico Portokoll </v>
      </c>
      <c r="F473" s="68" t="s">
        <v>2612</v>
      </c>
      <c r="G473" s="68" t="str">
        <f>VLOOKUP(D473,'03. Insumos'!A:F,3,0)</f>
        <v>Kg</v>
      </c>
      <c r="H473" s="69">
        <v>1</v>
      </c>
      <c r="I473" s="141">
        <f>ROUNDUP((H469*0.2),0)</f>
        <v>2</v>
      </c>
      <c r="J473" s="70">
        <f>IFERROR(IF(K473&lt;&gt;0,K473*$K$5,0),0)</f>
        <v>19.87</v>
      </c>
      <c r="K473" s="70">
        <f>IF(A473=0,VLOOKUP(D473,'03. Insumos'!A:F,4,0),"")</f>
        <v>19.87</v>
      </c>
      <c r="L473" s="70">
        <f>H473*J473*I473</f>
        <v>39.74</v>
      </c>
      <c r="M473" s="355">
        <f t="shared" ca="1" si="55"/>
        <v>1.4977992484527189E-6</v>
      </c>
      <c r="O473" s="148">
        <f>IF(I473&lt;&gt;0,I473*H473*K473,)</f>
        <v>39.74</v>
      </c>
      <c r="R473" s="356">
        <f>IF(J473&lt;&gt;0,J473/1.03-K473,0)</f>
        <v>-0.57873786407767014</v>
      </c>
    </row>
    <row r="474" spans="1:18" s="51" customFormat="1" ht="13.5" customHeight="1" outlineLevel="1" x14ac:dyDescent="0.3">
      <c r="A474" s="13">
        <f t="shared" si="56"/>
        <v>0</v>
      </c>
      <c r="B474" s="49"/>
      <c r="C474" s="49"/>
      <c r="D474" s="140" t="s">
        <v>773</v>
      </c>
      <c r="E474" s="67" t="str">
        <f>VLOOKUP(D474,'03. Insumos'!A:D,2,0)</f>
        <v>Espaçador - Cunha</v>
      </c>
      <c r="F474" s="68" t="s">
        <v>2612</v>
      </c>
      <c r="G474" s="68" t="str">
        <f>VLOOKUP(D474,'03. Insumos'!A:F,3,0)</f>
        <v>50 pcs</v>
      </c>
      <c r="H474" s="69">
        <v>1</v>
      </c>
      <c r="I474" s="141">
        <f>ROUNDUP(((H469*5)/100),0)</f>
        <v>1</v>
      </c>
      <c r="J474" s="70">
        <f>IFERROR(IF(K474&lt;&gt;0,K474*$K$5,0),0)</f>
        <v>22.17</v>
      </c>
      <c r="K474" s="70">
        <f>IF(A474=0,VLOOKUP(D474,'03. Insumos'!A:F,4,0),"")</f>
        <v>22.17</v>
      </c>
      <c r="L474" s="70">
        <f>H474*J474*I474</f>
        <v>22.17</v>
      </c>
      <c r="M474" s="355">
        <f t="shared" ca="1" si="55"/>
        <v>8.3558654600394516E-7</v>
      </c>
      <c r="O474" s="148">
        <f>IF(I474&lt;&gt;0,I474*H474*K474,)</f>
        <v>22.17</v>
      </c>
      <c r="R474" s="356">
        <f>IF(J474&lt;&gt;0,J474/1.03-K474,0)</f>
        <v>-0.64572815533980688</v>
      </c>
    </row>
    <row r="475" spans="1:18" s="51" customFormat="1" ht="13.5" hidden="1" customHeight="1" outlineLevel="1" x14ac:dyDescent="0.3">
      <c r="A475" s="290">
        <f t="shared" si="56"/>
        <v>6</v>
      </c>
      <c r="B475" s="55"/>
      <c r="C475" s="55" t="s">
        <v>1312</v>
      </c>
      <c r="D475" s="55" t="s">
        <v>2739</v>
      </c>
      <c r="E475" s="55"/>
      <c r="F475" s="56"/>
      <c r="G475" s="56" t="s">
        <v>73</v>
      </c>
      <c r="H475" s="57"/>
      <c r="I475" s="57"/>
      <c r="J475" s="58"/>
      <c r="K475" s="58" t="str">
        <f>IF(A475=0,VLOOKUP(D475,'03. Insumos'!A:F,4,0),"")</f>
        <v/>
      </c>
      <c r="L475" s="58">
        <f>SUM(L476:L480)</f>
        <v>0</v>
      </c>
      <c r="M475" s="153">
        <f t="shared" ca="1" si="55"/>
        <v>0</v>
      </c>
      <c r="O475" s="148"/>
      <c r="R475" s="12"/>
    </row>
    <row r="476" spans="1:18" s="51" customFormat="1" ht="13.5" hidden="1" customHeight="1" outlineLevel="1" x14ac:dyDescent="0.3">
      <c r="A476" s="13">
        <f t="shared" si="56"/>
        <v>0</v>
      </c>
      <c r="B476" s="49"/>
      <c r="C476" s="49"/>
      <c r="D476" s="140" t="s">
        <v>2769</v>
      </c>
      <c r="E476" s="67" t="str">
        <f>VLOOKUP(D476,'03. Insumos'!A:D,2,0)</f>
        <v>PORCELANATO PORTOBELLO CONCRETISSYMA MATIZ GRIGIO 90X90 - mat</v>
      </c>
      <c r="F476" s="68" t="s">
        <v>2613</v>
      </c>
      <c r="G476" s="68" t="str">
        <f>VLOOKUP(D476,'03. Insumos'!A:F,3,0)</f>
        <v>m²</v>
      </c>
      <c r="H476" s="69">
        <v>1</v>
      </c>
      <c r="I476" s="395">
        <f>H475*1.15</f>
        <v>0</v>
      </c>
      <c r="J476" s="70">
        <f>IFERROR(IF(K476&lt;&gt;0,K476*$K$5,0),0)</f>
        <v>104.9</v>
      </c>
      <c r="K476" s="70">
        <f>IF(A476=0,VLOOKUP(D476,'03. Insumos'!A:F,4,0),"")</f>
        <v>104.9</v>
      </c>
      <c r="L476" s="70">
        <f>H476*J476*I476</f>
        <v>0</v>
      </c>
      <c r="M476" s="355">
        <f t="shared" ca="1" si="55"/>
        <v>0</v>
      </c>
      <c r="O476" s="148">
        <f>IF(I476&lt;&gt;0,I476*H476*K476,)</f>
        <v>0</v>
      </c>
      <c r="R476" s="356">
        <f>IF(J476&lt;&gt;0,J476/1.03-K476,0)</f>
        <v>-3.0553398058252412</v>
      </c>
    </row>
    <row r="477" spans="1:18" s="51" customFormat="1" ht="13.5" hidden="1" customHeight="1" outlineLevel="1" x14ac:dyDescent="0.3">
      <c r="A477" s="13">
        <f t="shared" si="56"/>
        <v>0</v>
      </c>
      <c r="B477" s="49"/>
      <c r="C477" s="49"/>
      <c r="D477" s="140" t="s">
        <v>2405</v>
      </c>
      <c r="E477" s="67" t="str">
        <f>VLOOKUP(D477,'03. Insumos'!A:D,2,0)</f>
        <v>Mão de obra - Assentamento até 60x60cm</v>
      </c>
      <c r="F477" s="68" t="s">
        <v>2607</v>
      </c>
      <c r="G477" s="68" t="str">
        <f>VLOOKUP(D477,'03. Insumos'!A:F,3,0)</f>
        <v>m²</v>
      </c>
      <c r="H477" s="69">
        <v>1</v>
      </c>
      <c r="I477" s="141">
        <f>H475</f>
        <v>0</v>
      </c>
      <c r="J477" s="70">
        <f>IFERROR(IF(K477&lt;&gt;0,K477*$K$5,0),0)</f>
        <v>35</v>
      </c>
      <c r="K477" s="70">
        <f>IF(A477=0,VLOOKUP(D477,'03. Insumos'!A:F,4,0),"")</f>
        <v>35</v>
      </c>
      <c r="L477" s="70">
        <f>H477*J477*I477</f>
        <v>0</v>
      </c>
      <c r="M477" s="355">
        <f t="shared" ca="1" si="55"/>
        <v>0</v>
      </c>
      <c r="O477" s="148"/>
      <c r="R477" s="356"/>
    </row>
    <row r="478" spans="1:18" s="59" customFormat="1" ht="13.5" hidden="1" customHeight="1" outlineLevel="1" x14ac:dyDescent="0.3">
      <c r="A478" s="13">
        <f t="shared" si="56"/>
        <v>0</v>
      </c>
      <c r="B478" s="55"/>
      <c r="C478" s="55"/>
      <c r="D478" s="140" t="s">
        <v>2775</v>
      </c>
      <c r="E478" s="67" t="str">
        <f>VLOOKUP(D478,'03. Insumos'!A:D,2,0)</f>
        <v>Celumassa Colante AC3 flexível 20Kg</v>
      </c>
      <c r="F478" s="68" t="s">
        <v>2612</v>
      </c>
      <c r="G478" s="68" t="str">
        <f>VLOOKUP(D478,'03. Insumos'!A:F,3,0)</f>
        <v>sc</v>
      </c>
      <c r="H478" s="69">
        <v>1</v>
      </c>
      <c r="I478" s="141">
        <f>ROUND((H475*8)/20,0)</f>
        <v>0</v>
      </c>
      <c r="J478" s="70">
        <f>IFERROR(IF(K478&lt;&gt;0,K478*$K$5,0),0)</f>
        <v>17.5</v>
      </c>
      <c r="K478" s="70">
        <f>IF(A478=0,VLOOKUP(D478,'03. Insumos'!A:F,4,0),"")</f>
        <v>17.5</v>
      </c>
      <c r="L478" s="70">
        <f>H478*J478*I478</f>
        <v>0</v>
      </c>
      <c r="M478" s="355">
        <f t="shared" ca="1" si="55"/>
        <v>0</v>
      </c>
      <c r="O478" s="148">
        <f>IF(I478&lt;&gt;0,I478*H478*K478,)</f>
        <v>0</v>
      </c>
      <c r="R478" s="356">
        <f>IF(J478&lt;&gt;0,J478/1.03-K478,0)</f>
        <v>-0.50970873786407722</v>
      </c>
    </row>
    <row r="479" spans="1:18" s="51" customFormat="1" ht="13.5" hidden="1" customHeight="1" outlineLevel="1" x14ac:dyDescent="0.3">
      <c r="A479" s="13">
        <f t="shared" si="56"/>
        <v>0</v>
      </c>
      <c r="B479" s="49"/>
      <c r="C479" s="49"/>
      <c r="D479" s="140" t="s">
        <v>772</v>
      </c>
      <c r="E479" s="67" t="str">
        <f>VLOOKUP(D479,'03. Insumos'!A:D,2,0)</f>
        <v xml:space="preserve">Rejunte acrílico Portokoll </v>
      </c>
      <c r="F479" s="68" t="s">
        <v>2612</v>
      </c>
      <c r="G479" s="68" t="str">
        <f>VLOOKUP(D479,'03. Insumos'!A:F,3,0)</f>
        <v>Kg</v>
      </c>
      <c r="H479" s="69">
        <v>1</v>
      </c>
      <c r="I479" s="141">
        <f>ROUNDUP((H475*0.2),0)</f>
        <v>0</v>
      </c>
      <c r="J479" s="70">
        <f>IFERROR(IF(K479&lt;&gt;0,K479*$K$5,0),0)</f>
        <v>19.87</v>
      </c>
      <c r="K479" s="70">
        <f>IF(A479=0,VLOOKUP(D479,'03. Insumos'!A:F,4,0),"")</f>
        <v>19.87</v>
      </c>
      <c r="L479" s="70">
        <f>H479*J479*I479</f>
        <v>0</v>
      </c>
      <c r="M479" s="355">
        <f t="shared" ca="1" si="55"/>
        <v>0</v>
      </c>
      <c r="O479" s="148">
        <f>IF(I479&lt;&gt;0,I479*H479*K479,)</f>
        <v>0</v>
      </c>
      <c r="R479" s="356">
        <f>IF(J479&lt;&gt;0,J479/1.03-K479,0)</f>
        <v>-0.57873786407767014</v>
      </c>
    </row>
    <row r="480" spans="1:18" s="51" customFormat="1" ht="13.5" hidden="1" customHeight="1" outlineLevel="1" x14ac:dyDescent="0.3">
      <c r="A480" s="13">
        <f t="shared" si="56"/>
        <v>0</v>
      </c>
      <c r="B480" s="49"/>
      <c r="C480" s="49"/>
      <c r="D480" s="140" t="s">
        <v>773</v>
      </c>
      <c r="E480" s="67" t="str">
        <f>VLOOKUP(D480,'03. Insumos'!A:D,2,0)</f>
        <v>Espaçador - Cunha</v>
      </c>
      <c r="F480" s="68" t="s">
        <v>2612</v>
      </c>
      <c r="G480" s="68" t="str">
        <f>VLOOKUP(D480,'03. Insumos'!A:F,3,0)</f>
        <v>50 pcs</v>
      </c>
      <c r="H480" s="69">
        <v>1</v>
      </c>
      <c r="I480" s="141">
        <f>ROUNDUP(((H475*5)/100),0)</f>
        <v>0</v>
      </c>
      <c r="J480" s="70">
        <f>IFERROR(IF(K480&lt;&gt;0,K480*$K$5,0),0)</f>
        <v>22.17</v>
      </c>
      <c r="K480" s="70">
        <f>IF(A480=0,VLOOKUP(D480,'03. Insumos'!A:F,4,0),"")</f>
        <v>22.17</v>
      </c>
      <c r="L480" s="70">
        <f>H480*J480*I480</f>
        <v>0</v>
      </c>
      <c r="M480" s="355">
        <f t="shared" ca="1" si="55"/>
        <v>0</v>
      </c>
      <c r="O480" s="148">
        <f>IF(I480&lt;&gt;0,I480*H480*K480,)</f>
        <v>0</v>
      </c>
      <c r="R480" s="356">
        <f>IF(J480&lt;&gt;0,J480/1.03-K480,0)</f>
        <v>-0.64572815533980688</v>
      </c>
    </row>
    <row r="481" spans="1:18" s="51" customFormat="1" ht="13.5" hidden="1" customHeight="1" outlineLevel="1" x14ac:dyDescent="0.3">
      <c r="A481" s="290">
        <f t="shared" si="56"/>
        <v>6</v>
      </c>
      <c r="B481" s="55"/>
      <c r="C481" s="55" t="s">
        <v>1311</v>
      </c>
      <c r="D481" s="55" t="s">
        <v>2740</v>
      </c>
      <c r="E481" s="55"/>
      <c r="F481" s="56"/>
      <c r="G481" s="56" t="s">
        <v>73</v>
      </c>
      <c r="H481" s="57"/>
      <c r="I481" s="57"/>
      <c r="J481" s="58"/>
      <c r="K481" s="58" t="str">
        <f>IF(A481=0,VLOOKUP(D481,'03. Insumos'!A:F,4,0),"")</f>
        <v/>
      </c>
      <c r="L481" s="58">
        <f>SUM(L482:L486)</f>
        <v>0</v>
      </c>
      <c r="M481" s="153">
        <f t="shared" ca="1" si="55"/>
        <v>0</v>
      </c>
      <c r="O481" s="148"/>
      <c r="R481" s="12"/>
    </row>
    <row r="482" spans="1:18" s="51" customFormat="1" ht="13.5" hidden="1" customHeight="1" outlineLevel="1" x14ac:dyDescent="0.3">
      <c r="A482" s="13">
        <f t="shared" si="56"/>
        <v>0</v>
      </c>
      <c r="B482" s="49"/>
      <c r="C482" s="49"/>
      <c r="D482" s="140" t="s">
        <v>2763</v>
      </c>
      <c r="E482" s="67" t="str">
        <f>VLOOKUP(D482,'03. Insumos'!A:D,2,0)</f>
        <v>Material - Piso Porcelanato Margres Time T21- Snow Anti Slip 60x60cm</v>
      </c>
      <c r="F482" s="68" t="s">
        <v>2613</v>
      </c>
      <c r="G482" s="68" t="str">
        <f>VLOOKUP(D482,'03. Insumos'!A:F,3,0)</f>
        <v>m²</v>
      </c>
      <c r="H482" s="69">
        <v>1</v>
      </c>
      <c r="I482" s="395">
        <f>H481*1.15</f>
        <v>0</v>
      </c>
      <c r="J482" s="70">
        <f>IFERROR(IF(K482&lt;&gt;0,K482*$K$5,0),0)</f>
        <v>258.45</v>
      </c>
      <c r="K482" s="70">
        <f>IF(A482=0,VLOOKUP(D482,'03. Insumos'!A:F,4,0),"")</f>
        <v>258.45</v>
      </c>
      <c r="L482" s="70">
        <f>H482*J482*I482</f>
        <v>0</v>
      </c>
      <c r="M482" s="355">
        <f t="shared" ca="1" si="55"/>
        <v>0</v>
      </c>
      <c r="O482" s="148">
        <f>IF(I482&lt;&gt;0,I482*H482*K482,)</f>
        <v>0</v>
      </c>
      <c r="R482" s="356">
        <f>IF(J482&lt;&gt;0,J482/1.03-K482,0)</f>
        <v>-7.5276699029126348</v>
      </c>
    </row>
    <row r="483" spans="1:18" s="51" customFormat="1" ht="13.5" hidden="1" customHeight="1" outlineLevel="1" x14ac:dyDescent="0.3">
      <c r="A483" s="13">
        <f t="shared" si="56"/>
        <v>0</v>
      </c>
      <c r="B483" s="49"/>
      <c r="C483" s="49"/>
      <c r="D483" s="140" t="s">
        <v>2405</v>
      </c>
      <c r="E483" s="67" t="str">
        <f>VLOOKUP(D483,'03. Insumos'!A:D,2,0)</f>
        <v>Mão de obra - Assentamento até 60x60cm</v>
      </c>
      <c r="F483" s="68" t="s">
        <v>2607</v>
      </c>
      <c r="G483" s="68" t="str">
        <f>VLOOKUP(D483,'03. Insumos'!A:F,3,0)</f>
        <v>m²</v>
      </c>
      <c r="H483" s="69">
        <v>1</v>
      </c>
      <c r="I483" s="141">
        <f>H481</f>
        <v>0</v>
      </c>
      <c r="J483" s="70">
        <f>IFERROR(IF(K483&lt;&gt;0,K483*$K$5,0),0)</f>
        <v>35</v>
      </c>
      <c r="K483" s="70">
        <f>IF(A483=0,VLOOKUP(D483,'03. Insumos'!A:F,4,0),"")</f>
        <v>35</v>
      </c>
      <c r="L483" s="70">
        <f>H483*J483*I483</f>
        <v>0</v>
      </c>
      <c r="M483" s="355">
        <f t="shared" ca="1" si="55"/>
        <v>0</v>
      </c>
      <c r="O483" s="148"/>
      <c r="R483" s="356"/>
    </row>
    <row r="484" spans="1:18" s="59" customFormat="1" ht="13.5" hidden="1" customHeight="1" outlineLevel="1" x14ac:dyDescent="0.3">
      <c r="A484" s="13">
        <f t="shared" si="56"/>
        <v>0</v>
      </c>
      <c r="B484" s="55"/>
      <c r="C484" s="55"/>
      <c r="D484" s="140" t="s">
        <v>2775</v>
      </c>
      <c r="E484" s="67" t="str">
        <f>VLOOKUP(D484,'03. Insumos'!A:D,2,0)</f>
        <v>Celumassa Colante AC3 flexível 20Kg</v>
      </c>
      <c r="F484" s="68" t="s">
        <v>2612</v>
      </c>
      <c r="G484" s="68" t="str">
        <f>VLOOKUP(D484,'03. Insumos'!A:F,3,0)</f>
        <v>sc</v>
      </c>
      <c r="H484" s="69">
        <v>1</v>
      </c>
      <c r="I484" s="141">
        <f>ROUND((H481*8)/20,0)</f>
        <v>0</v>
      </c>
      <c r="J484" s="70">
        <f>IFERROR(IF(K484&lt;&gt;0,K484*$K$5,0),0)</f>
        <v>17.5</v>
      </c>
      <c r="K484" s="70">
        <f>IF(A484=0,VLOOKUP(D484,'03. Insumos'!A:F,4,0),"")</f>
        <v>17.5</v>
      </c>
      <c r="L484" s="70">
        <f>H484*J484*I484</f>
        <v>0</v>
      </c>
      <c r="M484" s="355">
        <f t="shared" ca="1" si="55"/>
        <v>0</v>
      </c>
      <c r="O484" s="148">
        <f>IF(I484&lt;&gt;0,I484*H484*K484,)</f>
        <v>0</v>
      </c>
      <c r="R484" s="356">
        <f>IF(J484&lt;&gt;0,J484/1.03-K484,0)</f>
        <v>-0.50970873786407722</v>
      </c>
    </row>
    <row r="485" spans="1:18" s="51" customFormat="1" ht="13.5" hidden="1" customHeight="1" outlineLevel="1" x14ac:dyDescent="0.3">
      <c r="A485" s="13">
        <f t="shared" si="56"/>
        <v>0</v>
      </c>
      <c r="B485" s="49"/>
      <c r="C485" s="49"/>
      <c r="D485" s="140" t="s">
        <v>772</v>
      </c>
      <c r="E485" s="67" t="str">
        <f>VLOOKUP(D485,'03. Insumos'!A:D,2,0)</f>
        <v xml:space="preserve">Rejunte acrílico Portokoll </v>
      </c>
      <c r="F485" s="68" t="s">
        <v>2612</v>
      </c>
      <c r="G485" s="68" t="str">
        <f>VLOOKUP(D485,'03. Insumos'!A:F,3,0)</f>
        <v>Kg</v>
      </c>
      <c r="H485" s="69">
        <v>1</v>
      </c>
      <c r="I485" s="141">
        <f>ROUNDUP((H481*0.2),0)</f>
        <v>0</v>
      </c>
      <c r="J485" s="70">
        <f>IFERROR(IF(K485&lt;&gt;0,K485*$K$5,0),0)</f>
        <v>19.87</v>
      </c>
      <c r="K485" s="70">
        <f>IF(A485=0,VLOOKUP(D485,'03. Insumos'!A:F,4,0),"")</f>
        <v>19.87</v>
      </c>
      <c r="L485" s="70">
        <f>H485*J485*I485</f>
        <v>0</v>
      </c>
      <c r="M485" s="355">
        <f t="shared" ca="1" si="55"/>
        <v>0</v>
      </c>
      <c r="O485" s="148">
        <f>IF(I485&lt;&gt;0,I485*H485*K485,)</f>
        <v>0</v>
      </c>
      <c r="R485" s="356">
        <f>IF(J485&lt;&gt;0,J485/1.03-K485,0)</f>
        <v>-0.57873786407767014</v>
      </c>
    </row>
    <row r="486" spans="1:18" s="51" customFormat="1" ht="13.5" hidden="1" customHeight="1" outlineLevel="1" x14ac:dyDescent="0.3">
      <c r="A486" s="13">
        <f t="shared" si="56"/>
        <v>0</v>
      </c>
      <c r="B486" s="49"/>
      <c r="C486" s="49"/>
      <c r="D486" s="140" t="s">
        <v>773</v>
      </c>
      <c r="E486" s="67" t="str">
        <f>VLOOKUP(D486,'03. Insumos'!A:D,2,0)</f>
        <v>Espaçador - Cunha</v>
      </c>
      <c r="F486" s="68" t="s">
        <v>2612</v>
      </c>
      <c r="G486" s="68" t="str">
        <f>VLOOKUP(D486,'03. Insumos'!A:F,3,0)</f>
        <v>50 pcs</v>
      </c>
      <c r="H486" s="69">
        <v>1</v>
      </c>
      <c r="I486" s="141">
        <f>ROUNDUP(((H481*5)/100),0)</f>
        <v>0</v>
      </c>
      <c r="J486" s="70">
        <f>IFERROR(IF(K486&lt;&gt;0,K486*$K$5,0),0)</f>
        <v>22.17</v>
      </c>
      <c r="K486" s="70">
        <f>IF(A486=0,VLOOKUP(D486,'03. Insumos'!A:F,4,0),"")</f>
        <v>22.17</v>
      </c>
      <c r="L486" s="70">
        <f>H486*J486*I486</f>
        <v>0</v>
      </c>
      <c r="M486" s="355">
        <f t="shared" ca="1" si="55"/>
        <v>0</v>
      </c>
      <c r="O486" s="148">
        <f>IF(I486&lt;&gt;0,I486*H486*K486,)</f>
        <v>0</v>
      </c>
      <c r="R486" s="356">
        <f>IF(J486&lt;&gt;0,J486/1.03-K486,0)</f>
        <v>-0.64572815533980688</v>
      </c>
    </row>
    <row r="487" spans="1:18" s="51" customFormat="1" ht="13.5" hidden="1" customHeight="1" outlineLevel="1" x14ac:dyDescent="0.3">
      <c r="A487" s="290">
        <f t="shared" si="56"/>
        <v>6</v>
      </c>
      <c r="B487" s="55"/>
      <c r="C487" s="55" t="s">
        <v>1369</v>
      </c>
      <c r="D487" s="55" t="s">
        <v>2741</v>
      </c>
      <c r="E487" s="55"/>
      <c r="F487" s="56"/>
      <c r="G487" s="56" t="s">
        <v>73</v>
      </c>
      <c r="H487" s="57"/>
      <c r="I487" s="57"/>
      <c r="J487" s="58"/>
      <c r="K487" s="58" t="str">
        <f>IF(A487=0,VLOOKUP(D487,'03. Insumos'!A:F,4,0),"")</f>
        <v/>
      </c>
      <c r="L487" s="58">
        <f>SUM(L488:L492)</f>
        <v>0</v>
      </c>
      <c r="M487" s="153">
        <f t="shared" ca="1" si="55"/>
        <v>0</v>
      </c>
      <c r="O487" s="148"/>
      <c r="R487" s="12"/>
    </row>
    <row r="488" spans="1:18" s="51" customFormat="1" ht="13.5" hidden="1" customHeight="1" outlineLevel="1" x14ac:dyDescent="0.3">
      <c r="A488" s="13">
        <f t="shared" si="56"/>
        <v>0</v>
      </c>
      <c r="B488" s="49"/>
      <c r="C488" s="49"/>
      <c r="D488" s="140" t="s">
        <v>2770</v>
      </c>
      <c r="E488" s="67" t="str">
        <f>VLOOKUP(D488,'03. Insumos'!A:D,2,0)</f>
        <v>Material + MO - Aglostone Branco Prime</v>
      </c>
      <c r="F488" s="68" t="s">
        <v>2613</v>
      </c>
      <c r="G488" s="68" t="str">
        <f>VLOOKUP(D488,'03. Insumos'!A:F,3,0)</f>
        <v>m²</v>
      </c>
      <c r="H488" s="69">
        <v>1</v>
      </c>
      <c r="I488" s="141">
        <f>H487*1.15</f>
        <v>0</v>
      </c>
      <c r="J488" s="70">
        <f>IFERROR(IF(K488&lt;&gt;0,K488*$K$5,0),0)</f>
        <v>1069.5454536</v>
      </c>
      <c r="K488" s="70">
        <f>IF(A488=0,VLOOKUP(D488,'03. Insumos'!A:F,4,0),"")</f>
        <v>1069.5454536</v>
      </c>
      <c r="L488" s="70">
        <f>H488*J488*I488</f>
        <v>0</v>
      </c>
      <c r="M488" s="355">
        <f t="shared" ca="1" si="55"/>
        <v>0</v>
      </c>
      <c r="O488" s="148">
        <f>IF(I488&lt;&gt;0,I488*H488*K488,)</f>
        <v>0</v>
      </c>
      <c r="R488" s="356">
        <f>IF(J488&lt;&gt;0,J488/1.03-K488,0)</f>
        <v>-31.151809328155423</v>
      </c>
    </row>
    <row r="489" spans="1:18" s="51" customFormat="1" ht="13.5" hidden="1" customHeight="1" outlineLevel="1" x14ac:dyDescent="0.3">
      <c r="A489" s="13">
        <f t="shared" si="56"/>
        <v>0</v>
      </c>
      <c r="B489" s="49"/>
      <c r="C489" s="49"/>
      <c r="D489" s="140" t="s">
        <v>2405</v>
      </c>
      <c r="E489" s="67" t="str">
        <f>VLOOKUP(D489,'03. Insumos'!A:D,2,0)</f>
        <v>Mão de obra - Assentamento até 60x60cm</v>
      </c>
      <c r="F489" s="68" t="s">
        <v>2607</v>
      </c>
      <c r="G489" s="68" t="str">
        <f>VLOOKUP(D489,'03. Insumos'!A:F,3,0)</f>
        <v>m²</v>
      </c>
      <c r="H489" s="69">
        <v>1</v>
      </c>
      <c r="I489" s="141">
        <f>H487</f>
        <v>0</v>
      </c>
      <c r="J489" s="70">
        <f>IFERROR(IF(K489&lt;&gt;0,K489*$K$5,0),0)</f>
        <v>35</v>
      </c>
      <c r="K489" s="70">
        <f>IF(A489=0,VLOOKUP(D489,'03. Insumos'!A:F,4,0),"")</f>
        <v>35</v>
      </c>
      <c r="L489" s="70">
        <f>H489*J489*I489</f>
        <v>0</v>
      </c>
      <c r="M489" s="355">
        <f t="shared" ref="M489:M552" ca="1" si="59">L489/$L$7</f>
        <v>0</v>
      </c>
      <c r="O489" s="148"/>
      <c r="R489" s="356"/>
    </row>
    <row r="490" spans="1:18" s="59" customFormat="1" ht="13.5" hidden="1" customHeight="1" outlineLevel="1" x14ac:dyDescent="0.3">
      <c r="A490" s="13">
        <f t="shared" si="56"/>
        <v>0</v>
      </c>
      <c r="B490" s="55"/>
      <c r="C490" s="55"/>
      <c r="D490" s="140" t="s">
        <v>2775</v>
      </c>
      <c r="E490" s="67" t="str">
        <f>VLOOKUP(D490,'03. Insumos'!A:D,2,0)</f>
        <v>Celumassa Colante AC3 flexível 20Kg</v>
      </c>
      <c r="F490" s="68" t="s">
        <v>2612</v>
      </c>
      <c r="G490" s="68" t="str">
        <f>VLOOKUP(D490,'03. Insumos'!A:F,3,0)</f>
        <v>sc</v>
      </c>
      <c r="H490" s="69">
        <v>1</v>
      </c>
      <c r="I490" s="141">
        <f>ROUND((H487*8)/20,0)</f>
        <v>0</v>
      </c>
      <c r="J490" s="70">
        <f>IFERROR(IF(K490&lt;&gt;0,K490*$K$5,0),0)</f>
        <v>17.5</v>
      </c>
      <c r="K490" s="70">
        <f>IF(A490=0,VLOOKUP(D490,'03. Insumos'!A:F,4,0),"")</f>
        <v>17.5</v>
      </c>
      <c r="L490" s="70">
        <f>H490*J490*I490</f>
        <v>0</v>
      </c>
      <c r="M490" s="355">
        <f t="shared" ca="1" si="59"/>
        <v>0</v>
      </c>
      <c r="O490" s="148">
        <f>IF(I490&lt;&gt;0,I490*H490*K490,)</f>
        <v>0</v>
      </c>
      <c r="R490" s="356">
        <f>IF(J490&lt;&gt;0,J490/1.03-K490,0)</f>
        <v>-0.50970873786407722</v>
      </c>
    </row>
    <row r="491" spans="1:18" s="51" customFormat="1" ht="13.5" hidden="1" customHeight="1" outlineLevel="1" x14ac:dyDescent="0.3">
      <c r="A491" s="13">
        <f t="shared" ref="A491:A554" si="60">LEN(C491)</f>
        <v>0</v>
      </c>
      <c r="B491" s="49"/>
      <c r="C491" s="49"/>
      <c r="D491" s="140" t="s">
        <v>772</v>
      </c>
      <c r="E491" s="67" t="str">
        <f>VLOOKUP(D491,'03. Insumos'!A:D,2,0)</f>
        <v xml:space="preserve">Rejunte acrílico Portokoll </v>
      </c>
      <c r="F491" s="68" t="s">
        <v>2612</v>
      </c>
      <c r="G491" s="68" t="str">
        <f>VLOOKUP(D491,'03. Insumos'!A:F,3,0)</f>
        <v>Kg</v>
      </c>
      <c r="H491" s="69">
        <v>1</v>
      </c>
      <c r="I491" s="141">
        <f>ROUNDUP((H487*0.2),0)</f>
        <v>0</v>
      </c>
      <c r="J491" s="70">
        <f>IFERROR(IF(K491&lt;&gt;0,K491*$K$5,0),0)</f>
        <v>19.87</v>
      </c>
      <c r="K491" s="70">
        <f>IF(A491=0,VLOOKUP(D491,'03. Insumos'!A:F,4,0),"")</f>
        <v>19.87</v>
      </c>
      <c r="L491" s="70">
        <f>H491*J491*I491</f>
        <v>0</v>
      </c>
      <c r="M491" s="355">
        <f t="shared" ca="1" si="59"/>
        <v>0</v>
      </c>
      <c r="O491" s="148">
        <f>IF(I491&lt;&gt;0,I491*H491*K491,)</f>
        <v>0</v>
      </c>
      <c r="R491" s="356">
        <f>IF(J491&lt;&gt;0,J491/1.03-K491,0)</f>
        <v>-0.57873786407767014</v>
      </c>
    </row>
    <row r="492" spans="1:18" s="51" customFormat="1" ht="13.5" hidden="1" customHeight="1" outlineLevel="1" x14ac:dyDescent="0.3">
      <c r="A492" s="13">
        <f t="shared" si="60"/>
        <v>0</v>
      </c>
      <c r="B492" s="49"/>
      <c r="C492" s="49"/>
      <c r="D492" s="140" t="s">
        <v>773</v>
      </c>
      <c r="E492" s="67" t="str">
        <f>VLOOKUP(D492,'03. Insumos'!A:D,2,0)</f>
        <v>Espaçador - Cunha</v>
      </c>
      <c r="F492" s="68" t="s">
        <v>2612</v>
      </c>
      <c r="G492" s="68" t="str">
        <f>VLOOKUP(D492,'03. Insumos'!A:F,3,0)</f>
        <v>50 pcs</v>
      </c>
      <c r="H492" s="69">
        <v>1</v>
      </c>
      <c r="I492" s="141">
        <f>ROUNDUP(((H487*5)/100),0)</f>
        <v>0</v>
      </c>
      <c r="J492" s="70">
        <f>IFERROR(IF(K492&lt;&gt;0,K492*$K$5,0),0)</f>
        <v>22.17</v>
      </c>
      <c r="K492" s="70">
        <f>IF(A492=0,VLOOKUP(D492,'03. Insumos'!A:F,4,0),"")</f>
        <v>22.17</v>
      </c>
      <c r="L492" s="70">
        <f>H492*J492*I492</f>
        <v>0</v>
      </c>
      <c r="M492" s="355">
        <f t="shared" ca="1" si="59"/>
        <v>0</v>
      </c>
      <c r="O492" s="148">
        <f>IF(I492&lt;&gt;0,I492*H492*K492,)</f>
        <v>0</v>
      </c>
      <c r="R492" s="356">
        <f>IF(J492&lt;&gt;0,J492/1.03-K492,0)</f>
        <v>-0.64572815533980688</v>
      </c>
    </row>
    <row r="493" spans="1:18" s="51" customFormat="1" ht="13.5" hidden="1" customHeight="1" outlineLevel="1" x14ac:dyDescent="0.3">
      <c r="A493" s="290">
        <f t="shared" si="60"/>
        <v>6</v>
      </c>
      <c r="B493" s="55"/>
      <c r="C493" s="55" t="s">
        <v>1369</v>
      </c>
      <c r="D493" s="55" t="s">
        <v>2742</v>
      </c>
      <c r="E493" s="55"/>
      <c r="F493" s="56"/>
      <c r="G493" s="56" t="s">
        <v>73</v>
      </c>
      <c r="H493" s="57"/>
      <c r="I493" s="57"/>
      <c r="J493" s="58"/>
      <c r="K493" s="58" t="str">
        <f>IF(A493=0,VLOOKUP(D493,'03. Insumos'!A:F,4,0),"")</f>
        <v/>
      </c>
      <c r="L493" s="58">
        <f>SUM(L494:L498)</f>
        <v>0</v>
      </c>
      <c r="M493" s="153">
        <f t="shared" ca="1" si="59"/>
        <v>0</v>
      </c>
      <c r="O493" s="148"/>
      <c r="R493" s="12"/>
    </row>
    <row r="494" spans="1:18" s="51" customFormat="1" ht="13.5" hidden="1" customHeight="1" outlineLevel="1" x14ac:dyDescent="0.3">
      <c r="A494" s="13">
        <f t="shared" si="60"/>
        <v>0</v>
      </c>
      <c r="B494" s="49"/>
      <c r="C494" s="49"/>
      <c r="D494" s="140" t="s">
        <v>2771</v>
      </c>
      <c r="E494" s="67" t="str">
        <f>VLOOKUP(D494,'03. Insumos'!A:D,2,0)</f>
        <v>Material + MO - Silestone Blanco Maple Levigado</v>
      </c>
      <c r="F494" s="68" t="s">
        <v>2613</v>
      </c>
      <c r="G494" s="68" t="str">
        <f>VLOOKUP(D494,'03. Insumos'!A:F,3,0)</f>
        <v>m²</v>
      </c>
      <c r="H494" s="69">
        <v>1</v>
      </c>
      <c r="I494" s="395">
        <f>H493*1.15</f>
        <v>0</v>
      </c>
      <c r="J494" s="70">
        <f>IFERROR(IF(K494&lt;&gt;0,K494*$K$5,0),0)</f>
        <v>2340</v>
      </c>
      <c r="K494" s="70">
        <f>IF(A494=0,VLOOKUP(D494,'03. Insumos'!A:F,4,0),"")</f>
        <v>2340</v>
      </c>
      <c r="L494" s="70">
        <f>H494*J494*I494</f>
        <v>0</v>
      </c>
      <c r="M494" s="355">
        <f t="shared" ca="1" si="59"/>
        <v>0</v>
      </c>
      <c r="O494" s="148">
        <f>IF(I494&lt;&gt;0,I494*H494*K494,)</f>
        <v>0</v>
      </c>
      <c r="R494" s="356">
        <f>IF(J494&lt;&gt;0,J494/1.03-K494,0)</f>
        <v>-68.155339805825406</v>
      </c>
    </row>
    <row r="495" spans="1:18" s="51" customFormat="1" ht="13.5" hidden="1" customHeight="1" outlineLevel="1" x14ac:dyDescent="0.3">
      <c r="A495" s="13">
        <f t="shared" si="60"/>
        <v>0</v>
      </c>
      <c r="B495" s="49"/>
      <c r="C495" s="49"/>
      <c r="D495" s="140" t="s">
        <v>2405</v>
      </c>
      <c r="E495" s="67" t="str">
        <f>VLOOKUP(D495,'03. Insumos'!A:D,2,0)</f>
        <v>Mão de obra - Assentamento até 60x60cm</v>
      </c>
      <c r="F495" s="68" t="s">
        <v>2607</v>
      </c>
      <c r="G495" s="68" t="str">
        <f>VLOOKUP(D495,'03. Insumos'!A:F,3,0)</f>
        <v>m²</v>
      </c>
      <c r="H495" s="69">
        <v>1</v>
      </c>
      <c r="I495" s="141">
        <f>H493</f>
        <v>0</v>
      </c>
      <c r="J495" s="70">
        <f>IFERROR(IF(K495&lt;&gt;0,K495*$K$5,0),0)</f>
        <v>35</v>
      </c>
      <c r="K495" s="70">
        <f>IF(A495=0,VLOOKUP(D495,'03. Insumos'!A:F,4,0),"")</f>
        <v>35</v>
      </c>
      <c r="L495" s="70">
        <f>H495*J495*I495</f>
        <v>0</v>
      </c>
      <c r="M495" s="355">
        <f t="shared" ca="1" si="59"/>
        <v>0</v>
      </c>
      <c r="O495" s="148"/>
      <c r="R495" s="356"/>
    </row>
    <row r="496" spans="1:18" s="59" customFormat="1" ht="13.5" hidden="1" customHeight="1" outlineLevel="1" x14ac:dyDescent="0.3">
      <c r="A496" s="13">
        <f t="shared" si="60"/>
        <v>0</v>
      </c>
      <c r="B496" s="55"/>
      <c r="C496" s="55"/>
      <c r="D496" s="140" t="s">
        <v>2775</v>
      </c>
      <c r="E496" s="67" t="str">
        <f>VLOOKUP(D496,'03. Insumos'!A:D,2,0)</f>
        <v>Celumassa Colante AC3 flexível 20Kg</v>
      </c>
      <c r="F496" s="68" t="s">
        <v>2612</v>
      </c>
      <c r="G496" s="68" t="str">
        <f>VLOOKUP(D496,'03. Insumos'!A:F,3,0)</f>
        <v>sc</v>
      </c>
      <c r="H496" s="69">
        <v>1</v>
      </c>
      <c r="I496" s="141">
        <f>ROUND((H493*8)/20,0)</f>
        <v>0</v>
      </c>
      <c r="J496" s="70">
        <f>IFERROR(IF(K496&lt;&gt;0,K496*$K$5,0),0)</f>
        <v>17.5</v>
      </c>
      <c r="K496" s="70">
        <f>IF(A496=0,VLOOKUP(D496,'03. Insumos'!A:F,4,0),"")</f>
        <v>17.5</v>
      </c>
      <c r="L496" s="70">
        <f>H496*J496*I496</f>
        <v>0</v>
      </c>
      <c r="M496" s="355">
        <f t="shared" ca="1" si="59"/>
        <v>0</v>
      </c>
      <c r="O496" s="148">
        <f>IF(I496&lt;&gt;0,I496*H496*K496,)</f>
        <v>0</v>
      </c>
      <c r="R496" s="356">
        <f>IF(J496&lt;&gt;0,J496/1.03-K496,0)</f>
        <v>-0.50970873786407722</v>
      </c>
    </row>
    <row r="497" spans="1:18" s="51" customFormat="1" ht="13.5" hidden="1" customHeight="1" outlineLevel="1" x14ac:dyDescent="0.3">
      <c r="A497" s="13">
        <f t="shared" si="60"/>
        <v>0</v>
      </c>
      <c r="B497" s="49"/>
      <c r="C497" s="49"/>
      <c r="D497" s="140" t="s">
        <v>772</v>
      </c>
      <c r="E497" s="67" t="str">
        <f>VLOOKUP(D497,'03. Insumos'!A:D,2,0)</f>
        <v xml:space="preserve">Rejunte acrílico Portokoll </v>
      </c>
      <c r="F497" s="68" t="s">
        <v>2612</v>
      </c>
      <c r="G497" s="68" t="str">
        <f>VLOOKUP(D497,'03. Insumos'!A:F,3,0)</f>
        <v>Kg</v>
      </c>
      <c r="H497" s="69">
        <v>1</v>
      </c>
      <c r="I497" s="141">
        <f>ROUNDUP((H493*0.2),0)</f>
        <v>0</v>
      </c>
      <c r="J497" s="70">
        <f>IFERROR(IF(K497&lt;&gt;0,K497*$K$5,0),0)</f>
        <v>19.87</v>
      </c>
      <c r="K497" s="70">
        <f>IF(A497=0,VLOOKUP(D497,'03. Insumos'!A:F,4,0),"")</f>
        <v>19.87</v>
      </c>
      <c r="L497" s="70">
        <f>H497*J497*I497</f>
        <v>0</v>
      </c>
      <c r="M497" s="355">
        <f t="shared" ca="1" si="59"/>
        <v>0</v>
      </c>
      <c r="O497" s="148">
        <f>IF(I497&lt;&gt;0,I497*H497*K497,)</f>
        <v>0</v>
      </c>
      <c r="R497" s="356">
        <f>IF(J497&lt;&gt;0,J497/1.03-K497,0)</f>
        <v>-0.57873786407767014</v>
      </c>
    </row>
    <row r="498" spans="1:18" s="51" customFormat="1" ht="13.5" hidden="1" customHeight="1" outlineLevel="1" x14ac:dyDescent="0.3">
      <c r="A498" s="13">
        <f t="shared" si="60"/>
        <v>0</v>
      </c>
      <c r="B498" s="49"/>
      <c r="C498" s="49"/>
      <c r="D498" s="140" t="s">
        <v>773</v>
      </c>
      <c r="E498" s="67" t="str">
        <f>VLOOKUP(D498,'03. Insumos'!A:D,2,0)</f>
        <v>Espaçador - Cunha</v>
      </c>
      <c r="F498" s="68" t="s">
        <v>2612</v>
      </c>
      <c r="G498" s="68" t="str">
        <f>VLOOKUP(D498,'03. Insumos'!A:F,3,0)</f>
        <v>50 pcs</v>
      </c>
      <c r="H498" s="69">
        <v>1</v>
      </c>
      <c r="I498" s="141">
        <f>ROUNDUP(((H493*5)/100),0)</f>
        <v>0</v>
      </c>
      <c r="J498" s="70">
        <f>IFERROR(IF(K498&lt;&gt;0,K498*$K$5,0),0)</f>
        <v>22.17</v>
      </c>
      <c r="K498" s="70">
        <f>IF(A498=0,VLOOKUP(D498,'03. Insumos'!A:F,4,0),"")</f>
        <v>22.17</v>
      </c>
      <c r="L498" s="70">
        <f>H498*J498*I498</f>
        <v>0</v>
      </c>
      <c r="M498" s="355">
        <f t="shared" ca="1" si="59"/>
        <v>0</v>
      </c>
      <c r="O498" s="148">
        <f>IF(I498&lt;&gt;0,I498*H498*K498,)</f>
        <v>0</v>
      </c>
      <c r="R498" s="356">
        <f>IF(J498&lt;&gt;0,J498/1.03-K498,0)</f>
        <v>-0.64572815533980688</v>
      </c>
    </row>
    <row r="499" spans="1:18" s="51" customFormat="1" ht="13.5" hidden="1" customHeight="1" outlineLevel="1" x14ac:dyDescent="0.3">
      <c r="A499" s="290">
        <f t="shared" si="60"/>
        <v>6</v>
      </c>
      <c r="B499" s="55"/>
      <c r="C499" s="55" t="s">
        <v>1370</v>
      </c>
      <c r="D499" s="55" t="s">
        <v>2743</v>
      </c>
      <c r="E499" s="55"/>
      <c r="F499" s="56"/>
      <c r="G499" s="56" t="s">
        <v>73</v>
      </c>
      <c r="H499" s="57"/>
      <c r="I499" s="57"/>
      <c r="J499" s="58"/>
      <c r="K499" s="58" t="str">
        <f>IF(A499=0,VLOOKUP(D499,'03. Insumos'!A:F,4,0),"")</f>
        <v/>
      </c>
      <c r="L499" s="58">
        <f>SUM(L500:L504)</f>
        <v>0</v>
      </c>
      <c r="M499" s="153">
        <f t="shared" ca="1" si="59"/>
        <v>0</v>
      </c>
      <c r="O499" s="148"/>
      <c r="R499" s="12"/>
    </row>
    <row r="500" spans="1:18" s="51" customFormat="1" ht="13.5" hidden="1" customHeight="1" outlineLevel="1" x14ac:dyDescent="0.3">
      <c r="A500" s="13">
        <f t="shared" si="60"/>
        <v>0</v>
      </c>
      <c r="B500" s="49"/>
      <c r="C500" s="49"/>
      <c r="D500" s="140" t="s">
        <v>2765</v>
      </c>
      <c r="E500" s="67" t="str">
        <f>VLOOKUP(D500,'03. Insumos'!A:D,2,0)</f>
        <v>Azulejo Metro Roca Areia 10 x 20cm - Mat</v>
      </c>
      <c r="F500" s="68" t="s">
        <v>2613</v>
      </c>
      <c r="G500" s="68" t="str">
        <f>VLOOKUP(D500,'03. Insumos'!A:F,3,0)</f>
        <v>m²</v>
      </c>
      <c r="H500" s="69">
        <v>1</v>
      </c>
      <c r="I500" s="395">
        <f>H499*1.15</f>
        <v>0</v>
      </c>
      <c r="J500" s="70">
        <f>IFERROR(IF(K500&lt;&gt;0,K500*$K$5,0),0)</f>
        <v>70.47</v>
      </c>
      <c r="K500" s="70">
        <f>IF(A500=0,VLOOKUP(D500,'03. Insumos'!A:F,4,0),"")</f>
        <v>70.47</v>
      </c>
      <c r="L500" s="70">
        <f>H500*J500*I500</f>
        <v>0</v>
      </c>
      <c r="M500" s="355">
        <f t="shared" ca="1" si="59"/>
        <v>0</v>
      </c>
      <c r="O500" s="148">
        <f>IF(I500&lt;&gt;0,I500*H500*K500,)</f>
        <v>0</v>
      </c>
      <c r="R500" s="356">
        <f>IF(J500&lt;&gt;0,J500/1.03-K500,0)</f>
        <v>-2.0525242718446606</v>
      </c>
    </row>
    <row r="501" spans="1:18" s="51" customFormat="1" ht="13.5" hidden="1" customHeight="1" outlineLevel="1" x14ac:dyDescent="0.3">
      <c r="A501" s="13">
        <f t="shared" si="60"/>
        <v>0</v>
      </c>
      <c r="B501" s="49"/>
      <c r="C501" s="49"/>
      <c r="D501" s="140" t="s">
        <v>2405</v>
      </c>
      <c r="E501" s="67" t="str">
        <f>VLOOKUP(D501,'03. Insumos'!A:D,2,0)</f>
        <v>Mão de obra - Assentamento até 60x60cm</v>
      </c>
      <c r="F501" s="68" t="s">
        <v>2607</v>
      </c>
      <c r="G501" s="68" t="str">
        <f>VLOOKUP(D501,'03. Insumos'!A:F,3,0)</f>
        <v>m²</v>
      </c>
      <c r="H501" s="69">
        <v>1</v>
      </c>
      <c r="I501" s="141">
        <f>H499</f>
        <v>0</v>
      </c>
      <c r="J501" s="70">
        <f>IFERROR(IF(K501&lt;&gt;0,K501*$K$5,0),0)</f>
        <v>35</v>
      </c>
      <c r="K501" s="70">
        <f>IF(A501=0,VLOOKUP(D501,'03. Insumos'!A:F,4,0),"")</f>
        <v>35</v>
      </c>
      <c r="L501" s="70">
        <f>H501*J501*I501</f>
        <v>0</v>
      </c>
      <c r="M501" s="355">
        <f t="shared" ca="1" si="59"/>
        <v>0</v>
      </c>
      <c r="O501" s="148"/>
      <c r="R501" s="356"/>
    </row>
    <row r="502" spans="1:18" s="59" customFormat="1" ht="13.5" hidden="1" customHeight="1" outlineLevel="1" x14ac:dyDescent="0.3">
      <c r="A502" s="13">
        <f t="shared" si="60"/>
        <v>0</v>
      </c>
      <c r="B502" s="55"/>
      <c r="C502" s="55"/>
      <c r="D502" s="140" t="s">
        <v>2775</v>
      </c>
      <c r="E502" s="67" t="str">
        <f>VLOOKUP(D502,'03. Insumos'!A:D,2,0)</f>
        <v>Celumassa Colante AC3 flexível 20Kg</v>
      </c>
      <c r="F502" s="68" t="s">
        <v>2612</v>
      </c>
      <c r="G502" s="68" t="str">
        <f>VLOOKUP(D502,'03. Insumos'!A:F,3,0)</f>
        <v>sc</v>
      </c>
      <c r="H502" s="69">
        <v>1</v>
      </c>
      <c r="I502" s="141">
        <f>ROUND((H499*8)/20,0)</f>
        <v>0</v>
      </c>
      <c r="J502" s="70">
        <f>IFERROR(IF(K502&lt;&gt;0,K502*$K$5,0),0)</f>
        <v>17.5</v>
      </c>
      <c r="K502" s="70">
        <f>IF(A502=0,VLOOKUP(D502,'03. Insumos'!A:F,4,0),"")</f>
        <v>17.5</v>
      </c>
      <c r="L502" s="70">
        <f>H502*J502*I502</f>
        <v>0</v>
      </c>
      <c r="M502" s="355">
        <f t="shared" ca="1" si="59"/>
        <v>0</v>
      </c>
      <c r="O502" s="148">
        <f>IF(I502&lt;&gt;0,I502*H502*K502,)</f>
        <v>0</v>
      </c>
      <c r="R502" s="356">
        <f>IF(J502&lt;&gt;0,J502/1.03-K502,0)</f>
        <v>-0.50970873786407722</v>
      </c>
    </row>
    <row r="503" spans="1:18" s="51" customFormat="1" ht="13.5" hidden="1" customHeight="1" outlineLevel="1" x14ac:dyDescent="0.3">
      <c r="A503" s="13">
        <f t="shared" si="60"/>
        <v>0</v>
      </c>
      <c r="B503" s="49"/>
      <c r="C503" s="49"/>
      <c r="D503" s="140" t="s">
        <v>772</v>
      </c>
      <c r="E503" s="67" t="str">
        <f>VLOOKUP(D503,'03. Insumos'!A:D,2,0)</f>
        <v xml:space="preserve">Rejunte acrílico Portokoll </v>
      </c>
      <c r="F503" s="68" t="s">
        <v>2612</v>
      </c>
      <c r="G503" s="68" t="str">
        <f>VLOOKUP(D503,'03. Insumos'!A:F,3,0)</f>
        <v>Kg</v>
      </c>
      <c r="H503" s="69">
        <v>1</v>
      </c>
      <c r="I503" s="141">
        <f>ROUNDUP((H499*0.2),0)</f>
        <v>0</v>
      </c>
      <c r="J503" s="70">
        <f>IFERROR(IF(K503&lt;&gt;0,K503*$K$5,0),0)</f>
        <v>19.87</v>
      </c>
      <c r="K503" s="70">
        <f>IF(A503=0,VLOOKUP(D503,'03. Insumos'!A:F,4,0),"")</f>
        <v>19.87</v>
      </c>
      <c r="L503" s="70">
        <f>H503*J503*I503</f>
        <v>0</v>
      </c>
      <c r="M503" s="355">
        <f t="shared" ca="1" si="59"/>
        <v>0</v>
      </c>
      <c r="O503" s="148">
        <f>IF(I503&lt;&gt;0,I503*H503*K503,)</f>
        <v>0</v>
      </c>
      <c r="R503" s="356">
        <f>IF(J503&lt;&gt;0,J503/1.03-K503,0)</f>
        <v>-0.57873786407767014</v>
      </c>
    </row>
    <row r="504" spans="1:18" s="51" customFormat="1" ht="13.5" hidden="1" customHeight="1" outlineLevel="1" x14ac:dyDescent="0.3">
      <c r="A504" s="13">
        <f t="shared" si="60"/>
        <v>0</v>
      </c>
      <c r="B504" s="49"/>
      <c r="C504" s="49"/>
      <c r="D504" s="140" t="s">
        <v>773</v>
      </c>
      <c r="E504" s="67" t="str">
        <f>VLOOKUP(D504,'03. Insumos'!A:D,2,0)</f>
        <v>Espaçador - Cunha</v>
      </c>
      <c r="F504" s="68" t="s">
        <v>2612</v>
      </c>
      <c r="G504" s="68" t="str">
        <f>VLOOKUP(D504,'03. Insumos'!A:F,3,0)</f>
        <v>50 pcs</v>
      </c>
      <c r="H504" s="69">
        <v>1</v>
      </c>
      <c r="I504" s="141">
        <f>ROUNDUP(((H499*5)/100),0)</f>
        <v>0</v>
      </c>
      <c r="J504" s="70">
        <f>IFERROR(IF(K504&lt;&gt;0,K504*$K$5,0),0)</f>
        <v>22.17</v>
      </c>
      <c r="K504" s="70">
        <f>IF(A504=0,VLOOKUP(D504,'03. Insumos'!A:F,4,0),"")</f>
        <v>22.17</v>
      </c>
      <c r="L504" s="70">
        <f>H504*J504*I504</f>
        <v>0</v>
      </c>
      <c r="M504" s="355">
        <f t="shared" ca="1" si="59"/>
        <v>0</v>
      </c>
      <c r="O504" s="148">
        <f>IF(I504&lt;&gt;0,I504*H504*K504,)</f>
        <v>0</v>
      </c>
      <c r="R504" s="356">
        <f>IF(J504&lt;&gt;0,J504/1.03-K504,0)</f>
        <v>-0.64572815533980688</v>
      </c>
    </row>
    <row r="505" spans="1:18" s="51" customFormat="1" ht="13.5" hidden="1" customHeight="1" outlineLevel="1" x14ac:dyDescent="0.3">
      <c r="A505" s="290">
        <f t="shared" si="60"/>
        <v>6</v>
      </c>
      <c r="B505" s="55"/>
      <c r="C505" s="55" t="s">
        <v>1510</v>
      </c>
      <c r="D505" s="55" t="s">
        <v>2744</v>
      </c>
      <c r="E505" s="55"/>
      <c r="F505" s="56"/>
      <c r="G505" s="56" t="s">
        <v>73</v>
      </c>
      <c r="H505" s="57"/>
      <c r="I505" s="57"/>
      <c r="J505" s="58"/>
      <c r="K505" s="58" t="str">
        <f>IF(A505=0,VLOOKUP(D505,'03. Insumos'!A:F,4,0),"")</f>
        <v/>
      </c>
      <c r="L505" s="58">
        <f>SUM(L506:L510)</f>
        <v>0</v>
      </c>
      <c r="M505" s="153">
        <f t="shared" ca="1" si="59"/>
        <v>0</v>
      </c>
      <c r="O505" s="148"/>
      <c r="R505" s="12"/>
    </row>
    <row r="506" spans="1:18" s="51" customFormat="1" ht="13.5" hidden="1" customHeight="1" outlineLevel="1" x14ac:dyDescent="0.3">
      <c r="A506" s="13">
        <f t="shared" si="60"/>
        <v>0</v>
      </c>
      <c r="B506" s="49"/>
      <c r="C506" s="49"/>
      <c r="D506" s="140" t="s">
        <v>2766</v>
      </c>
      <c r="E506" s="67" t="str">
        <f>VLOOKUP(D506,'03. Insumos'!A:D,2,0)</f>
        <v>Material - Rodapé Porcelanato Margres Time T21- Snow Anti Slip 60x60cm</v>
      </c>
      <c r="F506" s="68" t="s">
        <v>2613</v>
      </c>
      <c r="G506" s="68" t="str">
        <f>VLOOKUP(D506,'03. Insumos'!A:F,3,0)</f>
        <v>m²</v>
      </c>
      <c r="H506" s="69">
        <v>1</v>
      </c>
      <c r="I506" s="395">
        <f>H505*1.15</f>
        <v>0</v>
      </c>
      <c r="J506" s="70">
        <f>IFERROR(IF(K506&lt;&gt;0,K506*$K$5,0),0)</f>
        <v>155.04</v>
      </c>
      <c r="K506" s="70">
        <f>IF(A506=0,VLOOKUP(D506,'03. Insumos'!A:F,4,0),"")</f>
        <v>155.04</v>
      </c>
      <c r="L506" s="70">
        <f>H506*J506*I506</f>
        <v>0</v>
      </c>
      <c r="M506" s="355">
        <f t="shared" ca="1" si="59"/>
        <v>0</v>
      </c>
      <c r="O506" s="148">
        <f>IF(I506&lt;&gt;0,I506*H506*K506,)</f>
        <v>0</v>
      </c>
      <c r="R506" s="356">
        <f>IF(J506&lt;&gt;0,J506/1.03-K506,0)</f>
        <v>-4.515728155339815</v>
      </c>
    </row>
    <row r="507" spans="1:18" s="51" customFormat="1" ht="13.5" hidden="1" customHeight="1" outlineLevel="1" x14ac:dyDescent="0.3">
      <c r="A507" s="13">
        <f t="shared" si="60"/>
        <v>0</v>
      </c>
      <c r="B507" s="49"/>
      <c r="C507" s="49"/>
      <c r="D507" s="140" t="s">
        <v>2405</v>
      </c>
      <c r="E507" s="67" t="str">
        <f>VLOOKUP(D507,'03. Insumos'!A:D,2,0)</f>
        <v>Mão de obra - Assentamento até 60x60cm</v>
      </c>
      <c r="F507" s="68" t="s">
        <v>2607</v>
      </c>
      <c r="G507" s="68" t="str">
        <f>VLOOKUP(D507,'03. Insumos'!A:F,3,0)</f>
        <v>m²</v>
      </c>
      <c r="H507" s="69">
        <v>1</v>
      </c>
      <c r="I507" s="141">
        <f>H505</f>
        <v>0</v>
      </c>
      <c r="J507" s="70">
        <f>IFERROR(IF(K507&lt;&gt;0,K507*$K$5,0),0)</f>
        <v>35</v>
      </c>
      <c r="K507" s="70">
        <f>IF(A507=0,VLOOKUP(D507,'03. Insumos'!A:F,4,0),"")</f>
        <v>35</v>
      </c>
      <c r="L507" s="70">
        <f>H507*J507*I507</f>
        <v>0</v>
      </c>
      <c r="M507" s="355">
        <f t="shared" ca="1" si="59"/>
        <v>0</v>
      </c>
      <c r="O507" s="148"/>
      <c r="R507" s="356"/>
    </row>
    <row r="508" spans="1:18" s="59" customFormat="1" ht="13.5" hidden="1" customHeight="1" outlineLevel="1" x14ac:dyDescent="0.3">
      <c r="A508" s="13">
        <f t="shared" si="60"/>
        <v>0</v>
      </c>
      <c r="B508" s="55"/>
      <c r="C508" s="55"/>
      <c r="D508" s="140" t="s">
        <v>2775</v>
      </c>
      <c r="E508" s="67" t="str">
        <f>VLOOKUP(D508,'03. Insumos'!A:D,2,0)</f>
        <v>Celumassa Colante AC3 flexível 20Kg</v>
      </c>
      <c r="F508" s="68" t="s">
        <v>2612</v>
      </c>
      <c r="G508" s="68" t="str">
        <f>VLOOKUP(D508,'03. Insumos'!A:F,3,0)</f>
        <v>sc</v>
      </c>
      <c r="H508" s="69">
        <v>1</v>
      </c>
      <c r="I508" s="141">
        <f>ROUND((H505*8)/20,0)</f>
        <v>0</v>
      </c>
      <c r="J508" s="70">
        <f>IFERROR(IF(K508&lt;&gt;0,K508*$K$5,0),0)</f>
        <v>17.5</v>
      </c>
      <c r="K508" s="70">
        <f>IF(A508=0,VLOOKUP(D508,'03. Insumos'!A:F,4,0),"")</f>
        <v>17.5</v>
      </c>
      <c r="L508" s="70">
        <f>H508*J508*I508</f>
        <v>0</v>
      </c>
      <c r="M508" s="355">
        <f t="shared" ca="1" si="59"/>
        <v>0</v>
      </c>
      <c r="O508" s="148">
        <f>IF(I508&lt;&gt;0,I508*H508*K508,)</f>
        <v>0</v>
      </c>
      <c r="R508" s="356">
        <f>IF(J508&lt;&gt;0,J508/1.03-K508,0)</f>
        <v>-0.50970873786407722</v>
      </c>
    </row>
    <row r="509" spans="1:18" s="51" customFormat="1" ht="13.5" hidden="1" customHeight="1" outlineLevel="1" x14ac:dyDescent="0.3">
      <c r="A509" s="13">
        <f t="shared" si="60"/>
        <v>0</v>
      </c>
      <c r="B509" s="49"/>
      <c r="C509" s="49"/>
      <c r="D509" s="140" t="s">
        <v>772</v>
      </c>
      <c r="E509" s="67" t="str">
        <f>VLOOKUP(D509,'03. Insumos'!A:D,2,0)</f>
        <v xml:space="preserve">Rejunte acrílico Portokoll </v>
      </c>
      <c r="F509" s="68" t="s">
        <v>2612</v>
      </c>
      <c r="G509" s="68" t="str">
        <f>VLOOKUP(D509,'03. Insumos'!A:F,3,0)</f>
        <v>Kg</v>
      </c>
      <c r="H509" s="69">
        <v>1</v>
      </c>
      <c r="I509" s="141">
        <f>ROUNDUP((H505*0.2),0)</f>
        <v>0</v>
      </c>
      <c r="J509" s="70">
        <f>IFERROR(IF(K509&lt;&gt;0,K509*$K$5,0),0)</f>
        <v>19.87</v>
      </c>
      <c r="K509" s="70">
        <f>IF(A509=0,VLOOKUP(D509,'03. Insumos'!A:F,4,0),"")</f>
        <v>19.87</v>
      </c>
      <c r="L509" s="70">
        <f>H509*J509*I509</f>
        <v>0</v>
      </c>
      <c r="M509" s="355">
        <f t="shared" ca="1" si="59"/>
        <v>0</v>
      </c>
      <c r="O509" s="148">
        <f>IF(I509&lt;&gt;0,I509*H509*K509,)</f>
        <v>0</v>
      </c>
      <c r="R509" s="356">
        <f>IF(J509&lt;&gt;0,J509/1.03-K509,0)</f>
        <v>-0.57873786407767014</v>
      </c>
    </row>
    <row r="510" spans="1:18" s="51" customFormat="1" ht="13.5" hidden="1" customHeight="1" outlineLevel="1" x14ac:dyDescent="0.3">
      <c r="A510" s="13">
        <f t="shared" si="60"/>
        <v>0</v>
      </c>
      <c r="B510" s="49"/>
      <c r="C510" s="49"/>
      <c r="D510" s="140" t="s">
        <v>773</v>
      </c>
      <c r="E510" s="67" t="str">
        <f>VLOOKUP(D510,'03. Insumos'!A:D,2,0)</f>
        <v>Espaçador - Cunha</v>
      </c>
      <c r="F510" s="68" t="s">
        <v>2612</v>
      </c>
      <c r="G510" s="68" t="str">
        <f>VLOOKUP(D510,'03. Insumos'!A:F,3,0)</f>
        <v>50 pcs</v>
      </c>
      <c r="H510" s="69">
        <v>1</v>
      </c>
      <c r="I510" s="141">
        <f>ROUNDUP(((H505*5)/100),0)</f>
        <v>0</v>
      </c>
      <c r="J510" s="70">
        <f>IFERROR(IF(K510&lt;&gt;0,K510*$K$5,0),0)</f>
        <v>22.17</v>
      </c>
      <c r="K510" s="70">
        <f>IF(A510=0,VLOOKUP(D510,'03. Insumos'!A:F,4,0),"")</f>
        <v>22.17</v>
      </c>
      <c r="L510" s="70">
        <f>H510*J510*I510</f>
        <v>0</v>
      </c>
      <c r="M510" s="355">
        <f t="shared" ca="1" si="59"/>
        <v>0</v>
      </c>
      <c r="O510" s="148">
        <f>IF(I510&lt;&gt;0,I510*H510*K510,)</f>
        <v>0</v>
      </c>
      <c r="R510" s="356">
        <f>IF(J510&lt;&gt;0,J510/1.03-K510,0)</f>
        <v>-0.64572815533980688</v>
      </c>
    </row>
    <row r="511" spans="1:18" s="59" customFormat="1" ht="13.5" hidden="1" customHeight="1" outlineLevel="1" x14ac:dyDescent="0.3">
      <c r="A511" s="290">
        <f t="shared" si="60"/>
        <v>6</v>
      </c>
      <c r="B511" s="55"/>
      <c r="C511" s="55" t="s">
        <v>1511</v>
      </c>
      <c r="D511" s="55" t="s">
        <v>2745</v>
      </c>
      <c r="E511" s="55"/>
      <c r="F511" s="56"/>
      <c r="G511" s="56" t="s">
        <v>73</v>
      </c>
      <c r="H511" s="57"/>
      <c r="I511" s="57"/>
      <c r="J511" s="58"/>
      <c r="K511" s="58" t="str">
        <f>IF(A511=0,VLOOKUP(D511,'03. Insumos'!A:F,4,0),"")</f>
        <v/>
      </c>
      <c r="L511" s="58">
        <f>SUM(L512:L514)</f>
        <v>0</v>
      </c>
      <c r="M511" s="153">
        <f t="shared" ca="1" si="59"/>
        <v>0</v>
      </c>
      <c r="O511" s="148">
        <f>IF(I511&lt;&gt;0,I511*H511*K511,)</f>
        <v>0</v>
      </c>
      <c r="R511" s="12">
        <f>IF(J511&lt;&gt;0,J511/1.03-K511,0)</f>
        <v>0</v>
      </c>
    </row>
    <row r="512" spans="1:18" s="51" customFormat="1" ht="13.5" hidden="1" customHeight="1" outlineLevel="1" x14ac:dyDescent="0.3">
      <c r="A512" s="290">
        <f t="shared" si="60"/>
        <v>0</v>
      </c>
      <c r="B512" s="49"/>
      <c r="C512" s="49"/>
      <c r="D512" s="140" t="s">
        <v>2772</v>
      </c>
      <c r="E512" s="67" t="str">
        <f>VLOOKUP(D512,'03. Insumos'!A:D,2,0)</f>
        <v>PISO VINÍLICO TARKET, LINHA AMBIENTA SÉRIES, COLEÇÃO SPEC BÉTULA 9344606 TEXTURA LISA - mat</v>
      </c>
      <c r="F512" s="68" t="s">
        <v>2613</v>
      </c>
      <c r="G512" s="68" t="str">
        <f>VLOOKUP(D512,'03. Insumos'!A:F,3,0)</f>
        <v>m²</v>
      </c>
      <c r="H512" s="69">
        <v>1</v>
      </c>
      <c r="I512" s="395">
        <f>H511*1.15</f>
        <v>0</v>
      </c>
      <c r="J512" s="70">
        <f>IFERROR(IF(K512&lt;&gt;0,K512*$K$5,0),0)</f>
        <v>118</v>
      </c>
      <c r="K512" s="70">
        <f>IF(A512=0,VLOOKUP(D512,'03. Insumos'!A:F,4,0),"")</f>
        <v>118</v>
      </c>
      <c r="L512" s="70">
        <f>H512*J512*I512</f>
        <v>0</v>
      </c>
      <c r="M512" s="153">
        <f t="shared" ca="1" si="59"/>
        <v>0</v>
      </c>
      <c r="O512" s="148">
        <f>IF(I512&lt;&gt;0,I512*H512*K512,)</f>
        <v>0</v>
      </c>
      <c r="R512" s="12">
        <f>IF(J512&lt;&gt;0,J512/1.03-K512,0)</f>
        <v>-3.4368932038834998</v>
      </c>
    </row>
    <row r="513" spans="1:18" s="51" customFormat="1" ht="13.5" hidden="1" customHeight="1" outlineLevel="1" x14ac:dyDescent="0.3">
      <c r="A513" s="290">
        <f t="shared" si="60"/>
        <v>0</v>
      </c>
      <c r="B513" s="49"/>
      <c r="C513" s="49"/>
      <c r="D513" s="140" t="s">
        <v>781</v>
      </c>
      <c r="E513" s="67" t="str">
        <f>VLOOKUP(D513,'03. Insumos'!A:D,2,0)</f>
        <v>Mão de obra - Execução do piso vinílico Tarkett, linha Ambienta coleção Rustico</v>
      </c>
      <c r="F513" s="68" t="s">
        <v>2607</v>
      </c>
      <c r="G513" s="68" t="str">
        <f>VLOOKUP(D513,'03. Insumos'!A:F,3,0)</f>
        <v>m²</v>
      </c>
      <c r="H513" s="69">
        <v>1</v>
      </c>
      <c r="I513" s="141">
        <f>H511</f>
        <v>0</v>
      </c>
      <c r="J513" s="70">
        <f>IFERROR(IF(K513&lt;&gt;0,K513*$K$5,0),0)</f>
        <v>35</v>
      </c>
      <c r="K513" s="70">
        <f>IF(A513=0,VLOOKUP(D513,'03. Insumos'!A:F,4,0),"")</f>
        <v>35</v>
      </c>
      <c r="L513" s="70">
        <f>H513*J513*I513</f>
        <v>0</v>
      </c>
      <c r="M513" s="153">
        <f t="shared" ca="1" si="59"/>
        <v>0</v>
      </c>
      <c r="O513" s="148"/>
      <c r="R513" s="12"/>
    </row>
    <row r="514" spans="1:18" s="51" customFormat="1" ht="13.5" hidden="1" customHeight="1" outlineLevel="1" x14ac:dyDescent="0.3">
      <c r="A514" s="290">
        <f t="shared" si="60"/>
        <v>0</v>
      </c>
      <c r="B514" s="49"/>
      <c r="C514" s="49"/>
      <c r="D514" s="140" t="s">
        <v>791</v>
      </c>
      <c r="E514" s="67" t="str">
        <f>VLOOKUP(D514,'03. Insumos'!A:D,2,0)</f>
        <v>Cola para piso vinílico global fix - balde 4kg</v>
      </c>
      <c r="F514" s="68" t="s">
        <v>2612</v>
      </c>
      <c r="G514" s="68" t="str">
        <f>VLOOKUP(D514,'03. Insumos'!A:F,3,0)</f>
        <v>balde</v>
      </c>
      <c r="H514" s="69">
        <v>1</v>
      </c>
      <c r="I514" s="141">
        <f>ROUNDUP((H511*0.3/4),0)</f>
        <v>0</v>
      </c>
      <c r="J514" s="70">
        <f>IFERROR(IF(K514&lt;&gt;0,K514*$K$5,0),0)</f>
        <v>129</v>
      </c>
      <c r="K514" s="70">
        <f>IF(A514=0,VLOOKUP(D514,'03. Insumos'!A:F,4,0),"")</f>
        <v>129</v>
      </c>
      <c r="L514" s="70">
        <f>H514*J514*I514</f>
        <v>0</v>
      </c>
      <c r="M514" s="153">
        <f t="shared" ca="1" si="59"/>
        <v>0</v>
      </c>
      <c r="O514" s="148"/>
      <c r="R514" s="12"/>
    </row>
    <row r="515" spans="1:18" s="59" customFormat="1" ht="13.5" hidden="1" customHeight="1" outlineLevel="1" x14ac:dyDescent="0.3">
      <c r="A515" s="290">
        <f t="shared" si="60"/>
        <v>6</v>
      </c>
      <c r="B515" s="55"/>
      <c r="C515" s="55" t="s">
        <v>1512</v>
      </c>
      <c r="D515" s="55" t="s">
        <v>2786</v>
      </c>
      <c r="E515" s="55"/>
      <c r="F515" s="56"/>
      <c r="G515" s="56" t="s">
        <v>1376</v>
      </c>
      <c r="H515" s="57"/>
      <c r="I515" s="57"/>
      <c r="J515" s="58"/>
      <c r="K515" s="58" t="str">
        <f>IF(A515=0,VLOOKUP(D515,'03. Insumos'!A:F,4,0),"")</f>
        <v/>
      </c>
      <c r="L515" s="58">
        <f>SUM(L516:L517)</f>
        <v>0</v>
      </c>
      <c r="M515" s="153">
        <f t="shared" ca="1" si="59"/>
        <v>0</v>
      </c>
      <c r="O515" s="148">
        <f>IF(I515&lt;&gt;0,I515*H515*K515,)</f>
        <v>0</v>
      </c>
      <c r="R515" s="12">
        <f>IF(J515&lt;&gt;0,J515/1.03-K515,0)</f>
        <v>0</v>
      </c>
    </row>
    <row r="516" spans="1:18" s="51" customFormat="1" ht="13.5" hidden="1" customHeight="1" outlineLevel="1" x14ac:dyDescent="0.3">
      <c r="A516" s="290">
        <f t="shared" si="60"/>
        <v>0</v>
      </c>
      <c r="B516" s="49"/>
      <c r="C516" s="49"/>
      <c r="D516" s="140" t="s">
        <v>789</v>
      </c>
      <c r="E516" s="67" t="str">
        <f>VLOOKUP(D516,'03. Insumos'!A:D,2,0)</f>
        <v>Frete revestimentos</v>
      </c>
      <c r="F516" s="68" t="s">
        <v>2613</v>
      </c>
      <c r="G516" s="68" t="str">
        <f>VLOOKUP(D516,'03. Insumos'!A:F,3,0)</f>
        <v>vb</v>
      </c>
      <c r="H516" s="69">
        <v>1</v>
      </c>
      <c r="I516" s="395">
        <f>H515</f>
        <v>0</v>
      </c>
      <c r="J516" s="70">
        <f>IFERROR(IF(K516&lt;&gt;0,K516*$K$5,0),0)</f>
        <v>10000</v>
      </c>
      <c r="K516" s="70">
        <f>IF(A516=0,VLOOKUP(D516,'03. Insumos'!A:F,4,0),"")</f>
        <v>10000</v>
      </c>
      <c r="L516" s="70">
        <f>H516*J516*I516</f>
        <v>0</v>
      </c>
      <c r="M516" s="153">
        <f t="shared" ca="1" si="59"/>
        <v>0</v>
      </c>
      <c r="O516" s="148">
        <f>IF(I516&lt;&gt;0,I516*H516*K516,)</f>
        <v>0</v>
      </c>
      <c r="R516" s="12">
        <f>IF(J516&lt;&gt;0,J516/1.03-K516,0)</f>
        <v>-291.26213592233034</v>
      </c>
    </row>
    <row r="517" spans="1:18" s="51" customFormat="1" ht="13.5" hidden="1" customHeight="1" outlineLevel="1" x14ac:dyDescent="0.3">
      <c r="A517" s="290">
        <f t="shared" si="60"/>
        <v>0</v>
      </c>
      <c r="B517" s="49"/>
      <c r="C517" s="49"/>
      <c r="D517" s="140" t="s">
        <v>771</v>
      </c>
      <c r="E517" s="392" t="s">
        <v>2787</v>
      </c>
      <c r="F517" s="68" t="s">
        <v>2607</v>
      </c>
      <c r="G517" s="68" t="str">
        <f>VLOOKUP(D517,'03. Insumos'!A:F,3,0)</f>
        <v>m</v>
      </c>
      <c r="H517" s="69">
        <v>1</v>
      </c>
      <c r="I517" s="141"/>
      <c r="J517" s="70">
        <f>IFERROR(IF(K517&lt;&gt;0,K517*$K$5,0),0)</f>
        <v>12</v>
      </c>
      <c r="K517" s="70">
        <f>IF(A517=0,VLOOKUP(D517,'03. Insumos'!A:F,4,0),"")</f>
        <v>12</v>
      </c>
      <c r="L517" s="70">
        <f>H517*J517*I517</f>
        <v>0</v>
      </c>
      <c r="M517" s="153">
        <f t="shared" ca="1" si="59"/>
        <v>0</v>
      </c>
      <c r="O517" s="148"/>
      <c r="R517" s="12"/>
    </row>
    <row r="518" spans="1:18" s="59" customFormat="1" ht="13.5" hidden="1" customHeight="1" outlineLevel="1" x14ac:dyDescent="0.3">
      <c r="A518" s="13">
        <f t="shared" si="60"/>
        <v>6</v>
      </c>
      <c r="B518" s="55"/>
      <c r="C518" s="55" t="s">
        <v>1311</v>
      </c>
      <c r="D518" s="55" t="s">
        <v>2427</v>
      </c>
      <c r="E518" s="55"/>
      <c r="F518" s="56"/>
      <c r="G518" s="56" t="s">
        <v>74</v>
      </c>
      <c r="H518" s="57"/>
      <c r="I518" s="57"/>
      <c r="J518" s="58"/>
      <c r="K518" s="58" t="str">
        <f>IF(A518=0,VLOOKUP(D518,'03. Insumos'!A:F,4,0),"")</f>
        <v/>
      </c>
      <c r="L518" s="58">
        <f>SUM(L519:L520)</f>
        <v>0</v>
      </c>
      <c r="M518" s="355">
        <f t="shared" ca="1" si="59"/>
        <v>0</v>
      </c>
      <c r="O518" s="148">
        <f>IF(I518&lt;&gt;0,I518*H518*K518,)</f>
        <v>0</v>
      </c>
      <c r="R518" s="356">
        <f>IF(J518&lt;&gt;0,J518/1.03-K518,0)</f>
        <v>0</v>
      </c>
    </row>
    <row r="519" spans="1:18" s="51" customFormat="1" ht="13.5" hidden="1" customHeight="1" outlineLevel="1" x14ac:dyDescent="0.3">
      <c r="A519" s="13">
        <f t="shared" si="60"/>
        <v>0</v>
      </c>
      <c r="B519" s="49"/>
      <c r="C519" s="49"/>
      <c r="D519" s="140" t="s">
        <v>2431</v>
      </c>
      <c r="E519" s="67" t="str">
        <f>VLOOKUP(D519,'03. Insumos'!A:D,2,0)</f>
        <v>Material - Fornecimento de rodapé em alumínio invertido h= 3 cm</v>
      </c>
      <c r="F519" s="68" t="s">
        <v>2613</v>
      </c>
      <c r="G519" s="68" t="str">
        <f>VLOOKUP(D519,'03. Insumos'!A:F,3,0)</f>
        <v>m</v>
      </c>
      <c r="H519" s="69">
        <v>1</v>
      </c>
      <c r="I519" s="141">
        <f>H518*1.1</f>
        <v>0</v>
      </c>
      <c r="J519" s="70">
        <f>IFERROR(IF(K519&lt;&gt;0,K519*$K$5,0),0)</f>
        <v>23</v>
      </c>
      <c r="K519" s="70">
        <f>IF(A519=0,VLOOKUP(D519,'03. Insumos'!A:F,4,0),"")</f>
        <v>23</v>
      </c>
      <c r="L519" s="70">
        <f>H519*J519*I519</f>
        <v>0</v>
      </c>
      <c r="M519" s="355">
        <f t="shared" ca="1" si="59"/>
        <v>0</v>
      </c>
      <c r="O519" s="148">
        <f>IF(I519&lt;&gt;0,I519*H519*K519,)</f>
        <v>0</v>
      </c>
      <c r="R519" s="356">
        <f>IF(J519&lt;&gt;0,J519/1.03-K519,0)</f>
        <v>-0.66990291262136026</v>
      </c>
    </row>
    <row r="520" spans="1:18" s="51" customFormat="1" ht="13.5" hidden="1" customHeight="1" outlineLevel="1" x14ac:dyDescent="0.3">
      <c r="A520" s="13">
        <f t="shared" si="60"/>
        <v>0</v>
      </c>
      <c r="B520" s="49"/>
      <c r="C520" s="49"/>
      <c r="D520" s="140" t="s">
        <v>2432</v>
      </c>
      <c r="E520" s="67" t="str">
        <f>VLOOKUP(D520,'03. Insumos'!A:D,2,0)</f>
        <v>Mão de obra - Assentamento de rodapé em alumínio invertido h= 3 cm</v>
      </c>
      <c r="F520" s="68"/>
      <c r="G520" s="68" t="str">
        <f>VLOOKUP(D520,'03. Insumos'!A:F,3,0)</f>
        <v>m</v>
      </c>
      <c r="H520" s="69">
        <v>1</v>
      </c>
      <c r="I520" s="141">
        <f>H518</f>
        <v>0</v>
      </c>
      <c r="J520" s="70">
        <f>IFERROR(IF(K520&lt;&gt;0,K520*$K$5,0),0)</f>
        <v>30</v>
      </c>
      <c r="K520" s="70">
        <f>IF(A520=0,VLOOKUP(D520,'03. Insumos'!A:F,4,0),"")</f>
        <v>30</v>
      </c>
      <c r="L520" s="70">
        <f>H520*J520*I520</f>
        <v>0</v>
      </c>
      <c r="M520" s="355">
        <f t="shared" ca="1" si="59"/>
        <v>0</v>
      </c>
      <c r="O520" s="148"/>
      <c r="R520" s="356"/>
    </row>
    <row r="521" spans="1:18" s="59" customFormat="1" ht="13.5" hidden="1" customHeight="1" outlineLevel="1" x14ac:dyDescent="0.3">
      <c r="A521" s="13">
        <f t="shared" si="60"/>
        <v>6</v>
      </c>
      <c r="B521" s="55"/>
      <c r="C521" s="55" t="s">
        <v>1311</v>
      </c>
      <c r="D521" s="55" t="s">
        <v>1860</v>
      </c>
      <c r="E521" s="55"/>
      <c r="F521" s="56"/>
      <c r="G521" s="56"/>
      <c r="H521" s="57"/>
      <c r="I521" s="57"/>
      <c r="J521" s="58"/>
      <c r="K521" s="58" t="str">
        <f>IF(A521=0,VLOOKUP(D521,'03. Insumos'!A:F,4,0),"")</f>
        <v/>
      </c>
      <c r="L521" s="58">
        <f>SUM(L522:L527)</f>
        <v>0</v>
      </c>
      <c r="M521" s="355">
        <f t="shared" ca="1" si="59"/>
        <v>0</v>
      </c>
      <c r="O521" s="148">
        <f>IF(I521&lt;&gt;0,I521*H521*K521,)</f>
        <v>0</v>
      </c>
      <c r="R521" s="356">
        <f>IF(J521&lt;&gt;0,J521/1.03-K521,0)</f>
        <v>0</v>
      </c>
    </row>
    <row r="522" spans="1:18" s="51" customFormat="1" ht="13.5" hidden="1" customHeight="1" outlineLevel="1" x14ac:dyDescent="0.3">
      <c r="A522" s="13">
        <f t="shared" si="60"/>
        <v>0</v>
      </c>
      <c r="B522" s="49"/>
      <c r="C522" s="49"/>
      <c r="D522" s="140" t="s">
        <v>1863</v>
      </c>
      <c r="E522" s="67" t="str">
        <f>VLOOKUP(D522,'03. Insumos'!A:D,2,0)</f>
        <v>Aplicação de Bona Fosco + Lixamento</v>
      </c>
      <c r="F522" s="68"/>
      <c r="G522" s="68" t="str">
        <f>VLOOKUP(D522,'03. Insumos'!A:F,3,0)</f>
        <v>m²</v>
      </c>
      <c r="H522" s="69">
        <v>1</v>
      </c>
      <c r="I522" s="141"/>
      <c r="J522" s="70">
        <f t="shared" ref="J522:J527" si="61">IFERROR(IF(K522&lt;&gt;0,K522*$K$5,0),0)</f>
        <v>135</v>
      </c>
      <c r="K522" s="70">
        <f>IF(A522=0,VLOOKUP(D522,'03. Insumos'!A:F,4,0),"")</f>
        <v>135</v>
      </c>
      <c r="L522" s="70">
        <f t="shared" ref="L522:L527" si="62">H522*J522*I522</f>
        <v>0</v>
      </c>
      <c r="M522" s="355">
        <f t="shared" ca="1" si="59"/>
        <v>0</v>
      </c>
      <c r="O522" s="148"/>
      <c r="R522" s="356"/>
    </row>
    <row r="523" spans="1:18" s="51" customFormat="1" ht="13.5" hidden="1" customHeight="1" outlineLevel="1" x14ac:dyDescent="0.3">
      <c r="A523" s="13">
        <f t="shared" si="60"/>
        <v>0</v>
      </c>
      <c r="B523" s="49"/>
      <c r="C523" s="49"/>
      <c r="D523" s="140" t="s">
        <v>1864</v>
      </c>
      <c r="E523" s="67" t="str">
        <f>VLOOKUP(D523,'03. Insumos'!A:D,2,0)</f>
        <v>Frete - Tábua corrida em Peroba Mica, 15cm</v>
      </c>
      <c r="F523" s="68"/>
      <c r="G523" s="68" t="str">
        <f>VLOOKUP(D523,'03. Insumos'!A:F,3,0)</f>
        <v>vb</v>
      </c>
      <c r="H523" s="69">
        <v>1</v>
      </c>
      <c r="I523" s="141"/>
      <c r="J523" s="70">
        <f t="shared" si="61"/>
        <v>1000</v>
      </c>
      <c r="K523" s="70">
        <f>IF(A523=0,VLOOKUP(D523,'03. Insumos'!A:F,4,0),"")</f>
        <v>1000</v>
      </c>
      <c r="L523" s="70">
        <f t="shared" si="62"/>
        <v>0</v>
      </c>
      <c r="M523" s="355">
        <f t="shared" ca="1" si="59"/>
        <v>0</v>
      </c>
      <c r="O523" s="148"/>
      <c r="R523" s="356"/>
    </row>
    <row r="524" spans="1:18" s="51" customFormat="1" ht="13.5" hidden="1" customHeight="1" outlineLevel="1" x14ac:dyDescent="0.3">
      <c r="A524" s="13">
        <f t="shared" si="60"/>
        <v>0</v>
      </c>
      <c r="B524" s="49"/>
      <c r="C524" s="49"/>
      <c r="D524" s="140" t="s">
        <v>191</v>
      </c>
      <c r="E524" s="67" t="str">
        <f>VLOOKUP(D524,'03. Insumos'!A:D,2,0)</f>
        <v>Argamassa multiuso 50kg (pequenas Qtde)</v>
      </c>
      <c r="F524" s="68"/>
      <c r="G524" s="68" t="str">
        <f>VLOOKUP(D524,'03. Insumos'!A:F,3,0)</f>
        <v>uni</v>
      </c>
      <c r="H524" s="69">
        <v>1</v>
      </c>
      <c r="I524" s="141"/>
      <c r="J524" s="70">
        <f t="shared" si="61"/>
        <v>21.5</v>
      </c>
      <c r="K524" s="70">
        <f>IF(A524=0,VLOOKUP(D524,'03. Insumos'!A:F,4,0),"")</f>
        <v>21.5</v>
      </c>
      <c r="L524" s="70">
        <f t="shared" si="62"/>
        <v>0</v>
      </c>
      <c r="M524" s="355">
        <f t="shared" ca="1" si="59"/>
        <v>0</v>
      </c>
      <c r="O524" s="148"/>
      <c r="R524" s="356"/>
    </row>
    <row r="525" spans="1:18" s="51" customFormat="1" ht="13.5" hidden="1" customHeight="1" outlineLevel="1" x14ac:dyDescent="0.3">
      <c r="A525" s="13">
        <f t="shared" si="60"/>
        <v>0</v>
      </c>
      <c r="B525" s="49"/>
      <c r="C525" s="49"/>
      <c r="D525" s="140" t="s">
        <v>1899</v>
      </c>
      <c r="E525" s="67" t="str">
        <f>VLOOKUP(D525,'03. Insumos'!A:D,2,0)</f>
        <v>Areia ensacada ( saco 20 Kg)</v>
      </c>
      <c r="F525" s="68"/>
      <c r="G525" s="68" t="str">
        <f>VLOOKUP(D525,'03. Insumos'!A:F,3,0)</f>
        <v>m³</v>
      </c>
      <c r="H525" s="69">
        <v>1</v>
      </c>
      <c r="I525" s="141"/>
      <c r="J525" s="70">
        <f t="shared" si="61"/>
        <v>422</v>
      </c>
      <c r="K525" s="70">
        <f>IF(A525=0,VLOOKUP(D525,'03. Insumos'!A:F,4,0),"")</f>
        <v>422</v>
      </c>
      <c r="L525" s="70">
        <f t="shared" si="62"/>
        <v>0</v>
      </c>
      <c r="M525" s="355">
        <f t="shared" ca="1" si="59"/>
        <v>0</v>
      </c>
      <c r="O525" s="148"/>
      <c r="R525" s="356"/>
    </row>
    <row r="526" spans="1:18" s="51" customFormat="1" ht="13.5" hidden="1" customHeight="1" outlineLevel="1" x14ac:dyDescent="0.3">
      <c r="A526" s="13">
        <f t="shared" si="60"/>
        <v>0</v>
      </c>
      <c r="B526" s="49"/>
      <c r="C526" s="49"/>
      <c r="D526" s="140" t="s">
        <v>1900</v>
      </c>
      <c r="E526" s="67" t="str">
        <f>VLOOKUP(D526,'03. Insumos'!A:D,2,0)</f>
        <v>Cimento (saco 50 Kg)</v>
      </c>
      <c r="F526" s="68"/>
      <c r="G526" s="68" t="str">
        <f>VLOOKUP(D526,'03. Insumos'!A:F,3,0)</f>
        <v>unid</v>
      </c>
      <c r="H526" s="69">
        <v>1</v>
      </c>
      <c r="I526" s="141"/>
      <c r="J526" s="70">
        <f t="shared" si="61"/>
        <v>16</v>
      </c>
      <c r="K526" s="70">
        <f>IF(A526=0,VLOOKUP(D526,'03. Insumos'!A:F,4,0),"")</f>
        <v>16</v>
      </c>
      <c r="L526" s="70">
        <f t="shared" si="62"/>
        <v>0</v>
      </c>
      <c r="M526" s="355">
        <f t="shared" ca="1" si="59"/>
        <v>0</v>
      </c>
      <c r="O526" s="148"/>
      <c r="R526" s="356"/>
    </row>
    <row r="527" spans="1:18" s="51" customFormat="1" ht="13.5" hidden="1" customHeight="1" outlineLevel="1" x14ac:dyDescent="0.3">
      <c r="A527" s="13">
        <f t="shared" si="60"/>
        <v>0</v>
      </c>
      <c r="B527" s="49"/>
      <c r="C527" s="49"/>
      <c r="D527" s="140" t="s">
        <v>1915</v>
      </c>
      <c r="E527" s="67" t="str">
        <f>VLOOKUP(D527,'03. Insumos'!A:D,2,0)</f>
        <v>Bianco Vedacit</v>
      </c>
      <c r="F527" s="68"/>
      <c r="G527" s="68" t="str">
        <f>VLOOKUP(D527,'03. Insumos'!A:F,3,0)</f>
        <v>Balde 18 L</v>
      </c>
      <c r="H527" s="69">
        <v>1</v>
      </c>
      <c r="I527" s="141"/>
      <c r="J527" s="70">
        <f t="shared" si="61"/>
        <v>239.9</v>
      </c>
      <c r="K527" s="70">
        <f>IF(A527=0,VLOOKUP(D527,'03. Insumos'!A:F,4,0),"")</f>
        <v>239.9</v>
      </c>
      <c r="L527" s="70">
        <f t="shared" si="62"/>
        <v>0</v>
      </c>
      <c r="M527" s="355">
        <f t="shared" ca="1" si="59"/>
        <v>0</v>
      </c>
      <c r="O527" s="148"/>
      <c r="R527" s="356"/>
    </row>
    <row r="528" spans="1:18" s="59" customFormat="1" ht="13.5" hidden="1" customHeight="1" outlineLevel="1" x14ac:dyDescent="0.3">
      <c r="A528" s="13">
        <f t="shared" si="60"/>
        <v>6</v>
      </c>
      <c r="B528" s="55"/>
      <c r="C528" s="55" t="s">
        <v>1369</v>
      </c>
      <c r="D528" s="55" t="s">
        <v>2433</v>
      </c>
      <c r="E528" s="55"/>
      <c r="F528" s="56"/>
      <c r="G528" s="56" t="s">
        <v>74</v>
      </c>
      <c r="H528" s="57"/>
      <c r="I528" s="57"/>
      <c r="J528" s="58"/>
      <c r="K528" s="58" t="str">
        <f>IF(A528=0,VLOOKUP(D528,'03. Insumos'!A:F,4,0),"")</f>
        <v/>
      </c>
      <c r="L528" s="58">
        <f>SUM(L529:L533)</f>
        <v>0</v>
      </c>
      <c r="M528" s="355">
        <f t="shared" ca="1" si="59"/>
        <v>0</v>
      </c>
      <c r="O528" s="148">
        <f>IF(I528&lt;&gt;0,I528*H528*K528,)</f>
        <v>0</v>
      </c>
      <c r="R528" s="356">
        <f>IF(J528&lt;&gt;0,J528/1.03-K528,0)</f>
        <v>0</v>
      </c>
    </row>
    <row r="529" spans="1:18" s="51" customFormat="1" ht="13.5" hidden="1" customHeight="1" outlineLevel="1" x14ac:dyDescent="0.3">
      <c r="A529" s="13">
        <f t="shared" si="60"/>
        <v>0</v>
      </c>
      <c r="B529" s="49"/>
      <c r="C529" s="49"/>
      <c r="D529" s="140" t="s">
        <v>2436</v>
      </c>
      <c r="E529" s="67" t="str">
        <f>VLOOKUP(D529,'03. Insumos'!A:D,2,0)</f>
        <v>Material - Fornecimento de Painel borda mini crystalli fino cinza - 50 x 17</v>
      </c>
      <c r="F529" s="68" t="s">
        <v>2613</v>
      </c>
      <c r="G529" s="68" t="str">
        <f>VLOOKUP(D529,'03. Insumos'!A:F,3,0)</f>
        <v>pç</v>
      </c>
      <c r="H529" s="69">
        <v>1</v>
      </c>
      <c r="I529" s="141">
        <f>(H528*2)*1.15</f>
        <v>0</v>
      </c>
      <c r="J529" s="70">
        <f>IFERROR(IF(K529&lt;&gt;0,K529*$K$5,0),0)</f>
        <v>90.75</v>
      </c>
      <c r="K529" s="70">
        <f>IF(A529=0,VLOOKUP(D529,'03. Insumos'!A:F,4,0),"")</f>
        <v>90.75</v>
      </c>
      <c r="L529" s="70">
        <f>H529*J529*I529</f>
        <v>0</v>
      </c>
      <c r="M529" s="355">
        <f t="shared" ca="1" si="59"/>
        <v>0</v>
      </c>
      <c r="O529" s="148">
        <f>IF(I529&lt;&gt;0,I529*H529*K529,)</f>
        <v>0</v>
      </c>
      <c r="R529" s="356">
        <f>IF(J529&lt;&gt;0,J529/1.03-K529,0)</f>
        <v>-2.643203883495147</v>
      </c>
    </row>
    <row r="530" spans="1:18" s="51" customFormat="1" ht="13.5" hidden="1" customHeight="1" outlineLevel="1" x14ac:dyDescent="0.3">
      <c r="A530" s="13">
        <f t="shared" si="60"/>
        <v>0</v>
      </c>
      <c r="B530" s="49"/>
      <c r="C530" s="49"/>
      <c r="D530" s="140" t="s">
        <v>2437</v>
      </c>
      <c r="E530" s="67" t="str">
        <f>VLOOKUP(D530,'03. Insumos'!A:D,2,0)</f>
        <v>Mão de obra - Assentamento de Painel borda mini crystalli fino cinza - 50 x 17</v>
      </c>
      <c r="F530" s="68" t="s">
        <v>2607</v>
      </c>
      <c r="G530" s="68" t="str">
        <f>VLOOKUP(D530,'03. Insumos'!A:F,3,0)</f>
        <v>m</v>
      </c>
      <c r="H530" s="69">
        <v>1</v>
      </c>
      <c r="I530" s="141">
        <f>H528</f>
        <v>0</v>
      </c>
      <c r="J530" s="70">
        <f>IFERROR(IF(K530&lt;&gt;0,K530*$K$5,0),0)</f>
        <v>27.28</v>
      </c>
      <c r="K530" s="70">
        <f>IF(A530=0,VLOOKUP(D530,'03. Insumos'!A:F,4,0),"")</f>
        <v>27.28</v>
      </c>
      <c r="L530" s="70">
        <f>H530*J530*I530</f>
        <v>0</v>
      </c>
      <c r="M530" s="355">
        <f t="shared" ca="1" si="59"/>
        <v>0</v>
      </c>
      <c r="O530" s="148"/>
      <c r="R530" s="356"/>
    </row>
    <row r="531" spans="1:18" s="51" customFormat="1" ht="13.5" hidden="1" customHeight="1" outlineLevel="1" x14ac:dyDescent="0.3">
      <c r="A531" s="13">
        <f t="shared" si="60"/>
        <v>0</v>
      </c>
      <c r="B531" s="49"/>
      <c r="C531" s="49"/>
      <c r="D531" s="140" t="s">
        <v>199</v>
      </c>
      <c r="E531" s="67" t="str">
        <f>VLOOKUP(D531,'03. Insumos'!A:D,2,0)</f>
        <v>Argamassa colante 20kg</v>
      </c>
      <c r="F531" s="68" t="s">
        <v>2612</v>
      </c>
      <c r="G531" s="68" t="str">
        <f>VLOOKUP(D531,'03. Insumos'!A:F,3,0)</f>
        <v>uni</v>
      </c>
      <c r="H531" s="69">
        <v>1</v>
      </c>
      <c r="I531" s="141">
        <f>ROUND((H528*8)/20,0)</f>
        <v>0</v>
      </c>
      <c r="J531" s="70">
        <f>IFERROR(IF(K531&lt;&gt;0,K531*$K$5,0),0)</f>
        <v>21.9</v>
      </c>
      <c r="K531" s="70">
        <f>IF(A531=0,VLOOKUP(D531,'03. Insumos'!A:F,4,0),"")</f>
        <v>21.9</v>
      </c>
      <c r="L531" s="70">
        <f>H531*J531*I531</f>
        <v>0</v>
      </c>
      <c r="M531" s="355">
        <f t="shared" ca="1" si="59"/>
        <v>0</v>
      </c>
      <c r="O531" s="148"/>
      <c r="R531" s="356"/>
    </row>
    <row r="532" spans="1:18" s="51" customFormat="1" ht="13.5" hidden="1" customHeight="1" outlineLevel="1" x14ac:dyDescent="0.3">
      <c r="A532" s="13">
        <f t="shared" si="60"/>
        <v>0</v>
      </c>
      <c r="B532" s="49"/>
      <c r="C532" s="49"/>
      <c r="D532" s="140" t="s">
        <v>772</v>
      </c>
      <c r="E532" s="67" t="str">
        <f>VLOOKUP(D532,'03. Insumos'!A:D,2,0)</f>
        <v xml:space="preserve">Rejunte acrílico Portokoll </v>
      </c>
      <c r="F532" s="68" t="s">
        <v>2612</v>
      </c>
      <c r="G532" s="68" t="str">
        <f>VLOOKUP(D532,'03. Insumos'!A:F,3,0)</f>
        <v>Kg</v>
      </c>
      <c r="H532" s="69">
        <v>1</v>
      </c>
      <c r="I532" s="141">
        <f>ROUNDUP((H528*0.35),0)</f>
        <v>0</v>
      </c>
      <c r="J532" s="70">
        <f>IFERROR(IF(K532&lt;&gt;0,K532*$K$5,0),0)</f>
        <v>19.87</v>
      </c>
      <c r="K532" s="70">
        <f>IF(A532=0,VLOOKUP(D532,'03. Insumos'!A:F,4,0),"")</f>
        <v>19.87</v>
      </c>
      <c r="L532" s="70">
        <f>H532*J532*I532</f>
        <v>0</v>
      </c>
      <c r="M532" s="355">
        <f t="shared" ca="1" si="59"/>
        <v>0</v>
      </c>
      <c r="O532" s="148"/>
      <c r="R532" s="356"/>
    </row>
    <row r="533" spans="1:18" s="51" customFormat="1" ht="13.5" hidden="1" customHeight="1" outlineLevel="1" x14ac:dyDescent="0.3">
      <c r="A533" s="13">
        <f t="shared" si="60"/>
        <v>0</v>
      </c>
      <c r="B533" s="49"/>
      <c r="C533" s="49"/>
      <c r="D533" s="140" t="s">
        <v>773</v>
      </c>
      <c r="E533" s="67" t="str">
        <f>VLOOKUP(D533,'03. Insumos'!A:D,2,0)</f>
        <v>Espaçador - Cunha</v>
      </c>
      <c r="F533" s="68" t="s">
        <v>2612</v>
      </c>
      <c r="G533" s="68" t="str">
        <f>VLOOKUP(D533,'03. Insumos'!A:F,3,0)</f>
        <v>50 pcs</v>
      </c>
      <c r="H533" s="69">
        <v>1</v>
      </c>
      <c r="I533" s="141">
        <f>ROUNDUP(((H528*5)/100),0)</f>
        <v>0</v>
      </c>
      <c r="J533" s="70">
        <f>IFERROR(IF(K533&lt;&gt;0,K533*$K$5,0),0)</f>
        <v>22.17</v>
      </c>
      <c r="K533" s="70">
        <f>IF(A533=0,VLOOKUP(D533,'03. Insumos'!A:F,4,0),"")</f>
        <v>22.17</v>
      </c>
      <c r="L533" s="70">
        <f>H533*J533*I533</f>
        <v>0</v>
      </c>
      <c r="M533" s="355">
        <f t="shared" ca="1" si="59"/>
        <v>0</v>
      </c>
      <c r="O533" s="148"/>
      <c r="R533" s="356"/>
    </row>
    <row r="534" spans="1:18" s="59" customFormat="1" ht="13.5" hidden="1" customHeight="1" outlineLevel="1" x14ac:dyDescent="0.3">
      <c r="A534" s="13">
        <f t="shared" si="60"/>
        <v>6</v>
      </c>
      <c r="B534" s="55"/>
      <c r="C534" s="55" t="s">
        <v>1370</v>
      </c>
      <c r="D534" s="55" t="s">
        <v>2212</v>
      </c>
      <c r="E534" s="55"/>
      <c r="F534" s="56"/>
      <c r="G534" s="56" t="s">
        <v>73</v>
      </c>
      <c r="H534" s="57"/>
      <c r="I534" s="57"/>
      <c r="J534" s="58"/>
      <c r="K534" s="58" t="str">
        <f>IF(A534=0,VLOOKUP(D534,'03. Insumos'!A:F,4,0),"")</f>
        <v/>
      </c>
      <c r="L534" s="58">
        <f>SUM(L535:L541)</f>
        <v>0</v>
      </c>
      <c r="M534" s="355">
        <f t="shared" ca="1" si="59"/>
        <v>0</v>
      </c>
      <c r="O534" s="148">
        <f>IF(I534&lt;&gt;0,I534*H534*K534,)</f>
        <v>0</v>
      </c>
      <c r="R534" s="356">
        <f>IF(J534&lt;&gt;0,J534/1.03-K534,0)</f>
        <v>0</v>
      </c>
    </row>
    <row r="535" spans="1:18" s="51" customFormat="1" ht="13.5" hidden="1" customHeight="1" outlineLevel="1" x14ac:dyDescent="0.3">
      <c r="A535" s="13">
        <f t="shared" si="60"/>
        <v>0</v>
      </c>
      <c r="B535" s="49"/>
      <c r="C535" s="49"/>
      <c r="D535" s="140" t="s">
        <v>2215</v>
      </c>
      <c r="E535" s="67" t="str">
        <f>VLOOKUP(D535,'03. Insumos'!A:D,2,0)</f>
        <v>Piso Manhatan Offwhite Estato Delarte 84 x 84</v>
      </c>
      <c r="F535" s="68"/>
      <c r="G535" s="68" t="str">
        <f>VLOOKUP(D535,'03. Insumos'!A:F,3,0)</f>
        <v>m²</v>
      </c>
      <c r="H535" s="69">
        <v>1</v>
      </c>
      <c r="I535" s="141">
        <f>H534*1.15</f>
        <v>0</v>
      </c>
      <c r="J535" s="70">
        <f t="shared" ref="J535:J541" si="63">IFERROR(IF(K535&lt;&gt;0,K535*$K$5,0),0)</f>
        <v>0</v>
      </c>
      <c r="K535" s="70">
        <f>IF(A535=0,VLOOKUP(D535,'03. Insumos'!A:F,4,0),"")</f>
        <v>0</v>
      </c>
      <c r="L535" s="70">
        <f t="shared" ref="L535:L541" si="64">H535*J535*I535</f>
        <v>0</v>
      </c>
      <c r="M535" s="355">
        <f t="shared" ca="1" si="59"/>
        <v>0</v>
      </c>
      <c r="O535" s="148">
        <f>IF(I535&lt;&gt;0,I535*H535*K535,)</f>
        <v>0</v>
      </c>
      <c r="R535" s="356">
        <f>IF(J535&lt;&gt;0,J535/1.03-K535,0)</f>
        <v>0</v>
      </c>
    </row>
    <row r="536" spans="1:18" s="51" customFormat="1" ht="13.5" hidden="1" customHeight="1" outlineLevel="1" x14ac:dyDescent="0.3">
      <c r="A536" s="13">
        <f t="shared" si="60"/>
        <v>0</v>
      </c>
      <c r="B536" s="49"/>
      <c r="C536" s="49"/>
      <c r="D536" s="140" t="s">
        <v>2096</v>
      </c>
      <c r="E536" s="67" t="str">
        <f>VLOOKUP(D536,'03. Insumos'!A:D,2,0)</f>
        <v>Impermeabilizante oleofugante</v>
      </c>
      <c r="F536" s="68"/>
      <c r="G536" s="68" t="str">
        <f>VLOOKUP(D536,'03. Insumos'!A:F,3,0)</f>
        <v>LT</v>
      </c>
      <c r="H536" s="69">
        <v>1</v>
      </c>
      <c r="I536" s="141"/>
      <c r="J536" s="70">
        <f t="shared" si="63"/>
        <v>74</v>
      </c>
      <c r="K536" s="70">
        <f>IF(A536=0,VLOOKUP(D536,'03. Insumos'!A:F,4,0),"")</f>
        <v>74</v>
      </c>
      <c r="L536" s="70">
        <f>H536*J536*I536</f>
        <v>0</v>
      </c>
      <c r="M536" s="355">
        <f t="shared" ca="1" si="59"/>
        <v>0</v>
      </c>
      <c r="O536" s="148"/>
      <c r="R536" s="356"/>
    </row>
    <row r="537" spans="1:18" s="51" customFormat="1" ht="13.5" hidden="1" customHeight="1" outlineLevel="1" x14ac:dyDescent="0.3">
      <c r="A537" s="13">
        <f t="shared" si="60"/>
        <v>0</v>
      </c>
      <c r="B537" s="49"/>
      <c r="C537" s="49"/>
      <c r="D537" s="140" t="s">
        <v>779</v>
      </c>
      <c r="E537" s="67" t="str">
        <f>VLOOKUP(D537,'03. Insumos'!A:D,2,0)</f>
        <v>Mão de obra - Execução do porcelanato 90x90cm Karst off white EXT</v>
      </c>
      <c r="F537" s="68"/>
      <c r="G537" s="68" t="str">
        <f>VLOOKUP(D537,'03. Insumos'!A:F,3,0)</f>
        <v>m²</v>
      </c>
      <c r="H537" s="69">
        <v>1</v>
      </c>
      <c r="I537" s="141"/>
      <c r="J537" s="70">
        <f t="shared" si="63"/>
        <v>79.52</v>
      </c>
      <c r="K537" s="70">
        <f>IF(A537=0,VLOOKUP(D537,'03. Insumos'!A:F,4,0),"")</f>
        <v>79.52</v>
      </c>
      <c r="L537" s="70">
        <f t="shared" si="64"/>
        <v>0</v>
      </c>
      <c r="M537" s="355">
        <f t="shared" ca="1" si="59"/>
        <v>0</v>
      </c>
      <c r="O537" s="148"/>
      <c r="R537" s="356"/>
    </row>
    <row r="538" spans="1:18" s="51" customFormat="1" ht="13.5" hidden="1" customHeight="1" outlineLevel="1" x14ac:dyDescent="0.3">
      <c r="A538" s="13">
        <f t="shared" si="60"/>
        <v>0</v>
      </c>
      <c r="B538" s="49"/>
      <c r="C538" s="49"/>
      <c r="D538" s="140" t="s">
        <v>1588</v>
      </c>
      <c r="E538" s="67" t="str">
        <f>VLOOKUP(D538,'03. Insumos'!A:D,2,0)</f>
        <v>Material - Execução borda do porcelanato 90x90cm Karst off white EXT</v>
      </c>
      <c r="F538" s="68"/>
      <c r="G538" s="68" t="str">
        <f>VLOOKUP(D538,'03. Insumos'!A:F,3,0)</f>
        <v>pç</v>
      </c>
      <c r="H538" s="69">
        <v>1</v>
      </c>
      <c r="I538" s="141"/>
      <c r="J538" s="70">
        <f t="shared" si="63"/>
        <v>143.9</v>
      </c>
      <c r="K538" s="70">
        <f>IF(A538=0,VLOOKUP(D538,'03. Insumos'!A:F,4,0),"")</f>
        <v>143.9</v>
      </c>
      <c r="L538" s="70">
        <f t="shared" si="64"/>
        <v>0</v>
      </c>
      <c r="M538" s="355">
        <f t="shared" ca="1" si="59"/>
        <v>0</v>
      </c>
      <c r="O538" s="148"/>
      <c r="R538" s="356"/>
    </row>
    <row r="539" spans="1:18" s="51" customFormat="1" ht="13.5" hidden="1" customHeight="1" outlineLevel="1" x14ac:dyDescent="0.3">
      <c r="A539" s="13">
        <f t="shared" si="60"/>
        <v>0</v>
      </c>
      <c r="B539" s="49"/>
      <c r="C539" s="49"/>
      <c r="D539" s="140" t="s">
        <v>199</v>
      </c>
      <c r="E539" s="67" t="str">
        <f>VLOOKUP(D539,'03. Insumos'!A:D,2,0)</f>
        <v>Argamassa colante 20kg</v>
      </c>
      <c r="F539" s="68"/>
      <c r="G539" s="68" t="str">
        <f>VLOOKUP(D539,'03. Insumos'!A:F,3,0)</f>
        <v>uni</v>
      </c>
      <c r="H539" s="69">
        <v>1</v>
      </c>
      <c r="I539" s="141">
        <f>ROUND((H534*10)/20,0)</f>
        <v>0</v>
      </c>
      <c r="J539" s="70">
        <f t="shared" si="63"/>
        <v>21.9</v>
      </c>
      <c r="K539" s="70">
        <f>IF(A539=0,VLOOKUP(D539,'03. Insumos'!A:F,4,0),"")</f>
        <v>21.9</v>
      </c>
      <c r="L539" s="70">
        <f t="shared" si="64"/>
        <v>0</v>
      </c>
      <c r="M539" s="355">
        <f t="shared" ca="1" si="59"/>
        <v>0</v>
      </c>
      <c r="O539" s="148"/>
      <c r="R539" s="356"/>
    </row>
    <row r="540" spans="1:18" s="51" customFormat="1" ht="13.5" hidden="1" customHeight="1" outlineLevel="1" x14ac:dyDescent="0.3">
      <c r="A540" s="13">
        <f t="shared" si="60"/>
        <v>0</v>
      </c>
      <c r="B540" s="49"/>
      <c r="C540" s="49"/>
      <c r="D540" s="140" t="s">
        <v>772</v>
      </c>
      <c r="E540" s="67" t="str">
        <f>VLOOKUP(D540,'03. Insumos'!A:D,2,0)</f>
        <v xml:space="preserve">Rejunte acrílico Portokoll </v>
      </c>
      <c r="F540" s="68"/>
      <c r="G540" s="68" t="str">
        <f>VLOOKUP(D540,'03. Insumos'!A:F,3,0)</f>
        <v>Kg</v>
      </c>
      <c r="H540" s="69"/>
      <c r="I540" s="141">
        <f>ROUNDUP((H536*0.05),0)</f>
        <v>1</v>
      </c>
      <c r="J540" s="70">
        <f t="shared" si="63"/>
        <v>19.87</v>
      </c>
      <c r="K540" s="70">
        <f>IF(A540=0,VLOOKUP(D540,'03. Insumos'!A:F,4,0),"")</f>
        <v>19.87</v>
      </c>
      <c r="L540" s="70">
        <f t="shared" si="64"/>
        <v>0</v>
      </c>
      <c r="M540" s="355">
        <f t="shared" ca="1" si="59"/>
        <v>0</v>
      </c>
      <c r="O540" s="148"/>
      <c r="R540" s="356"/>
    </row>
    <row r="541" spans="1:18" s="51" customFormat="1" ht="13.5" hidden="1" customHeight="1" outlineLevel="1" x14ac:dyDescent="0.3">
      <c r="A541" s="13">
        <f t="shared" si="60"/>
        <v>0</v>
      </c>
      <c r="B541" s="49"/>
      <c r="C541" s="49"/>
      <c r="D541" s="140" t="s">
        <v>773</v>
      </c>
      <c r="E541" s="67" t="str">
        <f>VLOOKUP(D541,'03. Insumos'!A:D,2,0)</f>
        <v>Espaçador - Cunha</v>
      </c>
      <c r="F541" s="68"/>
      <c r="G541" s="68" t="str">
        <f>VLOOKUP(D541,'03. Insumos'!A:F,3,0)</f>
        <v>50 pcs</v>
      </c>
      <c r="H541" s="69">
        <v>1</v>
      </c>
      <c r="I541" s="141">
        <f>ROUNDUP((H534/100),0)</f>
        <v>0</v>
      </c>
      <c r="J541" s="70">
        <f t="shared" si="63"/>
        <v>22.17</v>
      </c>
      <c r="K541" s="70">
        <f>IF(A541=0,VLOOKUP(D541,'03. Insumos'!A:F,4,0),"")</f>
        <v>22.17</v>
      </c>
      <c r="L541" s="70">
        <f t="shared" si="64"/>
        <v>0</v>
      </c>
      <c r="M541" s="355">
        <f t="shared" ca="1" si="59"/>
        <v>0</v>
      </c>
      <c r="O541" s="148"/>
      <c r="R541" s="356"/>
    </row>
    <row r="542" spans="1:18" s="59" customFormat="1" ht="13.5" hidden="1" customHeight="1" outlineLevel="1" x14ac:dyDescent="0.3">
      <c r="A542" s="13">
        <f t="shared" si="60"/>
        <v>6</v>
      </c>
      <c r="B542" s="55"/>
      <c r="C542" s="55" t="s">
        <v>1511</v>
      </c>
      <c r="D542" s="55" t="s">
        <v>2419</v>
      </c>
      <c r="E542" s="55"/>
      <c r="F542" s="56"/>
      <c r="G542" s="56" t="s">
        <v>73</v>
      </c>
      <c r="H542" s="57"/>
      <c r="I542" s="57"/>
      <c r="J542" s="58"/>
      <c r="K542" s="58" t="str">
        <f>IF(A542=0,VLOOKUP(D542,'03. Insumos'!A:F,4,0),"")</f>
        <v/>
      </c>
      <c r="L542" s="58">
        <f>SUM(L543:L548)</f>
        <v>0</v>
      </c>
      <c r="M542" s="355">
        <f t="shared" ca="1" si="59"/>
        <v>0</v>
      </c>
      <c r="O542" s="148">
        <f>IF(I542&lt;&gt;0,I542*H542*K542,)</f>
        <v>0</v>
      </c>
      <c r="R542" s="356">
        <f>IF(J542&lt;&gt;0,J542/1.03-K542,0)</f>
        <v>0</v>
      </c>
    </row>
    <row r="543" spans="1:18" s="51" customFormat="1" ht="13.5" hidden="1" customHeight="1" outlineLevel="1" x14ac:dyDescent="0.3">
      <c r="A543" s="13">
        <f t="shared" si="60"/>
        <v>0</v>
      </c>
      <c r="B543" s="49"/>
      <c r="C543" s="49"/>
      <c r="D543" s="140" t="s">
        <v>2420</v>
      </c>
      <c r="E543" s="67" t="str">
        <f>VLOOKUP(D543,'03. Insumos'!A:D,2,0)</f>
        <v>Material - Fornecimento de painel madeyra vecchia - 20 x 100</v>
      </c>
      <c r="F543" s="68" t="s">
        <v>2613</v>
      </c>
      <c r="G543" s="68" t="str">
        <f>VLOOKUP(D543,'03. Insumos'!A:F,3,0)</f>
        <v>m²</v>
      </c>
      <c r="H543" s="69">
        <v>1</v>
      </c>
      <c r="I543" s="141">
        <f>H542*1.1</f>
        <v>0</v>
      </c>
      <c r="J543" s="70">
        <f t="shared" ref="J543:J548" si="65">IFERROR(IF(K543&lt;&gt;0,K543*$K$5,0),0)</f>
        <v>279</v>
      </c>
      <c r="K543" s="70">
        <f>IF(A543=0,VLOOKUP(D543,'03. Insumos'!A:F,4,0),"")</f>
        <v>279</v>
      </c>
      <c r="L543" s="70">
        <f t="shared" ref="L543:L548" si="66">H543*J543*I543</f>
        <v>0</v>
      </c>
      <c r="M543" s="355">
        <f t="shared" ca="1" si="59"/>
        <v>0</v>
      </c>
      <c r="O543" s="148">
        <f>IF(I543&lt;&gt;0,I543*H543*K543,)</f>
        <v>0</v>
      </c>
      <c r="R543" s="356">
        <f>IF(J543&lt;&gt;0,J543/1.03-K543,0)</f>
        <v>-8.1262135922330003</v>
      </c>
    </row>
    <row r="544" spans="1:18" s="51" customFormat="1" ht="13.5" hidden="1" customHeight="1" outlineLevel="1" x14ac:dyDescent="0.3">
      <c r="A544" s="13">
        <f t="shared" si="60"/>
        <v>0</v>
      </c>
      <c r="B544" s="49"/>
      <c r="C544" s="49"/>
      <c r="D544" s="140" t="s">
        <v>2421</v>
      </c>
      <c r="E544" s="67" t="str">
        <f>VLOOKUP(D544,'03. Insumos'!A:D,2,0)</f>
        <v>Mão de obra - Assentamento de painel madeyra vecchia - 20 x 100</v>
      </c>
      <c r="F544" s="68" t="s">
        <v>2607</v>
      </c>
      <c r="G544" s="68" t="str">
        <f>VLOOKUP(D544,'03. Insumos'!A:F,3,0)</f>
        <v>m²</v>
      </c>
      <c r="H544" s="69">
        <v>1</v>
      </c>
      <c r="I544" s="141">
        <f>H542</f>
        <v>0</v>
      </c>
      <c r="J544" s="70">
        <f t="shared" si="65"/>
        <v>49.75</v>
      </c>
      <c r="K544" s="70">
        <f>IF(A544=0,VLOOKUP(D544,'03. Insumos'!A:F,4,0),"")</f>
        <v>49.75</v>
      </c>
      <c r="L544" s="70">
        <f t="shared" si="66"/>
        <v>0</v>
      </c>
      <c r="M544" s="355">
        <f t="shared" ca="1" si="59"/>
        <v>0</v>
      </c>
      <c r="O544" s="148"/>
      <c r="R544" s="356"/>
    </row>
    <row r="545" spans="1:18" s="51" customFormat="1" ht="13.5" hidden="1" customHeight="1" outlineLevel="1" x14ac:dyDescent="0.3">
      <c r="A545" s="13">
        <f t="shared" si="60"/>
        <v>0</v>
      </c>
      <c r="B545" s="49"/>
      <c r="C545" s="49"/>
      <c r="D545" s="140" t="s">
        <v>2577</v>
      </c>
      <c r="E545" s="67" t="str">
        <f>VLOOKUP(D545,'03. Insumos'!A:D,2,0)</f>
        <v>Cera BS 200 WB - canela (galão)</v>
      </c>
      <c r="F545" s="68" t="s">
        <v>2613</v>
      </c>
      <c r="G545" s="68" t="str">
        <f>VLOOKUP(D545,'03. Insumos'!A:F,3,0)</f>
        <v>Unid</v>
      </c>
      <c r="H545" s="69">
        <v>1</v>
      </c>
      <c r="I545" s="141">
        <f>ROUNDUP((H542*0.1818),0)</f>
        <v>0</v>
      </c>
      <c r="J545" s="70">
        <f t="shared" si="65"/>
        <v>128</v>
      </c>
      <c r="K545" s="70">
        <f>IF(A545=0,VLOOKUP(D545,'03. Insumos'!A:F,4,0),"")</f>
        <v>128</v>
      </c>
      <c r="L545" s="70">
        <f t="shared" si="66"/>
        <v>0</v>
      </c>
      <c r="M545" s="355">
        <f t="shared" ca="1" si="59"/>
        <v>0</v>
      </c>
      <c r="O545" s="148"/>
      <c r="R545" s="356"/>
    </row>
    <row r="546" spans="1:18" s="51" customFormat="1" ht="13.5" hidden="1" customHeight="1" outlineLevel="1" x14ac:dyDescent="0.3">
      <c r="A546" s="13">
        <f t="shared" si="60"/>
        <v>0</v>
      </c>
      <c r="B546" s="49"/>
      <c r="C546" s="49"/>
      <c r="D546" s="140" t="s">
        <v>199</v>
      </c>
      <c r="E546" s="67" t="str">
        <f>VLOOKUP(D546,'03. Insumos'!A:D,2,0)</f>
        <v>Argamassa colante 20kg</v>
      </c>
      <c r="F546" s="68" t="s">
        <v>2612</v>
      </c>
      <c r="G546" s="68" t="str">
        <f>VLOOKUP(D546,'03. Insumos'!A:F,3,0)</f>
        <v>uni</v>
      </c>
      <c r="H546" s="69">
        <v>1</v>
      </c>
      <c r="I546" s="141">
        <f>ROUND((H542*8)/20,0)</f>
        <v>0</v>
      </c>
      <c r="J546" s="70">
        <f t="shared" si="65"/>
        <v>21.9</v>
      </c>
      <c r="K546" s="70">
        <f>IF(A546=0,VLOOKUP(D546,'03. Insumos'!A:F,4,0),"")</f>
        <v>21.9</v>
      </c>
      <c r="L546" s="70">
        <f t="shared" si="66"/>
        <v>0</v>
      </c>
      <c r="M546" s="355">
        <f t="shared" ca="1" si="59"/>
        <v>0</v>
      </c>
      <c r="O546" s="148"/>
      <c r="R546" s="356"/>
    </row>
    <row r="547" spans="1:18" s="51" customFormat="1" ht="13.5" hidden="1" customHeight="1" outlineLevel="1" x14ac:dyDescent="0.3">
      <c r="A547" s="13">
        <f t="shared" si="60"/>
        <v>0</v>
      </c>
      <c r="B547" s="49"/>
      <c r="C547" s="49"/>
      <c r="D547" s="140" t="s">
        <v>772</v>
      </c>
      <c r="E547" s="67" t="str">
        <f>VLOOKUP(D547,'03. Insumos'!A:D,2,0)</f>
        <v xml:space="preserve">Rejunte acrílico Portokoll </v>
      </c>
      <c r="F547" s="68" t="s">
        <v>2612</v>
      </c>
      <c r="G547" s="68" t="str">
        <f>VLOOKUP(D547,'03. Insumos'!A:F,3,0)</f>
        <v>Kg</v>
      </c>
      <c r="H547" s="69">
        <v>1</v>
      </c>
      <c r="I547" s="141"/>
      <c r="J547" s="70">
        <f t="shared" si="65"/>
        <v>19.87</v>
      </c>
      <c r="K547" s="70">
        <f>IF(A547=0,VLOOKUP(D547,'03. Insumos'!A:F,4,0),"")</f>
        <v>19.87</v>
      </c>
      <c r="L547" s="70">
        <f t="shared" si="66"/>
        <v>0</v>
      </c>
      <c r="M547" s="355">
        <f t="shared" ca="1" si="59"/>
        <v>0</v>
      </c>
      <c r="O547" s="148"/>
      <c r="R547" s="356"/>
    </row>
    <row r="548" spans="1:18" s="51" customFormat="1" ht="13.5" hidden="1" customHeight="1" outlineLevel="1" x14ac:dyDescent="0.3">
      <c r="A548" s="13">
        <f t="shared" si="60"/>
        <v>0</v>
      </c>
      <c r="B548" s="49"/>
      <c r="C548" s="49"/>
      <c r="D548" s="140" t="s">
        <v>773</v>
      </c>
      <c r="E548" s="67" t="str">
        <f>VLOOKUP(D548,'03. Insumos'!A:D,2,0)</f>
        <v>Espaçador - Cunha</v>
      </c>
      <c r="F548" s="68" t="s">
        <v>2612</v>
      </c>
      <c r="G548" s="68" t="str">
        <f>VLOOKUP(D548,'03. Insumos'!A:F,3,0)</f>
        <v>50 pcs</v>
      </c>
      <c r="H548" s="69">
        <v>1</v>
      </c>
      <c r="I548" s="141">
        <f>ROUNDUP(((H542*5)/100),0)</f>
        <v>0</v>
      </c>
      <c r="J548" s="70">
        <f t="shared" si="65"/>
        <v>22.17</v>
      </c>
      <c r="K548" s="70">
        <f>IF(A548=0,VLOOKUP(D548,'03. Insumos'!A:F,4,0),"")</f>
        <v>22.17</v>
      </c>
      <c r="L548" s="70">
        <f t="shared" si="66"/>
        <v>0</v>
      </c>
      <c r="M548" s="355">
        <f t="shared" ca="1" si="59"/>
        <v>0</v>
      </c>
      <c r="O548" s="148"/>
      <c r="R548" s="356"/>
    </row>
    <row r="549" spans="1:18" s="59" customFormat="1" ht="13.5" hidden="1" customHeight="1" outlineLevel="1" x14ac:dyDescent="0.3">
      <c r="A549" s="13">
        <f t="shared" si="60"/>
        <v>6</v>
      </c>
      <c r="B549" s="55"/>
      <c r="C549" s="55" t="s">
        <v>1512</v>
      </c>
      <c r="D549" s="55" t="s">
        <v>2438</v>
      </c>
      <c r="E549" s="55"/>
      <c r="F549" s="56"/>
      <c r="G549" s="56" t="s">
        <v>73</v>
      </c>
      <c r="H549" s="57"/>
      <c r="I549" s="57"/>
      <c r="J549" s="58"/>
      <c r="K549" s="58" t="str">
        <f>IF(A549=0,VLOOKUP(D549,'03. Insumos'!A:F,4,0),"")</f>
        <v/>
      </c>
      <c r="L549" s="58">
        <f>SUM(L550:L555)</f>
        <v>0</v>
      </c>
      <c r="M549" s="355">
        <f t="shared" ca="1" si="59"/>
        <v>0</v>
      </c>
      <c r="O549" s="148">
        <f>IF(I549&lt;&gt;0,I549*H549*K549,)</f>
        <v>0</v>
      </c>
      <c r="R549" s="356">
        <f>IF(J549&lt;&gt;0,J549/1.03-K549,0)</f>
        <v>0</v>
      </c>
    </row>
    <row r="550" spans="1:18" s="51" customFormat="1" ht="13.5" hidden="1" customHeight="1" outlineLevel="1" x14ac:dyDescent="0.3">
      <c r="A550" s="13">
        <f t="shared" si="60"/>
        <v>0</v>
      </c>
      <c r="B550" s="49"/>
      <c r="C550" s="49"/>
      <c r="D550" s="140" t="s">
        <v>2441</v>
      </c>
      <c r="E550" s="67" t="str">
        <f>VLOOKUP(D550,'03. Insumos'!A:D,2,0)</f>
        <v>Material - Fornecimento de Painel acabamento plano crystalli fino cinza - 100 x 100</v>
      </c>
      <c r="F550" s="68" t="s">
        <v>2613</v>
      </c>
      <c r="G550" s="68" t="str">
        <f>VLOOKUP(D550,'03. Insumos'!A:F,3,0)</f>
        <v>pç</v>
      </c>
      <c r="H550" s="69">
        <v>1</v>
      </c>
      <c r="I550" s="141">
        <f>H549*1.15</f>
        <v>0</v>
      </c>
      <c r="J550" s="70">
        <f t="shared" ref="J550:J555" si="67">IFERROR(IF(K550&lt;&gt;0,K550*$K$5,0),0)</f>
        <v>289</v>
      </c>
      <c r="K550" s="70">
        <f>IF(A550=0,VLOOKUP(D550,'03. Insumos'!A:F,4,0),"")</f>
        <v>289</v>
      </c>
      <c r="L550" s="70">
        <f t="shared" ref="L550:L555" si="68">H550*J550*I550</f>
        <v>0</v>
      </c>
      <c r="M550" s="355">
        <f t="shared" ca="1" si="59"/>
        <v>0</v>
      </c>
      <c r="O550" s="148">
        <f>IF(I550&lt;&gt;0,I550*H550*K550,)</f>
        <v>0</v>
      </c>
      <c r="R550" s="356">
        <f>IF(J550&lt;&gt;0,J550/1.03-K550,0)</f>
        <v>-8.4174757281553525</v>
      </c>
    </row>
    <row r="551" spans="1:18" s="51" customFormat="1" ht="13.5" hidden="1" customHeight="1" outlineLevel="1" x14ac:dyDescent="0.3">
      <c r="A551" s="13">
        <f t="shared" si="60"/>
        <v>0</v>
      </c>
      <c r="B551" s="49"/>
      <c r="C551" s="49"/>
      <c r="D551" s="140" t="s">
        <v>2442</v>
      </c>
      <c r="E551" s="67" t="str">
        <f>VLOOKUP(D551,'03. Insumos'!A:D,2,0)</f>
        <v>Mão de obra - Assentamento de Painel acabamento plano crystalli fino cinza - 100 x 100</v>
      </c>
      <c r="F551" s="68" t="s">
        <v>2607</v>
      </c>
      <c r="G551" s="68" t="str">
        <f>VLOOKUP(D551,'03. Insumos'!A:F,3,0)</f>
        <v>m²</v>
      </c>
      <c r="H551" s="69">
        <v>1</v>
      </c>
      <c r="I551" s="141">
        <f>H549</f>
        <v>0</v>
      </c>
      <c r="J551" s="70">
        <f t="shared" si="67"/>
        <v>54.55</v>
      </c>
      <c r="K551" s="70">
        <f>IF(A551=0,VLOOKUP(D551,'03. Insumos'!A:F,4,0),"")</f>
        <v>54.55</v>
      </c>
      <c r="L551" s="70">
        <f t="shared" si="68"/>
        <v>0</v>
      </c>
      <c r="M551" s="355">
        <f t="shared" ca="1" si="59"/>
        <v>0</v>
      </c>
      <c r="O551" s="148"/>
      <c r="R551" s="356"/>
    </row>
    <row r="552" spans="1:18" s="51" customFormat="1" ht="13.5" hidden="1" customHeight="1" outlineLevel="1" x14ac:dyDescent="0.3">
      <c r="A552" s="13">
        <f t="shared" si="60"/>
        <v>0</v>
      </c>
      <c r="B552" s="49"/>
      <c r="C552" s="49"/>
      <c r="D552" s="140" t="s">
        <v>2578</v>
      </c>
      <c r="E552" s="67" t="str">
        <f>VLOOKUP(D552,'03. Insumos'!A:D,2,0)</f>
        <v>Cera externa - cinza</v>
      </c>
      <c r="F552" s="68" t="s">
        <v>2613</v>
      </c>
      <c r="G552" s="68" t="str">
        <f>VLOOKUP(D552,'03. Insumos'!A:F,3,0)</f>
        <v>pç</v>
      </c>
      <c r="H552" s="69">
        <v>1</v>
      </c>
      <c r="I552" s="141"/>
      <c r="J552" s="70">
        <f t="shared" si="67"/>
        <v>73</v>
      </c>
      <c r="K552" s="70">
        <f>IF(A552=0,VLOOKUP(D552,'03. Insumos'!A:F,4,0),"")</f>
        <v>73</v>
      </c>
      <c r="L552" s="70">
        <f t="shared" si="68"/>
        <v>0</v>
      </c>
      <c r="M552" s="355">
        <f t="shared" ca="1" si="59"/>
        <v>0</v>
      </c>
      <c r="O552" s="148"/>
      <c r="R552" s="356"/>
    </row>
    <row r="553" spans="1:18" s="51" customFormat="1" ht="13.5" hidden="1" customHeight="1" outlineLevel="1" x14ac:dyDescent="0.3">
      <c r="A553" s="13">
        <f t="shared" si="60"/>
        <v>0</v>
      </c>
      <c r="B553" s="49"/>
      <c r="C553" s="49"/>
      <c r="D553" s="140" t="s">
        <v>199</v>
      </c>
      <c r="E553" s="67" t="str">
        <f>VLOOKUP(D553,'03. Insumos'!A:D,2,0)</f>
        <v>Argamassa colante 20kg</v>
      </c>
      <c r="F553" s="68" t="s">
        <v>2612</v>
      </c>
      <c r="G553" s="68" t="str">
        <f>VLOOKUP(D553,'03. Insumos'!A:F,3,0)</f>
        <v>uni</v>
      </c>
      <c r="H553" s="69">
        <v>1</v>
      </c>
      <c r="I553" s="141">
        <f>ROUND((H549*8)/20,0)</f>
        <v>0</v>
      </c>
      <c r="J553" s="70">
        <f t="shared" si="67"/>
        <v>21.9</v>
      </c>
      <c r="K553" s="70">
        <f>IF(A553=0,VLOOKUP(D553,'03. Insumos'!A:F,4,0),"")</f>
        <v>21.9</v>
      </c>
      <c r="L553" s="70">
        <f t="shared" si="68"/>
        <v>0</v>
      </c>
      <c r="M553" s="355">
        <f t="shared" ref="M553:M616" ca="1" si="69">L553/$L$7</f>
        <v>0</v>
      </c>
      <c r="O553" s="148"/>
      <c r="R553" s="356"/>
    </row>
    <row r="554" spans="1:18" s="51" customFormat="1" ht="13.5" hidden="1" customHeight="1" outlineLevel="1" x14ac:dyDescent="0.3">
      <c r="A554" s="13">
        <f t="shared" si="60"/>
        <v>0</v>
      </c>
      <c r="B554" s="49"/>
      <c r="C554" s="49"/>
      <c r="D554" s="140" t="s">
        <v>772</v>
      </c>
      <c r="E554" s="67" t="str">
        <f>VLOOKUP(D554,'03. Insumos'!A:D,2,0)</f>
        <v xml:space="preserve">Rejunte acrílico Portokoll </v>
      </c>
      <c r="F554" s="68" t="s">
        <v>2612</v>
      </c>
      <c r="G554" s="68" t="str">
        <f>VLOOKUP(D554,'03. Insumos'!A:F,3,0)</f>
        <v>Kg</v>
      </c>
      <c r="H554" s="69">
        <v>1</v>
      </c>
      <c r="I554" s="141"/>
      <c r="J554" s="70">
        <f t="shared" si="67"/>
        <v>19.87</v>
      </c>
      <c r="K554" s="70">
        <f>IF(A554=0,VLOOKUP(D554,'03. Insumos'!A:F,4,0),"")</f>
        <v>19.87</v>
      </c>
      <c r="L554" s="70">
        <f t="shared" si="68"/>
        <v>0</v>
      </c>
      <c r="M554" s="355">
        <f t="shared" ca="1" si="69"/>
        <v>0</v>
      </c>
      <c r="O554" s="148"/>
      <c r="R554" s="356"/>
    </row>
    <row r="555" spans="1:18" s="51" customFormat="1" ht="13.5" hidden="1" customHeight="1" outlineLevel="1" x14ac:dyDescent="0.3">
      <c r="A555" s="13">
        <f t="shared" ref="A555:A595" si="70">LEN(C555)</f>
        <v>0</v>
      </c>
      <c r="B555" s="49"/>
      <c r="C555" s="49"/>
      <c r="D555" s="140" t="s">
        <v>773</v>
      </c>
      <c r="E555" s="67" t="str">
        <f>VLOOKUP(D555,'03. Insumos'!A:D,2,0)</f>
        <v>Espaçador - Cunha</v>
      </c>
      <c r="F555" s="68" t="s">
        <v>2612</v>
      </c>
      <c r="G555" s="68" t="str">
        <f>VLOOKUP(D555,'03. Insumos'!A:F,3,0)</f>
        <v>50 pcs</v>
      </c>
      <c r="H555" s="69">
        <v>1</v>
      </c>
      <c r="I555" s="141">
        <f>ROUNDUP(((H549*5)/100),0)</f>
        <v>0</v>
      </c>
      <c r="J555" s="70">
        <f t="shared" si="67"/>
        <v>22.17</v>
      </c>
      <c r="K555" s="70">
        <f>IF(A555=0,VLOOKUP(D555,'03. Insumos'!A:F,4,0),"")</f>
        <v>22.17</v>
      </c>
      <c r="L555" s="70">
        <f t="shared" si="68"/>
        <v>0</v>
      </c>
      <c r="M555" s="355">
        <f t="shared" ca="1" si="69"/>
        <v>0</v>
      </c>
      <c r="O555" s="148"/>
      <c r="R555" s="356"/>
    </row>
    <row r="556" spans="1:18" s="59" customFormat="1" ht="13.5" hidden="1" customHeight="1" outlineLevel="1" x14ac:dyDescent="0.3">
      <c r="A556" s="13">
        <f t="shared" si="70"/>
        <v>6</v>
      </c>
      <c r="B556" s="55"/>
      <c r="C556" s="55" t="s">
        <v>1513</v>
      </c>
      <c r="D556" s="55" t="s">
        <v>2423</v>
      </c>
      <c r="E556" s="55"/>
      <c r="F556" s="56"/>
      <c r="G556" s="56" t="s">
        <v>73</v>
      </c>
      <c r="H556" s="57"/>
      <c r="I556" s="57"/>
      <c r="J556" s="58"/>
      <c r="K556" s="58" t="str">
        <f>IF(A556=0,VLOOKUP(D556,'03. Insumos'!A:F,4,0),"")</f>
        <v/>
      </c>
      <c r="L556" s="58">
        <f>SUM(L557:L559)</f>
        <v>0</v>
      </c>
      <c r="M556" s="355">
        <f t="shared" ca="1" si="69"/>
        <v>0</v>
      </c>
      <c r="O556" s="148">
        <f>IF(I556&lt;&gt;0,I556*H556*K556,)</f>
        <v>0</v>
      </c>
      <c r="R556" s="356">
        <f>IF(J556&lt;&gt;0,J556/1.03-K556,0)</f>
        <v>0</v>
      </c>
    </row>
    <row r="557" spans="1:18" s="51" customFormat="1" ht="13.5" hidden="1" customHeight="1" outlineLevel="1" x14ac:dyDescent="0.3">
      <c r="A557" s="13">
        <f t="shared" si="70"/>
        <v>0</v>
      </c>
      <c r="B557" s="49"/>
      <c r="C557" s="49"/>
      <c r="D557" s="140" t="s">
        <v>2425</v>
      </c>
      <c r="E557" s="67" t="str">
        <f>VLOOKUP(D557,'03. Insumos'!A:D,2,0)</f>
        <v>Material - Cerâmica Jatobá 5x5 Verde Etna</v>
      </c>
      <c r="F557" s="68" t="s">
        <v>2613</v>
      </c>
      <c r="G557" s="68" t="str">
        <f>VLOOKUP(D557,'03. Insumos'!A:F,3,0)</f>
        <v>m²</v>
      </c>
      <c r="H557" s="69">
        <v>1</v>
      </c>
      <c r="I557" s="141">
        <f>H556*1.15</f>
        <v>0</v>
      </c>
      <c r="J557" s="70">
        <f>IFERROR(IF(K557&lt;&gt;0,K557*$K$5,0),0)</f>
        <v>202.6</v>
      </c>
      <c r="K557" s="70">
        <f>IF(A557=0,VLOOKUP(D557,'03. Insumos'!A:F,4,0),"")</f>
        <v>202.6</v>
      </c>
      <c r="L557" s="70">
        <f>H557*J557*I557</f>
        <v>0</v>
      </c>
      <c r="M557" s="355">
        <f t="shared" ca="1" si="69"/>
        <v>0</v>
      </c>
      <c r="O557" s="148">
        <f>IF(I557&lt;&gt;0,I557*H557*K557,)</f>
        <v>0</v>
      </c>
      <c r="R557" s="356">
        <f>IF(J557&lt;&gt;0,J557/1.03-K557,0)</f>
        <v>-5.9009708737864059</v>
      </c>
    </row>
    <row r="558" spans="1:18" s="51" customFormat="1" ht="13.5" hidden="1" customHeight="1" outlineLevel="1" x14ac:dyDescent="0.3">
      <c r="A558" s="13">
        <f t="shared" si="70"/>
        <v>0</v>
      </c>
      <c r="B558" s="49"/>
      <c r="C558" s="49"/>
      <c r="D558" s="140" t="s">
        <v>2426</v>
      </c>
      <c r="E558" s="67" t="str">
        <f>VLOOKUP(D558,'03. Insumos'!A:D,2,0)</f>
        <v>Mão de obra - Assentamento Cerâmica Jatobá 5x5 Verde Etna</v>
      </c>
      <c r="F558" s="68" t="s">
        <v>2607</v>
      </c>
      <c r="G558" s="68" t="str">
        <f>VLOOKUP(D558,'03. Insumos'!A:F,3,0)</f>
        <v>m²</v>
      </c>
      <c r="H558" s="69">
        <v>1</v>
      </c>
      <c r="I558" s="141">
        <f>H556</f>
        <v>0</v>
      </c>
      <c r="J558" s="70">
        <f>IFERROR(IF(K558&lt;&gt;0,K558*$K$5,0),0)</f>
        <v>40</v>
      </c>
      <c r="K558" s="70">
        <f>IF(A558=0,VLOOKUP(D558,'03. Insumos'!A:F,4,0),"")</f>
        <v>40</v>
      </c>
      <c r="L558" s="70">
        <f>H558*J558*I558</f>
        <v>0</v>
      </c>
      <c r="M558" s="355">
        <f t="shared" ca="1" si="69"/>
        <v>0</v>
      </c>
      <c r="O558" s="148"/>
      <c r="R558" s="356"/>
    </row>
    <row r="559" spans="1:18" s="59" customFormat="1" ht="13.5" hidden="1" customHeight="1" outlineLevel="1" x14ac:dyDescent="0.3">
      <c r="A559" s="13">
        <f t="shared" si="70"/>
        <v>0</v>
      </c>
      <c r="B559" s="55"/>
      <c r="C559" s="55"/>
      <c r="D559" s="140" t="s">
        <v>2557</v>
      </c>
      <c r="E559" s="67" t="str">
        <f>VLOOKUP(D559,'03. Insumos'!A:D,2,0)</f>
        <v xml:space="preserve">Argamassa Pastilhas e Mosaicos Interno e Externo Branco 20kg Axton
</v>
      </c>
      <c r="F559" s="68" t="s">
        <v>2612</v>
      </c>
      <c r="G559" s="68" t="str">
        <f>VLOOKUP(D559,'03. Insumos'!A:F,3,0)</f>
        <v>Unid</v>
      </c>
      <c r="H559" s="69">
        <v>1</v>
      </c>
      <c r="I559" s="141">
        <f>ROUND((H556*8)/20,0)</f>
        <v>0</v>
      </c>
      <c r="J559" s="70">
        <f>IFERROR(IF(K559&lt;&gt;0,K559*$K$5,0),0)</f>
        <v>62</v>
      </c>
      <c r="K559" s="70">
        <f>IF(A559=0,VLOOKUP(D559,'03. Insumos'!A:F,4,0),"")</f>
        <v>62</v>
      </c>
      <c r="L559" s="70">
        <f>H559*J559*I559</f>
        <v>0</v>
      </c>
      <c r="M559" s="355">
        <f t="shared" ca="1" si="69"/>
        <v>0</v>
      </c>
      <c r="O559" s="148">
        <f>IF(I559&lt;&gt;0,I559*H559*K559,)</f>
        <v>0</v>
      </c>
      <c r="R559" s="356">
        <f>IF(J559&lt;&gt;0,J559/1.03-K559,0)</f>
        <v>-1.8058252427184485</v>
      </c>
    </row>
    <row r="560" spans="1:18" s="59" customFormat="1" ht="13.5" hidden="1" customHeight="1" outlineLevel="1" x14ac:dyDescent="0.3">
      <c r="A560" s="13">
        <f t="shared" si="70"/>
        <v>6</v>
      </c>
      <c r="B560" s="55"/>
      <c r="C560" s="55" t="s">
        <v>1513</v>
      </c>
      <c r="D560" s="55" t="s">
        <v>2443</v>
      </c>
      <c r="E560" s="55"/>
      <c r="F560" s="56"/>
      <c r="G560" s="56" t="s">
        <v>73</v>
      </c>
      <c r="H560" s="57"/>
      <c r="I560" s="57"/>
      <c r="J560" s="58"/>
      <c r="K560" s="58" t="str">
        <f>IF(A560=0,VLOOKUP(D560,'03. Insumos'!A:F,4,0),"")</f>
        <v/>
      </c>
      <c r="L560" s="58">
        <f>SUM(L561:L563)</f>
        <v>0</v>
      </c>
      <c r="M560" s="355">
        <f t="shared" ca="1" si="69"/>
        <v>0</v>
      </c>
      <c r="O560" s="148">
        <f>IF(I560&lt;&gt;0,I560*H560*K560,)</f>
        <v>0</v>
      </c>
      <c r="R560" s="356">
        <f>IF(J560&lt;&gt;0,J560/1.03-K560,0)</f>
        <v>0</v>
      </c>
    </row>
    <row r="561" spans="1:18" s="51" customFormat="1" ht="13.5" hidden="1" customHeight="1" outlineLevel="1" x14ac:dyDescent="0.3">
      <c r="A561" s="13">
        <f t="shared" si="70"/>
        <v>0</v>
      </c>
      <c r="B561" s="49"/>
      <c r="C561" s="49"/>
      <c r="D561" s="140" t="s">
        <v>2446</v>
      </c>
      <c r="E561" s="67" t="str">
        <f>VLOOKUP(D561,'03. Insumos'!A:D,2,0)</f>
        <v>Material - Fornecimento de pedra Hijau bruta - 10 x 10</v>
      </c>
      <c r="F561" s="68" t="s">
        <v>2613</v>
      </c>
      <c r="G561" s="68" t="str">
        <f>VLOOKUP(D561,'03. Insumos'!A:F,3,0)</f>
        <v>m²</v>
      </c>
      <c r="H561" s="69">
        <v>1</v>
      </c>
      <c r="I561" s="141">
        <f>H560*1.15</f>
        <v>0</v>
      </c>
      <c r="J561" s="70">
        <f>IFERROR(IF(K561&lt;&gt;0,K561*$K$5,0),0)</f>
        <v>198.58</v>
      </c>
      <c r="K561" s="70">
        <f>IF(A561=0,VLOOKUP(D561,'03. Insumos'!A:F,4,0),"")</f>
        <v>198.58</v>
      </c>
      <c r="L561" s="70">
        <f>H561*J561*I561</f>
        <v>0</v>
      </c>
      <c r="M561" s="355">
        <f t="shared" ca="1" si="69"/>
        <v>0</v>
      </c>
      <c r="O561" s="148">
        <f>IF(I561&lt;&gt;0,I561*H561*K561,)</f>
        <v>0</v>
      </c>
      <c r="R561" s="356">
        <f>IF(J561&lt;&gt;0,J561/1.03-K561,0)</f>
        <v>-5.7838834951456306</v>
      </c>
    </row>
    <row r="562" spans="1:18" s="51" customFormat="1" ht="13.5" hidden="1" customHeight="1" outlineLevel="1" x14ac:dyDescent="0.3">
      <c r="A562" s="13">
        <f t="shared" si="70"/>
        <v>0</v>
      </c>
      <c r="B562" s="49"/>
      <c r="C562" s="49"/>
      <c r="D562" s="140" t="s">
        <v>2447</v>
      </c>
      <c r="E562" s="67" t="str">
        <f>VLOOKUP(D562,'03. Insumos'!A:D,2,0)</f>
        <v>Mão de obra - Assentamento de de pedra Hijau bruta - 10 x 10</v>
      </c>
      <c r="F562" s="68" t="s">
        <v>2607</v>
      </c>
      <c r="G562" s="68" t="str">
        <f>VLOOKUP(D562,'03. Insumos'!A:F,3,0)</f>
        <v>m²</v>
      </c>
      <c r="H562" s="69">
        <v>1</v>
      </c>
      <c r="I562" s="141">
        <f>H560</f>
        <v>0</v>
      </c>
      <c r="J562" s="70">
        <f>IFERROR(IF(K562&lt;&gt;0,K562*$K$5,0),0)</f>
        <v>85</v>
      </c>
      <c r="K562" s="70">
        <f>IF(A562=0,VLOOKUP(D562,'03. Insumos'!A:F,4,0),"")</f>
        <v>85</v>
      </c>
      <c r="L562" s="70">
        <f>H562*J562*I562</f>
        <v>0</v>
      </c>
      <c r="M562" s="355">
        <f t="shared" ca="1" si="69"/>
        <v>0</v>
      </c>
      <c r="O562" s="148"/>
      <c r="R562" s="356"/>
    </row>
    <row r="563" spans="1:18" s="59" customFormat="1" ht="13.5" hidden="1" customHeight="1" outlineLevel="1" x14ac:dyDescent="0.3">
      <c r="A563" s="13">
        <f t="shared" si="70"/>
        <v>0</v>
      </c>
      <c r="B563" s="55"/>
      <c r="C563" s="55"/>
      <c r="D563" s="140" t="s">
        <v>2557</v>
      </c>
      <c r="E563" s="67" t="str">
        <f>VLOOKUP(D563,'03. Insumos'!A:D,2,0)</f>
        <v xml:space="preserve">Argamassa Pastilhas e Mosaicos Interno e Externo Branco 20kg Axton
</v>
      </c>
      <c r="F563" s="68" t="s">
        <v>2612</v>
      </c>
      <c r="G563" s="68" t="str">
        <f>VLOOKUP(D563,'03. Insumos'!A:F,3,0)</f>
        <v>Unid</v>
      </c>
      <c r="H563" s="69">
        <v>1</v>
      </c>
      <c r="I563" s="141">
        <f>ROUND((H560*8)/20,0)</f>
        <v>0</v>
      </c>
      <c r="J563" s="70">
        <f>IFERROR(IF(K563&lt;&gt;0,K563*$K$5,0),0)</f>
        <v>62</v>
      </c>
      <c r="K563" s="70">
        <f>IF(A563=0,VLOOKUP(D563,'03. Insumos'!A:F,4,0),"")</f>
        <v>62</v>
      </c>
      <c r="L563" s="70">
        <f>H563*J563*I563</f>
        <v>0</v>
      </c>
      <c r="M563" s="355">
        <f t="shared" ca="1" si="69"/>
        <v>0</v>
      </c>
      <c r="O563" s="148">
        <f>IF(I563&lt;&gt;0,I563*H563*K563,)</f>
        <v>0</v>
      </c>
      <c r="R563" s="356">
        <f>IF(J563&lt;&gt;0,J563/1.03-K563,0)</f>
        <v>-1.8058252427184485</v>
      </c>
    </row>
    <row r="564" spans="1:18" s="59" customFormat="1" ht="13.5" hidden="1" customHeight="1" outlineLevel="1" x14ac:dyDescent="0.3">
      <c r="A564" s="13">
        <f t="shared" si="70"/>
        <v>6</v>
      </c>
      <c r="B564" s="55"/>
      <c r="C564" s="55" t="s">
        <v>1513</v>
      </c>
      <c r="D564" s="55" t="s">
        <v>2406</v>
      </c>
      <c r="E564" s="55"/>
      <c r="F564" s="56"/>
      <c r="G564" s="56" t="s">
        <v>73</v>
      </c>
      <c r="H564" s="57"/>
      <c r="I564" s="57"/>
      <c r="J564" s="58"/>
      <c r="K564" s="58" t="str">
        <f>IF(A564=0,VLOOKUP(D564,'03. Insumos'!A:F,4,0),"")</f>
        <v/>
      </c>
      <c r="L564" s="58">
        <f>SUM(L565:L569)</f>
        <v>0</v>
      </c>
      <c r="M564" s="355">
        <f t="shared" ca="1" si="69"/>
        <v>0</v>
      </c>
      <c r="O564" s="148">
        <f>IF(I564&lt;&gt;0,I564*H564*K564,)</f>
        <v>0</v>
      </c>
      <c r="R564" s="356">
        <f>IF(J564&lt;&gt;0,J564/1.03-K564,0)</f>
        <v>0</v>
      </c>
    </row>
    <row r="565" spans="1:18" s="51" customFormat="1" ht="13.5" hidden="1" customHeight="1" outlineLevel="1" x14ac:dyDescent="0.3">
      <c r="A565" s="13">
        <f t="shared" si="70"/>
        <v>0</v>
      </c>
      <c r="B565" s="49"/>
      <c r="C565" s="49"/>
      <c r="D565" s="140" t="s">
        <v>2404</v>
      </c>
      <c r="E565" s="67" t="str">
        <f>VLOOKUP(D565,'03. Insumos'!A:D,2,0)</f>
        <v>Material - Fornecimento de Luminosita Statuario polido - 60 x 120</v>
      </c>
      <c r="F565" s="68" t="s">
        <v>2613</v>
      </c>
      <c r="G565" s="68" t="str">
        <f>VLOOKUP(D565,'03. Insumos'!A:F,3,0)</f>
        <v>m²</v>
      </c>
      <c r="H565" s="69">
        <v>1</v>
      </c>
      <c r="I565" s="141">
        <f>H564*1.15</f>
        <v>0</v>
      </c>
      <c r="J565" s="70">
        <f>IFERROR(IF(K565&lt;&gt;0,K565*$K$5,0),0)</f>
        <v>129</v>
      </c>
      <c r="K565" s="70">
        <f>IF(A565=0,VLOOKUP(D565,'03. Insumos'!A:F,4,0),"")</f>
        <v>129</v>
      </c>
      <c r="L565" s="70">
        <f>H565*J565*I565</f>
        <v>0</v>
      </c>
      <c r="M565" s="355">
        <f t="shared" ca="1" si="69"/>
        <v>0</v>
      </c>
      <c r="O565" s="148">
        <f>IF(I565&lt;&gt;0,I565*H565*K565,)</f>
        <v>0</v>
      </c>
      <c r="R565" s="356">
        <f>IF(J565&lt;&gt;0,J565/1.03-K565,0)</f>
        <v>-3.7572815533980588</v>
      </c>
    </row>
    <row r="566" spans="1:18" s="51" customFormat="1" ht="13.5" hidden="1" customHeight="1" outlineLevel="1" x14ac:dyDescent="0.3">
      <c r="A566" s="13">
        <f t="shared" si="70"/>
        <v>0</v>
      </c>
      <c r="B566" s="49"/>
      <c r="C566" s="49"/>
      <c r="D566" s="140" t="s">
        <v>2405</v>
      </c>
      <c r="E566" s="67" t="str">
        <f>VLOOKUP(D566,'03. Insumos'!A:D,2,0)</f>
        <v>Mão de obra - Assentamento até 60x60cm</v>
      </c>
      <c r="F566" s="68" t="s">
        <v>2607</v>
      </c>
      <c r="G566" s="68" t="str">
        <f>VLOOKUP(D566,'03. Insumos'!A:F,3,0)</f>
        <v>m²</v>
      </c>
      <c r="H566" s="69">
        <v>1</v>
      </c>
      <c r="I566" s="141">
        <f>H564</f>
        <v>0</v>
      </c>
      <c r="J566" s="70">
        <f>IFERROR(IF(K566&lt;&gt;0,K566*$K$5,0),0)</f>
        <v>35</v>
      </c>
      <c r="K566" s="70">
        <f>IF(A566=0,VLOOKUP(D566,'03. Insumos'!A:F,4,0),"")</f>
        <v>35</v>
      </c>
      <c r="L566" s="70">
        <f>H566*J566*I566</f>
        <v>0</v>
      </c>
      <c r="M566" s="355">
        <f t="shared" ca="1" si="69"/>
        <v>0</v>
      </c>
      <c r="O566" s="148"/>
      <c r="R566" s="356"/>
    </row>
    <row r="567" spans="1:18" s="59" customFormat="1" ht="13.5" hidden="1" customHeight="1" outlineLevel="1" x14ac:dyDescent="0.3">
      <c r="A567" s="13">
        <f t="shared" si="70"/>
        <v>0</v>
      </c>
      <c r="B567" s="55"/>
      <c r="C567" s="55"/>
      <c r="D567" s="140" t="s">
        <v>199</v>
      </c>
      <c r="E567" s="67" t="str">
        <f>VLOOKUP(D567,'03. Insumos'!A:D,2,0)</f>
        <v>Argamassa colante 20kg</v>
      </c>
      <c r="F567" s="68" t="s">
        <v>2612</v>
      </c>
      <c r="G567" s="68" t="str">
        <f>VLOOKUP(D567,'03. Insumos'!A:F,3,0)</f>
        <v>uni</v>
      </c>
      <c r="H567" s="69">
        <v>1</v>
      </c>
      <c r="I567" s="141">
        <f>ROUND((H564*8)/20,0)</f>
        <v>0</v>
      </c>
      <c r="J567" s="70">
        <f>IFERROR(IF(K567&lt;&gt;0,K567*$K$5,0),0)</f>
        <v>21.9</v>
      </c>
      <c r="K567" s="70">
        <f>IF(A567=0,VLOOKUP(D567,'03. Insumos'!A:F,4,0),"")</f>
        <v>21.9</v>
      </c>
      <c r="L567" s="70">
        <f>H567*J567*I567</f>
        <v>0</v>
      </c>
      <c r="M567" s="355">
        <f t="shared" ca="1" si="69"/>
        <v>0</v>
      </c>
      <c r="O567" s="148">
        <f>IF(I567&lt;&gt;0,I567*H567*K567,)</f>
        <v>0</v>
      </c>
      <c r="R567" s="356">
        <f>IF(J567&lt;&gt;0,J567/1.03-K567,0)</f>
        <v>-0.63786407766990294</v>
      </c>
    </row>
    <row r="568" spans="1:18" s="51" customFormat="1" ht="13.5" hidden="1" customHeight="1" outlineLevel="1" x14ac:dyDescent="0.3">
      <c r="A568" s="13">
        <f t="shared" si="70"/>
        <v>0</v>
      </c>
      <c r="B568" s="49"/>
      <c r="C568" s="49"/>
      <c r="D568" s="140" t="s">
        <v>772</v>
      </c>
      <c r="E568" s="67" t="str">
        <f>VLOOKUP(D568,'03. Insumos'!A:D,2,0)</f>
        <v xml:space="preserve">Rejunte acrílico Portokoll </v>
      </c>
      <c r="F568" s="68" t="s">
        <v>2612</v>
      </c>
      <c r="G568" s="68" t="str">
        <f>VLOOKUP(D568,'03. Insumos'!A:F,3,0)</f>
        <v>Kg</v>
      </c>
      <c r="H568" s="69">
        <v>1</v>
      </c>
      <c r="I568" s="141">
        <f>ROUNDUP((H564*0.35),0)</f>
        <v>0</v>
      </c>
      <c r="J568" s="70">
        <f>IFERROR(IF(K568&lt;&gt;0,K568*$K$5,0),0)</f>
        <v>19.87</v>
      </c>
      <c r="K568" s="70">
        <f>IF(A568=0,VLOOKUP(D568,'03. Insumos'!A:F,4,0),"")</f>
        <v>19.87</v>
      </c>
      <c r="L568" s="70">
        <f>H568*J568*I568</f>
        <v>0</v>
      </c>
      <c r="M568" s="355">
        <f t="shared" ca="1" si="69"/>
        <v>0</v>
      </c>
      <c r="O568" s="148">
        <f>IF(I568&lt;&gt;0,I568*H568*K568,)</f>
        <v>0</v>
      </c>
      <c r="R568" s="356">
        <f>IF(J568&lt;&gt;0,J568/1.03-K568,0)</f>
        <v>-0.57873786407767014</v>
      </c>
    </row>
    <row r="569" spans="1:18" s="51" customFormat="1" ht="13.5" hidden="1" customHeight="1" outlineLevel="1" x14ac:dyDescent="0.3">
      <c r="A569" s="13">
        <f t="shared" si="70"/>
        <v>0</v>
      </c>
      <c r="B569" s="49"/>
      <c r="C569" s="49"/>
      <c r="D569" s="140" t="s">
        <v>773</v>
      </c>
      <c r="E569" s="67" t="str">
        <f>VLOOKUP(D569,'03. Insumos'!A:D,2,0)</f>
        <v>Espaçador - Cunha</v>
      </c>
      <c r="F569" s="68" t="s">
        <v>2612</v>
      </c>
      <c r="G569" s="68" t="str">
        <f>VLOOKUP(D569,'03. Insumos'!A:F,3,0)</f>
        <v>50 pcs</v>
      </c>
      <c r="H569" s="69">
        <v>1</v>
      </c>
      <c r="I569" s="141">
        <f>ROUNDUP(((H564*5)/100),0)</f>
        <v>0</v>
      </c>
      <c r="J569" s="70">
        <f>IFERROR(IF(K569&lt;&gt;0,K569*$K$5,0),0)</f>
        <v>22.17</v>
      </c>
      <c r="K569" s="70">
        <f>IF(A569=0,VLOOKUP(D569,'03. Insumos'!A:F,4,0),"")</f>
        <v>22.17</v>
      </c>
      <c r="L569" s="70">
        <f>H569*J569*I569</f>
        <v>0</v>
      </c>
      <c r="M569" s="355">
        <f t="shared" ca="1" si="69"/>
        <v>0</v>
      </c>
      <c r="O569" s="148">
        <f>IF(I569&lt;&gt;0,I569*H569*K569,)</f>
        <v>0</v>
      </c>
      <c r="R569" s="356">
        <f>IF(J569&lt;&gt;0,J569/1.03-K569,0)</f>
        <v>-0.64572815533980688</v>
      </c>
    </row>
    <row r="570" spans="1:18" s="59" customFormat="1" ht="13.5" hidden="1" customHeight="1" outlineLevel="1" x14ac:dyDescent="0.3">
      <c r="A570" s="13">
        <f t="shared" si="70"/>
        <v>6</v>
      </c>
      <c r="B570" s="55"/>
      <c r="C570" s="55" t="s">
        <v>1513</v>
      </c>
      <c r="D570" s="55" t="s">
        <v>2448</v>
      </c>
      <c r="E570" s="55"/>
      <c r="F570" s="56"/>
      <c r="G570" s="56" t="s">
        <v>73</v>
      </c>
      <c r="H570" s="57"/>
      <c r="I570" s="57"/>
      <c r="J570" s="58"/>
      <c r="K570" s="58" t="str">
        <f>IF(A570=0,VLOOKUP(D570,'03. Insumos'!A:F,4,0),"")</f>
        <v/>
      </c>
      <c r="L570" s="58">
        <f>SUM(L571:L575)</f>
        <v>0</v>
      </c>
      <c r="M570" s="355">
        <f t="shared" ca="1" si="69"/>
        <v>0</v>
      </c>
      <c r="O570" s="148">
        <f>IF(I570&lt;&gt;0,I570*H570*K570,)</f>
        <v>0</v>
      </c>
      <c r="R570" s="356">
        <f>IF(J570&lt;&gt;0,J570/1.03-K570,0)</f>
        <v>0</v>
      </c>
    </row>
    <row r="571" spans="1:18" s="51" customFormat="1" ht="13.5" hidden="1" customHeight="1" outlineLevel="1" x14ac:dyDescent="0.3">
      <c r="A571" s="13">
        <f t="shared" si="70"/>
        <v>0</v>
      </c>
      <c r="B571" s="49"/>
      <c r="C571" s="49"/>
      <c r="D571" s="140" t="s">
        <v>2449</v>
      </c>
      <c r="E571" s="67" t="str">
        <f>VLOOKUP(D571,'03. Insumos'!A:D,2,0)</f>
        <v>Material - Fornecimento de LM Koronis Ext Wh pol - 120 x 120</v>
      </c>
      <c r="F571" s="68" t="s">
        <v>2613</v>
      </c>
      <c r="G571" s="68" t="str">
        <f>VLOOKUP(D571,'03. Insumos'!A:F,3,0)</f>
        <v>m²</v>
      </c>
      <c r="H571" s="69">
        <v>1</v>
      </c>
      <c r="I571" s="141">
        <f>H570*1.15</f>
        <v>0</v>
      </c>
      <c r="J571" s="70">
        <f>IFERROR(IF(K571&lt;&gt;0,K571*$K$5,0),0)</f>
        <v>242.27</v>
      </c>
      <c r="K571" s="70">
        <f>IF(A571=0,VLOOKUP(D571,'03. Insumos'!A:F,4,0),"")</f>
        <v>242.27</v>
      </c>
      <c r="L571" s="70">
        <f>H571*J571*I571</f>
        <v>0</v>
      </c>
      <c r="M571" s="355">
        <f t="shared" ca="1" si="69"/>
        <v>0</v>
      </c>
      <c r="O571" s="148">
        <f>IF(I571&lt;&gt;0,I571*H571*K571,)</f>
        <v>0</v>
      </c>
      <c r="R571" s="356">
        <f>IF(J571&lt;&gt;0,J571/1.03-K571,0)</f>
        <v>-7.0564077669903043</v>
      </c>
    </row>
    <row r="572" spans="1:18" s="51" customFormat="1" ht="13.5" hidden="1" customHeight="1" outlineLevel="1" x14ac:dyDescent="0.3">
      <c r="A572" s="13">
        <f t="shared" si="70"/>
        <v>0</v>
      </c>
      <c r="B572" s="49"/>
      <c r="C572" s="49"/>
      <c r="D572" s="140" t="s">
        <v>2450</v>
      </c>
      <c r="E572" s="67" t="str">
        <f>VLOOKUP(D572,'03. Insumos'!A:D,2,0)</f>
        <v>Mão de obra - Assentamento de LM Koronis Ext Wh pol - 120 x 120</v>
      </c>
      <c r="F572" s="68" t="s">
        <v>2607</v>
      </c>
      <c r="G572" s="68" t="str">
        <f>VLOOKUP(D572,'03. Insumos'!A:F,3,0)</f>
        <v>m²</v>
      </c>
      <c r="H572" s="69">
        <v>1</v>
      </c>
      <c r="I572" s="141">
        <f>H570</f>
        <v>0</v>
      </c>
      <c r="J572" s="70">
        <f>IFERROR(IF(K572&lt;&gt;0,K572*$K$5,0),0)</f>
        <v>54.55</v>
      </c>
      <c r="K572" s="70">
        <f>IF(A572=0,VLOOKUP(D572,'03. Insumos'!A:F,4,0),"")</f>
        <v>54.55</v>
      </c>
      <c r="L572" s="70">
        <f>H572*J572*I572</f>
        <v>0</v>
      </c>
      <c r="M572" s="355">
        <f t="shared" ca="1" si="69"/>
        <v>0</v>
      </c>
      <c r="O572" s="148"/>
      <c r="R572" s="356"/>
    </row>
    <row r="573" spans="1:18" s="59" customFormat="1" ht="13.5" hidden="1" customHeight="1" outlineLevel="1" x14ac:dyDescent="0.3">
      <c r="A573" s="13">
        <f t="shared" si="70"/>
        <v>0</v>
      </c>
      <c r="B573" s="55"/>
      <c r="C573" s="55"/>
      <c r="D573" s="140" t="s">
        <v>199</v>
      </c>
      <c r="E573" s="67" t="str">
        <f>VLOOKUP(D573,'03. Insumos'!A:D,2,0)</f>
        <v>Argamassa colante 20kg</v>
      </c>
      <c r="F573" s="68" t="s">
        <v>2612</v>
      </c>
      <c r="G573" s="68" t="str">
        <f>VLOOKUP(D573,'03. Insumos'!A:F,3,0)</f>
        <v>uni</v>
      </c>
      <c r="H573" s="69">
        <v>1</v>
      </c>
      <c r="I573" s="141">
        <f>ROUND((H570*8)/20,0)</f>
        <v>0</v>
      </c>
      <c r="J573" s="70">
        <f>IFERROR(IF(K573&lt;&gt;0,K573*$K$5,0),0)</f>
        <v>21.9</v>
      </c>
      <c r="K573" s="70">
        <f>IF(A573=0,VLOOKUP(D573,'03. Insumos'!A:F,4,0),"")</f>
        <v>21.9</v>
      </c>
      <c r="L573" s="70">
        <f>H573*J573*I573</f>
        <v>0</v>
      </c>
      <c r="M573" s="355">
        <f t="shared" ca="1" si="69"/>
        <v>0</v>
      </c>
      <c r="O573" s="148">
        <f>IF(I573&lt;&gt;0,I573*H573*K573,)</f>
        <v>0</v>
      </c>
      <c r="R573" s="356">
        <f>IF(J573&lt;&gt;0,J573/1.03-K573,0)</f>
        <v>-0.63786407766990294</v>
      </c>
    </row>
    <row r="574" spans="1:18" s="51" customFormat="1" ht="13.5" hidden="1" customHeight="1" outlineLevel="1" x14ac:dyDescent="0.3">
      <c r="A574" s="13">
        <f t="shared" si="70"/>
        <v>0</v>
      </c>
      <c r="B574" s="49"/>
      <c r="C574" s="49"/>
      <c r="D574" s="140" t="s">
        <v>772</v>
      </c>
      <c r="E574" s="67" t="str">
        <f>VLOOKUP(D574,'03. Insumos'!A:D,2,0)</f>
        <v xml:space="preserve">Rejunte acrílico Portokoll </v>
      </c>
      <c r="F574" s="68" t="s">
        <v>2612</v>
      </c>
      <c r="G574" s="68" t="str">
        <f>VLOOKUP(D574,'03. Insumos'!A:F,3,0)</f>
        <v>Kg</v>
      </c>
      <c r="H574" s="69">
        <v>1</v>
      </c>
      <c r="I574" s="141"/>
      <c r="J574" s="70">
        <f>IFERROR(IF(K574&lt;&gt;0,K574*$K$5,0),0)</f>
        <v>19.87</v>
      </c>
      <c r="K574" s="70">
        <f>IF(A574=0,VLOOKUP(D574,'03. Insumos'!A:F,4,0),"")</f>
        <v>19.87</v>
      </c>
      <c r="L574" s="70">
        <f>H574*J574*I574</f>
        <v>0</v>
      </c>
      <c r="M574" s="355">
        <f t="shared" ca="1" si="69"/>
        <v>0</v>
      </c>
      <c r="O574" s="148">
        <f>IF(I574&lt;&gt;0,I574*H574*K574,)</f>
        <v>0</v>
      </c>
      <c r="R574" s="356">
        <f>IF(J574&lt;&gt;0,J574/1.03-K574,0)</f>
        <v>-0.57873786407767014</v>
      </c>
    </row>
    <row r="575" spans="1:18" s="51" customFormat="1" ht="13.5" hidden="1" customHeight="1" outlineLevel="1" x14ac:dyDescent="0.3">
      <c r="A575" s="13">
        <f t="shared" si="70"/>
        <v>0</v>
      </c>
      <c r="B575" s="49"/>
      <c r="C575" s="49"/>
      <c r="D575" s="140" t="s">
        <v>773</v>
      </c>
      <c r="E575" s="67" t="str">
        <f>VLOOKUP(D575,'03. Insumos'!A:D,2,0)</f>
        <v>Espaçador - Cunha</v>
      </c>
      <c r="F575" s="68" t="s">
        <v>2612</v>
      </c>
      <c r="G575" s="68" t="str">
        <f>VLOOKUP(D575,'03. Insumos'!A:F,3,0)</f>
        <v>50 pcs</v>
      </c>
      <c r="H575" s="69">
        <v>1</v>
      </c>
      <c r="I575" s="141">
        <f>ROUNDUP(((H570*5)/100),0)</f>
        <v>0</v>
      </c>
      <c r="J575" s="70">
        <f>IFERROR(IF(K575&lt;&gt;0,K575*$K$5,0),0)</f>
        <v>22.17</v>
      </c>
      <c r="K575" s="70">
        <f>IF(A575=0,VLOOKUP(D575,'03. Insumos'!A:F,4,0),"")</f>
        <v>22.17</v>
      </c>
      <c r="L575" s="70">
        <f>H575*J575*I575</f>
        <v>0</v>
      </c>
      <c r="M575" s="355">
        <f t="shared" ca="1" si="69"/>
        <v>0</v>
      </c>
      <c r="O575" s="148">
        <f>IF(I575&lt;&gt;0,I575*H575*K575,)</f>
        <v>0</v>
      </c>
      <c r="R575" s="356">
        <f>IF(J575&lt;&gt;0,J575/1.03-K575,0)</f>
        <v>-0.64572815533980688</v>
      </c>
    </row>
    <row r="576" spans="1:18" s="59" customFormat="1" ht="13.5" hidden="1" customHeight="1" outlineLevel="1" x14ac:dyDescent="0.3">
      <c r="A576" s="13">
        <f t="shared" si="70"/>
        <v>6</v>
      </c>
      <c r="B576" s="55"/>
      <c r="C576" s="55" t="s">
        <v>1513</v>
      </c>
      <c r="D576" s="55" t="s">
        <v>2453</v>
      </c>
      <c r="E576" s="55"/>
      <c r="F576" s="56"/>
      <c r="G576" s="56" t="s">
        <v>73</v>
      </c>
      <c r="H576" s="57"/>
      <c r="I576" s="57"/>
      <c r="J576" s="58"/>
      <c r="K576" s="58" t="str">
        <f>IF(A576=0,VLOOKUP(D576,'03. Insumos'!A:F,4,0),"")</f>
        <v/>
      </c>
      <c r="L576" s="58">
        <f>SUM(L577:L581)</f>
        <v>0</v>
      </c>
      <c r="M576" s="355">
        <f t="shared" ca="1" si="69"/>
        <v>0</v>
      </c>
      <c r="O576" s="148">
        <f>IF(I576&lt;&gt;0,I576*H576*K576,)</f>
        <v>0</v>
      </c>
      <c r="R576" s="356">
        <f>IF(J576&lt;&gt;0,J576/1.03-K576,0)</f>
        <v>0</v>
      </c>
    </row>
    <row r="577" spans="1:18" s="51" customFormat="1" ht="13.5" hidden="1" customHeight="1" outlineLevel="1" x14ac:dyDescent="0.3">
      <c r="A577" s="13">
        <f t="shared" si="70"/>
        <v>0</v>
      </c>
      <c r="B577" s="49"/>
      <c r="C577" s="49"/>
      <c r="D577" s="140" t="s">
        <v>2465</v>
      </c>
      <c r="E577" s="67" t="str">
        <f>VLOOKUP(D577,'03. Insumos'!A:D,2,0)</f>
        <v>Material - Fornecimento de piso intertravado</v>
      </c>
      <c r="F577" s="68" t="s">
        <v>2613</v>
      </c>
      <c r="G577" s="68" t="str">
        <f>VLOOKUP(D577,'03. Insumos'!A:F,3,0)</f>
        <v>m²</v>
      </c>
      <c r="H577" s="69">
        <v>1</v>
      </c>
      <c r="I577" s="141">
        <f>H576*1.1</f>
        <v>0</v>
      </c>
      <c r="J577" s="70">
        <f>IFERROR(IF(K577&lt;&gt;0,K577*$K$5,0),0)</f>
        <v>33.5</v>
      </c>
      <c r="K577" s="70">
        <f>IF(A577=0,VLOOKUP(D577,'03. Insumos'!A:F,4,0),"")</f>
        <v>33.5</v>
      </c>
      <c r="L577" s="70">
        <f>H577*J577*I577</f>
        <v>0</v>
      </c>
      <c r="M577" s="355">
        <f t="shared" ca="1" si="69"/>
        <v>0</v>
      </c>
      <c r="O577" s="148">
        <f>IF(I577&lt;&gt;0,I577*H577*K577,)</f>
        <v>0</v>
      </c>
      <c r="R577" s="356">
        <f>IF(J577&lt;&gt;0,J577/1.03-K577,0)</f>
        <v>-0.97572815533980872</v>
      </c>
    </row>
    <row r="578" spans="1:18" s="51" customFormat="1" ht="13.5" hidden="1" customHeight="1" outlineLevel="1" x14ac:dyDescent="0.3">
      <c r="A578" s="13">
        <f t="shared" si="70"/>
        <v>0</v>
      </c>
      <c r="B578" s="49"/>
      <c r="C578" s="49"/>
      <c r="D578" s="140" t="s">
        <v>2554</v>
      </c>
      <c r="E578" s="67" t="str">
        <f>VLOOKUP(D578,'03. Insumos'!A:D,2,0)</f>
        <v>Mão de obra - Assentamento de piso intertravado</v>
      </c>
      <c r="F578" s="68" t="s">
        <v>2607</v>
      </c>
      <c r="G578" s="68" t="str">
        <f>VLOOKUP(D578,'03. Insumos'!A:F,3,0)</f>
        <v>m²</v>
      </c>
      <c r="H578" s="69">
        <v>1</v>
      </c>
      <c r="I578" s="141">
        <f>H576</f>
        <v>0</v>
      </c>
      <c r="J578" s="70">
        <f>IFERROR(IF(K578&lt;&gt;0,K578*$K$5,0),0)</f>
        <v>59</v>
      </c>
      <c r="K578" s="70">
        <f>IF(A578=0,VLOOKUP(D578,'03. Insumos'!A:F,4,0),"")</f>
        <v>59</v>
      </c>
      <c r="L578" s="70">
        <f>H578*J578*I578</f>
        <v>0</v>
      </c>
      <c r="M578" s="355">
        <f t="shared" ca="1" si="69"/>
        <v>0</v>
      </c>
      <c r="O578" s="148"/>
      <c r="R578" s="356"/>
    </row>
    <row r="579" spans="1:18" s="51" customFormat="1" ht="13.5" hidden="1" customHeight="1" outlineLevel="1" x14ac:dyDescent="0.3">
      <c r="A579" s="13">
        <f t="shared" si="70"/>
        <v>0</v>
      </c>
      <c r="B579" s="49"/>
      <c r="C579" s="49"/>
      <c r="D579" s="140" t="s">
        <v>481</v>
      </c>
      <c r="E579" s="67" t="str">
        <f>VLOOKUP(D579,'03. Insumos'!A:D,2,0)</f>
        <v xml:space="preserve">Base de bica corrida </v>
      </c>
      <c r="F579" s="68" t="s">
        <v>2612</v>
      </c>
      <c r="G579" s="68" t="str">
        <f>VLOOKUP(D579,'03. Insumos'!A:F,3,0)</f>
        <v>m³</v>
      </c>
      <c r="H579" s="69">
        <v>1</v>
      </c>
      <c r="I579" s="141">
        <f>H576*0.1</f>
        <v>0</v>
      </c>
      <c r="J579" s="70">
        <f>IFERROR(IF(K579&lt;&gt;0,K579*$K$5,0),0)</f>
        <v>58</v>
      </c>
      <c r="K579" s="70">
        <f>IF(A579=0,VLOOKUP(D579,'03. Insumos'!A:F,4,0),"")</f>
        <v>58</v>
      </c>
      <c r="L579" s="70">
        <f>H579*J579*I579</f>
        <v>0</v>
      </c>
      <c r="M579" s="355">
        <f t="shared" ca="1" si="69"/>
        <v>0</v>
      </c>
      <c r="O579" s="148"/>
      <c r="R579" s="356"/>
    </row>
    <row r="580" spans="1:18" s="59" customFormat="1" ht="13.5" hidden="1" customHeight="1" outlineLevel="1" x14ac:dyDescent="0.3">
      <c r="A580" s="13">
        <f t="shared" si="70"/>
        <v>0</v>
      </c>
      <c r="B580" s="55"/>
      <c r="C580" s="55"/>
      <c r="D580" s="140" t="s">
        <v>2466</v>
      </c>
      <c r="E580" s="67" t="str">
        <f>VLOOKUP(D580,'03. Insumos'!A:D,2,0)</f>
        <v>Pó de pedra</v>
      </c>
      <c r="F580" s="68" t="s">
        <v>2612</v>
      </c>
      <c r="G580" s="68" t="str">
        <f>VLOOKUP(D580,'03. Insumos'!A:F,3,0)</f>
        <v>m³</v>
      </c>
      <c r="H580" s="69">
        <v>1</v>
      </c>
      <c r="I580" s="141">
        <f>H576*0.07</f>
        <v>0</v>
      </c>
      <c r="J580" s="70">
        <f>IFERROR(IF(K580&lt;&gt;0,K580*$K$5,0),0)</f>
        <v>48.15</v>
      </c>
      <c r="K580" s="70">
        <f>IF(A580=0,VLOOKUP(D580,'03. Insumos'!A:F,4,0),"")</f>
        <v>48.15</v>
      </c>
      <c r="L580" s="70">
        <f>H580*J580*I580</f>
        <v>0</v>
      </c>
      <c r="M580" s="355">
        <f t="shared" ca="1" si="69"/>
        <v>0</v>
      </c>
      <c r="O580" s="148">
        <f>IF(I580&lt;&gt;0,I580*H580*K580,)</f>
        <v>0</v>
      </c>
      <c r="R580" s="356">
        <f>IF(J580&lt;&gt;0,J580/1.03-K580,0)</f>
        <v>-1.4024271844660205</v>
      </c>
    </row>
    <row r="581" spans="1:18" s="59" customFormat="1" ht="13.5" hidden="1" customHeight="1" outlineLevel="1" x14ac:dyDescent="0.3">
      <c r="A581" s="13">
        <f t="shared" si="70"/>
        <v>0</v>
      </c>
      <c r="B581" s="55"/>
      <c r="C581" s="55"/>
      <c r="D581" s="140" t="s">
        <v>2470</v>
      </c>
      <c r="E581" s="67" t="str">
        <f>VLOOKUP(D581,'03. Insumos'!A:D,2,0)</f>
        <v>Tento pré moldado concreto</v>
      </c>
      <c r="F581" s="68" t="s">
        <v>2613</v>
      </c>
      <c r="G581" s="68" t="str">
        <f>VLOOKUP(D581,'03. Insumos'!A:F,3,0)</f>
        <v>m</v>
      </c>
      <c r="H581" s="69">
        <v>1</v>
      </c>
      <c r="I581" s="141"/>
      <c r="J581" s="70">
        <f>IFERROR(IF(K581&lt;&gt;0,K581*$K$5,0),0)</f>
        <v>13</v>
      </c>
      <c r="K581" s="70">
        <f>IF(A581=0,VLOOKUP(D581,'03. Insumos'!A:F,4,0),"")</f>
        <v>13</v>
      </c>
      <c r="L581" s="70">
        <f>H581*J581*I581</f>
        <v>0</v>
      </c>
      <c r="M581" s="355">
        <f t="shared" ca="1" si="69"/>
        <v>0</v>
      </c>
      <c r="O581" s="148"/>
      <c r="R581" s="356"/>
    </row>
    <row r="582" spans="1:18" s="51" customFormat="1" ht="13.5" hidden="1" customHeight="1" outlineLevel="1" x14ac:dyDescent="0.3">
      <c r="A582" s="13">
        <f t="shared" si="70"/>
        <v>6</v>
      </c>
      <c r="B582" s="49"/>
      <c r="C582" s="55" t="s">
        <v>1512</v>
      </c>
      <c r="D582" s="55" t="s">
        <v>2218</v>
      </c>
      <c r="E582" s="67"/>
      <c r="F582" s="68"/>
      <c r="G582" s="56" t="s">
        <v>73</v>
      </c>
      <c r="H582" s="57"/>
      <c r="I582" s="141"/>
      <c r="J582" s="70"/>
      <c r="K582" s="70"/>
      <c r="L582" s="58">
        <f>SUM(L583:L584)</f>
        <v>0</v>
      </c>
      <c r="M582" s="355">
        <f t="shared" ca="1" si="69"/>
        <v>0</v>
      </c>
      <c r="O582" s="148"/>
      <c r="R582" s="356"/>
    </row>
    <row r="583" spans="1:18" s="51" customFormat="1" ht="13.5" hidden="1" customHeight="1" outlineLevel="1" x14ac:dyDescent="0.3">
      <c r="A583" s="13">
        <f t="shared" si="70"/>
        <v>0</v>
      </c>
      <c r="B583" s="49"/>
      <c r="C583" s="49"/>
      <c r="D583" s="140" t="s">
        <v>2221</v>
      </c>
      <c r="E583" s="67" t="str">
        <f>VLOOKUP(D583,'03. Insumos'!A:D,2,0)</f>
        <v>Rodapé Madeirado Reserva Natural 20 x 120</v>
      </c>
      <c r="F583" s="68"/>
      <c r="G583" s="68" t="str">
        <f>VLOOKUP(D583,'03. Insumos'!A:F,3,0)</f>
        <v>m²</v>
      </c>
      <c r="H583" s="69">
        <v>1</v>
      </c>
      <c r="I583" s="141">
        <f>H582*1.15</f>
        <v>0</v>
      </c>
      <c r="J583" s="70">
        <f>IFERROR(IF(K583&lt;&gt;0,K583*$K$5,0),0)</f>
        <v>0</v>
      </c>
      <c r="K583" s="70">
        <f>IF(A583=0,VLOOKUP(D583,'03. Insumos'!A:F,4,0),"")</f>
        <v>0</v>
      </c>
      <c r="L583" s="70">
        <f>H583*J583*I583</f>
        <v>0</v>
      </c>
      <c r="M583" s="355">
        <f t="shared" ca="1" si="69"/>
        <v>0</v>
      </c>
      <c r="O583" s="148"/>
      <c r="R583" s="356"/>
    </row>
    <row r="584" spans="1:18" s="51" customFormat="1" ht="13.5" hidden="1" customHeight="1" outlineLevel="1" x14ac:dyDescent="0.3">
      <c r="A584" s="13">
        <f t="shared" si="70"/>
        <v>0</v>
      </c>
      <c r="B584" s="49"/>
      <c r="C584" s="49"/>
      <c r="D584" s="140" t="s">
        <v>199</v>
      </c>
      <c r="E584" s="67" t="str">
        <f>VLOOKUP(D584,'03. Insumos'!A:D,2,0)</f>
        <v>Argamassa colante 20kg</v>
      </c>
      <c r="F584" s="68"/>
      <c r="G584" s="68" t="str">
        <f>VLOOKUP(D584,'03. Insumos'!A:F,3,0)</f>
        <v>uni</v>
      </c>
      <c r="H584" s="69">
        <v>1</v>
      </c>
      <c r="I584" s="141">
        <f>ROUND((H582*8)/20,0)</f>
        <v>0</v>
      </c>
      <c r="J584" s="70">
        <f>IFERROR(IF(K584&lt;&gt;0,K584*$K$5,0),0)</f>
        <v>21.9</v>
      </c>
      <c r="K584" s="70">
        <f>IF(A584=0,VLOOKUP(D584,'03. Insumos'!A:F,4,0),"")</f>
        <v>21.9</v>
      </c>
      <c r="L584" s="70">
        <f>H584*J584*I584</f>
        <v>0</v>
      </c>
      <c r="M584" s="355">
        <f t="shared" ca="1" si="69"/>
        <v>0</v>
      </c>
      <c r="O584" s="148"/>
      <c r="R584" s="356"/>
    </row>
    <row r="585" spans="1:18" s="51" customFormat="1" ht="13.5" hidden="1" customHeight="1" outlineLevel="1" x14ac:dyDescent="0.3">
      <c r="A585" s="13">
        <f t="shared" si="70"/>
        <v>6</v>
      </c>
      <c r="B585" s="49"/>
      <c r="C585" s="55" t="s">
        <v>1513</v>
      </c>
      <c r="D585" s="55" t="s">
        <v>2219</v>
      </c>
      <c r="E585" s="67"/>
      <c r="F585" s="68"/>
      <c r="G585" s="56" t="s">
        <v>73</v>
      </c>
      <c r="H585" s="57"/>
      <c r="I585" s="141"/>
      <c r="J585" s="70"/>
      <c r="K585" s="70"/>
      <c r="L585" s="58">
        <f>SUM(L586:L587)</f>
        <v>0</v>
      </c>
      <c r="M585" s="355">
        <f t="shared" ca="1" si="69"/>
        <v>0</v>
      </c>
      <c r="O585" s="148"/>
      <c r="R585" s="356"/>
    </row>
    <row r="586" spans="1:18" s="51" customFormat="1" ht="13.5" hidden="1" customHeight="1" outlineLevel="1" x14ac:dyDescent="0.3">
      <c r="A586" s="13">
        <f t="shared" si="70"/>
        <v>0</v>
      </c>
      <c r="B586" s="49"/>
      <c r="C586" s="49"/>
      <c r="D586" s="140" t="s">
        <v>2222</v>
      </c>
      <c r="E586" s="67" t="str">
        <f>VLOOKUP(D586,'03. Insumos'!A:D,2,0)</f>
        <v>Rodapé Manhatan Offwhite Estato Delarte 84 x 84</v>
      </c>
      <c r="F586" s="68"/>
      <c r="G586" s="68" t="str">
        <f>VLOOKUP(D586,'03. Insumos'!A:F,3,0)</f>
        <v>m²</v>
      </c>
      <c r="H586" s="69">
        <v>1</v>
      </c>
      <c r="I586" s="141">
        <f>H585*1.15</f>
        <v>0</v>
      </c>
      <c r="J586" s="70">
        <f>IFERROR(IF(K586&lt;&gt;0,K586*$K$5,0),0)</f>
        <v>0</v>
      </c>
      <c r="K586" s="70">
        <f>IF(A586=0,VLOOKUP(D586,'03. Insumos'!A:F,4,0),"")</f>
        <v>0</v>
      </c>
      <c r="L586" s="70">
        <f>H586*J586*I586</f>
        <v>0</v>
      </c>
      <c r="M586" s="355">
        <f t="shared" ca="1" si="69"/>
        <v>0</v>
      </c>
      <c r="O586" s="148"/>
      <c r="R586" s="356"/>
    </row>
    <row r="587" spans="1:18" s="51" customFormat="1" ht="13.5" hidden="1" customHeight="1" outlineLevel="1" x14ac:dyDescent="0.3">
      <c r="A587" s="13">
        <f t="shared" si="70"/>
        <v>0</v>
      </c>
      <c r="B587" s="49"/>
      <c r="C587" s="49"/>
      <c r="D587" s="140" t="s">
        <v>199</v>
      </c>
      <c r="E587" s="67" t="str">
        <f>VLOOKUP(D587,'03. Insumos'!A:D,2,0)</f>
        <v>Argamassa colante 20kg</v>
      </c>
      <c r="F587" s="68"/>
      <c r="G587" s="68" t="str">
        <f>VLOOKUP(D587,'03. Insumos'!A:F,3,0)</f>
        <v>uni</v>
      </c>
      <c r="H587" s="69">
        <v>1</v>
      </c>
      <c r="I587" s="141">
        <f>ROUND((H585*8)/20,0)</f>
        <v>0</v>
      </c>
      <c r="J587" s="70">
        <f>IFERROR(IF(K587&lt;&gt;0,K587*$K$5,0),0)</f>
        <v>21.9</v>
      </c>
      <c r="K587" s="70">
        <f>IF(A587=0,VLOOKUP(D587,'03. Insumos'!A:F,4,0),"")</f>
        <v>21.9</v>
      </c>
      <c r="L587" s="70">
        <f>H587*J587*I587</f>
        <v>0</v>
      </c>
      <c r="M587" s="355">
        <f t="shared" ca="1" si="69"/>
        <v>0</v>
      </c>
      <c r="O587" s="148"/>
      <c r="R587" s="356"/>
    </row>
    <row r="588" spans="1:18" s="51" customFormat="1" ht="13.5" customHeight="1" outlineLevel="1" x14ac:dyDescent="0.3">
      <c r="A588" s="290">
        <f t="shared" si="70"/>
        <v>4</v>
      </c>
      <c r="B588" s="45"/>
      <c r="C588" s="45" t="s">
        <v>2747</v>
      </c>
      <c r="D588" s="45" t="s">
        <v>2756</v>
      </c>
      <c r="E588" s="347"/>
      <c r="F588" s="327"/>
      <c r="G588" s="327"/>
      <c r="H588" s="328"/>
      <c r="I588" s="61"/>
      <c r="J588" s="335"/>
      <c r="K588" s="335"/>
      <c r="L588" s="335">
        <f>SUMIF(A589:A591,6,L589:L591)</f>
        <v>7787.0159999999996</v>
      </c>
      <c r="M588" s="153">
        <f t="shared" ca="1" si="69"/>
        <v>2.9349236820556859E-4</v>
      </c>
      <c r="O588" s="148"/>
      <c r="R588" s="12"/>
    </row>
    <row r="589" spans="1:18" s="59" customFormat="1" ht="13.5" customHeight="1" outlineLevel="1" x14ac:dyDescent="0.3">
      <c r="A589" s="290">
        <f>LEN(C589)</f>
        <v>6</v>
      </c>
      <c r="B589" s="55"/>
      <c r="C589" s="55" t="s">
        <v>2757</v>
      </c>
      <c r="D589" s="4" t="s">
        <v>2843</v>
      </c>
      <c r="E589" s="55"/>
      <c r="F589" s="56"/>
      <c r="G589" s="56" t="s">
        <v>74</v>
      </c>
      <c r="H589" s="57">
        <v>159.57</v>
      </c>
      <c r="I589" s="57"/>
      <c r="J589" s="58"/>
      <c r="K589" s="58" t="str">
        <f>IF(A589=0,VLOOKUP(D589,'03. Insumos'!A:F,4,0),"")</f>
        <v/>
      </c>
      <c r="L589" s="58">
        <f>SUM(L590:L591)</f>
        <v>7787.0159999999996</v>
      </c>
      <c r="M589" s="153">
        <f t="shared" ca="1" si="69"/>
        <v>2.9349236820556859E-4</v>
      </c>
      <c r="O589" s="148">
        <f>IF(I589&lt;&gt;0,I589*H589*K589,)</f>
        <v>0</v>
      </c>
      <c r="R589" s="12">
        <f>IF(J589&lt;&gt;0,J589/1.03-K589,0)</f>
        <v>0</v>
      </c>
    </row>
    <row r="590" spans="1:18" s="51" customFormat="1" ht="13.5" customHeight="1" outlineLevel="1" x14ac:dyDescent="0.3">
      <c r="A590" s="290">
        <f>LEN(C590)</f>
        <v>0</v>
      </c>
      <c r="B590" s="49"/>
      <c r="C590" s="49"/>
      <c r="D590" s="140" t="s">
        <v>2776</v>
      </c>
      <c r="E590" s="67" t="str">
        <f>VLOOKUP(D590,'03. Insumos'!A:D,2,0)</f>
        <v>Material - Rodapé Poliestireno 10cm - Santa Luzia</v>
      </c>
      <c r="F590" s="68" t="s">
        <v>2613</v>
      </c>
      <c r="G590" s="68" t="str">
        <f>VLOOKUP(D590,'03. Insumos'!A:F,3,0)</f>
        <v>m</v>
      </c>
      <c r="H590" s="69">
        <v>1</v>
      </c>
      <c r="I590" s="141">
        <f>H589*1.15</f>
        <v>183.50549999999998</v>
      </c>
      <c r="J590" s="70">
        <f>IFERROR(IF(K590&lt;&gt;0,K590*$K$5,0),0)</f>
        <v>32</v>
      </c>
      <c r="K590" s="70">
        <f>IF(A590=0,VLOOKUP(D590,'03. Insumos'!A:F,4,0),"")</f>
        <v>32</v>
      </c>
      <c r="L590" s="70">
        <f>H590*J590*I590</f>
        <v>5872.1759999999995</v>
      </c>
      <c r="M590" s="153">
        <f t="shared" ca="1" si="69"/>
        <v>2.2132211372878944E-4</v>
      </c>
      <c r="O590" s="148">
        <f>IF(I590&lt;&gt;0,I590*H590*K590,)</f>
        <v>5872.1759999999995</v>
      </c>
      <c r="R590" s="12">
        <f>IF(J590&lt;&gt;0,J590/1.03-K590,0)</f>
        <v>-0.9320388349514559</v>
      </c>
    </row>
    <row r="591" spans="1:18" s="51" customFormat="1" ht="13.5" customHeight="1" outlineLevel="1" x14ac:dyDescent="0.3">
      <c r="A591" s="290">
        <f>LEN(C591)</f>
        <v>0</v>
      </c>
      <c r="B591" s="49"/>
      <c r="C591" s="49"/>
      <c r="D591" s="140" t="s">
        <v>771</v>
      </c>
      <c r="E591" s="67" t="str">
        <f>VLOOKUP(D591,'03. Insumos'!A:D,2,0)</f>
        <v xml:space="preserve">Mão de obra - Execução de rodapé </v>
      </c>
      <c r="F591" s="68" t="s">
        <v>2607</v>
      </c>
      <c r="G591" s="68" t="str">
        <f>VLOOKUP(D591,'03. Insumos'!A:F,3,0)</f>
        <v>m</v>
      </c>
      <c r="H591" s="69">
        <v>1</v>
      </c>
      <c r="I591" s="141">
        <f>H589</f>
        <v>159.57</v>
      </c>
      <c r="J591" s="70">
        <f>IFERROR(IF(K591&lt;&gt;0,K591*$K$5,0),0)</f>
        <v>12</v>
      </c>
      <c r="K591" s="70">
        <f>IF(A591=0,VLOOKUP(D591,'03. Insumos'!A:F,4,0),"")</f>
        <v>12</v>
      </c>
      <c r="L591" s="70">
        <f>H591*J591*I591</f>
        <v>1914.84</v>
      </c>
      <c r="M591" s="153">
        <f t="shared" ca="1" si="69"/>
        <v>7.2170254476779162E-5</v>
      </c>
      <c r="O591" s="148"/>
      <c r="R591" s="12"/>
    </row>
    <row r="592" spans="1:18" s="51" customFormat="1" ht="13.5" hidden="1" customHeight="1" outlineLevel="1" x14ac:dyDescent="0.3">
      <c r="A592" s="290">
        <f t="shared" si="70"/>
        <v>4</v>
      </c>
      <c r="B592" s="45"/>
      <c r="C592" s="45" t="s">
        <v>2755</v>
      </c>
      <c r="D592" s="45" t="s">
        <v>2749</v>
      </c>
      <c r="E592" s="347"/>
      <c r="F592" s="327"/>
      <c r="G592" s="327"/>
      <c r="H592" s="328"/>
      <c r="I592" s="61"/>
      <c r="J592" s="335"/>
      <c r="K592" s="335"/>
      <c r="L592" s="335">
        <f>SUMIF(A593:A595,6,L593:L595)</f>
        <v>0</v>
      </c>
      <c r="M592" s="153">
        <f t="shared" ca="1" si="69"/>
        <v>0</v>
      </c>
      <c r="O592" s="148"/>
      <c r="R592" s="12"/>
    </row>
    <row r="593" spans="1:18" s="59" customFormat="1" ht="13.5" hidden="1" customHeight="1" outlineLevel="1" x14ac:dyDescent="0.3">
      <c r="A593" s="290">
        <f t="shared" si="70"/>
        <v>6</v>
      </c>
      <c r="B593" s="55"/>
      <c r="C593" s="55" t="s">
        <v>2748</v>
      </c>
      <c r="D593" s="55" t="s">
        <v>2750</v>
      </c>
      <c r="E593" s="55"/>
      <c r="F593" s="56"/>
      <c r="G593" s="56" t="s">
        <v>73</v>
      </c>
      <c r="H593" s="57">
        <f>37.52+10.58</f>
        <v>48.1</v>
      </c>
      <c r="I593" s="57"/>
      <c r="J593" s="58"/>
      <c r="K593" s="58" t="str">
        <f>IF(A593=0,VLOOKUP(D593,'03. Insumos'!A:F,4,0),"")</f>
        <v/>
      </c>
      <c r="L593" s="58">
        <f>SUM(L594:L595)</f>
        <v>0</v>
      </c>
      <c r="M593" s="153">
        <f t="shared" ca="1" si="69"/>
        <v>0</v>
      </c>
      <c r="O593" s="148">
        <f>IF(I593&lt;&gt;0,I593*H593*K593,)</f>
        <v>0</v>
      </c>
      <c r="R593" s="12">
        <f>IF(J593&lt;&gt;0,J593/1.03-K593,0)</f>
        <v>0</v>
      </c>
    </row>
    <row r="594" spans="1:18" s="51" customFormat="1" ht="13.5" hidden="1" customHeight="1" outlineLevel="1" x14ac:dyDescent="0.3">
      <c r="A594" s="13">
        <f t="shared" si="70"/>
        <v>0</v>
      </c>
      <c r="B594" s="49"/>
      <c r="C594" s="49"/>
      <c r="D594" s="140" t="s">
        <v>2729</v>
      </c>
      <c r="E594" s="67" t="str">
        <f>VLOOKUP(D594,'03. Insumos'!A:D,2,0)</f>
        <v>Sonex em paineis Nexacustic perfurados, modelo 16 - 2,74X160mm (Cor Freijó) - mat c/ frete</v>
      </c>
      <c r="F594" s="68" t="s">
        <v>2613</v>
      </c>
      <c r="G594" s="68" t="str">
        <f>VLOOKUP(D594,'03. Insumos'!A:F,3,0)</f>
        <v>m²</v>
      </c>
      <c r="H594" s="69">
        <v>1</v>
      </c>
      <c r="I594" s="449">
        <v>0</v>
      </c>
      <c r="J594" s="70">
        <f>IFERROR(IF(K594&lt;&gt;0,K594*$K$5,0),0)</f>
        <v>291.06029106029104</v>
      </c>
      <c r="K594" s="70">
        <f>IF(A594=0,VLOOKUP(D594,'03. Insumos'!A:F,4,0),"")</f>
        <v>291.06029106029104</v>
      </c>
      <c r="L594" s="70">
        <f>H594*J594*I594</f>
        <v>0</v>
      </c>
      <c r="M594" s="355">
        <f t="shared" ca="1" si="69"/>
        <v>0</v>
      </c>
      <c r="O594" s="148">
        <f>IF(I594&lt;&gt;0,I594*H594*K594,)</f>
        <v>0</v>
      </c>
      <c r="R594" s="356">
        <f>IF(J594&lt;&gt;0,J594/1.03-K594,0)</f>
        <v>-8.4774842056395414</v>
      </c>
    </row>
    <row r="595" spans="1:18" s="51" customFormat="1" ht="13.5" hidden="1" customHeight="1" outlineLevel="1" x14ac:dyDescent="0.3">
      <c r="A595" s="13">
        <f t="shared" si="70"/>
        <v>0</v>
      </c>
      <c r="B595" s="49"/>
      <c r="C595" s="49"/>
      <c r="D595" s="140" t="s">
        <v>2730</v>
      </c>
      <c r="E595" s="67" t="str">
        <f>VLOOKUP(D595,'03. Insumos'!A:D,2,0)</f>
        <v>Sonex em paineis Nexacustic perfurados, modelo 16 - 2,74X160mm (Cor Freijó) - mo</v>
      </c>
      <c r="F595" s="68" t="s">
        <v>2599</v>
      </c>
      <c r="G595" s="68" t="str">
        <f>VLOOKUP(D595,'03. Insumos'!A:F,3,0)</f>
        <v>m²</v>
      </c>
      <c r="H595" s="69">
        <v>1</v>
      </c>
      <c r="I595" s="449">
        <v>0</v>
      </c>
      <c r="J595" s="70">
        <f>IFERROR(IF(K595&lt;&gt;0,K595*$K$5,0),0)</f>
        <v>156</v>
      </c>
      <c r="K595" s="70">
        <f>IF(A595=0,VLOOKUP(D595,'03. Insumos'!A:F,4,0),"")</f>
        <v>156</v>
      </c>
      <c r="L595" s="70">
        <f>H595*J595*I595</f>
        <v>0</v>
      </c>
      <c r="M595" s="355">
        <f t="shared" ca="1" si="69"/>
        <v>0</v>
      </c>
      <c r="O595" s="148"/>
      <c r="R595" s="356"/>
    </row>
    <row r="596" spans="1:18" s="18" customFormat="1" ht="13.5" customHeight="1" x14ac:dyDescent="0.3">
      <c r="A596" s="290">
        <f>LEN(C596)</f>
        <v>3</v>
      </c>
      <c r="B596" s="35"/>
      <c r="C596" s="35" t="s">
        <v>324</v>
      </c>
      <c r="D596" s="35" t="s">
        <v>336</v>
      </c>
      <c r="E596" s="390"/>
      <c r="F596" s="323"/>
      <c r="G596" s="323"/>
      <c r="H596" s="324"/>
      <c r="I596" s="37"/>
      <c r="J596" s="333"/>
      <c r="K596" s="333"/>
      <c r="L596" s="333">
        <f>SUMIF(A597:A686,4,L597:L686)</f>
        <v>13426.6574</v>
      </c>
      <c r="M596" s="153">
        <f t="shared" ca="1" si="69"/>
        <v>5.0605026076880062E-4</v>
      </c>
      <c r="O596" s="148">
        <f>IF(I596&lt;&gt;0,I596*H596*K596,)</f>
        <v>0</v>
      </c>
      <c r="R596" s="12">
        <f>IF(J596&lt;&gt;0,J596/1.03-K596,0)</f>
        <v>0</v>
      </c>
    </row>
    <row r="597" spans="1:18" s="18" customFormat="1" ht="5.25" customHeight="1" outlineLevel="1" x14ac:dyDescent="0.3">
      <c r="A597" s="290">
        <f>LEN(C597)</f>
        <v>0</v>
      </c>
      <c r="B597" s="63"/>
      <c r="C597" s="63"/>
      <c r="D597" s="63"/>
      <c r="E597" s="391"/>
      <c r="F597" s="325"/>
      <c r="G597" s="325"/>
      <c r="H597" s="326"/>
      <c r="I597" s="65"/>
      <c r="J597" s="334">
        <f>IFERROR(IF(K597&lt;&gt;0,K597*$K$5,0),0)</f>
        <v>0</v>
      </c>
      <c r="K597" s="334" t="e">
        <f>IF(A597=0,VLOOKUP(D597,'03. Insumos'!A:F,4,0),"")</f>
        <v>#N/A</v>
      </c>
      <c r="L597" s="334"/>
      <c r="M597" s="153">
        <f t="shared" ca="1" si="69"/>
        <v>0</v>
      </c>
      <c r="O597" s="148">
        <f>IF(I597&lt;&gt;0,I597*H597*K597,)</f>
        <v>0</v>
      </c>
      <c r="R597" s="12">
        <f>IF(J597&lt;&gt;0,J597/1.03-K597,0)</f>
        <v>0</v>
      </c>
    </row>
    <row r="598" spans="1:18" s="18" customFormat="1" ht="13.5" customHeight="1" outlineLevel="1" x14ac:dyDescent="0.3">
      <c r="A598" s="290">
        <f>LEN(C598)</f>
        <v>4</v>
      </c>
      <c r="B598" s="45"/>
      <c r="C598" s="45" t="s">
        <v>325</v>
      </c>
      <c r="D598" s="45" t="s">
        <v>348</v>
      </c>
      <c r="E598" s="347"/>
      <c r="F598" s="327"/>
      <c r="G598" s="327"/>
      <c r="H598" s="328"/>
      <c r="I598" s="61"/>
      <c r="J598" s="335"/>
      <c r="K598" s="335" t="str">
        <f>IF(A598=0,VLOOKUP(D598,'03. Insumos'!A:F,4,0),"")</f>
        <v/>
      </c>
      <c r="L598" s="335">
        <f>SUMIF(A599:A686,6,L599:L686)</f>
        <v>13426.6574</v>
      </c>
      <c r="M598" s="153">
        <f t="shared" ca="1" si="69"/>
        <v>5.0605026076880062E-4</v>
      </c>
      <c r="O598" s="148">
        <f>IF(I598&lt;&gt;0,I598*H598*K598,)</f>
        <v>0</v>
      </c>
      <c r="R598" s="12">
        <f>IF(J598&lt;&gt;0,J598/1.03-K598,0)</f>
        <v>0</v>
      </c>
    </row>
    <row r="599" spans="1:18" s="59" customFormat="1" ht="13.5" customHeight="1" outlineLevel="1" x14ac:dyDescent="0.3">
      <c r="A599" s="290">
        <f>LEN(C599)</f>
        <v>6</v>
      </c>
      <c r="B599" s="55"/>
      <c r="C599" s="55" t="s">
        <v>326</v>
      </c>
      <c r="D599" s="4" t="s">
        <v>2473</v>
      </c>
      <c r="E599" s="55"/>
      <c r="F599" s="56"/>
      <c r="G599" s="56"/>
      <c r="H599" s="57"/>
      <c r="I599" s="57"/>
      <c r="J599" s="58"/>
      <c r="K599" s="58" t="str">
        <f>IF(A599=0,VLOOKUP(D599,'03. Insumos'!A:F,4,0),"")</f>
        <v/>
      </c>
      <c r="L599" s="58">
        <f>SUM(L600:L609)</f>
        <v>13426.6574</v>
      </c>
      <c r="M599" s="153">
        <f t="shared" ca="1" si="69"/>
        <v>5.0605026076880062E-4</v>
      </c>
      <c r="O599" s="148">
        <f>IF(I599&lt;&gt;0,I599*H599*K599,)</f>
        <v>0</v>
      </c>
      <c r="R599" s="12">
        <f>IF(J599&lt;&gt;0,J599/1.03-K599,0)</f>
        <v>0</v>
      </c>
    </row>
    <row r="600" spans="1:18" s="59" customFormat="1" ht="13.5" customHeight="1" outlineLevel="1" x14ac:dyDescent="0.3">
      <c r="A600" s="290">
        <f>LEN(C600)</f>
        <v>0</v>
      </c>
      <c r="B600" s="55"/>
      <c r="C600" s="55"/>
      <c r="D600" s="140" t="s">
        <v>2811</v>
      </c>
      <c r="E600" s="67" t="str">
        <f>VLOOKUP(D600,'03. Insumos'!A:D,2,0)</f>
        <v>Mármores e granitos - Bancada banheiro casal suíte 01
c/ frontispício 10cm e saia 10cm
(2 furações) + ilhargas</v>
      </c>
      <c r="F600" s="68" t="s">
        <v>2613</v>
      </c>
      <c r="G600" s="68" t="str">
        <f>VLOOKUP(D600,'03. Insumos'!A:F,3,0)</f>
        <v>vb</v>
      </c>
      <c r="H600" s="69">
        <v>1</v>
      </c>
      <c r="I600" s="141">
        <v>1</v>
      </c>
      <c r="J600" s="70">
        <f t="shared" ref="J600:J609" si="71">IFERROR(IF(K600&lt;&gt;0,K600*$K$5,0),0)</f>
        <v>5975.45</v>
      </c>
      <c r="K600" s="70">
        <f>IF(A600=0,VLOOKUP(D600,'03. Insumos'!A:F,4,0),"")</f>
        <v>5975.45</v>
      </c>
      <c r="L600" s="70">
        <f>H600*J600*I600</f>
        <v>5975.45</v>
      </c>
      <c r="M600" s="153">
        <f t="shared" ca="1" si="69"/>
        <v>2.2521450727646701E-4</v>
      </c>
      <c r="O600" s="148"/>
      <c r="R600" s="12"/>
    </row>
    <row r="601" spans="1:18" s="59" customFormat="1" ht="13.5" customHeight="1" outlineLevel="1" x14ac:dyDescent="0.3">
      <c r="A601" s="290">
        <f t="shared" ref="A601:A608" si="72">LEN(C601)</f>
        <v>0</v>
      </c>
      <c r="B601" s="55"/>
      <c r="C601" s="55"/>
      <c r="D601" s="140" t="s">
        <v>2812</v>
      </c>
      <c r="E601" s="67" t="str">
        <f>VLOOKUP(D601,'03. Insumos'!A:D,2,0)</f>
        <v>Mármores e granitos - Bancada suíte 02 c/ frontispicio
14cm e saia 15cm (1 furação):</v>
      </c>
      <c r="F601" s="68" t="s">
        <v>2613</v>
      </c>
      <c r="G601" s="68" t="str">
        <f>VLOOKUP(D601,'03. Insumos'!A:F,3,0)</f>
        <v>vb</v>
      </c>
      <c r="H601" s="69">
        <v>1</v>
      </c>
      <c r="I601" s="141">
        <v>1</v>
      </c>
      <c r="J601" s="70">
        <f t="shared" si="71"/>
        <v>2316.2620000000002</v>
      </c>
      <c r="K601" s="70">
        <f>IF(A601=0,VLOOKUP(D601,'03. Insumos'!A:F,4,0),"")</f>
        <v>2316.2620000000002</v>
      </c>
      <c r="L601" s="70">
        <f t="shared" ref="L601:L607" si="73">H601*J601*I601</f>
        <v>2316.2620000000002</v>
      </c>
      <c r="M601" s="153">
        <f t="shared" ca="1" si="69"/>
        <v>8.7299836004519171E-5</v>
      </c>
      <c r="O601" s="148"/>
      <c r="R601" s="12"/>
    </row>
    <row r="602" spans="1:18" s="59" customFormat="1" ht="13.5" customHeight="1" outlineLevel="1" x14ac:dyDescent="0.3">
      <c r="A602" s="290">
        <f t="shared" si="72"/>
        <v>0</v>
      </c>
      <c r="B602" s="55"/>
      <c r="C602" s="55"/>
      <c r="D602" s="140" t="s">
        <v>2813</v>
      </c>
      <c r="E602" s="67" t="str">
        <f>VLOOKUP(D602,'03. Insumos'!A:D,2,0)</f>
        <v>Mármores e granitos - Bancada suíte 03 c/ frontispício 14
cm e saia 15cm (1 furação):</v>
      </c>
      <c r="F602" s="68" t="s">
        <v>2613</v>
      </c>
      <c r="G602" s="68" t="str">
        <f>VLOOKUP(D602,'03. Insumos'!A:F,3,0)</f>
        <v>vb</v>
      </c>
      <c r="H602" s="69">
        <v>1</v>
      </c>
      <c r="I602" s="141">
        <v>1</v>
      </c>
      <c r="J602" s="70">
        <f t="shared" si="71"/>
        <v>2316.2620000000002</v>
      </c>
      <c r="K602" s="70">
        <f>IF(A602=0,VLOOKUP(D602,'03. Insumos'!A:F,4,0),"")</f>
        <v>2316.2620000000002</v>
      </c>
      <c r="L602" s="70">
        <f>H602*J602*I602</f>
        <v>2316.2620000000002</v>
      </c>
      <c r="M602" s="153">
        <f t="shared" ca="1" si="69"/>
        <v>8.7299836004519171E-5</v>
      </c>
      <c r="O602" s="148"/>
      <c r="R602" s="12"/>
    </row>
    <row r="603" spans="1:18" s="59" customFormat="1" ht="13.5" customHeight="1" outlineLevel="1" x14ac:dyDescent="0.3">
      <c r="A603" s="290">
        <f t="shared" si="72"/>
        <v>0</v>
      </c>
      <c r="B603" s="55"/>
      <c r="C603" s="55"/>
      <c r="D603" s="140" t="s">
        <v>2812</v>
      </c>
      <c r="E603" s="384" t="str">
        <f>VLOOKUP(D603,'03. Insumos'!A:D,2,0)</f>
        <v>Mármores e granitos - Bancada suíte 02 c/ frontispicio
14cm e saia 15cm (1 furação):</v>
      </c>
      <c r="F603" s="68" t="s">
        <v>2613</v>
      </c>
      <c r="G603" s="68" t="str">
        <f>VLOOKUP(D603,'03. Insumos'!A:F,3,0)</f>
        <v>vb</v>
      </c>
      <c r="H603" s="69">
        <v>1</v>
      </c>
      <c r="I603" s="141">
        <v>0.7</v>
      </c>
      <c r="J603" s="70">
        <f t="shared" si="71"/>
        <v>2316.2620000000002</v>
      </c>
      <c r="K603" s="70">
        <f>IF(A603=0,VLOOKUP(D603,'03. Insumos'!A:F,4,0),"")</f>
        <v>2316.2620000000002</v>
      </c>
      <c r="L603" s="70">
        <f>H603*J603*I603</f>
        <v>1621.3833999999999</v>
      </c>
      <c r="M603" s="153">
        <f t="shared" ca="1" si="69"/>
        <v>6.1109885203163415E-5</v>
      </c>
      <c r="O603" s="148"/>
      <c r="R603" s="12"/>
    </row>
    <row r="604" spans="1:18" s="59" customFormat="1" ht="13.5" customHeight="1" outlineLevel="1" x14ac:dyDescent="0.3">
      <c r="A604" s="290">
        <f t="shared" si="72"/>
        <v>0</v>
      </c>
      <c r="B604" s="55"/>
      <c r="C604" s="55"/>
      <c r="D604" s="140" t="s">
        <v>467</v>
      </c>
      <c r="E604" s="67" t="str">
        <f>VLOOKUP(D604,'03. Insumos'!A:D,2,0)</f>
        <v>Cozinha Bancada Ardósia cinza - 3.54 x 0.6</v>
      </c>
      <c r="F604" s="68" t="s">
        <v>2607</v>
      </c>
      <c r="G604" s="68" t="str">
        <f>VLOOKUP(D604,'03. Insumos'!A:F,3,0)</f>
        <v>unid</v>
      </c>
      <c r="H604" s="69">
        <v>1</v>
      </c>
      <c r="I604" s="141">
        <v>1</v>
      </c>
      <c r="J604" s="70">
        <f t="shared" si="71"/>
        <v>1197.3</v>
      </c>
      <c r="K604" s="70">
        <f>IF(A604=0,VLOOKUP(D604,'03. Insumos'!A:F,4,0),"")</f>
        <v>1197.3</v>
      </c>
      <c r="L604" s="70">
        <f t="shared" si="73"/>
        <v>1197.3</v>
      </c>
      <c r="M604" s="153">
        <f t="shared" ca="1" si="69"/>
        <v>4.5126196280131865E-5</v>
      </c>
      <c r="O604" s="148"/>
      <c r="R604" s="12"/>
    </row>
    <row r="605" spans="1:18" s="59" customFormat="1" ht="13.5" hidden="1" customHeight="1" outlineLevel="1" x14ac:dyDescent="0.3">
      <c r="A605" s="290">
        <f t="shared" si="72"/>
        <v>0</v>
      </c>
      <c r="B605" s="55"/>
      <c r="C605" s="55"/>
      <c r="D605" s="140" t="s">
        <v>2486</v>
      </c>
      <c r="E605" s="67" t="str">
        <f>VLOOKUP(D605,'03. Insumos'!A:D,2,0)</f>
        <v>Material + MO - Granito Santa Cecília Levigado</v>
      </c>
      <c r="F605" s="68" t="s">
        <v>2613</v>
      </c>
      <c r="G605" s="68" t="str">
        <f>VLOOKUP(D605,'03. Insumos'!A:F,3,0)</f>
        <v>m²</v>
      </c>
      <c r="H605" s="69">
        <v>1</v>
      </c>
      <c r="I605" s="141"/>
      <c r="J605" s="70">
        <f t="shared" si="71"/>
        <v>445.33330000000001</v>
      </c>
      <c r="K605" s="70">
        <f>IF(A605=0,VLOOKUP(D605,'03. Insumos'!A:F,4,0),"")</f>
        <v>445.33330000000001</v>
      </c>
      <c r="L605" s="70">
        <f t="shared" si="73"/>
        <v>0</v>
      </c>
      <c r="M605" s="153">
        <f t="shared" ca="1" si="69"/>
        <v>0</v>
      </c>
      <c r="O605" s="148"/>
      <c r="R605" s="12"/>
    </row>
    <row r="606" spans="1:18" s="59" customFormat="1" ht="13.5" hidden="1" customHeight="1" outlineLevel="1" x14ac:dyDescent="0.3">
      <c r="A606" s="290">
        <f t="shared" si="72"/>
        <v>0</v>
      </c>
      <c r="B606" s="55"/>
      <c r="C606" s="55"/>
      <c r="D606" s="140" t="s">
        <v>2487</v>
      </c>
      <c r="E606" s="67" t="str">
        <f>VLOOKUP(D606,'03. Insumos'!A:D,2,0)</f>
        <v>Cozinha Bancada Ardósia cinza - 2.25 x 0.6</v>
      </c>
      <c r="F606" s="68" t="s">
        <v>2613</v>
      </c>
      <c r="G606" s="68" t="str">
        <f>VLOOKUP(D606,'03. Insumos'!A:F,3,0)</f>
        <v>unid</v>
      </c>
      <c r="H606" s="69">
        <v>1</v>
      </c>
      <c r="I606" s="141"/>
      <c r="J606" s="70">
        <f t="shared" si="71"/>
        <v>603</v>
      </c>
      <c r="K606" s="70">
        <f>IF(A606=0,VLOOKUP(D606,'03. Insumos'!A:F,4,0),"")</f>
        <v>603</v>
      </c>
      <c r="L606" s="70">
        <f t="shared" si="73"/>
        <v>0</v>
      </c>
      <c r="M606" s="153">
        <f t="shared" ca="1" si="69"/>
        <v>0</v>
      </c>
      <c r="O606" s="148"/>
      <c r="R606" s="12"/>
    </row>
    <row r="607" spans="1:18" s="59" customFormat="1" ht="13.5" hidden="1" customHeight="1" outlineLevel="1" x14ac:dyDescent="0.3">
      <c r="A607" s="290">
        <f t="shared" si="72"/>
        <v>0</v>
      </c>
      <c r="B607" s="55"/>
      <c r="C607" s="55"/>
      <c r="D607" s="140" t="s">
        <v>2488</v>
      </c>
      <c r="E607" s="67" t="str">
        <f>VLOOKUP(D607,'03. Insumos'!A:D,2,0)</f>
        <v>Cozinha Bancada Ardózia Cinza - 7.5 x 0.6</v>
      </c>
      <c r="F607" s="68" t="s">
        <v>2613</v>
      </c>
      <c r="G607" s="68" t="str">
        <f>VLOOKUP(D607,'03. Insumos'!A:F,3,0)</f>
        <v>vb</v>
      </c>
      <c r="H607" s="69">
        <v>1</v>
      </c>
      <c r="I607" s="141"/>
      <c r="J607" s="70">
        <f t="shared" si="71"/>
        <v>2007</v>
      </c>
      <c r="K607" s="70">
        <f>IF(A607=0,VLOOKUP(D607,'03. Insumos'!A:F,4,0),"")</f>
        <v>2007</v>
      </c>
      <c r="L607" s="70">
        <f t="shared" si="73"/>
        <v>0</v>
      </c>
      <c r="M607" s="153">
        <f t="shared" ca="1" si="69"/>
        <v>0</v>
      </c>
      <c r="O607" s="148"/>
      <c r="R607" s="12"/>
    </row>
    <row r="608" spans="1:18" s="59" customFormat="1" ht="13.5" hidden="1" customHeight="1" outlineLevel="1" x14ac:dyDescent="0.3">
      <c r="A608" s="290">
        <f t="shared" si="72"/>
        <v>0</v>
      </c>
      <c r="B608" s="55"/>
      <c r="C608" s="55"/>
      <c r="D608" s="140" t="s">
        <v>2489</v>
      </c>
      <c r="E608" s="67" t="str">
        <f>VLOOKUP(D608,'03. Insumos'!A:D,2,0)</f>
        <v>Soleira em Nanoglass</v>
      </c>
      <c r="F608" s="68" t="s">
        <v>2613</v>
      </c>
      <c r="G608" s="68" t="str">
        <f>VLOOKUP(D608,'03. Insumos'!A:F,3,0)</f>
        <v>vb</v>
      </c>
      <c r="H608" s="69">
        <v>1</v>
      </c>
      <c r="I608" s="141"/>
      <c r="J608" s="70">
        <f t="shared" si="71"/>
        <v>4048.2400000000002</v>
      </c>
      <c r="K608" s="70">
        <f>IF(A608=0,VLOOKUP(D608,'03. Insumos'!A:F,4,0),"")</f>
        <v>4048.2400000000002</v>
      </c>
      <c r="L608" s="70">
        <f>H608*J608*I608</f>
        <v>0</v>
      </c>
      <c r="M608" s="153">
        <f t="shared" ca="1" si="69"/>
        <v>0</v>
      </c>
      <c r="O608" s="148"/>
      <c r="R608" s="12"/>
    </row>
    <row r="609" spans="1:18" s="51" customFormat="1" ht="13.5" hidden="1" customHeight="1" outlineLevel="1" x14ac:dyDescent="0.3">
      <c r="A609" s="290">
        <f>LEN(C609)</f>
        <v>0</v>
      </c>
      <c r="B609" s="49"/>
      <c r="C609" s="49"/>
      <c r="D609" s="140" t="s">
        <v>2490</v>
      </c>
      <c r="E609" s="67" t="str">
        <f>VLOOKUP(D609,'03. Insumos'!A:D,2,0)</f>
        <v>Tento em Nanoglass</v>
      </c>
      <c r="F609" s="68" t="s">
        <v>2613</v>
      </c>
      <c r="G609" s="68" t="str">
        <f>VLOOKUP(D609,'03. Insumos'!A:F,3,0)</f>
        <v>vb</v>
      </c>
      <c r="H609" s="69">
        <v>1</v>
      </c>
      <c r="I609" s="141"/>
      <c r="J609" s="70">
        <f t="shared" si="71"/>
        <v>736.87</v>
      </c>
      <c r="K609" s="70">
        <f>IF(A609=0,VLOOKUP(D609,'03. Insumos'!A:F,4,0),"")</f>
        <v>736.87</v>
      </c>
      <c r="L609" s="70">
        <f>H609*J609*I609</f>
        <v>0</v>
      </c>
      <c r="M609" s="153">
        <f t="shared" ca="1" si="69"/>
        <v>0</v>
      </c>
      <c r="O609" s="148">
        <f>IF(I609&lt;&gt;0,I609*H609*K609,)</f>
        <v>0</v>
      </c>
      <c r="R609" s="12">
        <f>IF(J609&lt;&gt;0,J609/1.03-K609,0)</f>
        <v>-21.462233009708712</v>
      </c>
    </row>
    <row r="610" spans="1:18" s="51" customFormat="1" ht="13.5" hidden="1" customHeight="1" outlineLevel="1" x14ac:dyDescent="0.3">
      <c r="A610" s="290">
        <f>LEN(C610)</f>
        <v>6</v>
      </c>
      <c r="B610" s="49"/>
      <c r="C610" s="55" t="s">
        <v>326</v>
      </c>
      <c r="D610" s="55" t="s">
        <v>2169</v>
      </c>
      <c r="E610" s="67"/>
      <c r="F610" s="68"/>
      <c r="G610" s="68"/>
      <c r="H610" s="69"/>
      <c r="I610" s="141"/>
      <c r="J610" s="70"/>
      <c r="K610" s="70"/>
      <c r="L610" s="58">
        <f>SUM(L611)</f>
        <v>0</v>
      </c>
      <c r="M610" s="153">
        <f t="shared" ca="1" si="69"/>
        <v>0</v>
      </c>
      <c r="O610" s="148"/>
      <c r="R610" s="12"/>
    </row>
    <row r="611" spans="1:18" s="51" customFormat="1" ht="13.5" hidden="1" customHeight="1" outlineLevel="1" x14ac:dyDescent="0.3">
      <c r="A611" s="290">
        <f>LEN(C611)</f>
        <v>0</v>
      </c>
      <c r="B611" s="49"/>
      <c r="C611" s="49"/>
      <c r="D611" s="140" t="s">
        <v>2170</v>
      </c>
      <c r="E611" s="67" t="str">
        <f>VLOOKUP(D611,'03. Insumos'!A:D,2,0)</f>
        <v>Soleiras, Tentos, Peitoris e Chapins - Mármore Branco Prime Nano</v>
      </c>
      <c r="F611" s="68"/>
      <c r="G611" s="68" t="str">
        <f>VLOOKUP(D611,'03. Insumos'!A:F,3,0)</f>
        <v>vb</v>
      </c>
      <c r="H611" s="69">
        <v>1</v>
      </c>
      <c r="I611" s="141"/>
      <c r="J611" s="70">
        <f>IFERROR(IF(K611&lt;&gt;0,K611*$K$5,0),0)</f>
        <v>20399.268</v>
      </c>
      <c r="K611" s="70">
        <f>IF(A611=0,VLOOKUP(D611,'03. Insumos'!A:F,4,0),"")</f>
        <v>20399.268</v>
      </c>
      <c r="L611" s="338">
        <f>H611*J611*I611</f>
        <v>0</v>
      </c>
      <c r="M611" s="153">
        <f t="shared" ca="1" si="69"/>
        <v>0</v>
      </c>
      <c r="O611" s="148"/>
      <c r="R611" s="12"/>
    </row>
    <row r="612" spans="1:18" s="59" customFormat="1" ht="13.5" hidden="1" customHeight="1" outlineLevel="1" x14ac:dyDescent="0.3">
      <c r="A612" s="290">
        <f t="shared" ref="A612:A675" si="74">LEN(C612)</f>
        <v>6</v>
      </c>
      <c r="B612" s="55"/>
      <c r="C612" s="55" t="s">
        <v>896</v>
      </c>
      <c r="D612" s="55" t="s">
        <v>2815</v>
      </c>
      <c r="E612" s="55"/>
      <c r="F612" s="56"/>
      <c r="G612" s="56"/>
      <c r="H612" s="57"/>
      <c r="I612" s="57"/>
      <c r="J612" s="58"/>
      <c r="K612" s="58" t="str">
        <f>IF(A612=0,VLOOKUP(D612,'03. Insumos'!A:F,4,0),"")</f>
        <v/>
      </c>
      <c r="L612" s="58">
        <f>SUM(L613:L615)</f>
        <v>0</v>
      </c>
      <c r="M612" s="153">
        <f t="shared" ca="1" si="69"/>
        <v>0</v>
      </c>
      <c r="O612" s="148">
        <f>IF(I612&lt;&gt;0,I612*H612*K612,)</f>
        <v>0</v>
      </c>
      <c r="R612" s="12">
        <f>IF(J612&lt;&gt;0,J612/1.03-K612,0)</f>
        <v>0</v>
      </c>
    </row>
    <row r="613" spans="1:18" s="51" customFormat="1" ht="13.5" hidden="1" customHeight="1" outlineLevel="1" x14ac:dyDescent="0.3">
      <c r="A613" s="290">
        <f t="shared" si="74"/>
        <v>0</v>
      </c>
      <c r="B613" s="49"/>
      <c r="C613" s="49"/>
      <c r="D613" s="140" t="s">
        <v>2126</v>
      </c>
      <c r="E613" s="67" t="str">
        <f>VLOOKUP(D613,'03. Insumos'!A:D,2,0)</f>
        <v>Bancada de branco prime 1,32 x 0,55</v>
      </c>
      <c r="F613" s="68"/>
      <c r="G613" s="68" t="str">
        <f>VLOOKUP(D613,'03. Insumos'!A:F,3,0)</f>
        <v>vb</v>
      </c>
      <c r="H613" s="69">
        <v>1</v>
      </c>
      <c r="I613" s="141"/>
      <c r="J613" s="70">
        <f>IFERROR(IF(K613&lt;&gt;0,K613*$K$5,0),0)</f>
        <v>1651.44</v>
      </c>
      <c r="K613" s="70">
        <f>IF(A613=0,VLOOKUP(D613,'03. Insumos'!A:F,4,0),"")</f>
        <v>1651.44</v>
      </c>
      <c r="L613" s="338">
        <f>H613*J613*I613</f>
        <v>0</v>
      </c>
      <c r="M613" s="153">
        <f t="shared" ca="1" si="69"/>
        <v>0</v>
      </c>
      <c r="O613" s="148">
        <f>IF(I613&lt;&gt;0,I613*H613*K613,)</f>
        <v>0</v>
      </c>
      <c r="R613" s="12">
        <f>IF(J613&lt;&gt;0,J613/1.03-K613,0)</f>
        <v>-48.100194174757235</v>
      </c>
    </row>
    <row r="614" spans="1:18" s="51" customFormat="1" ht="13.5" hidden="1" customHeight="1" outlineLevel="1" x14ac:dyDescent="0.3">
      <c r="A614" s="290">
        <f t="shared" si="74"/>
        <v>0</v>
      </c>
      <c r="B614" s="49"/>
      <c r="C614" s="49"/>
      <c r="D614" s="140" t="s">
        <v>2127</v>
      </c>
      <c r="E614" s="67" t="str">
        <f>VLOOKUP(D614,'03. Insumos'!A:D,2,0)</f>
        <v>Tento duplo de branco prime 1,70 x 0,10</v>
      </c>
      <c r="F614" s="68"/>
      <c r="G614" s="68" t="str">
        <f>VLOOKUP(D614,'03. Insumos'!A:F,3,0)</f>
        <v>vb</v>
      </c>
      <c r="H614" s="69">
        <v>1</v>
      </c>
      <c r="I614" s="141"/>
      <c r="J614" s="70">
        <f>IFERROR(IF(K614&lt;&gt;0,K614*$K$5,0),0)</f>
        <v>350.86</v>
      </c>
      <c r="K614" s="70">
        <f>IF(A614=0,VLOOKUP(D614,'03. Insumos'!A:F,4,0),"")</f>
        <v>350.86</v>
      </c>
      <c r="L614" s="338">
        <f>H614*J614*I614</f>
        <v>0</v>
      </c>
      <c r="M614" s="153">
        <f t="shared" ca="1" si="69"/>
        <v>0</v>
      </c>
      <c r="O614" s="148"/>
      <c r="R614" s="12"/>
    </row>
    <row r="615" spans="1:18" s="51" customFormat="1" ht="13.5" hidden="1" customHeight="1" outlineLevel="1" x14ac:dyDescent="0.3">
      <c r="A615" s="290">
        <f t="shared" si="74"/>
        <v>0</v>
      </c>
      <c r="B615" s="49"/>
      <c r="C615" s="49"/>
      <c r="D615" s="140" t="s">
        <v>2128</v>
      </c>
      <c r="E615" s="67" t="str">
        <f>VLOOKUP(D615,'03. Insumos'!A:D,2,0)</f>
        <v>Nicho de branco prime b. suíte</v>
      </c>
      <c r="F615" s="68"/>
      <c r="G615" s="68" t="str">
        <f>VLOOKUP(D615,'03. Insumos'!A:F,3,0)</f>
        <v>vb</v>
      </c>
      <c r="H615" s="69">
        <v>1</v>
      </c>
      <c r="I615" s="141"/>
      <c r="J615" s="70">
        <f>IFERROR(IF(K615&lt;&gt;0,K615*$K$5,0),0)</f>
        <v>780</v>
      </c>
      <c r="K615" s="70">
        <f>IF(A615=0,VLOOKUP(D615,'03. Insumos'!A:F,4,0),"")</f>
        <v>780</v>
      </c>
      <c r="L615" s="338">
        <f>H615*J615*I615</f>
        <v>0</v>
      </c>
      <c r="M615" s="153">
        <f t="shared" ca="1" si="69"/>
        <v>0</v>
      </c>
      <c r="O615" s="148"/>
      <c r="R615" s="12"/>
    </row>
    <row r="616" spans="1:18" s="59" customFormat="1" ht="13.5" hidden="1" customHeight="1" outlineLevel="1" x14ac:dyDescent="0.3">
      <c r="A616" s="290">
        <f t="shared" si="74"/>
        <v>6</v>
      </c>
      <c r="B616" s="55"/>
      <c r="C616" s="55" t="s">
        <v>1467</v>
      </c>
      <c r="D616" s="55" t="s">
        <v>2113</v>
      </c>
      <c r="E616" s="55"/>
      <c r="F616" s="56"/>
      <c r="G616" s="56" t="s">
        <v>74</v>
      </c>
      <c r="H616" s="57"/>
      <c r="I616" s="57"/>
      <c r="J616" s="58"/>
      <c r="K616" s="58" t="str">
        <f>IF(A616=0,VLOOKUP(D616,'03. Insumos'!A:F,4,0),"")</f>
        <v/>
      </c>
      <c r="L616" s="58">
        <f>SUM(L617:L619)</f>
        <v>0</v>
      </c>
      <c r="M616" s="153">
        <f t="shared" ca="1" si="69"/>
        <v>0</v>
      </c>
      <c r="O616" s="148">
        <f>IF(I616&lt;&gt;0,I616*H616*K616,)</f>
        <v>0</v>
      </c>
      <c r="R616" s="12">
        <f>IF(J616&lt;&gt;0,J616/1.03-K616,0)</f>
        <v>0</v>
      </c>
    </row>
    <row r="617" spans="1:18" s="51" customFormat="1" ht="13.5" hidden="1" customHeight="1" outlineLevel="1" x14ac:dyDescent="0.3">
      <c r="A617" s="290">
        <f t="shared" si="74"/>
        <v>0</v>
      </c>
      <c r="B617" s="49"/>
      <c r="C617" s="49"/>
      <c r="D617" s="140" t="s">
        <v>2129</v>
      </c>
      <c r="E617" s="67" t="str">
        <f>VLOOKUP(D617,'03. Insumos'!A:D,2,0)</f>
        <v>Bancada de branco prime 1,14 x 0,55</v>
      </c>
      <c r="F617" s="68"/>
      <c r="G617" s="68" t="str">
        <f>VLOOKUP(D617,'03. Insumos'!A:F,3,0)</f>
        <v>vb</v>
      </c>
      <c r="H617" s="69">
        <v>1</v>
      </c>
      <c r="I617" s="141"/>
      <c r="J617" s="70">
        <f>IFERROR(IF(K617&lt;&gt;0,K617*$K$5,0),0)</f>
        <v>908.62</v>
      </c>
      <c r="K617" s="70">
        <f>IF(A617=0,VLOOKUP(D617,'03. Insumos'!A:F,4,0),"")</f>
        <v>908.62</v>
      </c>
      <c r="L617" s="338">
        <f>H617*J617*I617</f>
        <v>0</v>
      </c>
      <c r="M617" s="153">
        <f t="shared" ref="M617:M680" ca="1" si="75">L617/$L$7</f>
        <v>0</v>
      </c>
      <c r="O617" s="148">
        <f>IF(I617&lt;&gt;0,I617*H617*K617,)</f>
        <v>0</v>
      </c>
      <c r="R617" s="12">
        <f>IF(J617&lt;&gt;0,J617/1.03-K617,0)</f>
        <v>-26.464660194174826</v>
      </c>
    </row>
    <row r="618" spans="1:18" s="51" customFormat="1" ht="13.5" hidden="1" customHeight="1" outlineLevel="1" x14ac:dyDescent="0.3">
      <c r="A618" s="290">
        <f t="shared" si="74"/>
        <v>0</v>
      </c>
      <c r="B618" s="49"/>
      <c r="C618" s="49"/>
      <c r="D618" s="140" t="s">
        <v>2130</v>
      </c>
      <c r="E618" s="67" t="str">
        <f>VLOOKUP(D618,'03. Insumos'!A:D,2,0)</f>
        <v>Tento duplo de branco prime 1,27 x 0,10</v>
      </c>
      <c r="F618" s="68"/>
      <c r="G618" s="68" t="str">
        <f>VLOOKUP(D618,'03. Insumos'!A:F,3,0)</f>
        <v>vb</v>
      </c>
      <c r="H618" s="69">
        <v>1</v>
      </c>
      <c r="I618" s="141"/>
      <c r="J618" s="70">
        <f>IFERROR(IF(K618&lt;&gt;0,K618*$K$5,0),0)</f>
        <v>262.11</v>
      </c>
      <c r="K618" s="70">
        <f>IF(A618=0,VLOOKUP(D618,'03. Insumos'!A:F,4,0),"")</f>
        <v>262.11</v>
      </c>
      <c r="L618" s="338">
        <f>H618*J618*I618</f>
        <v>0</v>
      </c>
      <c r="M618" s="153">
        <f t="shared" ca="1" si="75"/>
        <v>0</v>
      </c>
      <c r="O618" s="148"/>
      <c r="R618" s="12"/>
    </row>
    <row r="619" spans="1:18" s="51" customFormat="1" ht="13.5" hidden="1" customHeight="1" outlineLevel="1" x14ac:dyDescent="0.3">
      <c r="A619" s="290">
        <f t="shared" si="74"/>
        <v>0</v>
      </c>
      <c r="B619" s="49"/>
      <c r="C619" s="49"/>
      <c r="D619" s="140" t="s">
        <v>2131</v>
      </c>
      <c r="E619" s="67" t="str">
        <f>VLOOKUP(D619,'03. Insumos'!A:D,2,0)</f>
        <v>Nicho de branco prime b. social</v>
      </c>
      <c r="F619" s="68"/>
      <c r="G619" s="68" t="str">
        <f>VLOOKUP(D619,'03. Insumos'!A:F,3,0)</f>
        <v>vb</v>
      </c>
      <c r="H619" s="69">
        <v>1</v>
      </c>
      <c r="I619" s="141"/>
      <c r="J619" s="70">
        <f>IFERROR(IF(K619&lt;&gt;0,K619*$K$5,0),0)</f>
        <v>739.33</v>
      </c>
      <c r="K619" s="70">
        <f>IF(A619=0,VLOOKUP(D619,'03. Insumos'!A:F,4,0),"")</f>
        <v>739.33</v>
      </c>
      <c r="L619" s="338">
        <f>H619*J619*I619</f>
        <v>0</v>
      </c>
      <c r="M619" s="153">
        <f t="shared" ca="1" si="75"/>
        <v>0</v>
      </c>
      <c r="O619" s="148"/>
      <c r="R619" s="12"/>
    </row>
    <row r="620" spans="1:18" s="51" customFormat="1" ht="13.5" hidden="1" customHeight="1" outlineLevel="1" x14ac:dyDescent="0.3">
      <c r="A620" s="290">
        <f t="shared" si="74"/>
        <v>6</v>
      </c>
      <c r="B620" s="49"/>
      <c r="C620" s="55" t="s">
        <v>955</v>
      </c>
      <c r="D620" s="55" t="s">
        <v>2114</v>
      </c>
      <c r="E620" s="67"/>
      <c r="F620" s="68"/>
      <c r="G620" s="68"/>
      <c r="H620" s="69"/>
      <c r="I620" s="141"/>
      <c r="J620" s="70"/>
      <c r="K620" s="70"/>
      <c r="L620" s="58">
        <f>SUM(L621:L621)</f>
        <v>0</v>
      </c>
      <c r="M620" s="153">
        <f t="shared" ca="1" si="75"/>
        <v>0</v>
      </c>
      <c r="O620" s="148"/>
      <c r="R620" s="12"/>
    </row>
    <row r="621" spans="1:18" s="51" customFormat="1" ht="13.5" hidden="1" customHeight="1" outlineLevel="1" x14ac:dyDescent="0.3">
      <c r="A621" s="290">
        <f t="shared" si="74"/>
        <v>0</v>
      </c>
      <c r="B621" s="49"/>
      <c r="C621" s="49"/>
      <c r="D621" s="140" t="s">
        <v>2132</v>
      </c>
      <c r="E621" s="67" t="str">
        <f>VLOOKUP(D621,'03. Insumos'!A:D,2,0)</f>
        <v>Bancada branco nanoglass 0,90 x 0,55</v>
      </c>
      <c r="F621" s="68"/>
      <c r="G621" s="68" t="str">
        <f>VLOOKUP(D621,'03. Insumos'!A:F,3,0)</f>
        <v>vb</v>
      </c>
      <c r="H621" s="69">
        <v>1</v>
      </c>
      <c r="I621" s="141"/>
      <c r="J621" s="70">
        <f>IFERROR(IF(K621&lt;&gt;0,K621*$K$5,0),0)</f>
        <v>1534.75</v>
      </c>
      <c r="K621" s="70">
        <f>IF(A621=0,VLOOKUP(D621,'03. Insumos'!A:F,4,0),"")</f>
        <v>1534.75</v>
      </c>
      <c r="L621" s="338">
        <f>H621*J621*I621</f>
        <v>0</v>
      </c>
      <c r="M621" s="153">
        <f t="shared" ca="1" si="75"/>
        <v>0</v>
      </c>
      <c r="O621" s="148"/>
      <c r="R621" s="12"/>
    </row>
    <row r="622" spans="1:18" s="51" customFormat="1" ht="13.5" hidden="1" customHeight="1" outlineLevel="1" x14ac:dyDescent="0.3">
      <c r="A622" s="290">
        <f t="shared" si="74"/>
        <v>6</v>
      </c>
      <c r="B622" s="49"/>
      <c r="C622" s="55" t="s">
        <v>1477</v>
      </c>
      <c r="D622" s="55" t="s">
        <v>2174</v>
      </c>
      <c r="E622" s="67"/>
      <c r="F622" s="68"/>
      <c r="G622" s="68"/>
      <c r="H622" s="69"/>
      <c r="I622" s="141"/>
      <c r="J622" s="70"/>
      <c r="K622" s="70"/>
      <c r="L622" s="58">
        <f>SUM(L623:L625)</f>
        <v>0</v>
      </c>
      <c r="M622" s="153">
        <f t="shared" ca="1" si="75"/>
        <v>0</v>
      </c>
      <c r="O622" s="148"/>
      <c r="R622" s="12"/>
    </row>
    <row r="623" spans="1:18" s="51" customFormat="1" ht="13.5" hidden="1" customHeight="1" outlineLevel="1" x14ac:dyDescent="0.3">
      <c r="A623" s="290">
        <f t="shared" si="74"/>
        <v>0</v>
      </c>
      <c r="B623" s="49"/>
      <c r="C623" s="55"/>
      <c r="D623" s="140" t="s">
        <v>2172</v>
      </c>
      <c r="E623" s="67" t="str">
        <f>VLOOKUP(D623,'03. Insumos'!A:D,2,0)</f>
        <v>Bancada em Inox</v>
      </c>
      <c r="F623" s="68"/>
      <c r="G623" s="68" t="str">
        <f>VLOOKUP(D623,'03. Insumos'!A:F,3,0)</f>
        <v>vb</v>
      </c>
      <c r="H623" s="69">
        <v>1</v>
      </c>
      <c r="I623" s="141"/>
      <c r="J623" s="70">
        <f>IFERROR(IF(K623&lt;&gt;0,K623*$K$5,0),0)</f>
        <v>3374</v>
      </c>
      <c r="K623" s="70">
        <f>IF(A623=0,VLOOKUP(D623,'03. Insumos'!A:F,4,0),"")</f>
        <v>3374</v>
      </c>
      <c r="L623" s="338">
        <f>H623*J623*I623</f>
        <v>0</v>
      </c>
      <c r="M623" s="153">
        <f t="shared" ca="1" si="75"/>
        <v>0</v>
      </c>
      <c r="O623" s="148"/>
      <c r="R623" s="12"/>
    </row>
    <row r="624" spans="1:18" s="51" customFormat="1" ht="13.5" hidden="1" customHeight="1" outlineLevel="1" x14ac:dyDescent="0.3">
      <c r="A624" s="290">
        <f t="shared" si="74"/>
        <v>0</v>
      </c>
      <c r="B624" s="49"/>
      <c r="C624" s="49"/>
      <c r="D624" s="140" t="s">
        <v>2133</v>
      </c>
      <c r="E624" s="67" t="str">
        <f>VLOOKUP(D624,'03. Insumos'!A:D,2,0)</f>
        <v>Bancada molhada e seca preto são gabriel</v>
      </c>
      <c r="F624" s="68"/>
      <c r="G624" s="68" t="str">
        <f>VLOOKUP(D624,'03. Insumos'!A:F,3,0)</f>
        <v>vb</v>
      </c>
      <c r="H624" s="69">
        <v>1</v>
      </c>
      <c r="I624" s="141"/>
      <c r="J624" s="70">
        <f>IFERROR(IF(K624&lt;&gt;0,K624*$K$5,0),0)</f>
        <v>1249.73</v>
      </c>
      <c r="K624" s="70">
        <f>IF(A624=0,VLOOKUP(D624,'03. Insumos'!A:F,4,0),"")</f>
        <v>1249.73</v>
      </c>
      <c r="L624" s="338">
        <f>H624*J624*I624</f>
        <v>0</v>
      </c>
      <c r="M624" s="153">
        <f t="shared" ca="1" si="75"/>
        <v>0</v>
      </c>
      <c r="O624" s="148"/>
      <c r="R624" s="12"/>
    </row>
    <row r="625" spans="1:18" s="51" customFormat="1" ht="13.5" hidden="1" customHeight="1" outlineLevel="1" x14ac:dyDescent="0.3">
      <c r="A625" s="290">
        <f t="shared" si="74"/>
        <v>0</v>
      </c>
      <c r="B625" s="49"/>
      <c r="C625" s="49"/>
      <c r="D625" s="140" t="s">
        <v>2134</v>
      </c>
      <c r="E625" s="67" t="str">
        <f>VLOOKUP(D625,'03. Insumos'!A:D,2,0)</f>
        <v>Soco preto são gabriel</v>
      </c>
      <c r="F625" s="68"/>
      <c r="G625" s="68" t="str">
        <f>VLOOKUP(D625,'03. Insumos'!A:F,3,0)</f>
        <v>vb</v>
      </c>
      <c r="H625" s="69">
        <v>1</v>
      </c>
      <c r="I625" s="141"/>
      <c r="J625" s="70">
        <f>IFERROR(IF(K625&lt;&gt;0,K625*$K$5,0),0)</f>
        <v>187.93</v>
      </c>
      <c r="K625" s="70">
        <f>IF(A625=0,VLOOKUP(D625,'03. Insumos'!A:F,4,0),"")</f>
        <v>187.93</v>
      </c>
      <c r="L625" s="338">
        <f>H625*J625*I625</f>
        <v>0</v>
      </c>
      <c r="M625" s="153">
        <f t="shared" ca="1" si="75"/>
        <v>0</v>
      </c>
      <c r="O625" s="148"/>
      <c r="R625" s="12"/>
    </row>
    <row r="626" spans="1:18" s="51" customFormat="1" ht="13.5" hidden="1" customHeight="1" outlineLevel="1" x14ac:dyDescent="0.3">
      <c r="A626" s="290">
        <f t="shared" si="74"/>
        <v>6</v>
      </c>
      <c r="B626" s="49"/>
      <c r="C626" s="55" t="s">
        <v>1480</v>
      </c>
      <c r="D626" s="55" t="s">
        <v>1551</v>
      </c>
      <c r="E626" s="67"/>
      <c r="F626" s="68"/>
      <c r="G626" s="68"/>
      <c r="H626" s="69"/>
      <c r="I626" s="141"/>
      <c r="J626" s="70"/>
      <c r="K626" s="70"/>
      <c r="L626" s="58">
        <f>SUM(L627:L632)</f>
        <v>0</v>
      </c>
      <c r="M626" s="153">
        <f t="shared" ca="1" si="75"/>
        <v>0</v>
      </c>
      <c r="O626" s="148"/>
      <c r="R626" s="12"/>
    </row>
    <row r="627" spans="1:18" s="51" customFormat="1" ht="13.5" hidden="1" customHeight="1" outlineLevel="1" x14ac:dyDescent="0.3">
      <c r="A627" s="290">
        <f t="shared" si="74"/>
        <v>0</v>
      </c>
      <c r="B627" s="49"/>
      <c r="C627" s="49"/>
      <c r="D627" s="140" t="s">
        <v>2135</v>
      </c>
      <c r="E627" s="67" t="str">
        <f>VLOOKUP(D627,'03. Insumos'!A:D,2,0)</f>
        <v>Bancada preto são gabriel 1,21 x 0,60</v>
      </c>
      <c r="F627" s="68"/>
      <c r="G627" s="68" t="str">
        <f>VLOOKUP(D627,'03. Insumos'!A:F,3,0)</f>
        <v>vb</v>
      </c>
      <c r="H627" s="69">
        <v>1</v>
      </c>
      <c r="I627" s="141"/>
      <c r="J627" s="70">
        <f t="shared" ref="J627:J632" si="76">IFERROR(IF(K627&lt;&gt;0,K627*$K$5,0),0)</f>
        <v>696.88</v>
      </c>
      <c r="K627" s="70">
        <f>IF(A627=0,VLOOKUP(D627,'03. Insumos'!A:F,4,0),"")</f>
        <v>696.88</v>
      </c>
      <c r="L627" s="338">
        <f t="shared" ref="L627:L632" si="77">H627*J627*I627</f>
        <v>0</v>
      </c>
      <c r="M627" s="153">
        <f t="shared" ca="1" si="75"/>
        <v>0</v>
      </c>
      <c r="O627" s="148"/>
      <c r="R627" s="12"/>
    </row>
    <row r="628" spans="1:18" s="51" customFormat="1" ht="13.5" hidden="1" customHeight="1" outlineLevel="1" x14ac:dyDescent="0.3">
      <c r="A628" s="290">
        <f t="shared" si="74"/>
        <v>0</v>
      </c>
      <c r="B628" s="49"/>
      <c r="C628" s="49"/>
      <c r="D628" s="140" t="s">
        <v>810</v>
      </c>
      <c r="E628" s="67" t="str">
        <f>VLOOKUP(D628,'03. Insumos'!A:D,2,0)</f>
        <v>Material - Frontispício mármore branco Pigues 2,08 x 0,15</v>
      </c>
      <c r="F628" s="68"/>
      <c r="G628" s="68" t="str">
        <f>VLOOKUP(D628,'03. Insumos'!A:F,3,0)</f>
        <v>vb</v>
      </c>
      <c r="H628" s="69">
        <v>1</v>
      </c>
      <c r="I628" s="141"/>
      <c r="J628" s="70">
        <f t="shared" si="76"/>
        <v>515</v>
      </c>
      <c r="K628" s="70">
        <f>IF(A628=0,VLOOKUP(D628,'03. Insumos'!A:F,4,0),"")</f>
        <v>515</v>
      </c>
      <c r="L628" s="338">
        <f t="shared" si="77"/>
        <v>0</v>
      </c>
      <c r="M628" s="153">
        <f t="shared" ca="1" si="75"/>
        <v>0</v>
      </c>
      <c r="O628" s="148"/>
      <c r="R628" s="12"/>
    </row>
    <row r="629" spans="1:18" s="51" customFormat="1" ht="13.5" hidden="1" customHeight="1" outlineLevel="1" x14ac:dyDescent="0.3">
      <c r="A629" s="290">
        <f t="shared" si="74"/>
        <v>0</v>
      </c>
      <c r="B629" s="49"/>
      <c r="C629" s="49"/>
      <c r="D629" s="140" t="s">
        <v>811</v>
      </c>
      <c r="E629" s="67" t="str">
        <f>VLOOKUP(D629,'03. Insumos'!A:D,2,0)</f>
        <v>Material - Tento mármore branco pigues 2,20 x 0,10 m</v>
      </c>
      <c r="F629" s="68"/>
      <c r="G629" s="68" t="str">
        <f>VLOOKUP(D629,'03. Insumos'!A:F,3,0)</f>
        <v>vb</v>
      </c>
      <c r="H629" s="69">
        <v>1</v>
      </c>
      <c r="I629" s="141"/>
      <c r="J629" s="70">
        <f t="shared" si="76"/>
        <v>871</v>
      </c>
      <c r="K629" s="70">
        <f>IF(A629=0,VLOOKUP(D629,'03. Insumos'!A:F,4,0),"")</f>
        <v>871</v>
      </c>
      <c r="L629" s="338">
        <f t="shared" si="77"/>
        <v>0</v>
      </c>
      <c r="M629" s="153">
        <f t="shared" ca="1" si="75"/>
        <v>0</v>
      </c>
      <c r="O629" s="148"/>
      <c r="R629" s="12"/>
    </row>
    <row r="630" spans="1:18" s="51" customFormat="1" ht="13.5" hidden="1" customHeight="1" outlineLevel="1" x14ac:dyDescent="0.3">
      <c r="A630" s="290">
        <f t="shared" si="74"/>
        <v>0</v>
      </c>
      <c r="B630" s="49"/>
      <c r="C630" s="49"/>
      <c r="D630" s="140" t="s">
        <v>800</v>
      </c>
      <c r="E630" s="67" t="str">
        <f>VLOOKUP(D630,'03. Insumos'!A:D,2,0)</f>
        <v>Material - Soleira mármore branco pigues 0,75 x 0,15</v>
      </c>
      <c r="F630" s="68"/>
      <c r="G630" s="68" t="str">
        <f>VLOOKUP(D630,'03. Insumos'!A:F,3,0)</f>
        <v>vb</v>
      </c>
      <c r="H630" s="69">
        <v>1</v>
      </c>
      <c r="I630" s="141"/>
      <c r="J630" s="70">
        <f t="shared" si="76"/>
        <v>185</v>
      </c>
      <c r="K630" s="70">
        <f>IF(A630=0,VLOOKUP(D630,'03. Insumos'!A:F,4,0),"")</f>
        <v>185</v>
      </c>
      <c r="L630" s="338">
        <f t="shared" si="77"/>
        <v>0</v>
      </c>
      <c r="M630" s="153">
        <f t="shared" ca="1" si="75"/>
        <v>0</v>
      </c>
      <c r="O630" s="148"/>
      <c r="R630" s="12"/>
    </row>
    <row r="631" spans="1:18" s="51" customFormat="1" ht="13.5" hidden="1" customHeight="1" outlineLevel="1" x14ac:dyDescent="0.3">
      <c r="A631" s="290">
        <f t="shared" si="74"/>
        <v>0</v>
      </c>
      <c r="B631" s="49"/>
      <c r="C631" s="49"/>
      <c r="D631" s="140" t="s">
        <v>1648</v>
      </c>
      <c r="E631" s="67" t="str">
        <f>VLOOKUP(D631,'03. Insumos'!A:D,2,0)</f>
        <v>Material - Nicho mármore branco Piguês</v>
      </c>
      <c r="F631" s="68"/>
      <c r="G631" s="68" t="str">
        <f>VLOOKUP(D631,'03. Insumos'!A:F,3,0)</f>
        <v>vb</v>
      </c>
      <c r="H631" s="69">
        <v>1</v>
      </c>
      <c r="I631" s="141"/>
      <c r="J631" s="70">
        <f t="shared" si="76"/>
        <v>400</v>
      </c>
      <c r="K631" s="70">
        <f>IF(A631=0,VLOOKUP(D631,'03. Insumos'!A:F,4,0),"")</f>
        <v>400</v>
      </c>
      <c r="L631" s="338">
        <f t="shared" si="77"/>
        <v>0</v>
      </c>
      <c r="M631" s="153">
        <f t="shared" ca="1" si="75"/>
        <v>0</v>
      </c>
      <c r="O631" s="148"/>
      <c r="R631" s="12"/>
    </row>
    <row r="632" spans="1:18" s="51" customFormat="1" ht="13.5" hidden="1" customHeight="1" outlineLevel="1" x14ac:dyDescent="0.3">
      <c r="A632" s="290">
        <f t="shared" si="74"/>
        <v>0</v>
      </c>
      <c r="B632" s="49"/>
      <c r="C632" s="49"/>
      <c r="D632" s="140" t="s">
        <v>812</v>
      </c>
      <c r="E632" s="67" t="str">
        <f>VLOOKUP(D632,'03. Insumos'!A:D,2,0)</f>
        <v>Mão de obra -  Instalação de itens do banheiro suíte 01</v>
      </c>
      <c r="F632" s="68"/>
      <c r="G632" s="68" t="str">
        <f>VLOOKUP(D632,'03. Insumos'!A:F,3,0)</f>
        <v>vb</v>
      </c>
      <c r="H632" s="69">
        <v>1</v>
      </c>
      <c r="I632" s="141"/>
      <c r="J632" s="70">
        <f t="shared" si="76"/>
        <v>1000</v>
      </c>
      <c r="K632" s="70">
        <f>IF(A632=0,VLOOKUP(D632,'03. Insumos'!A:F,4,0),"")</f>
        <v>1000</v>
      </c>
      <c r="L632" s="338">
        <f t="shared" si="77"/>
        <v>0</v>
      </c>
      <c r="M632" s="153">
        <f t="shared" ca="1" si="75"/>
        <v>0</v>
      </c>
      <c r="O632" s="148"/>
      <c r="R632" s="12"/>
    </row>
    <row r="633" spans="1:18" s="51" customFormat="1" ht="13.5" hidden="1" customHeight="1" outlineLevel="1" x14ac:dyDescent="0.3">
      <c r="A633" s="290">
        <f t="shared" si="74"/>
        <v>6</v>
      </c>
      <c r="B633" s="49"/>
      <c r="C633" s="55" t="s">
        <v>1482</v>
      </c>
      <c r="D633" s="55" t="s">
        <v>1488</v>
      </c>
      <c r="E633" s="67"/>
      <c r="F633" s="68"/>
      <c r="G633" s="68"/>
      <c r="H633" s="69"/>
      <c r="I633" s="141"/>
      <c r="J633" s="70"/>
      <c r="K633" s="70"/>
      <c r="L633" s="58">
        <f>SUM(L634:L639)</f>
        <v>0</v>
      </c>
      <c r="M633" s="153">
        <f t="shared" ca="1" si="75"/>
        <v>0</v>
      </c>
      <c r="O633" s="148"/>
      <c r="R633" s="12"/>
    </row>
    <row r="634" spans="1:18" s="51" customFormat="1" ht="13.5" hidden="1" customHeight="1" outlineLevel="1" x14ac:dyDescent="0.3">
      <c r="A634" s="290">
        <f t="shared" si="74"/>
        <v>0</v>
      </c>
      <c r="B634" s="49"/>
      <c r="C634" s="49"/>
      <c r="D634" s="140" t="s">
        <v>813</v>
      </c>
      <c r="E634" s="67" t="str">
        <f>VLOOKUP(D634,'03. Insumos'!A:D,2,0)</f>
        <v>Material -  Bancada mármore branco Pigues 2,03 x 0,60</v>
      </c>
      <c r="F634" s="68"/>
      <c r="G634" s="68" t="str">
        <f>VLOOKUP(D634,'03. Insumos'!A:F,3,0)</f>
        <v>vb</v>
      </c>
      <c r="H634" s="69">
        <v>1</v>
      </c>
      <c r="I634" s="141"/>
      <c r="J634" s="70">
        <f t="shared" ref="J634:J639" si="78">IFERROR(IF(K634&lt;&gt;0,K634*$K$5,0),0)</f>
        <v>2743</v>
      </c>
      <c r="K634" s="70">
        <f>IF(A634=0,VLOOKUP(D634,'03. Insumos'!A:F,4,0),"")</f>
        <v>2743</v>
      </c>
      <c r="L634" s="338">
        <f t="shared" ref="L634:L639" si="79">H634*J634*I634</f>
        <v>0</v>
      </c>
      <c r="M634" s="153">
        <f t="shared" ca="1" si="75"/>
        <v>0</v>
      </c>
      <c r="O634" s="148"/>
      <c r="R634" s="12"/>
    </row>
    <row r="635" spans="1:18" s="51" customFormat="1" ht="13.5" hidden="1" customHeight="1" outlineLevel="1" x14ac:dyDescent="0.3">
      <c r="A635" s="290">
        <f t="shared" si="74"/>
        <v>0</v>
      </c>
      <c r="B635" s="49"/>
      <c r="C635" s="49"/>
      <c r="D635" s="140" t="s">
        <v>814</v>
      </c>
      <c r="E635" s="67" t="str">
        <f>VLOOKUP(D635,'03. Insumos'!A:D,2,0)</f>
        <v>Material - Frontispício mármore branco Pigues 2,63 x 0,15</v>
      </c>
      <c r="F635" s="68"/>
      <c r="G635" s="68" t="str">
        <f>VLOOKUP(D635,'03. Insumos'!A:F,3,0)</f>
        <v>vb</v>
      </c>
      <c r="H635" s="69">
        <v>1</v>
      </c>
      <c r="I635" s="141"/>
      <c r="J635" s="70">
        <f t="shared" si="78"/>
        <v>651</v>
      </c>
      <c r="K635" s="70">
        <f>IF(A635=0,VLOOKUP(D635,'03. Insumos'!A:F,4,0),"")</f>
        <v>651</v>
      </c>
      <c r="L635" s="338">
        <f t="shared" si="79"/>
        <v>0</v>
      </c>
      <c r="M635" s="153">
        <f t="shared" ca="1" si="75"/>
        <v>0</v>
      </c>
      <c r="O635" s="148"/>
      <c r="R635" s="12"/>
    </row>
    <row r="636" spans="1:18" s="51" customFormat="1" ht="13.5" hidden="1" customHeight="1" outlineLevel="1" x14ac:dyDescent="0.3">
      <c r="A636" s="290">
        <f t="shared" si="74"/>
        <v>0</v>
      </c>
      <c r="B636" s="49"/>
      <c r="C636" s="49"/>
      <c r="D636" s="140" t="s">
        <v>815</v>
      </c>
      <c r="E636" s="67" t="str">
        <f>VLOOKUP(D636,'03. Insumos'!A:D,2,0)</f>
        <v>Material - Tento mármore branco pigues 1,80 x 0,10 m</v>
      </c>
      <c r="F636" s="68"/>
      <c r="G636" s="68" t="str">
        <f>VLOOKUP(D636,'03. Insumos'!A:F,3,0)</f>
        <v>vb</v>
      </c>
      <c r="H636" s="69">
        <v>1</v>
      </c>
      <c r="I636" s="141"/>
      <c r="J636" s="70">
        <f t="shared" si="78"/>
        <v>713</v>
      </c>
      <c r="K636" s="70">
        <f>IF(A636=0,VLOOKUP(D636,'03. Insumos'!A:F,4,0),"")</f>
        <v>713</v>
      </c>
      <c r="L636" s="338">
        <f t="shared" si="79"/>
        <v>0</v>
      </c>
      <c r="M636" s="153">
        <f t="shared" ca="1" si="75"/>
        <v>0</v>
      </c>
      <c r="O636" s="148"/>
      <c r="R636" s="12"/>
    </row>
    <row r="637" spans="1:18" s="51" customFormat="1" ht="13.5" hidden="1" customHeight="1" outlineLevel="1" x14ac:dyDescent="0.3">
      <c r="A637" s="290">
        <f t="shared" si="74"/>
        <v>0</v>
      </c>
      <c r="B637" s="49"/>
      <c r="C637" s="49"/>
      <c r="D637" s="140" t="s">
        <v>800</v>
      </c>
      <c r="E637" s="67" t="str">
        <f>VLOOKUP(D637,'03. Insumos'!A:D,2,0)</f>
        <v>Material - Soleira mármore branco pigues 0,75 x 0,15</v>
      </c>
      <c r="F637" s="68"/>
      <c r="G637" s="68" t="str">
        <f>VLOOKUP(D637,'03. Insumos'!A:F,3,0)</f>
        <v>vb</v>
      </c>
      <c r="H637" s="69">
        <v>1</v>
      </c>
      <c r="I637" s="141"/>
      <c r="J637" s="70">
        <f t="shared" si="78"/>
        <v>185</v>
      </c>
      <c r="K637" s="70">
        <f>IF(A637=0,VLOOKUP(D637,'03. Insumos'!A:F,4,0),"")</f>
        <v>185</v>
      </c>
      <c r="L637" s="338">
        <f t="shared" si="79"/>
        <v>0</v>
      </c>
      <c r="M637" s="153">
        <f t="shared" ca="1" si="75"/>
        <v>0</v>
      </c>
      <c r="O637" s="148"/>
      <c r="R637" s="12"/>
    </row>
    <row r="638" spans="1:18" s="51" customFormat="1" ht="13.5" hidden="1" customHeight="1" outlineLevel="1" x14ac:dyDescent="0.3">
      <c r="A638" s="290">
        <f t="shared" si="74"/>
        <v>0</v>
      </c>
      <c r="B638" s="49"/>
      <c r="C638" s="49"/>
      <c r="D638" s="140" t="s">
        <v>1648</v>
      </c>
      <c r="E638" s="67" t="str">
        <f>VLOOKUP(D638,'03. Insumos'!A:D,2,0)</f>
        <v>Material - Nicho mármore branco Piguês</v>
      </c>
      <c r="F638" s="68"/>
      <c r="G638" s="68" t="str">
        <f>VLOOKUP(D638,'03. Insumos'!A:F,3,0)</f>
        <v>vb</v>
      </c>
      <c r="H638" s="69">
        <v>1</v>
      </c>
      <c r="I638" s="141"/>
      <c r="J638" s="70">
        <f t="shared" si="78"/>
        <v>400</v>
      </c>
      <c r="K638" s="70">
        <f>IF(A638=0,VLOOKUP(D638,'03. Insumos'!A:F,4,0),"")</f>
        <v>400</v>
      </c>
      <c r="L638" s="338">
        <f t="shared" si="79"/>
        <v>0</v>
      </c>
      <c r="M638" s="153">
        <f t="shared" ca="1" si="75"/>
        <v>0</v>
      </c>
      <c r="O638" s="148"/>
      <c r="R638" s="12"/>
    </row>
    <row r="639" spans="1:18" s="51" customFormat="1" ht="13.5" hidden="1" customHeight="1" outlineLevel="1" x14ac:dyDescent="0.3">
      <c r="A639" s="290">
        <f t="shared" si="74"/>
        <v>0</v>
      </c>
      <c r="B639" s="49"/>
      <c r="C639" s="49"/>
      <c r="D639" s="140" t="s">
        <v>816</v>
      </c>
      <c r="E639" s="67" t="str">
        <f>VLOOKUP(D639,'03. Insumos'!A:D,2,0)</f>
        <v>Mão de obra -  Instalação de itens do banheiro suíte 02</v>
      </c>
      <c r="F639" s="68"/>
      <c r="G639" s="68" t="str">
        <f>VLOOKUP(D639,'03. Insumos'!A:F,3,0)</f>
        <v>vb</v>
      </c>
      <c r="H639" s="69">
        <v>1</v>
      </c>
      <c r="I639" s="141"/>
      <c r="J639" s="70">
        <f t="shared" si="78"/>
        <v>1000</v>
      </c>
      <c r="K639" s="70">
        <f>IF(A639=0,VLOOKUP(D639,'03. Insumos'!A:F,4,0),"")</f>
        <v>1000</v>
      </c>
      <c r="L639" s="338">
        <f t="shared" si="79"/>
        <v>0</v>
      </c>
      <c r="M639" s="153">
        <f t="shared" ca="1" si="75"/>
        <v>0</v>
      </c>
      <c r="O639" s="148"/>
      <c r="R639" s="12"/>
    </row>
    <row r="640" spans="1:18" s="51" customFormat="1" ht="13.5" hidden="1" customHeight="1" outlineLevel="1" x14ac:dyDescent="0.3">
      <c r="A640" s="290">
        <f t="shared" si="74"/>
        <v>6</v>
      </c>
      <c r="B640" s="49"/>
      <c r="C640" s="55" t="s">
        <v>1487</v>
      </c>
      <c r="D640" s="55" t="s">
        <v>1494</v>
      </c>
      <c r="E640" s="67"/>
      <c r="F640" s="68"/>
      <c r="G640" s="68"/>
      <c r="H640" s="69"/>
      <c r="I640" s="141"/>
      <c r="J640" s="70"/>
      <c r="K640" s="70"/>
      <c r="L640" s="58">
        <f>SUM(L641:L646)</f>
        <v>0</v>
      </c>
      <c r="M640" s="153">
        <f t="shared" ca="1" si="75"/>
        <v>0</v>
      </c>
      <c r="O640" s="148"/>
      <c r="R640" s="12"/>
    </row>
    <row r="641" spans="1:18" s="51" customFormat="1" ht="13.5" hidden="1" customHeight="1" outlineLevel="1" x14ac:dyDescent="0.3">
      <c r="A641" s="290">
        <f t="shared" si="74"/>
        <v>0</v>
      </c>
      <c r="B641" s="49"/>
      <c r="C641" s="49"/>
      <c r="D641" s="140" t="s">
        <v>817</v>
      </c>
      <c r="E641" s="67" t="str">
        <f>VLOOKUP(D641,'03. Insumos'!A:D,2,0)</f>
        <v>Material -  Bancada mármore branco Pigues 1,96 x 0,60</v>
      </c>
      <c r="F641" s="68"/>
      <c r="G641" s="68" t="str">
        <f>VLOOKUP(D641,'03. Insumos'!A:F,3,0)</f>
        <v>vb</v>
      </c>
      <c r="H641" s="69">
        <v>1</v>
      </c>
      <c r="I641" s="141"/>
      <c r="J641" s="70">
        <f t="shared" ref="J641:J646" si="80">IFERROR(IF(K641&lt;&gt;0,K641*$K$5,0),0)</f>
        <v>2661</v>
      </c>
      <c r="K641" s="70">
        <f>IF(A641=0,VLOOKUP(D641,'03. Insumos'!A:F,4,0),"")</f>
        <v>2661</v>
      </c>
      <c r="L641" s="338">
        <f t="shared" ref="L641:L646" si="81">H641*J641*I641</f>
        <v>0</v>
      </c>
      <c r="M641" s="153">
        <f t="shared" ca="1" si="75"/>
        <v>0</v>
      </c>
      <c r="O641" s="148"/>
      <c r="R641" s="12"/>
    </row>
    <row r="642" spans="1:18" s="51" customFormat="1" ht="13.5" hidden="1" customHeight="1" outlineLevel="1" x14ac:dyDescent="0.3">
      <c r="A642" s="290">
        <f t="shared" si="74"/>
        <v>0</v>
      </c>
      <c r="B642" s="49"/>
      <c r="C642" s="49"/>
      <c r="D642" s="140" t="s">
        <v>818</v>
      </c>
      <c r="E642" s="67" t="str">
        <f>VLOOKUP(D642,'03. Insumos'!A:D,2,0)</f>
        <v>Material - Frontispício mármore branco Pigues 2,56 x 0,15</v>
      </c>
      <c r="F642" s="68"/>
      <c r="G642" s="68" t="str">
        <f>VLOOKUP(D642,'03. Insumos'!A:F,3,0)</f>
        <v>vb</v>
      </c>
      <c r="H642" s="69">
        <v>1</v>
      </c>
      <c r="I642" s="141"/>
      <c r="J642" s="70">
        <f t="shared" si="80"/>
        <v>633</v>
      </c>
      <c r="K642" s="70">
        <f>IF(A642=0,VLOOKUP(D642,'03. Insumos'!A:F,4,0),"")</f>
        <v>633</v>
      </c>
      <c r="L642" s="338">
        <f t="shared" si="81"/>
        <v>0</v>
      </c>
      <c r="M642" s="153">
        <f t="shared" ca="1" si="75"/>
        <v>0</v>
      </c>
      <c r="O642" s="148"/>
      <c r="R642" s="12"/>
    </row>
    <row r="643" spans="1:18" s="51" customFormat="1" ht="13.5" hidden="1" customHeight="1" outlineLevel="1" x14ac:dyDescent="0.3">
      <c r="A643" s="290">
        <f t="shared" si="74"/>
        <v>0</v>
      </c>
      <c r="B643" s="49"/>
      <c r="C643" s="49"/>
      <c r="D643" s="140" t="s">
        <v>815</v>
      </c>
      <c r="E643" s="67" t="str">
        <f>VLOOKUP(D643,'03. Insumos'!A:D,2,0)</f>
        <v>Material - Tento mármore branco pigues 1,80 x 0,10 m</v>
      </c>
      <c r="F643" s="68"/>
      <c r="G643" s="68" t="str">
        <f>VLOOKUP(D643,'03. Insumos'!A:F,3,0)</f>
        <v>vb</v>
      </c>
      <c r="H643" s="69">
        <v>1</v>
      </c>
      <c r="I643" s="141"/>
      <c r="J643" s="70">
        <f t="shared" si="80"/>
        <v>713</v>
      </c>
      <c r="K643" s="70">
        <f>IF(A643=0,VLOOKUP(D643,'03. Insumos'!A:F,4,0),"")</f>
        <v>713</v>
      </c>
      <c r="L643" s="338">
        <f t="shared" si="81"/>
        <v>0</v>
      </c>
      <c r="M643" s="153">
        <f t="shared" ca="1" si="75"/>
        <v>0</v>
      </c>
      <c r="O643" s="148"/>
      <c r="R643" s="12"/>
    </row>
    <row r="644" spans="1:18" s="51" customFormat="1" ht="13.5" hidden="1" customHeight="1" outlineLevel="1" x14ac:dyDescent="0.3">
      <c r="A644" s="290">
        <f t="shared" si="74"/>
        <v>0</v>
      </c>
      <c r="B644" s="49"/>
      <c r="C644" s="49"/>
      <c r="D644" s="140" t="s">
        <v>800</v>
      </c>
      <c r="E644" s="67" t="str">
        <f>VLOOKUP(D644,'03. Insumos'!A:D,2,0)</f>
        <v>Material - Soleira mármore branco pigues 0,75 x 0,15</v>
      </c>
      <c r="F644" s="68"/>
      <c r="G644" s="68" t="str">
        <f>VLOOKUP(D644,'03. Insumos'!A:F,3,0)</f>
        <v>vb</v>
      </c>
      <c r="H644" s="69">
        <v>1</v>
      </c>
      <c r="I644" s="141"/>
      <c r="J644" s="70">
        <f t="shared" si="80"/>
        <v>185</v>
      </c>
      <c r="K644" s="70">
        <f>IF(A644=0,VLOOKUP(D644,'03. Insumos'!A:F,4,0),"")</f>
        <v>185</v>
      </c>
      <c r="L644" s="338">
        <f t="shared" si="81"/>
        <v>0</v>
      </c>
      <c r="M644" s="153">
        <f t="shared" ca="1" si="75"/>
        <v>0</v>
      </c>
      <c r="O644" s="148"/>
      <c r="R644" s="12"/>
    </row>
    <row r="645" spans="1:18" s="51" customFormat="1" ht="13.5" hidden="1" customHeight="1" outlineLevel="1" x14ac:dyDescent="0.3">
      <c r="A645" s="290">
        <f t="shared" si="74"/>
        <v>0</v>
      </c>
      <c r="B645" s="49"/>
      <c r="C645" s="49"/>
      <c r="D645" s="140" t="s">
        <v>1648</v>
      </c>
      <c r="E645" s="67" t="str">
        <f>VLOOKUP(D645,'03. Insumos'!A:D,2,0)</f>
        <v>Material - Nicho mármore branco Piguês</v>
      </c>
      <c r="F645" s="68"/>
      <c r="G645" s="68" t="str">
        <f>VLOOKUP(D645,'03. Insumos'!A:F,3,0)</f>
        <v>vb</v>
      </c>
      <c r="H645" s="69">
        <v>1</v>
      </c>
      <c r="I645" s="141"/>
      <c r="J645" s="70">
        <f t="shared" si="80"/>
        <v>400</v>
      </c>
      <c r="K645" s="70">
        <f>IF(A645=0,VLOOKUP(D645,'03. Insumos'!A:F,4,0),"")</f>
        <v>400</v>
      </c>
      <c r="L645" s="338">
        <f t="shared" si="81"/>
        <v>0</v>
      </c>
      <c r="M645" s="153">
        <f t="shared" ca="1" si="75"/>
        <v>0</v>
      </c>
      <c r="O645" s="148"/>
      <c r="R645" s="12"/>
    </row>
    <row r="646" spans="1:18" s="51" customFormat="1" ht="13.5" hidden="1" customHeight="1" outlineLevel="1" x14ac:dyDescent="0.3">
      <c r="A646" s="290">
        <f t="shared" si="74"/>
        <v>0</v>
      </c>
      <c r="B646" s="49"/>
      <c r="C646" s="49"/>
      <c r="D646" s="140" t="s">
        <v>819</v>
      </c>
      <c r="E646" s="67" t="str">
        <f>VLOOKUP(D646,'03. Insumos'!A:D,2,0)</f>
        <v>Mão de obra -  Instalação de itens do banheiro suíte 03</v>
      </c>
      <c r="F646" s="68"/>
      <c r="G646" s="68" t="str">
        <f>VLOOKUP(D646,'03. Insumos'!A:F,3,0)</f>
        <v>vb</v>
      </c>
      <c r="H646" s="69">
        <v>1</v>
      </c>
      <c r="I646" s="141"/>
      <c r="J646" s="70">
        <f t="shared" si="80"/>
        <v>1000</v>
      </c>
      <c r="K646" s="70">
        <f>IF(A646=0,VLOOKUP(D646,'03. Insumos'!A:F,4,0),"")</f>
        <v>1000</v>
      </c>
      <c r="L646" s="338">
        <f t="shared" si="81"/>
        <v>0</v>
      </c>
      <c r="M646" s="153">
        <f t="shared" ca="1" si="75"/>
        <v>0</v>
      </c>
      <c r="O646" s="148"/>
      <c r="R646" s="12"/>
    </row>
    <row r="647" spans="1:18" s="51" customFormat="1" ht="13.5" hidden="1" customHeight="1" outlineLevel="1" x14ac:dyDescent="0.3">
      <c r="A647" s="290">
        <f t="shared" si="74"/>
        <v>6</v>
      </c>
      <c r="B647" s="49"/>
      <c r="C647" s="55" t="s">
        <v>1493</v>
      </c>
      <c r="D647" s="55" t="s">
        <v>1498</v>
      </c>
      <c r="E647" s="67"/>
      <c r="F647" s="68"/>
      <c r="G647" s="68"/>
      <c r="H647" s="69"/>
      <c r="I647" s="141"/>
      <c r="J647" s="70"/>
      <c r="K647" s="70"/>
      <c r="L647" s="58">
        <f>SUM(L648:L653)</f>
        <v>0</v>
      </c>
      <c r="M647" s="153">
        <f t="shared" ca="1" si="75"/>
        <v>0</v>
      </c>
      <c r="O647" s="148"/>
      <c r="R647" s="12"/>
    </row>
    <row r="648" spans="1:18" s="51" customFormat="1" ht="13.5" hidden="1" customHeight="1" outlineLevel="1" x14ac:dyDescent="0.3">
      <c r="A648" s="290">
        <f t="shared" si="74"/>
        <v>0</v>
      </c>
      <c r="B648" s="49"/>
      <c r="C648" s="49"/>
      <c r="D648" s="140" t="s">
        <v>820</v>
      </c>
      <c r="E648" s="67" t="str">
        <f>VLOOKUP(D648,'03. Insumos'!A:D,2,0)</f>
        <v>Material -  Bancada mármore branco Pigues 2,28 x 0,60</v>
      </c>
      <c r="F648" s="68"/>
      <c r="G648" s="68" t="str">
        <f>VLOOKUP(D648,'03. Insumos'!A:F,3,0)</f>
        <v>vb</v>
      </c>
      <c r="H648" s="69">
        <v>1</v>
      </c>
      <c r="I648" s="141"/>
      <c r="J648" s="70">
        <f t="shared" ref="J648:J653" si="82">IFERROR(IF(K648&lt;&gt;0,K648*$K$5,0),0)</f>
        <v>2338</v>
      </c>
      <c r="K648" s="70">
        <f>IF(A648=0,VLOOKUP(D648,'03. Insumos'!A:F,4,0),"")</f>
        <v>2338</v>
      </c>
      <c r="L648" s="338">
        <f t="shared" ref="L648:L653" si="83">H648*J648*I648</f>
        <v>0</v>
      </c>
      <c r="M648" s="153">
        <f t="shared" ca="1" si="75"/>
        <v>0</v>
      </c>
      <c r="O648" s="148"/>
      <c r="R648" s="12"/>
    </row>
    <row r="649" spans="1:18" s="51" customFormat="1" ht="13.5" hidden="1" customHeight="1" outlineLevel="1" x14ac:dyDescent="0.3">
      <c r="A649" s="290">
        <f t="shared" si="74"/>
        <v>0</v>
      </c>
      <c r="B649" s="49"/>
      <c r="C649" s="49"/>
      <c r="D649" s="140" t="s">
        <v>821</v>
      </c>
      <c r="E649" s="67" t="str">
        <f>VLOOKUP(D649,'03. Insumos'!A:D,2,0)</f>
        <v>Material - Frontispício mármore branco Pigues 2,56 x 0,15</v>
      </c>
      <c r="F649" s="68"/>
      <c r="G649" s="68" t="str">
        <f>VLOOKUP(D649,'03. Insumos'!A:F,3,0)</f>
        <v>vb</v>
      </c>
      <c r="H649" s="69">
        <v>1</v>
      </c>
      <c r="I649" s="141"/>
      <c r="J649" s="70">
        <f t="shared" si="82"/>
        <v>564</v>
      </c>
      <c r="K649" s="70">
        <f>IF(A649=0,VLOOKUP(D649,'03. Insumos'!A:F,4,0),"")</f>
        <v>564</v>
      </c>
      <c r="L649" s="338">
        <f t="shared" si="83"/>
        <v>0</v>
      </c>
      <c r="M649" s="153">
        <f t="shared" ca="1" si="75"/>
        <v>0</v>
      </c>
      <c r="O649" s="148"/>
      <c r="R649" s="12"/>
    </row>
    <row r="650" spans="1:18" s="51" customFormat="1" ht="13.5" hidden="1" customHeight="1" outlineLevel="1" x14ac:dyDescent="0.3">
      <c r="A650" s="290">
        <f t="shared" si="74"/>
        <v>0</v>
      </c>
      <c r="B650" s="49"/>
      <c r="C650" s="49"/>
      <c r="D650" s="140" t="s">
        <v>822</v>
      </c>
      <c r="E650" s="67" t="str">
        <f>VLOOKUP(D650,'03. Insumos'!A:D,2,0)</f>
        <v>Material - Tento mármore branco pigues 1,22 x 0,10 m</v>
      </c>
      <c r="F650" s="68"/>
      <c r="G650" s="68" t="str">
        <f>VLOOKUP(D650,'03. Insumos'!A:F,3,0)</f>
        <v>vb</v>
      </c>
      <c r="H650" s="69">
        <v>1</v>
      </c>
      <c r="I650" s="141"/>
      <c r="J650" s="70">
        <f t="shared" si="82"/>
        <v>483</v>
      </c>
      <c r="K650" s="70">
        <f>IF(A650=0,VLOOKUP(D650,'03. Insumos'!A:F,4,0),"")</f>
        <v>483</v>
      </c>
      <c r="L650" s="338">
        <f t="shared" si="83"/>
        <v>0</v>
      </c>
      <c r="M650" s="153">
        <f t="shared" ca="1" si="75"/>
        <v>0</v>
      </c>
      <c r="O650" s="148"/>
      <c r="R650" s="12"/>
    </row>
    <row r="651" spans="1:18" s="51" customFormat="1" ht="13.5" hidden="1" customHeight="1" outlineLevel="1" x14ac:dyDescent="0.3">
      <c r="A651" s="290">
        <f t="shared" si="74"/>
        <v>0</v>
      </c>
      <c r="B651" s="49"/>
      <c r="C651" s="49"/>
      <c r="D651" s="140" t="s">
        <v>800</v>
      </c>
      <c r="E651" s="67" t="str">
        <f>VLOOKUP(D651,'03. Insumos'!A:D,2,0)</f>
        <v>Material - Soleira mármore branco pigues 0,75 x 0,15</v>
      </c>
      <c r="F651" s="68"/>
      <c r="G651" s="68" t="str">
        <f>VLOOKUP(D651,'03. Insumos'!A:F,3,0)</f>
        <v>vb</v>
      </c>
      <c r="H651" s="69">
        <v>1</v>
      </c>
      <c r="I651" s="141"/>
      <c r="J651" s="70">
        <f t="shared" si="82"/>
        <v>185</v>
      </c>
      <c r="K651" s="70">
        <f>IF(A651=0,VLOOKUP(D651,'03. Insumos'!A:F,4,0),"")</f>
        <v>185</v>
      </c>
      <c r="L651" s="338">
        <f t="shared" si="83"/>
        <v>0</v>
      </c>
      <c r="M651" s="153">
        <f t="shared" ca="1" si="75"/>
        <v>0</v>
      </c>
      <c r="O651" s="148"/>
      <c r="R651" s="12"/>
    </row>
    <row r="652" spans="1:18" s="51" customFormat="1" ht="13.5" hidden="1" customHeight="1" outlineLevel="1" x14ac:dyDescent="0.3">
      <c r="A652" s="290">
        <f t="shared" si="74"/>
        <v>0</v>
      </c>
      <c r="B652" s="49"/>
      <c r="C652" s="49"/>
      <c r="D652" s="140" t="s">
        <v>1648</v>
      </c>
      <c r="E652" s="67" t="str">
        <f>VLOOKUP(D652,'03. Insumos'!A:D,2,0)</f>
        <v>Material - Nicho mármore branco Piguês</v>
      </c>
      <c r="F652" s="68"/>
      <c r="G652" s="68" t="str">
        <f>VLOOKUP(D652,'03. Insumos'!A:F,3,0)</f>
        <v>vb</v>
      </c>
      <c r="H652" s="69">
        <v>1</v>
      </c>
      <c r="I652" s="141"/>
      <c r="J652" s="70">
        <f t="shared" si="82"/>
        <v>400</v>
      </c>
      <c r="K652" s="70">
        <f>IF(A652=0,VLOOKUP(D652,'03. Insumos'!A:F,4,0),"")</f>
        <v>400</v>
      </c>
      <c r="L652" s="338">
        <f t="shared" si="83"/>
        <v>0</v>
      </c>
      <c r="M652" s="153">
        <f t="shared" ca="1" si="75"/>
        <v>0</v>
      </c>
      <c r="O652" s="148"/>
      <c r="R652" s="12"/>
    </row>
    <row r="653" spans="1:18" s="51" customFormat="1" ht="13.5" hidden="1" customHeight="1" outlineLevel="1" x14ac:dyDescent="0.3">
      <c r="A653" s="290">
        <f t="shared" si="74"/>
        <v>0</v>
      </c>
      <c r="B653" s="49"/>
      <c r="C653" s="49"/>
      <c r="D653" s="140" t="s">
        <v>823</v>
      </c>
      <c r="E653" s="67" t="str">
        <f>VLOOKUP(D653,'03. Insumos'!A:D,2,0)</f>
        <v>Mão de obra -  Instalação de itens do banheiro 01 suíte master</v>
      </c>
      <c r="F653" s="68"/>
      <c r="G653" s="68" t="str">
        <f>VLOOKUP(D653,'03. Insumos'!A:F,3,0)</f>
        <v>vb</v>
      </c>
      <c r="H653" s="69">
        <v>1</v>
      </c>
      <c r="I653" s="141"/>
      <c r="J653" s="70">
        <f t="shared" si="82"/>
        <v>1000</v>
      </c>
      <c r="K653" s="70">
        <f>IF(A653=0,VLOOKUP(D653,'03. Insumos'!A:F,4,0),"")</f>
        <v>1000</v>
      </c>
      <c r="L653" s="338">
        <f t="shared" si="83"/>
        <v>0</v>
      </c>
      <c r="M653" s="153">
        <f t="shared" ca="1" si="75"/>
        <v>0</v>
      </c>
      <c r="O653" s="148"/>
      <c r="R653" s="12"/>
    </row>
    <row r="654" spans="1:18" s="51" customFormat="1" ht="13.5" hidden="1" customHeight="1" outlineLevel="1" x14ac:dyDescent="0.3">
      <c r="A654" s="290">
        <f t="shared" si="74"/>
        <v>6</v>
      </c>
      <c r="B654" s="49"/>
      <c r="C654" s="55" t="s">
        <v>1493</v>
      </c>
      <c r="D654" s="55" t="s">
        <v>1502</v>
      </c>
      <c r="E654" s="67"/>
      <c r="F654" s="68"/>
      <c r="G654" s="68"/>
      <c r="H654" s="69"/>
      <c r="I654" s="141"/>
      <c r="J654" s="70"/>
      <c r="K654" s="70"/>
      <c r="L654" s="58">
        <f>SUM(L655:L660)</f>
        <v>0</v>
      </c>
      <c r="M654" s="153">
        <f t="shared" ca="1" si="75"/>
        <v>0</v>
      </c>
      <c r="O654" s="148"/>
      <c r="R654" s="12"/>
    </row>
    <row r="655" spans="1:18" s="51" customFormat="1" ht="13.5" hidden="1" customHeight="1" outlineLevel="1" x14ac:dyDescent="0.3">
      <c r="A655" s="290">
        <f t="shared" si="74"/>
        <v>0</v>
      </c>
      <c r="B655" s="49"/>
      <c r="C655" s="49"/>
      <c r="D655" s="140" t="s">
        <v>797</v>
      </c>
      <c r="E655" s="67" t="str">
        <f>VLOOKUP(D655,'03. Insumos'!A:D,2,0)</f>
        <v>Material -  Bancada mármore branco Pigues 2,96 x 0,60</v>
      </c>
      <c r="F655" s="68"/>
      <c r="G655" s="68" t="str">
        <f>VLOOKUP(D655,'03. Insumos'!A:F,3,0)</f>
        <v>vb</v>
      </c>
      <c r="H655" s="69">
        <v>1</v>
      </c>
      <c r="I655" s="141"/>
      <c r="J655" s="70">
        <f t="shared" ref="J655:J660" si="84">IFERROR(IF(K655&lt;&gt;0,K655*$K$5,0),0)</f>
        <v>3816</v>
      </c>
      <c r="K655" s="70">
        <f>IF(A655=0,VLOOKUP(D655,'03. Insumos'!A:F,4,0),"")</f>
        <v>3816</v>
      </c>
      <c r="L655" s="338">
        <f t="shared" ref="L655:L660" si="85">H655*J655*I655</f>
        <v>0</v>
      </c>
      <c r="M655" s="153">
        <f t="shared" ca="1" si="75"/>
        <v>0</v>
      </c>
      <c r="O655" s="148"/>
      <c r="R655" s="12"/>
    </row>
    <row r="656" spans="1:18" s="51" customFormat="1" ht="13.5" hidden="1" customHeight="1" outlineLevel="1" x14ac:dyDescent="0.3">
      <c r="A656" s="290">
        <f t="shared" si="74"/>
        <v>0</v>
      </c>
      <c r="B656" s="49"/>
      <c r="C656" s="49"/>
      <c r="D656" s="140" t="s">
        <v>824</v>
      </c>
      <c r="E656" s="67" t="str">
        <f>VLOOKUP(D656,'03. Insumos'!A:D,2,0)</f>
        <v>Material - Frontispício mármore branco Pigues 3,56 x 0,15</v>
      </c>
      <c r="F656" s="68"/>
      <c r="G656" s="68" t="str">
        <f>VLOOKUP(D656,'03. Insumos'!A:F,3,0)</f>
        <v>vb</v>
      </c>
      <c r="H656" s="69">
        <v>1</v>
      </c>
      <c r="I656" s="141"/>
      <c r="J656" s="70">
        <f t="shared" si="84"/>
        <v>881</v>
      </c>
      <c r="K656" s="70">
        <f>IF(A656=0,VLOOKUP(D656,'03. Insumos'!A:F,4,0),"")</f>
        <v>881</v>
      </c>
      <c r="L656" s="338">
        <f t="shared" si="85"/>
        <v>0</v>
      </c>
      <c r="M656" s="153">
        <f t="shared" ca="1" si="75"/>
        <v>0</v>
      </c>
      <c r="O656" s="148"/>
      <c r="R656" s="12"/>
    </row>
    <row r="657" spans="1:18" s="51" customFormat="1" ht="13.5" hidden="1" customHeight="1" outlineLevel="1" x14ac:dyDescent="0.3">
      <c r="A657" s="290">
        <f t="shared" si="74"/>
        <v>0</v>
      </c>
      <c r="B657" s="49"/>
      <c r="C657" s="49"/>
      <c r="D657" s="140" t="s">
        <v>825</v>
      </c>
      <c r="E657" s="67" t="str">
        <f>VLOOKUP(D657,'03. Insumos'!A:D,2,0)</f>
        <v>Material - Tento mármore branco pigues 4,18 x 0,10 m</v>
      </c>
      <c r="F657" s="68"/>
      <c r="G657" s="68" t="str">
        <f>VLOOKUP(D657,'03. Insumos'!A:F,3,0)</f>
        <v>vb</v>
      </c>
      <c r="H657" s="69">
        <v>1</v>
      </c>
      <c r="I657" s="141"/>
      <c r="J657" s="70">
        <f t="shared" si="84"/>
        <v>1656</v>
      </c>
      <c r="K657" s="70">
        <f>IF(A657=0,VLOOKUP(D657,'03. Insumos'!A:F,4,0),"")</f>
        <v>1656</v>
      </c>
      <c r="L657" s="338">
        <f t="shared" si="85"/>
        <v>0</v>
      </c>
      <c r="M657" s="153">
        <f t="shared" ca="1" si="75"/>
        <v>0</v>
      </c>
      <c r="O657" s="148"/>
      <c r="R657" s="12"/>
    </row>
    <row r="658" spans="1:18" s="51" customFormat="1" ht="13.5" hidden="1" customHeight="1" outlineLevel="1" x14ac:dyDescent="0.3">
      <c r="A658" s="290">
        <f t="shared" si="74"/>
        <v>0</v>
      </c>
      <c r="B658" s="49"/>
      <c r="C658" s="49"/>
      <c r="D658" s="140" t="s">
        <v>826</v>
      </c>
      <c r="E658" s="67" t="str">
        <f>VLOOKUP(D658,'03. Insumos'!A:D,2,0)</f>
        <v>Material - soleira mármore branco piguês 0,90 x 0,15</v>
      </c>
      <c r="F658" s="68"/>
      <c r="G658" s="68" t="str">
        <f>VLOOKUP(D658,'03. Insumos'!A:F,3,0)</f>
        <v>vb</v>
      </c>
      <c r="H658" s="69">
        <v>1</v>
      </c>
      <c r="I658" s="141"/>
      <c r="J658" s="70">
        <f t="shared" si="84"/>
        <v>223</v>
      </c>
      <c r="K658" s="70">
        <f>IF(A658=0,VLOOKUP(D658,'03. Insumos'!A:F,4,0),"")</f>
        <v>223</v>
      </c>
      <c r="L658" s="338">
        <f t="shared" si="85"/>
        <v>0</v>
      </c>
      <c r="M658" s="153">
        <f t="shared" ca="1" si="75"/>
        <v>0</v>
      </c>
      <c r="O658" s="148"/>
      <c r="R658" s="12"/>
    </row>
    <row r="659" spans="1:18" s="51" customFormat="1" ht="13.5" hidden="1" customHeight="1" outlineLevel="1" x14ac:dyDescent="0.3">
      <c r="A659" s="290">
        <f t="shared" si="74"/>
        <v>0</v>
      </c>
      <c r="B659" s="49"/>
      <c r="C659" s="49"/>
      <c r="D659" s="140" t="s">
        <v>1648</v>
      </c>
      <c r="E659" s="67" t="str">
        <f>VLOOKUP(D659,'03. Insumos'!A:D,2,0)</f>
        <v>Material - Nicho mármore branco Piguês</v>
      </c>
      <c r="F659" s="68"/>
      <c r="G659" s="68" t="str">
        <f>VLOOKUP(D659,'03. Insumos'!A:F,3,0)</f>
        <v>vb</v>
      </c>
      <c r="H659" s="69">
        <v>1</v>
      </c>
      <c r="I659" s="141"/>
      <c r="J659" s="70">
        <f t="shared" si="84"/>
        <v>400</v>
      </c>
      <c r="K659" s="70">
        <f>IF(A659=0,VLOOKUP(D659,'03. Insumos'!A:F,4,0),"")</f>
        <v>400</v>
      </c>
      <c r="L659" s="338">
        <f t="shared" si="85"/>
        <v>0</v>
      </c>
      <c r="M659" s="153">
        <f t="shared" ca="1" si="75"/>
        <v>0</v>
      </c>
      <c r="O659" s="148"/>
      <c r="R659" s="12"/>
    </row>
    <row r="660" spans="1:18" s="51" customFormat="1" ht="13.5" hidden="1" customHeight="1" outlineLevel="1" x14ac:dyDescent="0.3">
      <c r="A660" s="290">
        <f t="shared" si="74"/>
        <v>0</v>
      </c>
      <c r="B660" s="49"/>
      <c r="C660" s="49"/>
      <c r="D660" s="140" t="s">
        <v>827</v>
      </c>
      <c r="E660" s="67" t="str">
        <f>VLOOKUP(D660,'03. Insumos'!A:D,2,0)</f>
        <v>Mão de obra -  Instalação de itens do banheiro 02 suíte master</v>
      </c>
      <c r="F660" s="68"/>
      <c r="G660" s="68" t="str">
        <f>VLOOKUP(D660,'03. Insumos'!A:F,3,0)</f>
        <v>vb</v>
      </c>
      <c r="H660" s="69">
        <v>1</v>
      </c>
      <c r="I660" s="141"/>
      <c r="J660" s="70">
        <f t="shared" si="84"/>
        <v>1300</v>
      </c>
      <c r="K660" s="70">
        <f>IF(A660=0,VLOOKUP(D660,'03. Insumos'!A:F,4,0),"")</f>
        <v>1300</v>
      </c>
      <c r="L660" s="338">
        <f t="shared" si="85"/>
        <v>0</v>
      </c>
      <c r="M660" s="153">
        <f t="shared" ca="1" si="75"/>
        <v>0</v>
      </c>
      <c r="O660" s="148"/>
      <c r="R660" s="12"/>
    </row>
    <row r="661" spans="1:18" s="51" customFormat="1" ht="13.5" hidden="1" customHeight="1" outlineLevel="1" x14ac:dyDescent="0.3">
      <c r="A661" s="290">
        <f t="shared" si="74"/>
        <v>6</v>
      </c>
      <c r="B661" s="49"/>
      <c r="C661" s="55" t="s">
        <v>1493</v>
      </c>
      <c r="D661" s="55" t="s">
        <v>1546</v>
      </c>
      <c r="E661" s="67"/>
      <c r="F661" s="68"/>
      <c r="G661" s="68"/>
      <c r="H661" s="69"/>
      <c r="I661" s="141"/>
      <c r="J661" s="70"/>
      <c r="K661" s="70"/>
      <c r="L661" s="58">
        <f>SUM(L662:L667)</f>
        <v>0</v>
      </c>
      <c r="M661" s="153">
        <f t="shared" ca="1" si="75"/>
        <v>0</v>
      </c>
      <c r="O661" s="148"/>
      <c r="R661" s="12"/>
    </row>
    <row r="662" spans="1:18" s="51" customFormat="1" ht="13.5" hidden="1" customHeight="1" outlineLevel="1" x14ac:dyDescent="0.3">
      <c r="A662" s="290">
        <f t="shared" si="74"/>
        <v>0</v>
      </c>
      <c r="B662" s="49"/>
      <c r="C662" s="49"/>
      <c r="D662" s="140" t="s">
        <v>1619</v>
      </c>
      <c r="E662" s="67" t="str">
        <f>VLOOKUP(D662,'03. Insumos'!A:D,2,0)</f>
        <v>Material - Bancada de  preto são gabriel 3,62 x 0,60</v>
      </c>
      <c r="F662" s="68"/>
      <c r="G662" s="68" t="str">
        <f>VLOOKUP(D662,'03. Insumos'!A:F,3,0)</f>
        <v>vb</v>
      </c>
      <c r="H662" s="69">
        <v>1</v>
      </c>
      <c r="I662" s="141"/>
      <c r="J662" s="70">
        <f t="shared" ref="J662:J667" si="86">IFERROR(IF(K662&lt;&gt;0,K662*$K$5,0),0)</f>
        <v>1660</v>
      </c>
      <c r="K662" s="70">
        <f>IF(A662=0,VLOOKUP(D662,'03. Insumos'!A:F,4,0),"")</f>
        <v>1660</v>
      </c>
      <c r="L662" s="338">
        <f t="shared" ref="L662:L667" si="87">H662*J662*I662</f>
        <v>0</v>
      </c>
      <c r="M662" s="153">
        <f t="shared" ca="1" si="75"/>
        <v>0</v>
      </c>
      <c r="O662" s="148"/>
      <c r="R662" s="12"/>
    </row>
    <row r="663" spans="1:18" s="51" customFormat="1" ht="13.5" hidden="1" customHeight="1" outlineLevel="1" x14ac:dyDescent="0.3">
      <c r="A663" s="290">
        <f t="shared" si="74"/>
        <v>0</v>
      </c>
      <c r="B663" s="49"/>
      <c r="C663" s="49"/>
      <c r="D663" s="140" t="s">
        <v>1620</v>
      </c>
      <c r="E663" s="67" t="str">
        <f>VLOOKUP(D663,'03. Insumos'!A:D,2,0)</f>
        <v>Material - Frontispício até h=15cm de preto são gabriel 4,22 x 0,15</v>
      </c>
      <c r="F663" s="68"/>
      <c r="G663" s="68" t="str">
        <f>VLOOKUP(D663,'03. Insumos'!A:F,3,0)</f>
        <v>vb</v>
      </c>
      <c r="H663" s="69">
        <v>1</v>
      </c>
      <c r="I663" s="141"/>
      <c r="J663" s="70">
        <f t="shared" si="86"/>
        <v>348</v>
      </c>
      <c r="K663" s="70">
        <f>IF(A663=0,VLOOKUP(D663,'03. Insumos'!A:F,4,0),"")</f>
        <v>348</v>
      </c>
      <c r="L663" s="338">
        <f t="shared" si="87"/>
        <v>0</v>
      </c>
      <c r="M663" s="153">
        <f t="shared" ca="1" si="75"/>
        <v>0</v>
      </c>
      <c r="O663" s="148"/>
      <c r="R663" s="12"/>
    </row>
    <row r="664" spans="1:18" s="51" customFormat="1" ht="13.5" hidden="1" customHeight="1" outlineLevel="1" x14ac:dyDescent="0.3">
      <c r="A664" s="290">
        <f t="shared" si="74"/>
        <v>0</v>
      </c>
      <c r="B664" s="49"/>
      <c r="C664" s="49"/>
      <c r="D664" s="140" t="s">
        <v>1621</v>
      </c>
      <c r="E664" s="67" t="str">
        <f>VLOOKUP(D664,'03. Insumos'!A:D,2,0)</f>
        <v>Material - Ilhargas dupla de preto são gabriel 0,85 x 0,60</v>
      </c>
      <c r="F664" s="68"/>
      <c r="G664" s="68" t="str">
        <f>VLOOKUP(D664,'03. Insumos'!A:F,3,0)</f>
        <v>vb</v>
      </c>
      <c r="H664" s="69">
        <v>2</v>
      </c>
      <c r="I664" s="141"/>
      <c r="J664" s="70">
        <f t="shared" si="86"/>
        <v>393</v>
      </c>
      <c r="K664" s="70">
        <f>IF(A664=0,VLOOKUP(D664,'03. Insumos'!A:F,4,0),"")</f>
        <v>393</v>
      </c>
      <c r="L664" s="338">
        <f t="shared" si="87"/>
        <v>0</v>
      </c>
      <c r="M664" s="153">
        <f t="shared" ca="1" si="75"/>
        <v>0</v>
      </c>
      <c r="O664" s="148"/>
      <c r="R664" s="12"/>
    </row>
    <row r="665" spans="1:18" s="51" customFormat="1" ht="13.5" hidden="1" customHeight="1" outlineLevel="1" x14ac:dyDescent="0.3">
      <c r="A665" s="290">
        <f t="shared" si="74"/>
        <v>0</v>
      </c>
      <c r="B665" s="49"/>
      <c r="C665" s="49"/>
      <c r="D665" s="140" t="s">
        <v>1622</v>
      </c>
      <c r="E665" s="67" t="str">
        <f>VLOOKUP(D665,'03. Insumos'!A:D,2,0)</f>
        <v>Material - Ilha com saia de 5cm de preto são gabriel 3,15 x 0,85</v>
      </c>
      <c r="F665" s="68"/>
      <c r="G665" s="68" t="str">
        <f>VLOOKUP(D665,'03. Insumos'!A:F,3,0)</f>
        <v>vb</v>
      </c>
      <c r="H665" s="69">
        <v>1</v>
      </c>
      <c r="I665" s="141"/>
      <c r="J665" s="70">
        <f t="shared" si="86"/>
        <v>2410</v>
      </c>
      <c r="K665" s="70">
        <f>IF(A665=0,VLOOKUP(D665,'03. Insumos'!A:F,4,0),"")</f>
        <v>2410</v>
      </c>
      <c r="L665" s="338">
        <f t="shared" si="87"/>
        <v>0</v>
      </c>
      <c r="M665" s="153">
        <f t="shared" ca="1" si="75"/>
        <v>0</v>
      </c>
      <c r="O665" s="148"/>
      <c r="R665" s="12"/>
    </row>
    <row r="666" spans="1:18" s="51" customFormat="1" ht="13.5" hidden="1" customHeight="1" outlineLevel="1" x14ac:dyDescent="0.3">
      <c r="A666" s="290">
        <f t="shared" si="74"/>
        <v>0</v>
      </c>
      <c r="B666" s="49"/>
      <c r="C666" s="49"/>
      <c r="D666" s="140" t="s">
        <v>1623</v>
      </c>
      <c r="E666" s="67" t="str">
        <f>VLOOKUP(D666,'03. Insumos'!A:D,2,0)</f>
        <v>Material - Fechamento da ilha de preto são gabriel 8,1 x 0,85</v>
      </c>
      <c r="F666" s="68"/>
      <c r="G666" s="68" t="str">
        <f>VLOOKUP(D666,'03. Insumos'!A:F,3,0)</f>
        <v>vb</v>
      </c>
      <c r="H666" s="69">
        <v>1</v>
      </c>
      <c r="I666" s="141"/>
      <c r="J666" s="70">
        <f t="shared" si="86"/>
        <v>4009.0000000000005</v>
      </c>
      <c r="K666" s="70">
        <f>IF(A666=0,VLOOKUP(D666,'03. Insumos'!A:F,4,0),"")</f>
        <v>4009.0000000000005</v>
      </c>
      <c r="L666" s="338">
        <f t="shared" si="87"/>
        <v>0</v>
      </c>
      <c r="M666" s="153">
        <f t="shared" ca="1" si="75"/>
        <v>0</v>
      </c>
      <c r="O666" s="148"/>
      <c r="R666" s="12"/>
    </row>
    <row r="667" spans="1:18" s="51" customFormat="1" ht="13.5" hidden="1" customHeight="1" outlineLevel="1" x14ac:dyDescent="0.3">
      <c r="A667" s="290">
        <f t="shared" si="74"/>
        <v>0</v>
      </c>
      <c r="B667" s="49"/>
      <c r="C667" s="49"/>
      <c r="D667" s="140" t="s">
        <v>1624</v>
      </c>
      <c r="E667" s="67" t="str">
        <f>VLOOKUP(D667,'03. Insumos'!A:D,2,0)</f>
        <v>Mão de obra  - Instalação dos itens da cozinha</v>
      </c>
      <c r="F667" s="68"/>
      <c r="G667" s="68" t="str">
        <f>VLOOKUP(D667,'03. Insumos'!A:F,3,0)</f>
        <v>vb</v>
      </c>
      <c r="H667" s="69">
        <v>1</v>
      </c>
      <c r="I667" s="141"/>
      <c r="J667" s="70">
        <f t="shared" si="86"/>
        <v>2840</v>
      </c>
      <c r="K667" s="70">
        <f>IF(A667=0,VLOOKUP(D667,'03. Insumos'!A:F,4,0),"")</f>
        <v>2840</v>
      </c>
      <c r="L667" s="338">
        <f t="shared" si="87"/>
        <v>0</v>
      </c>
      <c r="M667" s="153">
        <f t="shared" ca="1" si="75"/>
        <v>0</v>
      </c>
      <c r="O667" s="148"/>
      <c r="R667" s="12"/>
    </row>
    <row r="668" spans="1:18" s="51" customFormat="1" ht="13.5" hidden="1" customHeight="1" outlineLevel="1" x14ac:dyDescent="0.3">
      <c r="A668" s="290">
        <f t="shared" si="74"/>
        <v>6</v>
      </c>
      <c r="B668" s="49"/>
      <c r="C668" s="55" t="s">
        <v>1493</v>
      </c>
      <c r="D668" s="55" t="s">
        <v>1547</v>
      </c>
      <c r="E668" s="67"/>
      <c r="F668" s="68"/>
      <c r="G668" s="68"/>
      <c r="H668" s="69"/>
      <c r="I668" s="141"/>
      <c r="J668" s="70"/>
      <c r="K668" s="70"/>
      <c r="L668" s="58">
        <f>SUM(L669:L671)</f>
        <v>0</v>
      </c>
      <c r="M668" s="153">
        <f t="shared" ca="1" si="75"/>
        <v>0</v>
      </c>
      <c r="O668" s="148"/>
      <c r="R668" s="12"/>
    </row>
    <row r="669" spans="1:18" s="51" customFormat="1" ht="13.5" hidden="1" customHeight="1" outlineLevel="1" x14ac:dyDescent="0.3">
      <c r="A669" s="290">
        <f t="shared" si="74"/>
        <v>0</v>
      </c>
      <c r="B669" s="49"/>
      <c r="C669" s="49"/>
      <c r="D669" s="140" t="s">
        <v>1628</v>
      </c>
      <c r="E669" s="67" t="str">
        <f>VLOOKUP(D669,'03. Insumos'!A:D,2,0)</f>
        <v>Material - Bancada com furo para tanque preto são gabriel 3,51 x 0,60</v>
      </c>
      <c r="F669" s="68"/>
      <c r="G669" s="68" t="str">
        <f>VLOOKUP(D669,'03. Insumos'!A:F,3,0)</f>
        <v>vb</v>
      </c>
      <c r="H669" s="69">
        <v>1</v>
      </c>
      <c r="I669" s="141"/>
      <c r="J669" s="70">
        <f>IFERROR(IF(K669&lt;&gt;0,K669*$K$5,0),0)</f>
        <v>1518</v>
      </c>
      <c r="K669" s="70">
        <f>IF(A669=0,VLOOKUP(D669,'03. Insumos'!A:F,4,0),"")</f>
        <v>1518</v>
      </c>
      <c r="L669" s="338">
        <f>H669*J669*I669</f>
        <v>0</v>
      </c>
      <c r="M669" s="153">
        <f t="shared" ca="1" si="75"/>
        <v>0</v>
      </c>
      <c r="O669" s="148"/>
      <c r="R669" s="12"/>
    </row>
    <row r="670" spans="1:18" s="51" customFormat="1" ht="13.5" hidden="1" customHeight="1" outlineLevel="1" x14ac:dyDescent="0.3">
      <c r="A670" s="290">
        <f t="shared" si="74"/>
        <v>0</v>
      </c>
      <c r="B670" s="49"/>
      <c r="C670" s="49"/>
      <c r="D670" s="140" t="s">
        <v>1629</v>
      </c>
      <c r="E670" s="67" t="str">
        <f>VLOOKUP(D670,'03. Insumos'!A:D,2,0)</f>
        <v>Material - Frontispício até h=15cm de preto são gabriel 3,63 x 0,15</v>
      </c>
      <c r="F670" s="68"/>
      <c r="G670" s="68" t="str">
        <f>VLOOKUP(D670,'03. Insumos'!A:F,3,0)</f>
        <v>vb</v>
      </c>
      <c r="H670" s="69">
        <v>1</v>
      </c>
      <c r="I670" s="141"/>
      <c r="J670" s="70">
        <f>IFERROR(IF(K670&lt;&gt;0,K670*$K$5,0),0)</f>
        <v>300</v>
      </c>
      <c r="K670" s="70">
        <f>IF(A670=0,VLOOKUP(D670,'03. Insumos'!A:F,4,0),"")</f>
        <v>300</v>
      </c>
      <c r="L670" s="338">
        <f>H670*J670*I670</f>
        <v>0</v>
      </c>
      <c r="M670" s="153">
        <f t="shared" ca="1" si="75"/>
        <v>0</v>
      </c>
      <c r="O670" s="148"/>
      <c r="R670" s="12"/>
    </row>
    <row r="671" spans="1:18" s="51" customFormat="1" ht="13.5" hidden="1" customHeight="1" outlineLevel="1" x14ac:dyDescent="0.3">
      <c r="A671" s="290">
        <f t="shared" si="74"/>
        <v>0</v>
      </c>
      <c r="B671" s="49"/>
      <c r="C671" s="49"/>
      <c r="D671" s="140" t="s">
        <v>1630</v>
      </c>
      <c r="E671" s="67" t="str">
        <f>VLOOKUP(D671,'03. Insumos'!A:D,2,0)</f>
        <v>Mão de obra  - Instalação dos itens da lavanderia</v>
      </c>
      <c r="F671" s="68"/>
      <c r="G671" s="68" t="str">
        <f>VLOOKUP(D671,'03. Insumos'!A:F,3,0)</f>
        <v>vb</v>
      </c>
      <c r="H671" s="69">
        <v>1</v>
      </c>
      <c r="I671" s="141"/>
      <c r="J671" s="70">
        <f>IFERROR(IF(K671&lt;&gt;0,K671*$K$5,0),0)</f>
        <v>600</v>
      </c>
      <c r="K671" s="70">
        <f>IF(A671=0,VLOOKUP(D671,'03. Insumos'!A:F,4,0),"")</f>
        <v>600</v>
      </c>
      <c r="L671" s="338">
        <f>H671*J671*I671</f>
        <v>0</v>
      </c>
      <c r="M671" s="153">
        <f t="shared" ca="1" si="75"/>
        <v>0</v>
      </c>
      <c r="O671" s="148"/>
      <c r="R671" s="12"/>
    </row>
    <row r="672" spans="1:18" s="51" customFormat="1" ht="13.5" hidden="1" customHeight="1" outlineLevel="1" x14ac:dyDescent="0.3">
      <c r="A672" s="290">
        <f t="shared" si="74"/>
        <v>6</v>
      </c>
      <c r="B672" s="49"/>
      <c r="C672" s="55" t="s">
        <v>1493</v>
      </c>
      <c r="D672" s="55" t="s">
        <v>1551</v>
      </c>
      <c r="E672" s="67"/>
      <c r="F672" s="68"/>
      <c r="G672" s="68"/>
      <c r="H672" s="69"/>
      <c r="I672" s="141"/>
      <c r="J672" s="70"/>
      <c r="K672" s="70"/>
      <c r="L672" s="58">
        <f>SUM(L673:L677)</f>
        <v>0</v>
      </c>
      <c r="M672" s="153">
        <f t="shared" ca="1" si="75"/>
        <v>0</v>
      </c>
      <c r="O672" s="148"/>
      <c r="R672" s="12"/>
    </row>
    <row r="673" spans="1:18" s="51" customFormat="1" ht="13.5" hidden="1" customHeight="1" outlineLevel="1" x14ac:dyDescent="0.3">
      <c r="A673" s="290">
        <f t="shared" si="74"/>
        <v>0</v>
      </c>
      <c r="B673" s="49"/>
      <c r="C673" s="49"/>
      <c r="D673" s="140" t="s">
        <v>1633</v>
      </c>
      <c r="E673" s="67" t="str">
        <f>VLOOKUP(D673,'03. Insumos'!A:D,2,0)</f>
        <v>Material - Bancada de  preto são gabriel 4,50 x 0,60</v>
      </c>
      <c r="F673" s="68"/>
      <c r="G673" s="68" t="str">
        <f>VLOOKUP(D673,'03. Insumos'!A:F,3,0)</f>
        <v>vb</v>
      </c>
      <c r="H673" s="69">
        <v>1</v>
      </c>
      <c r="I673" s="141"/>
      <c r="J673" s="70">
        <f>IFERROR(IF(K673&lt;&gt;0,K673*$K$5,0),0)</f>
        <v>2050</v>
      </c>
      <c r="K673" s="70">
        <f>IF(A673=0,VLOOKUP(D673,'03. Insumos'!A:F,4,0),"")</f>
        <v>2050</v>
      </c>
      <c r="L673" s="338">
        <f>H673*J673*I673</f>
        <v>0</v>
      </c>
      <c r="M673" s="153">
        <f t="shared" ca="1" si="75"/>
        <v>0</v>
      </c>
      <c r="O673" s="148"/>
      <c r="R673" s="12"/>
    </row>
    <row r="674" spans="1:18" s="51" customFormat="1" ht="13.5" hidden="1" customHeight="1" outlineLevel="1" x14ac:dyDescent="0.3">
      <c r="A674" s="290">
        <f t="shared" si="74"/>
        <v>0</v>
      </c>
      <c r="B674" s="49"/>
      <c r="C674" s="49"/>
      <c r="D674" s="140" t="s">
        <v>1634</v>
      </c>
      <c r="E674" s="67" t="str">
        <f>VLOOKUP(D674,'03. Insumos'!A:D,2,0)</f>
        <v>Material - Frontispício até h=15cm de preto são gabriel  5,10 x 0,15</v>
      </c>
      <c r="F674" s="68"/>
      <c r="G674" s="68" t="str">
        <f>VLOOKUP(D674,'03. Insumos'!A:F,3,0)</f>
        <v>vb</v>
      </c>
      <c r="H674" s="69">
        <v>1</v>
      </c>
      <c r="I674" s="141"/>
      <c r="J674" s="70">
        <f>IFERROR(IF(K674&lt;&gt;0,K674*$K$5,0),0)</f>
        <v>421</v>
      </c>
      <c r="K674" s="70">
        <f>IF(A674=0,VLOOKUP(D674,'03. Insumos'!A:F,4,0),"")</f>
        <v>421</v>
      </c>
      <c r="L674" s="338">
        <f>H674*J674*I674</f>
        <v>0</v>
      </c>
      <c r="M674" s="153">
        <f t="shared" ca="1" si="75"/>
        <v>0</v>
      </c>
      <c r="O674" s="148"/>
      <c r="R674" s="12"/>
    </row>
    <row r="675" spans="1:18" s="51" customFormat="1" ht="13.5" hidden="1" customHeight="1" outlineLevel="1" x14ac:dyDescent="0.3">
      <c r="A675" s="290">
        <f t="shared" si="74"/>
        <v>0</v>
      </c>
      <c r="B675" s="49"/>
      <c r="C675" s="49"/>
      <c r="D675" s="140" t="s">
        <v>1635</v>
      </c>
      <c r="E675" s="67" t="str">
        <f>VLOOKUP(D675,'03. Insumos'!A:D,2,0)</f>
        <v>Material - Ilhargas dupla de preto são gabriel 0,85 x 0,60</v>
      </c>
      <c r="F675" s="68"/>
      <c r="G675" s="68" t="str">
        <f>VLOOKUP(D675,'03. Insumos'!A:F,3,0)</f>
        <v>vb</v>
      </c>
      <c r="H675" s="69">
        <v>1</v>
      </c>
      <c r="I675" s="141"/>
      <c r="J675" s="70">
        <f>IFERROR(IF(K675&lt;&gt;0,K675*$K$5,0),0)</f>
        <v>393</v>
      </c>
      <c r="K675" s="70">
        <f>IF(A675=0,VLOOKUP(D675,'03. Insumos'!A:F,4,0),"")</f>
        <v>393</v>
      </c>
      <c r="L675" s="338">
        <f>H675*J675*I675</f>
        <v>0</v>
      </c>
      <c r="M675" s="153">
        <f t="shared" ca="1" si="75"/>
        <v>0</v>
      </c>
      <c r="O675" s="148"/>
      <c r="R675" s="12"/>
    </row>
    <row r="676" spans="1:18" s="51" customFormat="1" ht="13.5" hidden="1" customHeight="1" outlineLevel="1" x14ac:dyDescent="0.3">
      <c r="A676" s="290">
        <f t="shared" ref="A676:A780" si="88">LEN(C676)</f>
        <v>0</v>
      </c>
      <c r="B676" s="49"/>
      <c r="C676" s="49"/>
      <c r="D676" s="140" t="s">
        <v>1636</v>
      </c>
      <c r="E676" s="67" t="str">
        <f>VLOOKUP(D676,'03. Insumos'!A:D,2,0)</f>
        <v>Material - Ilha com saia de 5cm de preto são gabriel  6,48 x 0,85</v>
      </c>
      <c r="F676" s="68"/>
      <c r="G676" s="68" t="str">
        <f>VLOOKUP(D676,'03. Insumos'!A:F,3,0)</f>
        <v>vb</v>
      </c>
      <c r="H676" s="69">
        <v>1</v>
      </c>
      <c r="I676" s="141"/>
      <c r="J676" s="70">
        <f>IFERROR(IF(K676&lt;&gt;0,K676*$K$5,0),0)</f>
        <v>4758</v>
      </c>
      <c r="K676" s="70">
        <f>IF(A676=0,VLOOKUP(D676,'03. Insumos'!A:F,4,0),"")</f>
        <v>4758</v>
      </c>
      <c r="L676" s="338">
        <f>H676*J676*I676</f>
        <v>0</v>
      </c>
      <c r="M676" s="153">
        <f t="shared" ca="1" si="75"/>
        <v>0</v>
      </c>
      <c r="O676" s="148"/>
      <c r="R676" s="12"/>
    </row>
    <row r="677" spans="1:18" s="51" customFormat="1" ht="13.5" hidden="1" customHeight="1" outlineLevel="1" x14ac:dyDescent="0.3">
      <c r="A677" s="290">
        <f t="shared" si="88"/>
        <v>0</v>
      </c>
      <c r="B677" s="49"/>
      <c r="C677" s="49"/>
      <c r="D677" s="140" t="s">
        <v>1639</v>
      </c>
      <c r="E677" s="67" t="str">
        <f>VLOOKUP(D677,'03. Insumos'!A:D,2,0)</f>
        <v>Mão de obra  - Instalação dos itens da churrasqueira</v>
      </c>
      <c r="F677" s="68"/>
      <c r="G677" s="68" t="str">
        <f>VLOOKUP(D677,'03. Insumos'!A:F,3,0)</f>
        <v>vb</v>
      </c>
      <c r="H677" s="69">
        <v>1</v>
      </c>
      <c r="I677" s="141"/>
      <c r="J677" s="70">
        <f>IFERROR(IF(K677&lt;&gt;0,K677*$K$5,0),0)</f>
        <v>2340</v>
      </c>
      <c r="K677" s="70">
        <f>IF(A677=0,VLOOKUP(D677,'03. Insumos'!A:F,4,0),"")</f>
        <v>2340</v>
      </c>
      <c r="L677" s="338">
        <f>H677*J677*I677</f>
        <v>0</v>
      </c>
      <c r="M677" s="153">
        <f t="shared" ca="1" si="75"/>
        <v>0</v>
      </c>
      <c r="O677" s="148"/>
      <c r="R677" s="12"/>
    </row>
    <row r="678" spans="1:18" s="51" customFormat="1" ht="13.5" hidden="1" customHeight="1" outlineLevel="1" x14ac:dyDescent="0.3">
      <c r="A678" s="290">
        <f t="shared" si="88"/>
        <v>6</v>
      </c>
      <c r="B678" s="49"/>
      <c r="C678" s="55" t="s">
        <v>1493</v>
      </c>
      <c r="D678" s="55" t="s">
        <v>1640</v>
      </c>
      <c r="E678" s="67"/>
      <c r="F678" s="68"/>
      <c r="G678" s="68"/>
      <c r="H678" s="69"/>
      <c r="I678" s="141"/>
      <c r="J678" s="70"/>
      <c r="K678" s="70"/>
      <c r="L678" s="58">
        <f>SUM(L679:L683)</f>
        <v>0</v>
      </c>
      <c r="M678" s="153">
        <f t="shared" ca="1" si="75"/>
        <v>0</v>
      </c>
      <c r="O678" s="148"/>
      <c r="R678" s="12"/>
    </row>
    <row r="679" spans="1:18" s="51" customFormat="1" ht="13.5" hidden="1" customHeight="1" outlineLevel="1" x14ac:dyDescent="0.3">
      <c r="A679" s="290">
        <f t="shared" si="88"/>
        <v>0</v>
      </c>
      <c r="B679" s="49"/>
      <c r="C679" s="49"/>
      <c r="D679" s="140" t="s">
        <v>1641</v>
      </c>
      <c r="E679" s="67" t="str">
        <f>VLOOKUP(D679,'03. Insumos'!A:D,2,0)</f>
        <v>Material - Bancanda com furo para cuba e saia de 15cm de mármore branco piguês 1,97 x 0,6</v>
      </c>
      <c r="F679" s="68"/>
      <c r="G679" s="68" t="str">
        <f>VLOOKUP(D679,'03. Insumos'!A:F,3,0)</f>
        <v>vb</v>
      </c>
      <c r="H679" s="69">
        <v>1</v>
      </c>
      <c r="I679" s="141"/>
      <c r="J679" s="70">
        <f>IFERROR(IF(K679&lt;&gt;0,K679*$K$5,0),0)</f>
        <v>1171</v>
      </c>
      <c r="K679" s="70">
        <f>IF(A679=0,VLOOKUP(D679,'03. Insumos'!A:F,4,0),"")</f>
        <v>1171</v>
      </c>
      <c r="L679" s="338">
        <f>H679*J679*I679</f>
        <v>0</v>
      </c>
      <c r="M679" s="153">
        <f t="shared" ca="1" si="75"/>
        <v>0</v>
      </c>
      <c r="O679" s="148"/>
      <c r="R679" s="12"/>
    </row>
    <row r="680" spans="1:18" s="51" customFormat="1" ht="13.5" hidden="1" customHeight="1" outlineLevel="1" x14ac:dyDescent="0.3">
      <c r="A680" s="290">
        <f t="shared" si="88"/>
        <v>0</v>
      </c>
      <c r="B680" s="49"/>
      <c r="C680" s="49"/>
      <c r="D680" s="140" t="s">
        <v>1642</v>
      </c>
      <c r="E680" s="67" t="str">
        <f>VLOOKUP(D680,'03. Insumos'!A:D,2,0)</f>
        <v>Material - Frontispício até h=15cm de mármore branco piguês 3,17 x 0,15</v>
      </c>
      <c r="F680" s="68"/>
      <c r="G680" s="68" t="str">
        <f>VLOOKUP(D680,'03. Insumos'!A:F,3,0)</f>
        <v>vb</v>
      </c>
      <c r="H680" s="69">
        <v>1</v>
      </c>
      <c r="I680" s="141"/>
      <c r="J680" s="70">
        <f>IFERROR(IF(K680&lt;&gt;0,K680*$K$5,0),0)</f>
        <v>262</v>
      </c>
      <c r="K680" s="70">
        <f>IF(A680=0,VLOOKUP(D680,'03. Insumos'!A:F,4,0),"")</f>
        <v>262</v>
      </c>
      <c r="L680" s="338">
        <f>H680*J680*I680</f>
        <v>0</v>
      </c>
      <c r="M680" s="153">
        <f t="shared" ca="1" si="75"/>
        <v>0</v>
      </c>
      <c r="O680" s="148"/>
      <c r="R680" s="12"/>
    </row>
    <row r="681" spans="1:18" s="51" customFormat="1" ht="13.5" hidden="1" customHeight="1" outlineLevel="1" x14ac:dyDescent="0.3">
      <c r="A681" s="290">
        <f t="shared" si="88"/>
        <v>0</v>
      </c>
      <c r="B681" s="49"/>
      <c r="C681" s="49"/>
      <c r="D681" s="140" t="s">
        <v>1648</v>
      </c>
      <c r="E681" s="67" t="str">
        <f>VLOOKUP(D681,'03. Insumos'!A:D,2,0)</f>
        <v>Material - Nicho mármore branco Piguês</v>
      </c>
      <c r="F681" s="68"/>
      <c r="G681" s="68" t="str">
        <f>VLOOKUP(D681,'03. Insumos'!A:F,3,0)</f>
        <v>vb</v>
      </c>
      <c r="H681" s="69">
        <v>1</v>
      </c>
      <c r="I681" s="141"/>
      <c r="J681" s="70">
        <f>IFERROR(IF(K681&lt;&gt;0,K681*$K$5,0),0)</f>
        <v>400</v>
      </c>
      <c r="K681" s="70">
        <f>IF(A681=0,VLOOKUP(D681,'03. Insumos'!A:F,4,0),"")</f>
        <v>400</v>
      </c>
      <c r="L681" s="338">
        <f>H681*J681*I681</f>
        <v>0</v>
      </c>
      <c r="M681" s="153">
        <f t="shared" ref="M681:M758" ca="1" si="89">L681/$L$7</f>
        <v>0</v>
      </c>
      <c r="O681" s="148"/>
      <c r="R681" s="12"/>
    </row>
    <row r="682" spans="1:18" s="51" customFormat="1" ht="13.5" hidden="1" customHeight="1" outlineLevel="1" x14ac:dyDescent="0.3">
      <c r="A682" s="290">
        <f t="shared" si="88"/>
        <v>0</v>
      </c>
      <c r="B682" s="49"/>
      <c r="C682" s="49"/>
      <c r="D682" s="140" t="s">
        <v>808</v>
      </c>
      <c r="E682" s="67" t="str">
        <f>VLOOKUP(D682,'03. Insumos'!A:D,2,0)</f>
        <v>Material - soleira mármore branco piguês 0,65 x 0,15</v>
      </c>
      <c r="F682" s="68"/>
      <c r="G682" s="68" t="str">
        <f>VLOOKUP(D682,'03. Insumos'!A:F,3,0)</f>
        <v>vb</v>
      </c>
      <c r="H682" s="69">
        <v>1</v>
      </c>
      <c r="I682" s="141"/>
      <c r="J682" s="70">
        <f>IFERROR(IF(K682&lt;&gt;0,K682*$K$5,0),0)</f>
        <v>161</v>
      </c>
      <c r="K682" s="70">
        <f>IF(A682=0,VLOOKUP(D682,'03. Insumos'!A:F,4,0),"")</f>
        <v>161</v>
      </c>
      <c r="L682" s="338">
        <f>H682*J682*I682</f>
        <v>0</v>
      </c>
      <c r="M682" s="153">
        <f t="shared" ca="1" si="89"/>
        <v>0</v>
      </c>
      <c r="O682" s="148"/>
      <c r="R682" s="12"/>
    </row>
    <row r="683" spans="1:18" s="51" customFormat="1" ht="13.5" hidden="1" customHeight="1" outlineLevel="1" x14ac:dyDescent="0.3">
      <c r="A683" s="290">
        <f t="shared" si="88"/>
        <v>0</v>
      </c>
      <c r="B683" s="49"/>
      <c r="C683" s="49"/>
      <c r="D683" s="140" t="s">
        <v>1643</v>
      </c>
      <c r="E683" s="67" t="str">
        <f>VLOOKUP(D683,'03. Insumos'!A:D,2,0)</f>
        <v>Mão de obra  - Instalação dos itens do banheiro da churrasqueira</v>
      </c>
      <c r="F683" s="68"/>
      <c r="G683" s="68" t="str">
        <f>VLOOKUP(D683,'03. Insumos'!A:F,3,0)</f>
        <v>vb</v>
      </c>
      <c r="H683" s="69">
        <v>1</v>
      </c>
      <c r="I683" s="141"/>
      <c r="J683" s="70">
        <f>IFERROR(IF(K683&lt;&gt;0,K683*$K$5,0),0)</f>
        <v>1800</v>
      </c>
      <c r="K683" s="70">
        <f>IF(A683=0,VLOOKUP(D683,'03. Insumos'!A:F,4,0),"")</f>
        <v>1800</v>
      </c>
      <c r="L683" s="338">
        <f>H683*J683*I683</f>
        <v>0</v>
      </c>
      <c r="M683" s="153">
        <f t="shared" ca="1" si="89"/>
        <v>0</v>
      </c>
      <c r="O683" s="148"/>
      <c r="R683" s="12"/>
    </row>
    <row r="684" spans="1:18" s="51" customFormat="1" ht="13.5" hidden="1" customHeight="1" outlineLevel="1" x14ac:dyDescent="0.3">
      <c r="A684" s="290">
        <f t="shared" si="88"/>
        <v>6</v>
      </c>
      <c r="B684" s="49"/>
      <c r="C684" s="55" t="s">
        <v>1493</v>
      </c>
      <c r="D684" s="55" t="s">
        <v>1650</v>
      </c>
      <c r="E684" s="67"/>
      <c r="F684" s="68"/>
      <c r="G684" s="68"/>
      <c r="H684" s="69"/>
      <c r="I684" s="141"/>
      <c r="J684" s="70"/>
      <c r="K684" s="70"/>
      <c r="L684" s="58">
        <f>SUM(L685:L686)</f>
        <v>0</v>
      </c>
      <c r="M684" s="153">
        <f t="shared" ca="1" si="89"/>
        <v>0</v>
      </c>
      <c r="O684" s="148"/>
      <c r="R684" s="12"/>
    </row>
    <row r="685" spans="1:18" s="51" customFormat="1" ht="13.5" hidden="1" customHeight="1" outlineLevel="1" x14ac:dyDescent="0.3">
      <c r="A685" s="290">
        <f t="shared" si="88"/>
        <v>0</v>
      </c>
      <c r="B685" s="49"/>
      <c r="C685" s="49"/>
      <c r="D685" s="140" t="s">
        <v>805</v>
      </c>
      <c r="E685" s="67" t="str">
        <f>VLOOKUP(D685,'03. Insumos'!A:D,2,0)</f>
        <v>Material - rodapé granito cinza andorinha altura de  10 cm</v>
      </c>
      <c r="F685" s="68"/>
      <c r="G685" s="68" t="str">
        <f>VLOOKUP(D685,'03. Insumos'!A:F,3,0)</f>
        <v>m</v>
      </c>
      <c r="H685" s="69">
        <v>1</v>
      </c>
      <c r="I685" s="141"/>
      <c r="J685" s="70">
        <f>IFERROR(IF(K685&lt;&gt;0,K685*$K$5,0),0)</f>
        <v>25.05</v>
      </c>
      <c r="K685" s="70">
        <f>IF(A685=0,VLOOKUP(D685,'03. Insumos'!A:F,4,0),"")</f>
        <v>25.05</v>
      </c>
      <c r="L685" s="338">
        <f>H685*J685*I685</f>
        <v>0</v>
      </c>
      <c r="M685" s="153">
        <f t="shared" ca="1" si="89"/>
        <v>0</v>
      </c>
      <c r="O685" s="148"/>
      <c r="R685" s="12"/>
    </row>
    <row r="686" spans="1:18" s="51" customFormat="1" ht="13.5" hidden="1" customHeight="1" outlineLevel="1" x14ac:dyDescent="0.3">
      <c r="A686" s="290">
        <f t="shared" si="88"/>
        <v>0</v>
      </c>
      <c r="B686" s="49"/>
      <c r="C686" s="49"/>
      <c r="D686" s="140" t="s">
        <v>802</v>
      </c>
      <c r="E686" s="67" t="str">
        <f>VLOOKUP(D686,'03. Insumos'!A:D,2,0)</f>
        <v>Mão de obra - instalação rodapé da escada / varanda suíte 03 / varanda suíte master / mirante</v>
      </c>
      <c r="F686" s="68"/>
      <c r="G686" s="68" t="str">
        <f>VLOOKUP(D686,'03. Insumos'!A:F,3,0)</f>
        <v>vb</v>
      </c>
      <c r="H686" s="69">
        <v>2</v>
      </c>
      <c r="I686" s="141"/>
      <c r="J686" s="70">
        <f>IFERROR(IF(K686&lt;&gt;0,K686*$K$5,0),0)</f>
        <v>1389</v>
      </c>
      <c r="K686" s="70">
        <f>IF(A686=0,VLOOKUP(D686,'03. Insumos'!A:F,4,0),"")</f>
        <v>1389</v>
      </c>
      <c r="L686" s="338">
        <f>H686*J686*I686</f>
        <v>0</v>
      </c>
      <c r="M686" s="153">
        <f t="shared" ca="1" si="89"/>
        <v>0</v>
      </c>
      <c r="O686" s="148"/>
      <c r="R686" s="12"/>
    </row>
    <row r="687" spans="1:18" s="18" customFormat="1" ht="13.5" customHeight="1" x14ac:dyDescent="0.3">
      <c r="A687" s="290">
        <f t="shared" si="88"/>
        <v>3</v>
      </c>
      <c r="B687" s="35"/>
      <c r="C687" s="35" t="s">
        <v>84</v>
      </c>
      <c r="D687" s="35" t="s">
        <v>307</v>
      </c>
      <c r="E687" s="390"/>
      <c r="F687" s="323"/>
      <c r="G687" s="323"/>
      <c r="H687" s="324"/>
      <c r="I687" s="37"/>
      <c r="J687" s="333"/>
      <c r="K687" s="333"/>
      <c r="L687" s="333">
        <f>SUMIF(A688:A740,4,L688:L740)</f>
        <v>642366.082742</v>
      </c>
      <c r="M687" s="153">
        <f t="shared" ca="1" si="89"/>
        <v>2.4210755811839069E-2</v>
      </c>
      <c r="O687" s="148">
        <f>IF(I687&lt;&gt;0,I687*H687*K687,)</f>
        <v>0</v>
      </c>
      <c r="R687" s="12">
        <f>IF(J687&lt;&gt;0,J687/1.03-K687,0)</f>
        <v>0</v>
      </c>
    </row>
    <row r="688" spans="1:18" s="18" customFormat="1" ht="5.25" customHeight="1" outlineLevel="1" x14ac:dyDescent="0.3">
      <c r="A688" s="290">
        <f t="shared" si="88"/>
        <v>0</v>
      </c>
      <c r="B688" s="63"/>
      <c r="C688" s="63"/>
      <c r="D688" s="63"/>
      <c r="E688" s="391"/>
      <c r="F688" s="325"/>
      <c r="G688" s="325"/>
      <c r="H688" s="326"/>
      <c r="I688" s="65"/>
      <c r="J688" s="334">
        <f>IFERROR(IF(K688&lt;&gt;0,K688*$K$5,0),0)</f>
        <v>0</v>
      </c>
      <c r="K688" s="334" t="e">
        <f>IF(A688=0,VLOOKUP(D688,'03. Insumos'!A:F,4,0),"")</f>
        <v>#N/A</v>
      </c>
      <c r="L688" s="334"/>
      <c r="M688" s="153">
        <f t="shared" ca="1" si="89"/>
        <v>0</v>
      </c>
      <c r="O688" s="148">
        <f>IF(I688&lt;&gt;0,I688*H688*K688,)</f>
        <v>0</v>
      </c>
      <c r="R688" s="12">
        <f>IF(J688&lt;&gt;0,J688/1.03-K688,0)</f>
        <v>0</v>
      </c>
    </row>
    <row r="689" spans="1:18" s="18" customFormat="1" ht="13.5" customHeight="1" outlineLevel="1" x14ac:dyDescent="0.3">
      <c r="A689" s="290">
        <f t="shared" si="88"/>
        <v>4</v>
      </c>
      <c r="B689" s="45"/>
      <c r="C689" s="45" t="s">
        <v>327</v>
      </c>
      <c r="D689" s="45" t="s">
        <v>307</v>
      </c>
      <c r="E689" s="347"/>
      <c r="F689" s="327"/>
      <c r="G689" s="327"/>
      <c r="H689" s="328"/>
      <c r="I689" s="61"/>
      <c r="J689" s="335"/>
      <c r="K689" s="335" t="str">
        <f>IF(A689=0,VLOOKUP(D689,'03. Insumos'!A:F,4,0),"")</f>
        <v/>
      </c>
      <c r="L689" s="335">
        <f>SUMIF(A690:A740,6,L690:L740)</f>
        <v>642366.082742</v>
      </c>
      <c r="M689" s="153">
        <f t="shared" ca="1" si="89"/>
        <v>2.4210755811839069E-2</v>
      </c>
      <c r="O689" s="148">
        <f>IF(I689&lt;&gt;0,I689*H689*K689,)</f>
        <v>0</v>
      </c>
      <c r="R689" s="12">
        <f>IF(J689&lt;&gt;0,J689/1.03-K689,0)</f>
        <v>0</v>
      </c>
    </row>
    <row r="690" spans="1:18" s="59" customFormat="1" ht="13.5" customHeight="1" outlineLevel="1" x14ac:dyDescent="0.3">
      <c r="A690" s="290">
        <f t="shared" si="88"/>
        <v>6</v>
      </c>
      <c r="B690" s="55"/>
      <c r="C690" s="55" t="s">
        <v>280</v>
      </c>
      <c r="D690" s="4" t="s">
        <v>2507</v>
      </c>
      <c r="E690" s="55"/>
      <c r="F690" s="56"/>
      <c r="G690" s="56"/>
      <c r="H690" s="57"/>
      <c r="I690" s="57"/>
      <c r="J690" s="58"/>
      <c r="K690" s="58" t="str">
        <f>IF(A690=0,VLOOKUP(D690,'03. Insumos'!A:F,4,0),"")</f>
        <v/>
      </c>
      <c r="L690" s="58">
        <f>SUM(L691:L703)</f>
        <v>358973.98274200002</v>
      </c>
      <c r="M690" s="153">
        <f t="shared" ca="1" si="89"/>
        <v>1.3529717200932233E-2</v>
      </c>
      <c r="O690" s="148">
        <f>IF(I690&lt;&gt;0,I690*H690*K690,)</f>
        <v>0</v>
      </c>
      <c r="R690" s="12">
        <f>IF(J690&lt;&gt;0,J690/1.03-K690,0)</f>
        <v>0</v>
      </c>
    </row>
    <row r="691" spans="1:18" s="51" customFormat="1" ht="13.5" hidden="1" customHeight="1" outlineLevel="1" x14ac:dyDescent="0.3">
      <c r="A691" s="290">
        <f t="shared" si="88"/>
        <v>0</v>
      </c>
      <c r="B691" s="49"/>
      <c r="C691" s="49"/>
      <c r="D691" s="140" t="s">
        <v>2496</v>
      </c>
      <c r="E691" s="67" t="str">
        <f>VLOOKUP(D691,'03. Insumos'!A:D,2,0)</f>
        <v>P17 - PORTA DE CORRER DE DUAS 
FOLHAS E BANDEIRA FIXA
EM ALUMÍNIO E MIOLOS EM
TELA EXPANDIDA</v>
      </c>
      <c r="F691" s="344" t="s">
        <v>2599</v>
      </c>
      <c r="G691" s="344" t="str">
        <f>VLOOKUP(D691,'03. Insumos'!A:F,3,0)</f>
        <v>vb</v>
      </c>
      <c r="H691" s="345"/>
      <c r="I691" s="345">
        <v>2</v>
      </c>
      <c r="J691" s="342">
        <f t="shared" ref="J691:J703" si="90">IFERROR(IF(K691&lt;&gt;0,K691*$K$5,0),0)</f>
        <v>0</v>
      </c>
      <c r="K691" s="70">
        <f>IF(A691=0,VLOOKUP(D691,'03. Insumos'!A:F,4,0),"")</f>
        <v>0</v>
      </c>
      <c r="L691" s="70">
        <f>H691*J691*I691</f>
        <v>0</v>
      </c>
      <c r="M691" s="153">
        <f t="shared" ca="1" si="89"/>
        <v>0</v>
      </c>
      <c r="O691" s="148">
        <f>IF(I691&lt;&gt;0,I691*H691*K691,)</f>
        <v>0</v>
      </c>
      <c r="R691" s="12">
        <f>IF(J691&lt;&gt;0,J691/1.03-K691,0)</f>
        <v>0</v>
      </c>
    </row>
    <row r="692" spans="1:18" s="51" customFormat="1" ht="13.5" hidden="1" customHeight="1" outlineLevel="1" x14ac:dyDescent="0.3">
      <c r="A692" s="290">
        <f t="shared" si="88"/>
        <v>0</v>
      </c>
      <c r="B692" s="49"/>
      <c r="C692" s="49"/>
      <c r="D692" s="140" t="s">
        <v>2497</v>
      </c>
      <c r="E692" s="67" t="str">
        <f>VLOOKUP(D692,'03. Insumos'!A:D,2,0)</f>
        <v>P18 - PORTA DE ABRIR E 
BANDEIRA FIXA EM 
ALUMÍNIO E MIOLOS EM 
TELA EXPANDIDA</v>
      </c>
      <c r="F692" s="344" t="s">
        <v>2599</v>
      </c>
      <c r="G692" s="344" t="str">
        <f>VLOOKUP(D692,'03. Insumos'!A:F,3,0)</f>
        <v>vb</v>
      </c>
      <c r="H692" s="345"/>
      <c r="I692" s="345">
        <v>1</v>
      </c>
      <c r="J692" s="342">
        <f t="shared" si="90"/>
        <v>0</v>
      </c>
      <c r="K692" s="70">
        <f>IF(A692=0,VLOOKUP(D692,'03. Insumos'!A:F,4,0),"")</f>
        <v>0</v>
      </c>
      <c r="L692" s="70">
        <f t="shared" ref="L692:L703" si="91">H692*J692*I692</f>
        <v>0</v>
      </c>
      <c r="M692" s="153">
        <f t="shared" ca="1" si="89"/>
        <v>0</v>
      </c>
      <c r="O692" s="148"/>
      <c r="R692" s="12"/>
    </row>
    <row r="693" spans="1:18" s="51" customFormat="1" ht="13.5" hidden="1" customHeight="1" outlineLevel="1" x14ac:dyDescent="0.3">
      <c r="A693" s="290">
        <f t="shared" si="88"/>
        <v>0</v>
      </c>
      <c r="B693" s="49"/>
      <c r="C693" s="49"/>
      <c r="D693" s="140" t="s">
        <v>2498</v>
      </c>
      <c r="E693" s="67" t="str">
        <f>VLOOKUP(D693,'03. Insumos'!A:D,2,0)</f>
        <v>Vidro fixo vitral</v>
      </c>
      <c r="F693" s="344" t="s">
        <v>2599</v>
      </c>
      <c r="G693" s="344" t="str">
        <f>VLOOKUP(D693,'03. Insumos'!A:F,3,0)</f>
        <v>vb</v>
      </c>
      <c r="H693" s="345"/>
      <c r="I693" s="345">
        <v>1</v>
      </c>
      <c r="J693" s="342">
        <f t="shared" si="90"/>
        <v>0</v>
      </c>
      <c r="K693" s="70">
        <f>IF(A693=0,VLOOKUP(D693,'03. Insumos'!A:F,4,0),"")</f>
        <v>0</v>
      </c>
      <c r="L693" s="70">
        <f t="shared" si="91"/>
        <v>0</v>
      </c>
      <c r="M693" s="153">
        <f t="shared" ca="1" si="89"/>
        <v>0</v>
      </c>
      <c r="O693" s="148"/>
      <c r="R693" s="12"/>
    </row>
    <row r="694" spans="1:18" s="51" customFormat="1" ht="13.5" hidden="1" customHeight="1" outlineLevel="1" x14ac:dyDescent="0.3">
      <c r="A694" s="290">
        <f t="shared" si="88"/>
        <v>0</v>
      </c>
      <c r="B694" s="49"/>
      <c r="C694" s="49"/>
      <c r="D694" s="140" t="s">
        <v>2499</v>
      </c>
      <c r="E694" s="67" t="str">
        <f>VLOOKUP(D694,'03. Insumos'!A:D,2,0)</f>
        <v>Vidros Translúcidos Portas de Madeira</v>
      </c>
      <c r="F694" s="344" t="s">
        <v>2599</v>
      </c>
      <c r="G694" s="344" t="str">
        <f>VLOOKUP(D694,'03. Insumos'!A:F,3,0)</f>
        <v>m²</v>
      </c>
      <c r="H694" s="345"/>
      <c r="I694" s="345">
        <v>1</v>
      </c>
      <c r="J694" s="342">
        <f t="shared" si="90"/>
        <v>75</v>
      </c>
      <c r="K694" s="70">
        <f>IF(A694=0,VLOOKUP(D694,'03. Insumos'!A:F,4,0),"")</f>
        <v>75</v>
      </c>
      <c r="L694" s="70">
        <f t="shared" si="91"/>
        <v>0</v>
      </c>
      <c r="M694" s="153">
        <f t="shared" ca="1" si="89"/>
        <v>0</v>
      </c>
      <c r="O694" s="148"/>
      <c r="R694" s="12"/>
    </row>
    <row r="695" spans="1:18" s="51" customFormat="1" ht="13.5" customHeight="1" outlineLevel="1" x14ac:dyDescent="0.3">
      <c r="A695" s="290">
        <f t="shared" si="88"/>
        <v>0</v>
      </c>
      <c r="B695" s="49"/>
      <c r="C695" s="49"/>
      <c r="D695" s="140" t="s">
        <v>2500</v>
      </c>
      <c r="E695" s="384" t="str">
        <f>VLOOKUP(D695,'03. Insumos'!A:D,2,0)</f>
        <v>Janelas de alumínio</v>
      </c>
      <c r="F695" s="68" t="s">
        <v>2599</v>
      </c>
      <c r="G695" s="68" t="str">
        <f>VLOOKUP(D695,'03. Insumos'!A:F,3,0)</f>
        <v>m²</v>
      </c>
      <c r="H695" s="69">
        <v>1</v>
      </c>
      <c r="I695" s="141">
        <v>11.954000000000001</v>
      </c>
      <c r="J695" s="70">
        <f t="shared" si="90"/>
        <v>750</v>
      </c>
      <c r="K695" s="70">
        <f>IF(A695=0,VLOOKUP(D695,'03. Insumos'!A:F,4,0),"")</f>
        <v>750</v>
      </c>
      <c r="L695" s="70">
        <f t="shared" si="91"/>
        <v>8965.5</v>
      </c>
      <c r="M695" s="153">
        <f t="shared" ca="1" si="89"/>
        <v>3.3790939008562787E-4</v>
      </c>
      <c r="O695" s="148"/>
      <c r="R695" s="12"/>
    </row>
    <row r="696" spans="1:18" s="51" customFormat="1" ht="13.5" customHeight="1" outlineLevel="1" x14ac:dyDescent="0.3">
      <c r="A696" s="290">
        <f t="shared" si="88"/>
        <v>0</v>
      </c>
      <c r="B696" s="49"/>
      <c r="C696" s="49"/>
      <c r="D696" s="140" t="s">
        <v>2501</v>
      </c>
      <c r="E696" s="384" t="str">
        <f>VLOOKUP(D696,'03. Insumos'!A:D,2,0)</f>
        <v>Porta de Vidro Automatizada -  Vão de 2.80 x 2.40</v>
      </c>
      <c r="F696" s="68" t="s">
        <v>2599</v>
      </c>
      <c r="G696" s="68" t="str">
        <f>VLOOKUP(D696,'03. Insumos'!A:F,3,0)</f>
        <v>unid</v>
      </c>
      <c r="H696" s="69">
        <v>1</v>
      </c>
      <c r="I696" s="141">
        <v>31.16</v>
      </c>
      <c r="J696" s="70">
        <f t="shared" si="90"/>
        <v>11000</v>
      </c>
      <c r="K696" s="70">
        <f>IF(A696=0,VLOOKUP(D696,'03. Insumos'!A:F,4,0),"")</f>
        <v>11000</v>
      </c>
      <c r="L696" s="70">
        <f t="shared" si="91"/>
        <v>342760</v>
      </c>
      <c r="M696" s="153">
        <f t="shared" ca="1" si="89"/>
        <v>1.2918612742819677E-2</v>
      </c>
      <c r="O696" s="148"/>
      <c r="R696" s="12"/>
    </row>
    <row r="697" spans="1:18" s="51" customFormat="1" ht="13.5" hidden="1" customHeight="1" outlineLevel="1" x14ac:dyDescent="0.3">
      <c r="A697" s="290">
        <f t="shared" si="88"/>
        <v>0</v>
      </c>
      <c r="B697" s="49"/>
      <c r="C697" s="49"/>
      <c r="D697" s="140" t="s">
        <v>2502</v>
      </c>
      <c r="E697" s="67" t="str">
        <f>VLOOKUP(D697,'03. Insumos'!A:D,2,0)</f>
        <v>Porta veneziana de alumínio casa de máquinas e visita</v>
      </c>
      <c r="F697" s="68" t="s">
        <v>2599</v>
      </c>
      <c r="G697" s="68" t="str">
        <f>VLOOKUP(D697,'03. Insumos'!A:F,3,0)</f>
        <v>vb</v>
      </c>
      <c r="H697" s="69">
        <v>1</v>
      </c>
      <c r="I697" s="141"/>
      <c r="J697" s="70">
        <f t="shared" si="90"/>
        <v>844.2</v>
      </c>
      <c r="K697" s="70">
        <f>IF(A697=0,VLOOKUP(D697,'03. Insumos'!A:F,4,0),"")</f>
        <v>844.2</v>
      </c>
      <c r="L697" s="70">
        <f t="shared" si="91"/>
        <v>0</v>
      </c>
      <c r="M697" s="153">
        <f t="shared" ca="1" si="89"/>
        <v>0</v>
      </c>
      <c r="O697" s="148"/>
      <c r="R697" s="12"/>
    </row>
    <row r="698" spans="1:18" s="51" customFormat="1" ht="13.5" hidden="1" customHeight="1" outlineLevel="1" x14ac:dyDescent="0.3">
      <c r="A698" s="290">
        <f t="shared" si="88"/>
        <v>0</v>
      </c>
      <c r="B698" s="49"/>
      <c r="C698" s="49"/>
      <c r="D698" s="140" t="s">
        <v>2503</v>
      </c>
      <c r="E698" s="67" t="str">
        <f>VLOOKUP(D698,'03. Insumos'!A:D,2,0)</f>
        <v>Fechamento em Vidro temperado Phone boot</v>
      </c>
      <c r="F698" s="68" t="s">
        <v>2599</v>
      </c>
      <c r="G698" s="68" t="str">
        <f>VLOOKUP(D698,'03. Insumos'!A:F,3,0)</f>
        <v>m²</v>
      </c>
      <c r="H698" s="69">
        <v>1</v>
      </c>
      <c r="I698" s="141"/>
      <c r="J698" s="70">
        <f t="shared" si="90"/>
        <v>440</v>
      </c>
      <c r="K698" s="70">
        <f>IF(A698=0,VLOOKUP(D698,'03. Insumos'!A:F,4,0),"")</f>
        <v>440</v>
      </c>
      <c r="L698" s="70">
        <f t="shared" si="91"/>
        <v>0</v>
      </c>
      <c r="M698" s="153">
        <f t="shared" ca="1" si="89"/>
        <v>0</v>
      </c>
      <c r="O698" s="148"/>
      <c r="R698" s="12"/>
    </row>
    <row r="699" spans="1:18" s="51" customFormat="1" outlineLevel="1" x14ac:dyDescent="0.3">
      <c r="A699" s="290">
        <f t="shared" si="88"/>
        <v>0</v>
      </c>
      <c r="B699" s="49"/>
      <c r="C699" s="49"/>
      <c r="D699" s="140" t="s">
        <v>2809</v>
      </c>
      <c r="E699" s="67" t="str">
        <f>VLOOKUP(D699,'03. Insumos'!A:D,2,0)</f>
        <v>Guarda corpo vidro embutido - escada</v>
      </c>
      <c r="F699" s="68" t="s">
        <v>2599</v>
      </c>
      <c r="G699" s="68" t="str">
        <f>VLOOKUP(D699,'03. Insumos'!A:F,3,0)</f>
        <v>m²</v>
      </c>
      <c r="H699" s="69">
        <v>1</v>
      </c>
      <c r="I699" s="141">
        <f>(2.17+1.55+1.62)*1.3</f>
        <v>6.9420000000000002</v>
      </c>
      <c r="J699" s="70">
        <f t="shared" si="90"/>
        <v>487.30099999999999</v>
      </c>
      <c r="K699" s="70">
        <f>IF(A699=0,VLOOKUP(D699,'03. Insumos'!A:F,4,0),"")</f>
        <v>487.30099999999999</v>
      </c>
      <c r="L699" s="70">
        <f t="shared" si="91"/>
        <v>3382.8435420000001</v>
      </c>
      <c r="M699" s="153">
        <f t="shared" ca="1" si="89"/>
        <v>1.2749925804833251E-4</v>
      </c>
      <c r="O699" s="148"/>
      <c r="R699" s="12"/>
    </row>
    <row r="700" spans="1:18" s="51" customFormat="1" hidden="1" outlineLevel="1" x14ac:dyDescent="0.3">
      <c r="A700" s="290">
        <f t="shared" si="88"/>
        <v>0</v>
      </c>
      <c r="B700" s="49"/>
      <c r="C700" s="49"/>
      <c r="D700" s="140" t="s">
        <v>2505</v>
      </c>
      <c r="E700" s="67" t="str">
        <f>VLOOKUP(D700,'03. Insumos'!A:D,2,0)</f>
        <v>Guarda corpo varandas</v>
      </c>
      <c r="F700" s="68" t="s">
        <v>2599</v>
      </c>
      <c r="G700" s="68" t="str">
        <f>VLOOKUP(D700,'03. Insumos'!A:F,3,0)</f>
        <v>m²</v>
      </c>
      <c r="H700" s="69">
        <v>1</v>
      </c>
      <c r="I700" s="141"/>
      <c r="J700" s="70">
        <f t="shared" si="90"/>
        <v>1086.3242009132423</v>
      </c>
      <c r="K700" s="70">
        <f>IF(A700=0,VLOOKUP(D700,'03. Insumos'!A:F,4,0),"")</f>
        <v>1086.3242009132423</v>
      </c>
      <c r="L700" s="70">
        <f t="shared" si="91"/>
        <v>0</v>
      </c>
      <c r="M700" s="153">
        <f t="shared" ca="1" si="89"/>
        <v>0</v>
      </c>
      <c r="O700" s="148"/>
      <c r="R700" s="12"/>
    </row>
    <row r="701" spans="1:18" s="51" customFormat="1" outlineLevel="1" x14ac:dyDescent="0.3">
      <c r="A701" s="290">
        <f t="shared" si="88"/>
        <v>0</v>
      </c>
      <c r="B701" s="49"/>
      <c r="C701" s="49"/>
      <c r="D701" s="140" t="s">
        <v>2807</v>
      </c>
      <c r="E701" s="67" t="str">
        <f>VLOOKUP(D701,'03. Insumos'!A:D,2,0)</f>
        <v>Ambientes: Escritório 1, Escritório 2, Lavabo Social)  (Mat + Mo - Revestimento de Piso Madeira Cumarú com réguas de 20 - Piso Existente C/ aplicação de Verniz Fosco</v>
      </c>
      <c r="F701" s="68" t="s">
        <v>2599</v>
      </c>
      <c r="G701" s="68" t="str">
        <f>VLOOKUP(D701,'03. Insumos'!A:F,3,0)</f>
        <v>m²</v>
      </c>
      <c r="H701" s="69">
        <v>1</v>
      </c>
      <c r="I701" s="141">
        <f>(4.1+3.7)*1.1</f>
        <v>8.58</v>
      </c>
      <c r="J701" s="70">
        <f>IFERROR(IF(K701&lt;&gt;0,K701*$K$5,0),0)</f>
        <v>423.74</v>
      </c>
      <c r="K701" s="70">
        <f>IF(A701=0,VLOOKUP(D701,'03. Insumos'!A:F,4,0),"")</f>
        <v>423.74</v>
      </c>
      <c r="L701" s="70">
        <f>H701*J701*I701</f>
        <v>3635.6892000000003</v>
      </c>
      <c r="M701" s="153">
        <f ca="1">L701/$L$7</f>
        <v>1.3702900229913605E-4</v>
      </c>
      <c r="O701" s="148"/>
      <c r="R701" s="12"/>
    </row>
    <row r="702" spans="1:18" s="51" customFormat="1" outlineLevel="1" x14ac:dyDescent="0.3">
      <c r="A702" s="290">
        <f>LEN(C702)</f>
        <v>0</v>
      </c>
      <c r="B702" s="49"/>
      <c r="C702" s="49"/>
      <c r="D702" s="140" t="s">
        <v>2624</v>
      </c>
      <c r="E702" s="67" t="str">
        <f>VLOOKUP(D702,'03. Insumos'!A:D,2,0)</f>
        <v>Espuma de Instalação - Tytan - 473 ml</v>
      </c>
      <c r="F702" s="68" t="s">
        <v>2599</v>
      </c>
      <c r="G702" s="68" t="str">
        <f>VLOOKUP(D702,'03. Insumos'!A:F,3,0)</f>
        <v>unid</v>
      </c>
      <c r="H702" s="69">
        <v>1</v>
      </c>
      <c r="I702" s="141">
        <f>2.1*(1.05+1.3+1.3)</f>
        <v>7.6650000000000009</v>
      </c>
      <c r="J702" s="70">
        <f>IFERROR(IF(K702&lt;&gt;0,K702*$K$5,0),0)</f>
        <v>30</v>
      </c>
      <c r="K702" s="70">
        <f>IF(A702=0,VLOOKUP(D702,'03. Insumos'!A:F,4,0),"")</f>
        <v>30</v>
      </c>
      <c r="L702" s="70">
        <f>H702*J702*I702</f>
        <v>229.95000000000002</v>
      </c>
      <c r="M702" s="153">
        <f ca="1">L702/$L$7</f>
        <v>8.6668076794590514E-6</v>
      </c>
      <c r="O702" s="148"/>
      <c r="R702" s="12"/>
    </row>
    <row r="703" spans="1:18" s="51" customFormat="1" hidden="1" outlineLevel="1" x14ac:dyDescent="0.3">
      <c r="A703" s="290">
        <f t="shared" si="88"/>
        <v>0</v>
      </c>
      <c r="B703" s="49"/>
      <c r="C703" s="49"/>
      <c r="D703" s="140" t="s">
        <v>2810</v>
      </c>
      <c r="E703" s="67" t="str">
        <f>VLOOKUP(D703,'03. Insumos'!A:D,2,0)</f>
        <v>Frete de Entrega no Joá - RJ</v>
      </c>
      <c r="F703" s="68" t="s">
        <v>2599</v>
      </c>
      <c r="G703" s="68" t="str">
        <f>VLOOKUP(D703,'03. Insumos'!A:F,3,0)</f>
        <v>vb</v>
      </c>
      <c r="H703" s="69">
        <v>1</v>
      </c>
      <c r="I703" s="141"/>
      <c r="J703" s="70">
        <f t="shared" si="90"/>
        <v>150</v>
      </c>
      <c r="K703" s="70">
        <f>IF(A703=0,VLOOKUP(D703,'03. Insumos'!A:F,4,0),"")</f>
        <v>150</v>
      </c>
      <c r="L703" s="70">
        <f t="shared" si="91"/>
        <v>0</v>
      </c>
      <c r="M703" s="153">
        <f t="shared" ca="1" si="89"/>
        <v>0</v>
      </c>
      <c r="O703" s="148"/>
      <c r="R703" s="12"/>
    </row>
    <row r="704" spans="1:18" s="51" customFormat="1" hidden="1" outlineLevel="1" x14ac:dyDescent="0.3">
      <c r="A704" s="290">
        <f t="shared" si="88"/>
        <v>6</v>
      </c>
      <c r="B704" s="49"/>
      <c r="C704" s="55" t="s">
        <v>366</v>
      </c>
      <c r="D704" s="55" t="s">
        <v>1951</v>
      </c>
      <c r="E704" s="67"/>
      <c r="F704" s="68"/>
      <c r="G704" s="68"/>
      <c r="H704" s="69"/>
      <c r="I704" s="141"/>
      <c r="J704" s="70"/>
      <c r="K704" s="70"/>
      <c r="L704" s="58">
        <f>SUM(L705:L706)</f>
        <v>0</v>
      </c>
      <c r="M704" s="153">
        <f t="shared" ca="1" si="89"/>
        <v>0</v>
      </c>
      <c r="O704" s="148"/>
      <c r="R704" s="12"/>
    </row>
    <row r="705" spans="1:18" s="51" customFormat="1" hidden="1" outlineLevel="1" x14ac:dyDescent="0.3">
      <c r="A705" s="290">
        <f t="shared" si="88"/>
        <v>0</v>
      </c>
      <c r="B705" s="49"/>
      <c r="C705" s="49"/>
      <c r="D705" s="140" t="s">
        <v>1953</v>
      </c>
      <c r="E705" s="67" t="str">
        <f>VLOOKUP(D705,'03. Insumos'!A:D,2,0)</f>
        <v xml:space="preserve">Material - Jardineira - caixa metálica </v>
      </c>
      <c r="F705" s="68"/>
      <c r="G705" s="68" t="str">
        <f>VLOOKUP(D705,'03. Insumos'!A:F,3,0)</f>
        <v>unid</v>
      </c>
      <c r="H705" s="69">
        <v>1</v>
      </c>
      <c r="I705" s="141"/>
      <c r="J705" s="70">
        <f>IFERROR(IF(K705&lt;&gt;0,K705*$K$5,0),0)</f>
        <v>1490</v>
      </c>
      <c r="K705" s="70">
        <f>IF(A705=0,VLOOKUP(D705,'03. Insumos'!A:F,4,0),"")</f>
        <v>1490</v>
      </c>
      <c r="L705" s="338">
        <f>H705*J705*I705</f>
        <v>0</v>
      </c>
      <c r="M705" s="153">
        <f t="shared" ca="1" si="89"/>
        <v>0</v>
      </c>
      <c r="O705" s="148"/>
      <c r="R705" s="12"/>
    </row>
    <row r="706" spans="1:18" s="51" customFormat="1" hidden="1" outlineLevel="1" x14ac:dyDescent="0.3">
      <c r="A706" s="290">
        <f t="shared" si="88"/>
        <v>0</v>
      </c>
      <c r="B706" s="49"/>
      <c r="C706" s="49"/>
      <c r="D706" s="140" t="s">
        <v>1956</v>
      </c>
      <c r="E706" s="67" t="str">
        <f>VLOOKUP(D706,'03. Insumos'!A:D,2,0)</f>
        <v xml:space="preserve">Mão de obra - Jardineira - caixa metálica </v>
      </c>
      <c r="F706" s="68"/>
      <c r="G706" s="68" t="str">
        <f>VLOOKUP(D706,'03. Insumos'!A:F,3,0)</f>
        <v>unid</v>
      </c>
      <c r="H706" s="69">
        <v>1</v>
      </c>
      <c r="I706" s="141"/>
      <c r="J706" s="70">
        <f>IFERROR(IF(K706&lt;&gt;0,K706*$K$5,0),0)</f>
        <v>300</v>
      </c>
      <c r="K706" s="70">
        <f>IF(A706=0,VLOOKUP(D706,'03. Insumos'!A:F,4,0),"")</f>
        <v>300</v>
      </c>
      <c r="L706" s="338">
        <f>H706*J706*I706</f>
        <v>0</v>
      </c>
      <c r="M706" s="153">
        <f t="shared" ca="1" si="89"/>
        <v>0</v>
      </c>
      <c r="O706" s="148"/>
      <c r="R706" s="12"/>
    </row>
    <row r="707" spans="1:18" s="59" customFormat="1" hidden="1" outlineLevel="1" x14ac:dyDescent="0.3">
      <c r="A707" s="290">
        <f t="shared" si="88"/>
        <v>6</v>
      </c>
      <c r="B707" s="55"/>
      <c r="C707" s="55" t="s">
        <v>366</v>
      </c>
      <c r="D707" s="55" t="s">
        <v>1612</v>
      </c>
      <c r="E707" s="55"/>
      <c r="F707" s="56"/>
      <c r="G707" s="56"/>
      <c r="H707" s="57"/>
      <c r="I707" s="57"/>
      <c r="J707" s="58"/>
      <c r="K707" s="58" t="str">
        <f>IF(A707=0,VLOOKUP(D707,'03. Insumos'!A:F,4,0),"")</f>
        <v/>
      </c>
      <c r="L707" s="58">
        <f>SUM(L708:L711)</f>
        <v>0</v>
      </c>
      <c r="M707" s="153">
        <f t="shared" ca="1" si="89"/>
        <v>0</v>
      </c>
      <c r="O707" s="148">
        <f>IF(I707&lt;&gt;0,I707*H707*K707,)</f>
        <v>0</v>
      </c>
      <c r="R707" s="12">
        <f>IF(J707&lt;&gt;0,J707/1.03-K707,0)</f>
        <v>0</v>
      </c>
    </row>
    <row r="708" spans="1:18" s="51" customFormat="1" hidden="1" outlineLevel="1" x14ac:dyDescent="0.3">
      <c r="A708" s="290">
        <f t="shared" si="88"/>
        <v>0</v>
      </c>
      <c r="B708" s="49"/>
      <c r="C708" s="49"/>
      <c r="D708" s="140" t="s">
        <v>2158</v>
      </c>
      <c r="E708" s="67" t="str">
        <f>VLOOKUP(D708,'03. Insumos'!A:D,2,0)</f>
        <v>Execução de pergolado</v>
      </c>
      <c r="F708" s="68"/>
      <c r="G708" s="68" t="str">
        <f>VLOOKUP(D708,'03. Insumos'!A:F,3,0)</f>
        <v>vb</v>
      </c>
      <c r="H708" s="69">
        <v>1</v>
      </c>
      <c r="I708" s="141"/>
      <c r="J708" s="70">
        <f>IFERROR(IF(K708&lt;&gt;0,K708*$K$5,0),0)</f>
        <v>7670</v>
      </c>
      <c r="K708" s="70">
        <f>IF(A708=0,VLOOKUP(D708,'03. Insumos'!A:F,4,0),"")</f>
        <v>7670</v>
      </c>
      <c r="L708" s="338">
        <f>H708*J708*I708</f>
        <v>0</v>
      </c>
      <c r="M708" s="153">
        <f t="shared" ca="1" si="89"/>
        <v>0</v>
      </c>
      <c r="O708" s="148">
        <f>IF(I708&lt;&gt;0,I708*H708*K708,)</f>
        <v>0</v>
      </c>
      <c r="R708" s="12">
        <f>IF(J708&lt;&gt;0,J708/1.03-K708,0)</f>
        <v>-223.39805825242729</v>
      </c>
    </row>
    <row r="709" spans="1:18" s="51" customFormat="1" hidden="1" outlineLevel="1" x14ac:dyDescent="0.3">
      <c r="A709" s="290">
        <f t="shared" si="88"/>
        <v>0</v>
      </c>
      <c r="B709" s="49"/>
      <c r="C709" s="49"/>
      <c r="D709" s="140" t="s">
        <v>1608</v>
      </c>
      <c r="E709" s="67" t="str">
        <f>VLOOKUP(D709,'03. Insumos'!A:D,2,0)</f>
        <v>Mão de obra - Execução pergolado varanda living</v>
      </c>
      <c r="F709" s="68"/>
      <c r="G709" s="68" t="str">
        <f>VLOOKUP(D709,'03. Insumos'!A:F,3,0)</f>
        <v>vb</v>
      </c>
      <c r="H709" s="69">
        <v>1</v>
      </c>
      <c r="I709" s="141"/>
      <c r="J709" s="70">
        <f>IFERROR(IF(K709&lt;&gt;0,K709*$K$5,0),0)</f>
        <v>2300</v>
      </c>
      <c r="K709" s="70">
        <f>IF(A709=0,VLOOKUP(D709,'03. Insumos'!A:F,4,0),"")</f>
        <v>2300</v>
      </c>
      <c r="L709" s="338">
        <f>H709*J709*I709</f>
        <v>0</v>
      </c>
      <c r="M709" s="153">
        <f t="shared" ca="1" si="89"/>
        <v>0</v>
      </c>
      <c r="O709" s="148">
        <f>IF(I709&lt;&gt;0,I709*H709*K709,)</f>
        <v>0</v>
      </c>
      <c r="R709" s="12"/>
    </row>
    <row r="710" spans="1:18" s="51" customFormat="1" hidden="1" outlineLevel="1" x14ac:dyDescent="0.3">
      <c r="A710" s="290">
        <f t="shared" si="88"/>
        <v>0</v>
      </c>
      <c r="B710" s="49"/>
      <c r="C710" s="49"/>
      <c r="D710" s="140" t="s">
        <v>1609</v>
      </c>
      <c r="E710" s="67" t="str">
        <f>VLOOKUP(D710,'03. Insumos'!A:D,2,0)</f>
        <v>Material - Execução pergolado varanda suíte 03</v>
      </c>
      <c r="F710" s="68"/>
      <c r="G710" s="68" t="str">
        <f>VLOOKUP(D710,'03. Insumos'!A:F,3,0)</f>
        <v>vb</v>
      </c>
      <c r="H710" s="69">
        <v>1</v>
      </c>
      <c r="I710" s="141"/>
      <c r="J710" s="70">
        <f>IFERROR(IF(K710&lt;&gt;0,K710*$K$5,0),0)</f>
        <v>5370</v>
      </c>
      <c r="K710" s="70">
        <f>IF(A710=0,VLOOKUP(D710,'03. Insumos'!A:F,4,0),"")</f>
        <v>5370</v>
      </c>
      <c r="L710" s="338">
        <f>H710*J710*I710</f>
        <v>0</v>
      </c>
      <c r="M710" s="153">
        <f t="shared" ca="1" si="89"/>
        <v>0</v>
      </c>
      <c r="O710" s="148">
        <f>IF(I710&lt;&gt;0,I710*H710*K710,)</f>
        <v>0</v>
      </c>
      <c r="R710" s="12"/>
    </row>
    <row r="711" spans="1:18" s="51" customFormat="1" hidden="1" outlineLevel="1" x14ac:dyDescent="0.3">
      <c r="A711" s="290">
        <f t="shared" si="88"/>
        <v>0</v>
      </c>
      <c r="B711" s="49"/>
      <c r="C711" s="49"/>
      <c r="D711" s="140" t="s">
        <v>1610</v>
      </c>
      <c r="E711" s="67" t="str">
        <f>VLOOKUP(D711,'03. Insumos'!A:D,2,0)</f>
        <v>Mão de obra - Execução pergolado varanda suíte 03</v>
      </c>
      <c r="F711" s="68"/>
      <c r="G711" s="68" t="str">
        <f>VLOOKUP(D711,'03. Insumos'!A:F,3,0)</f>
        <v>vb</v>
      </c>
      <c r="H711" s="69">
        <v>1</v>
      </c>
      <c r="I711" s="141"/>
      <c r="J711" s="70">
        <f>IFERROR(IF(K711&lt;&gt;0,K711*$K$5,0),0)</f>
        <v>1300</v>
      </c>
      <c r="K711" s="70">
        <f>IF(A711=0,VLOOKUP(D711,'03. Insumos'!A:F,4,0),"")</f>
        <v>1300</v>
      </c>
      <c r="L711" s="338">
        <f>H711*J711*I711</f>
        <v>0</v>
      </c>
      <c r="M711" s="153">
        <f t="shared" ca="1" si="89"/>
        <v>0</v>
      </c>
      <c r="O711" s="148">
        <f>IF(I711&lt;&gt;0,I711*H711*K711,)</f>
        <v>0</v>
      </c>
      <c r="R711" s="12"/>
    </row>
    <row r="712" spans="1:18" s="51" customFormat="1" hidden="1" outlineLevel="1" x14ac:dyDescent="0.3">
      <c r="A712" s="290">
        <f t="shared" si="88"/>
        <v>6</v>
      </c>
      <c r="B712" s="49"/>
      <c r="C712" s="55" t="s">
        <v>365</v>
      </c>
      <c r="D712" s="55" t="s">
        <v>1868</v>
      </c>
      <c r="E712" s="67"/>
      <c r="F712" s="68"/>
      <c r="G712" s="68"/>
      <c r="H712" s="69"/>
      <c r="I712" s="141"/>
      <c r="J712" s="70"/>
      <c r="K712" s="70"/>
      <c r="L712" s="58">
        <f>SUM(L713:L713)</f>
        <v>0</v>
      </c>
      <c r="M712" s="153">
        <f t="shared" ca="1" si="89"/>
        <v>0</v>
      </c>
      <c r="O712" s="148"/>
      <c r="R712" s="12"/>
    </row>
    <row r="713" spans="1:18" s="51" customFormat="1" hidden="1" outlineLevel="1" x14ac:dyDescent="0.3">
      <c r="A713" s="290">
        <f t="shared" si="88"/>
        <v>0</v>
      </c>
      <c r="B713" s="49"/>
      <c r="C713" s="49"/>
      <c r="D713" s="140" t="s">
        <v>2624</v>
      </c>
      <c r="E713" s="67" t="str">
        <f>VLOOKUP(D713,'03. Insumos'!A:D,2,0)</f>
        <v>Espuma de Instalação - Tytan - 473 ml</v>
      </c>
      <c r="F713" s="68"/>
      <c r="G713" s="68" t="str">
        <f>VLOOKUP(D713,'03. Insumos'!A:F,3,0)</f>
        <v>unid</v>
      </c>
      <c r="H713" s="69">
        <v>1</v>
      </c>
      <c r="I713" s="141"/>
      <c r="J713" s="70">
        <f>IFERROR(IF(K713&lt;&gt;0,K713*$K$5,0),0)</f>
        <v>30</v>
      </c>
      <c r="K713" s="70">
        <f>IF(A713=0,VLOOKUP(D713,'03. Insumos'!A:F,4,0),"")</f>
        <v>30</v>
      </c>
      <c r="L713" s="338">
        <f>H713*J713*I713</f>
        <v>0</v>
      </c>
      <c r="M713" s="153">
        <f t="shared" ca="1" si="89"/>
        <v>0</v>
      </c>
      <c r="O713" s="148"/>
      <c r="R713" s="12"/>
    </row>
    <row r="714" spans="1:18" s="59" customFormat="1" hidden="1" outlineLevel="1" x14ac:dyDescent="0.3">
      <c r="A714" s="290">
        <f t="shared" si="88"/>
        <v>6</v>
      </c>
      <c r="B714" s="55"/>
      <c r="C714" s="55" t="s">
        <v>366</v>
      </c>
      <c r="D714" s="55" t="s">
        <v>1871</v>
      </c>
      <c r="E714" s="55"/>
      <c r="F714" s="56"/>
      <c r="G714" s="56"/>
      <c r="H714" s="57"/>
      <c r="I714" s="57"/>
      <c r="J714" s="58"/>
      <c r="K714" s="58" t="str">
        <f>IF(A714=0,VLOOKUP(D714,'03. Insumos'!A:F,4,0),"")</f>
        <v/>
      </c>
      <c r="L714" s="58">
        <f>SUM(L715:L716)</f>
        <v>0</v>
      </c>
      <c r="M714" s="153">
        <f t="shared" ca="1" si="89"/>
        <v>0</v>
      </c>
      <c r="O714" s="148">
        <f>IF(I714&lt;&gt;0,I714*H714*K714,)</f>
        <v>0</v>
      </c>
      <c r="R714" s="12">
        <f>IF(J714&lt;&gt;0,J714/1.03-K714,0)</f>
        <v>0</v>
      </c>
    </row>
    <row r="715" spans="1:18" s="59" customFormat="1" hidden="1" outlineLevel="1" x14ac:dyDescent="0.3">
      <c r="A715" s="290">
        <f t="shared" si="88"/>
        <v>0</v>
      </c>
      <c r="B715" s="55"/>
      <c r="C715" s="55"/>
      <c r="D715" s="140" t="s">
        <v>1904</v>
      </c>
      <c r="E715" s="67" t="str">
        <f>VLOOKUP(D715,'03. Insumos'!A:D,2,0)</f>
        <v>Porta Corta Fogo 0,80 x 2,10</v>
      </c>
      <c r="F715" s="68"/>
      <c r="G715" s="68" t="str">
        <f>VLOOKUP(D715,'03. Insumos'!A:F,3,0)</f>
        <v>unid</v>
      </c>
      <c r="H715" s="69">
        <v>1</v>
      </c>
      <c r="I715" s="141"/>
      <c r="J715" s="70">
        <f>IFERROR(IF(K715&lt;&gt;0,K715*$K$5,0),0)</f>
        <v>650</v>
      </c>
      <c r="K715" s="70">
        <f>IF(A715=0,VLOOKUP(D715,'03. Insumos'!A:F,4,0),"")</f>
        <v>650</v>
      </c>
      <c r="L715" s="338">
        <f>H715*J715*I715</f>
        <v>0</v>
      </c>
      <c r="M715" s="153">
        <f t="shared" ca="1" si="89"/>
        <v>0</v>
      </c>
      <c r="O715" s="148"/>
      <c r="R715" s="12"/>
    </row>
    <row r="716" spans="1:18" s="51" customFormat="1" hidden="1" outlineLevel="1" x14ac:dyDescent="0.3">
      <c r="A716" s="290">
        <f t="shared" si="88"/>
        <v>0</v>
      </c>
      <c r="B716" s="49"/>
      <c r="C716" s="49"/>
      <c r="D716" s="140" t="s">
        <v>1905</v>
      </c>
      <c r="E716" s="67" t="str">
        <f>VLOOKUP(D716,'03. Insumos'!A:D,2,0)</f>
        <v>Porta Corta Fogo 1,60 x 2,10</v>
      </c>
      <c r="F716" s="68"/>
      <c r="G716" s="68" t="str">
        <f>VLOOKUP(D716,'03. Insumos'!A:F,3,0)</f>
        <v>unid</v>
      </c>
      <c r="H716" s="69">
        <v>1</v>
      </c>
      <c r="I716" s="141"/>
      <c r="J716" s="70">
        <f>IFERROR(IF(K716&lt;&gt;0,K716*$K$5,0),0)</f>
        <v>1960</v>
      </c>
      <c r="K716" s="70">
        <f>IF(A716=0,VLOOKUP(D716,'03. Insumos'!A:F,4,0),"")</f>
        <v>1960</v>
      </c>
      <c r="L716" s="338">
        <f>H716*J716*I716</f>
        <v>0</v>
      </c>
      <c r="M716" s="153">
        <f t="shared" ca="1" si="89"/>
        <v>0</v>
      </c>
      <c r="O716" s="148">
        <f>IF(I716&lt;&gt;0,I716*H716*K716,)</f>
        <v>0</v>
      </c>
      <c r="R716" s="12">
        <f>IF(J716&lt;&gt;0,J716/1.03-K716,0)</f>
        <v>-57.087378640776706</v>
      </c>
    </row>
    <row r="717" spans="1:18" s="59" customFormat="1" hidden="1" outlineLevel="1" x14ac:dyDescent="0.3">
      <c r="A717" s="290">
        <f t="shared" si="88"/>
        <v>6</v>
      </c>
      <c r="B717" s="55"/>
      <c r="C717" s="55" t="s">
        <v>952</v>
      </c>
      <c r="D717" s="55" t="s">
        <v>1366</v>
      </c>
      <c r="E717" s="55"/>
      <c r="F717" s="56"/>
      <c r="G717" s="56" t="s">
        <v>73</v>
      </c>
      <c r="H717" s="57"/>
      <c r="I717" s="57"/>
      <c r="J717" s="58"/>
      <c r="K717" s="58" t="str">
        <f>IF(A717=0,VLOOKUP(D717,'03. Insumos'!A:F,4,0),"")</f>
        <v/>
      </c>
      <c r="L717" s="58">
        <f>SUM(L718:L718)</f>
        <v>0</v>
      </c>
      <c r="M717" s="153">
        <f t="shared" ca="1" si="89"/>
        <v>0</v>
      </c>
      <c r="O717" s="148">
        <f>IF(I717&lt;&gt;0,I717*H717*K717,)</f>
        <v>0</v>
      </c>
      <c r="R717" s="12">
        <f>IF(J717&lt;&gt;0,J717/1.03-K717,0)</f>
        <v>0</v>
      </c>
    </row>
    <row r="718" spans="1:18" s="51" customFormat="1" hidden="1" outlineLevel="1" x14ac:dyDescent="0.3">
      <c r="A718" s="290">
        <f t="shared" si="88"/>
        <v>0</v>
      </c>
      <c r="B718" s="49"/>
      <c r="C718" s="49"/>
      <c r="D718" s="140" t="s">
        <v>696</v>
      </c>
      <c r="E718" s="67" t="str">
        <f>VLOOKUP(D718,'03. Insumos'!A:D,2,0)</f>
        <v>Divisórias Tipo Escritório - Policarbonato Alveolar Translúcido</v>
      </c>
      <c r="F718" s="68"/>
      <c r="G718" s="68" t="str">
        <f>VLOOKUP(D718,'03. Insumos'!A:F,3,0)</f>
        <v>m²</v>
      </c>
      <c r="H718" s="69">
        <v>1</v>
      </c>
      <c r="I718" s="141"/>
      <c r="J718" s="70">
        <f>IFERROR(IF(K718&lt;&gt;0,K718*$K$5,0),0)</f>
        <v>324</v>
      </c>
      <c r="K718" s="70">
        <f>IF(A718=0,VLOOKUP(D718,'03. Insumos'!A:F,4,0),"")</f>
        <v>324</v>
      </c>
      <c r="L718" s="338">
        <f>H718*J718*I718</f>
        <v>0</v>
      </c>
      <c r="M718" s="153">
        <f t="shared" ca="1" si="89"/>
        <v>0</v>
      </c>
      <c r="O718" s="148">
        <f>IF(I718&lt;&gt;0,I718*H718*K718,)</f>
        <v>0</v>
      </c>
      <c r="R718" s="12">
        <f>IF(J718&lt;&gt;0,J718/1.03-K718,0)</f>
        <v>-9.4368932038835283</v>
      </c>
    </row>
    <row r="719" spans="1:18" s="51" customFormat="1" outlineLevel="1" x14ac:dyDescent="0.3">
      <c r="A719" s="290">
        <f t="shared" si="88"/>
        <v>6</v>
      </c>
      <c r="B719" s="49"/>
      <c r="C719" s="55" t="s">
        <v>1333</v>
      </c>
      <c r="D719" s="4" t="s">
        <v>2159</v>
      </c>
      <c r="E719" s="55"/>
      <c r="F719" s="68"/>
      <c r="G719" s="68"/>
      <c r="H719" s="69"/>
      <c r="I719" s="141"/>
      <c r="J719" s="70"/>
      <c r="K719" s="70"/>
      <c r="L719" s="58">
        <f>SUM(L720:L732)</f>
        <v>283392.09999999998</v>
      </c>
      <c r="M719" s="153">
        <f t="shared" ca="1" si="89"/>
        <v>1.0681038610906838E-2</v>
      </c>
      <c r="O719" s="148"/>
      <c r="R719" s="12"/>
    </row>
    <row r="720" spans="1:18" s="51" customFormat="1" ht="13.5" customHeight="1" outlineLevel="1" x14ac:dyDescent="0.3">
      <c r="A720" s="290">
        <f t="shared" si="88"/>
        <v>0</v>
      </c>
      <c r="B720" s="49"/>
      <c r="C720" s="49"/>
      <c r="D720" s="140" t="s">
        <v>693</v>
      </c>
      <c r="E720" s="67" t="str">
        <f>VLOOKUP(D720,'03. Insumos'!A:D,2,0)</f>
        <v>Kit Porta com Batente 7,5cm Colmeia Primer 210x80x35 Direito Eucatex
 - Material + MO</v>
      </c>
      <c r="F720" s="68" t="s">
        <v>2599</v>
      </c>
      <c r="G720" s="68" t="str">
        <f>VLOOKUP(D720,'03. Insumos'!A:F,3,0)</f>
        <v>Unid</v>
      </c>
      <c r="H720" s="69">
        <v>1</v>
      </c>
      <c r="I720" s="141">
        <v>4</v>
      </c>
      <c r="J720" s="70">
        <f t="shared" ref="J720:J732" si="92">IFERROR(IF(K720&lt;&gt;0,K720*$K$5,0),0)</f>
        <v>802.9</v>
      </c>
      <c r="K720" s="70">
        <f>IF(A720=0,VLOOKUP(D720,'03. Insumos'!A:F,4,0),"")</f>
        <v>802.9</v>
      </c>
      <c r="L720" s="70">
        <f t="shared" ref="L720:L732" si="93">H720*J720*I720</f>
        <v>3211.6</v>
      </c>
      <c r="M720" s="153">
        <f t="shared" ca="1" si="89"/>
        <v>1.2104509477430176E-4</v>
      </c>
      <c r="O720" s="148"/>
      <c r="R720" s="12"/>
    </row>
    <row r="721" spans="1:18" s="51" customFormat="1" ht="13.5" customHeight="1" outlineLevel="1" x14ac:dyDescent="0.3">
      <c r="A721" s="290">
        <f t="shared" si="88"/>
        <v>0</v>
      </c>
      <c r="B721" s="49"/>
      <c r="C721" s="49"/>
      <c r="D721" s="140" t="s">
        <v>694</v>
      </c>
      <c r="E721" s="67" t="str">
        <f>VLOOKUP(D721,'03. Insumos'!A:D,2,0)</f>
        <v>Esquadrias de Madeira - Mão de Obra</v>
      </c>
      <c r="F721" s="68" t="s">
        <v>2599</v>
      </c>
      <c r="G721" s="68" t="str">
        <f>VLOOKUP(D721,'03. Insumos'!A:F,3,0)</f>
        <v>Vb</v>
      </c>
      <c r="H721" s="69">
        <v>1</v>
      </c>
      <c r="I721" s="141">
        <v>5</v>
      </c>
      <c r="J721" s="70">
        <f t="shared" si="92"/>
        <v>55620</v>
      </c>
      <c r="K721" s="70">
        <f>IF(A721=0,VLOOKUP(D721,'03. Insumos'!A:F,4,0),"")</f>
        <v>55620</v>
      </c>
      <c r="L721" s="70">
        <f t="shared" si="93"/>
        <v>278100</v>
      </c>
      <c r="M721" s="153">
        <f t="shared" ca="1" si="89"/>
        <v>1.0481579541889812E-2</v>
      </c>
      <c r="O721" s="148"/>
      <c r="R721" s="12"/>
    </row>
    <row r="722" spans="1:18" s="51" customFormat="1" ht="13.5" customHeight="1" outlineLevel="1" x14ac:dyDescent="0.3">
      <c r="A722" s="290">
        <f t="shared" si="88"/>
        <v>0</v>
      </c>
      <c r="B722" s="49"/>
      <c r="C722" s="49"/>
      <c r="D722" s="140" t="s">
        <v>2628</v>
      </c>
      <c r="E722" s="67" t="str">
        <f>VLOOKUP(D722,'03. Insumos'!A:D,2,0)</f>
        <v>Porta Madeira Semi-oca 0,80x2,10m, com bandeira até o forro, ferragenas, pintura e colocação</v>
      </c>
      <c r="F722" s="68" t="s">
        <v>2599</v>
      </c>
      <c r="G722" s="68" t="str">
        <f>VLOOKUP(D722,'03. Insumos'!A:F,3,0)</f>
        <v>uni</v>
      </c>
      <c r="H722" s="69">
        <v>1</v>
      </c>
      <c r="I722" s="141">
        <v>1</v>
      </c>
      <c r="J722" s="70">
        <f t="shared" si="92"/>
        <v>2080.5</v>
      </c>
      <c r="K722" s="70">
        <f>IF(A722=0,VLOOKUP(D722,'03. Insumos'!A:F,4,0),"")</f>
        <v>2080.5</v>
      </c>
      <c r="L722" s="70">
        <f t="shared" si="93"/>
        <v>2080.5</v>
      </c>
      <c r="M722" s="153">
        <f t="shared" ca="1" si="89"/>
        <v>7.8413974242724752E-5</v>
      </c>
      <c r="O722" s="148"/>
      <c r="R722" s="12"/>
    </row>
    <row r="723" spans="1:18" s="51" customFormat="1" ht="13.5" hidden="1" customHeight="1" outlineLevel="1" x14ac:dyDescent="0.3">
      <c r="A723" s="290">
        <f t="shared" si="88"/>
        <v>0</v>
      </c>
      <c r="B723" s="49"/>
      <c r="C723" s="49"/>
      <c r="D723" s="140"/>
      <c r="E723" s="67" t="e">
        <f>VLOOKUP(D723,'03. Insumos'!A:D,2,0)</f>
        <v>#N/A</v>
      </c>
      <c r="F723" s="68" t="s">
        <v>2599</v>
      </c>
      <c r="G723" s="68" t="e">
        <f>VLOOKUP(D723,'03. Insumos'!A:F,3,0)</f>
        <v>#N/A</v>
      </c>
      <c r="H723" s="69">
        <v>1</v>
      </c>
      <c r="I723" s="141">
        <v>1</v>
      </c>
      <c r="J723" s="70">
        <f>IFERROR(IF(K723&lt;&gt;0,K723*$K$5,0),0)</f>
        <v>0</v>
      </c>
      <c r="K723" s="70" t="e">
        <f>IF(A723=0,VLOOKUP(D723,'03. Insumos'!A:F,4,0),"")</f>
        <v>#N/A</v>
      </c>
      <c r="L723" s="70">
        <f>H723*J723*I723</f>
        <v>0</v>
      </c>
      <c r="M723" s="153">
        <f t="shared" ca="1" si="89"/>
        <v>0</v>
      </c>
      <c r="O723" s="148"/>
      <c r="R723" s="12"/>
    </row>
    <row r="724" spans="1:18" s="51" customFormat="1" ht="13.5" hidden="1" customHeight="1" outlineLevel="1" x14ac:dyDescent="0.3">
      <c r="A724" s="290">
        <f t="shared" si="88"/>
        <v>0</v>
      </c>
      <c r="B724" s="49"/>
      <c r="C724" s="49"/>
      <c r="D724" s="140"/>
      <c r="E724" s="67" t="e">
        <f>VLOOKUP(D724,'03. Insumos'!A:D,2,0)</f>
        <v>#N/A</v>
      </c>
      <c r="F724" s="68" t="s">
        <v>2599</v>
      </c>
      <c r="G724" s="68" t="e">
        <f>VLOOKUP(D724,'03. Insumos'!A:F,3,0)</f>
        <v>#N/A</v>
      </c>
      <c r="H724" s="69">
        <v>1</v>
      </c>
      <c r="I724" s="141">
        <v>1</v>
      </c>
      <c r="J724" s="70">
        <f>IFERROR(IF(K724&lt;&gt;0,K724*$K$5,0),0)</f>
        <v>0</v>
      </c>
      <c r="K724" s="70" t="e">
        <f>IF(A724=0,VLOOKUP(D724,'03. Insumos'!A:F,4,0),"")</f>
        <v>#N/A</v>
      </c>
      <c r="L724" s="70">
        <f>H724*J724*I724</f>
        <v>0</v>
      </c>
      <c r="M724" s="153">
        <f t="shared" ca="1" si="89"/>
        <v>0</v>
      </c>
      <c r="O724" s="148"/>
      <c r="R724" s="12"/>
    </row>
    <row r="725" spans="1:18" s="51" customFormat="1" ht="13.5" hidden="1" customHeight="1" outlineLevel="1" x14ac:dyDescent="0.3">
      <c r="A725" s="290">
        <f t="shared" si="88"/>
        <v>0</v>
      </c>
      <c r="B725" s="49"/>
      <c r="C725" s="49"/>
      <c r="D725" s="140"/>
      <c r="E725" s="67" t="e">
        <f>VLOOKUP(D725,'03. Insumos'!A:D,2,0)</f>
        <v>#N/A</v>
      </c>
      <c r="F725" s="68" t="s">
        <v>2599</v>
      </c>
      <c r="G725" s="68" t="e">
        <f>VLOOKUP(D725,'03. Insumos'!A:F,3,0)</f>
        <v>#N/A</v>
      </c>
      <c r="H725" s="69">
        <v>1</v>
      </c>
      <c r="I725" s="141">
        <v>3</v>
      </c>
      <c r="J725" s="70">
        <f>IFERROR(IF(K725&lt;&gt;0,K725*$K$5,0),0)</f>
        <v>0</v>
      </c>
      <c r="K725" s="70" t="e">
        <f>IF(A725=0,VLOOKUP(D725,'03. Insumos'!A:F,4,0),"")</f>
        <v>#N/A</v>
      </c>
      <c r="L725" s="70">
        <f>H725*J725*I725</f>
        <v>0</v>
      </c>
      <c r="M725" s="153">
        <f t="shared" ca="1" si="89"/>
        <v>0</v>
      </c>
      <c r="O725" s="148"/>
      <c r="R725" s="12"/>
    </row>
    <row r="726" spans="1:18" s="51" customFormat="1" ht="13.5" hidden="1" customHeight="1" outlineLevel="1" x14ac:dyDescent="0.3">
      <c r="A726" s="290">
        <f t="shared" si="88"/>
        <v>0</v>
      </c>
      <c r="B726" s="49"/>
      <c r="C726" s="49"/>
      <c r="D726" s="140"/>
      <c r="E726" s="67" t="e">
        <f>VLOOKUP(D726,'03. Insumos'!A:D,2,0)</f>
        <v>#N/A</v>
      </c>
      <c r="F726" s="68" t="s">
        <v>2599</v>
      </c>
      <c r="G726" s="68" t="e">
        <f>VLOOKUP(D726,'03. Insumos'!A:F,3,0)</f>
        <v>#N/A</v>
      </c>
      <c r="H726" s="69">
        <v>1</v>
      </c>
      <c r="I726" s="449">
        <v>3</v>
      </c>
      <c r="J726" s="70">
        <f>IFERROR(IF(K726&lt;&gt;0,K726*$K$5,0),0)</f>
        <v>0</v>
      </c>
      <c r="K726" s="70" t="e">
        <f>IF(A726=0,VLOOKUP(D726,'03. Insumos'!A:F,4,0),"")</f>
        <v>#N/A</v>
      </c>
      <c r="L726" s="70">
        <f>H726*J726*I726</f>
        <v>0</v>
      </c>
      <c r="M726" s="153">
        <f t="shared" ca="1" si="89"/>
        <v>0</v>
      </c>
      <c r="O726" s="148"/>
      <c r="R726" s="12"/>
    </row>
    <row r="727" spans="1:18" s="51" customFormat="1" ht="13.5" hidden="1" customHeight="1" outlineLevel="1" x14ac:dyDescent="0.3">
      <c r="A727" s="290">
        <f t="shared" si="88"/>
        <v>0</v>
      </c>
      <c r="B727" s="49"/>
      <c r="C727" s="49"/>
      <c r="D727" s="140"/>
      <c r="E727" s="67" t="e">
        <f>VLOOKUP(D727,'03. Insumos'!A:D,2,0)</f>
        <v>#N/A</v>
      </c>
      <c r="F727" s="68" t="s">
        <v>2599</v>
      </c>
      <c r="G727" s="68" t="e">
        <f>VLOOKUP(D727,'03. Insumos'!A:F,3,0)</f>
        <v>#N/A</v>
      </c>
      <c r="H727" s="69">
        <v>1</v>
      </c>
      <c r="I727" s="141">
        <v>1</v>
      </c>
      <c r="J727" s="70">
        <f>IFERROR(IF(K727&lt;&gt;0,K727*$K$5,0),0)</f>
        <v>0</v>
      </c>
      <c r="K727" s="70" t="e">
        <f>IF(A727=0,VLOOKUP(D727,'03. Insumos'!A:F,4,0),"")</f>
        <v>#N/A</v>
      </c>
      <c r="L727" s="70">
        <f>H727*J727*I727</f>
        <v>0</v>
      </c>
      <c r="M727" s="153">
        <f t="shared" ca="1" si="89"/>
        <v>0</v>
      </c>
      <c r="O727" s="148"/>
      <c r="R727" s="12"/>
    </row>
    <row r="728" spans="1:18" s="51" customFormat="1" ht="13.5" hidden="1" customHeight="1" outlineLevel="1" x14ac:dyDescent="0.3">
      <c r="A728" s="290">
        <f t="shared" si="88"/>
        <v>0</v>
      </c>
      <c r="B728" s="49"/>
      <c r="C728" s="49"/>
      <c r="D728" s="140"/>
      <c r="E728" s="67" t="e">
        <f>VLOOKUP(D728,'03. Insumos'!A:D,2,0)</f>
        <v>#N/A</v>
      </c>
      <c r="F728" s="68" t="s">
        <v>2599</v>
      </c>
      <c r="G728" s="68" t="e">
        <f>VLOOKUP(D728,'03. Insumos'!A:F,3,0)</f>
        <v>#N/A</v>
      </c>
      <c r="H728" s="69">
        <v>1</v>
      </c>
      <c r="I728" s="449">
        <f>3*SUM(I729:I731)</f>
        <v>39</v>
      </c>
      <c r="J728" s="70">
        <f t="shared" si="92"/>
        <v>0</v>
      </c>
      <c r="K728" s="70" t="e">
        <f>IF(A728=0,VLOOKUP(D728,'03. Insumos'!A:F,4,0),"")</f>
        <v>#N/A</v>
      </c>
      <c r="L728" s="70">
        <f t="shared" si="93"/>
        <v>0</v>
      </c>
      <c r="M728" s="153">
        <f t="shared" ca="1" si="89"/>
        <v>0</v>
      </c>
      <c r="O728" s="148"/>
      <c r="R728" s="12"/>
    </row>
    <row r="729" spans="1:18" s="51" customFormat="1" ht="13.5" hidden="1" customHeight="1" outlineLevel="1" x14ac:dyDescent="0.3">
      <c r="A729" s="290">
        <f t="shared" si="88"/>
        <v>0</v>
      </c>
      <c r="B729" s="49"/>
      <c r="C729" s="49"/>
      <c r="D729" s="140"/>
      <c r="E729" s="67" t="e">
        <f>VLOOKUP(D729,'03. Insumos'!A:D,2,0)</f>
        <v>#N/A</v>
      </c>
      <c r="F729" s="68" t="s">
        <v>2599</v>
      </c>
      <c r="G729" s="68" t="e">
        <f>VLOOKUP(D729,'03. Insumos'!A:F,3,0)</f>
        <v>#N/A</v>
      </c>
      <c r="H729" s="69">
        <v>1</v>
      </c>
      <c r="I729" s="141">
        <v>1</v>
      </c>
      <c r="J729" s="70">
        <f t="shared" si="92"/>
        <v>0</v>
      </c>
      <c r="K729" s="70" t="e">
        <f>IF(A729=0,VLOOKUP(D729,'03. Insumos'!A:F,4,0),"")</f>
        <v>#N/A</v>
      </c>
      <c r="L729" s="70">
        <f t="shared" si="93"/>
        <v>0</v>
      </c>
      <c r="M729" s="153">
        <f t="shared" ca="1" si="89"/>
        <v>0</v>
      </c>
      <c r="O729" s="148"/>
      <c r="R729" s="12"/>
    </row>
    <row r="730" spans="1:18" s="51" customFormat="1" ht="13.5" hidden="1" customHeight="1" outlineLevel="1" x14ac:dyDescent="0.3">
      <c r="A730" s="290">
        <f t="shared" si="88"/>
        <v>0</v>
      </c>
      <c r="B730" s="49"/>
      <c r="C730" s="49"/>
      <c r="D730" s="140"/>
      <c r="E730" s="67" t="e">
        <f>VLOOKUP(D730,'03. Insumos'!A:D,2,0)</f>
        <v>#N/A</v>
      </c>
      <c r="F730" s="68" t="s">
        <v>2599</v>
      </c>
      <c r="G730" s="68" t="e">
        <f>VLOOKUP(D730,'03. Insumos'!A:F,3,0)</f>
        <v>#N/A</v>
      </c>
      <c r="H730" s="69">
        <v>1</v>
      </c>
      <c r="I730" s="449">
        <v>8</v>
      </c>
      <c r="J730" s="70">
        <f t="shared" si="92"/>
        <v>0</v>
      </c>
      <c r="K730" s="70" t="e">
        <f>IF(A730=0,VLOOKUP(D730,'03. Insumos'!A:F,4,0),"")</f>
        <v>#N/A</v>
      </c>
      <c r="L730" s="70">
        <f t="shared" si="93"/>
        <v>0</v>
      </c>
      <c r="M730" s="153">
        <f t="shared" ca="1" si="89"/>
        <v>0</v>
      </c>
      <c r="O730" s="148"/>
      <c r="R730" s="12"/>
    </row>
    <row r="731" spans="1:18" s="51" customFormat="1" ht="13.5" hidden="1" customHeight="1" outlineLevel="1" x14ac:dyDescent="0.3">
      <c r="A731" s="290">
        <f t="shared" si="88"/>
        <v>0</v>
      </c>
      <c r="B731" s="49"/>
      <c r="C731" s="49"/>
      <c r="D731" s="140"/>
      <c r="E731" s="67" t="e">
        <f>VLOOKUP(D731,'03. Insumos'!A:D,2,0)</f>
        <v>#N/A</v>
      </c>
      <c r="F731" s="68" t="s">
        <v>2599</v>
      </c>
      <c r="G731" s="68" t="e">
        <f>VLOOKUP(D731,'03. Insumos'!A:F,3,0)</f>
        <v>#N/A</v>
      </c>
      <c r="H731" s="69">
        <v>1</v>
      </c>
      <c r="I731" s="141">
        <v>4</v>
      </c>
      <c r="J731" s="70">
        <f t="shared" si="92"/>
        <v>0</v>
      </c>
      <c r="K731" s="70" t="e">
        <f>IF(A731=0,VLOOKUP(D731,'03. Insumos'!A:F,4,0),"")</f>
        <v>#N/A</v>
      </c>
      <c r="L731" s="70">
        <f t="shared" si="93"/>
        <v>0</v>
      </c>
      <c r="M731" s="153">
        <f t="shared" ca="1" si="89"/>
        <v>0</v>
      </c>
      <c r="O731" s="148"/>
      <c r="R731" s="12"/>
    </row>
    <row r="732" spans="1:18" s="51" customFormat="1" ht="13.5" hidden="1" customHeight="1" outlineLevel="1" x14ac:dyDescent="0.3">
      <c r="A732" s="290">
        <f t="shared" si="88"/>
        <v>0</v>
      </c>
      <c r="B732" s="49"/>
      <c r="C732" s="49"/>
      <c r="D732" s="140"/>
      <c r="E732" s="67" t="e">
        <f>VLOOKUP(D732,'03. Insumos'!A:D,2,0)</f>
        <v>#N/A</v>
      </c>
      <c r="F732" s="68" t="s">
        <v>2599</v>
      </c>
      <c r="G732" s="68" t="e">
        <f>VLOOKUP(D732,'03. Insumos'!A:F,3,0)</f>
        <v>#N/A</v>
      </c>
      <c r="H732" s="69">
        <v>1</v>
      </c>
      <c r="I732" s="449"/>
      <c r="J732" s="70">
        <f t="shared" si="92"/>
        <v>0</v>
      </c>
      <c r="K732" s="70" t="e">
        <f>IF(A732=0,VLOOKUP(D732,'03. Insumos'!A:F,4,0),"")</f>
        <v>#N/A</v>
      </c>
      <c r="L732" s="70">
        <f t="shared" si="93"/>
        <v>0</v>
      </c>
      <c r="M732" s="153">
        <f t="shared" ca="1" si="89"/>
        <v>0</v>
      </c>
      <c r="O732" s="148"/>
      <c r="R732" s="12"/>
    </row>
    <row r="733" spans="1:18" s="59" customFormat="1" ht="13.5" hidden="1" customHeight="1" outlineLevel="1" x14ac:dyDescent="0.3">
      <c r="A733" s="290">
        <f t="shared" si="88"/>
        <v>6</v>
      </c>
      <c r="B733" s="55"/>
      <c r="C733" s="55" t="s">
        <v>1339</v>
      </c>
      <c r="D733" s="55" t="s">
        <v>2136</v>
      </c>
      <c r="E733" s="55"/>
      <c r="F733" s="56"/>
      <c r="G733" s="56"/>
      <c r="H733" s="57"/>
      <c r="I733" s="57"/>
      <c r="J733" s="58"/>
      <c r="K733" s="58" t="str">
        <f>IF(A733=0,VLOOKUP(D733,'03. Insumos'!A:F,4,0),"")</f>
        <v/>
      </c>
      <c r="L733" s="58">
        <f>SUM(L734:L737)</f>
        <v>0</v>
      </c>
      <c r="M733" s="153">
        <f t="shared" ca="1" si="89"/>
        <v>0</v>
      </c>
      <c r="O733" s="148">
        <f>IF(I733&lt;&gt;0,I733*H733*K733,)</f>
        <v>0</v>
      </c>
      <c r="R733" s="12">
        <f>IF(J733&lt;&gt;0,J733/1.03-K733,0)</f>
        <v>0</v>
      </c>
    </row>
    <row r="734" spans="1:18" s="51" customFormat="1" ht="13.5" hidden="1" customHeight="1" outlineLevel="1" x14ac:dyDescent="0.3">
      <c r="A734" s="290">
        <f t="shared" si="88"/>
        <v>0</v>
      </c>
      <c r="B734" s="49"/>
      <c r="C734" s="49"/>
      <c r="D734" s="140" t="s">
        <v>2142</v>
      </c>
      <c r="E734" s="67" t="str">
        <f>VLOOKUP(D734,'03. Insumos'!A:D,2,0)</f>
        <v>Porta de alumínio da varanda</v>
      </c>
      <c r="F734" s="68"/>
      <c r="G734" s="68" t="str">
        <f>VLOOKUP(D734,'03. Insumos'!A:F,3,0)</f>
        <v>vb</v>
      </c>
      <c r="H734" s="69">
        <v>1</v>
      </c>
      <c r="I734" s="141"/>
      <c r="J734" s="70">
        <f>IFERROR(IF(K734&lt;&gt;0,K734*$K$5,0),0)</f>
        <v>4038.2500000000005</v>
      </c>
      <c r="K734" s="70">
        <f>IF(A734=0,VLOOKUP(D734,'03. Insumos'!A:F,4,0),"")</f>
        <v>4038.2500000000005</v>
      </c>
      <c r="L734" s="338">
        <f>H734*J734*I734</f>
        <v>0</v>
      </c>
      <c r="M734" s="153">
        <f t="shared" ca="1" si="89"/>
        <v>0</v>
      </c>
      <c r="O734" s="148">
        <f>IF(I734&lt;&gt;0,I734*H734*K734,)</f>
        <v>0</v>
      </c>
      <c r="R734" s="12">
        <f>IF(J734&lt;&gt;0,J734/1.03-K734,0)</f>
        <v>-117.61893203883528</v>
      </c>
    </row>
    <row r="735" spans="1:18" s="51" customFormat="1" ht="13.5" hidden="1" customHeight="1" outlineLevel="1" x14ac:dyDescent="0.3">
      <c r="A735" s="290">
        <f t="shared" si="88"/>
        <v>0</v>
      </c>
      <c r="B735" s="49"/>
      <c r="C735" s="49"/>
      <c r="D735" s="140" t="s">
        <v>2143</v>
      </c>
      <c r="E735" s="67" t="str">
        <f>VLOOKUP(D735,'03. Insumos'!A:D,2,0)</f>
        <v>Janela de alumínio da cozinha</v>
      </c>
      <c r="F735" s="68"/>
      <c r="G735" s="68" t="str">
        <f>VLOOKUP(D735,'03. Insumos'!A:F,3,0)</f>
        <v>vb</v>
      </c>
      <c r="H735" s="69">
        <v>1</v>
      </c>
      <c r="I735" s="141"/>
      <c r="J735" s="70">
        <f>IFERROR(IF(K735&lt;&gt;0,K735*$K$5,0),0)</f>
        <v>2366.48</v>
      </c>
      <c r="K735" s="70">
        <f>IF(A735=0,VLOOKUP(D735,'03. Insumos'!A:F,4,0),"")</f>
        <v>2366.48</v>
      </c>
      <c r="L735" s="338">
        <f>H735*J735*I735</f>
        <v>0</v>
      </c>
      <c r="M735" s="153">
        <f t="shared" ca="1" si="89"/>
        <v>0</v>
      </c>
      <c r="O735" s="148"/>
      <c r="R735" s="12"/>
    </row>
    <row r="736" spans="1:18" s="51" customFormat="1" ht="13.5" hidden="1" customHeight="1" outlineLevel="1" x14ac:dyDescent="0.3">
      <c r="A736" s="290">
        <f t="shared" si="88"/>
        <v>0</v>
      </c>
      <c r="B736" s="49"/>
      <c r="C736" s="49"/>
      <c r="D736" s="140" t="s">
        <v>2144</v>
      </c>
      <c r="E736" s="67" t="str">
        <f>VLOOKUP(D736,'03. Insumos'!A:D,2,0)</f>
        <v>Janela de alumínio do quarto extra</v>
      </c>
      <c r="F736" s="68"/>
      <c r="G736" s="68" t="str">
        <f>VLOOKUP(D736,'03. Insumos'!A:F,3,0)</f>
        <v>vb</v>
      </c>
      <c r="H736" s="69">
        <v>1</v>
      </c>
      <c r="I736" s="141"/>
      <c r="J736" s="70">
        <f>IFERROR(IF(K736&lt;&gt;0,K736*$K$5,0),0)</f>
        <v>1379.45</v>
      </c>
      <c r="K736" s="70">
        <f>IF(A736=0,VLOOKUP(D736,'03. Insumos'!A:F,4,0),"")</f>
        <v>1379.45</v>
      </c>
      <c r="L736" s="338">
        <f>H736*J736*I736</f>
        <v>0</v>
      </c>
      <c r="M736" s="153">
        <f t="shared" ca="1" si="89"/>
        <v>0</v>
      </c>
      <c r="O736" s="148"/>
      <c r="R736" s="12"/>
    </row>
    <row r="737" spans="1:18" s="51" customFormat="1" ht="13.5" hidden="1" customHeight="1" outlineLevel="1" x14ac:dyDescent="0.3">
      <c r="A737" s="290">
        <f t="shared" si="88"/>
        <v>0</v>
      </c>
      <c r="B737" s="49"/>
      <c r="C737" s="49"/>
      <c r="D737" s="140" t="s">
        <v>2145</v>
      </c>
      <c r="E737" s="67" t="str">
        <f>VLOOKUP(D737,'03. Insumos'!A:D,2,0)</f>
        <v>Retirada e recolocação das esquadrias existentes dos quartos</v>
      </c>
      <c r="F737" s="68"/>
      <c r="G737" s="68" t="str">
        <f>VLOOKUP(D737,'03. Insumos'!A:F,3,0)</f>
        <v>vb</v>
      </c>
      <c r="H737" s="69">
        <v>1</v>
      </c>
      <c r="I737" s="141"/>
      <c r="J737" s="70">
        <f>IFERROR(IF(K737&lt;&gt;0,K737*$K$5,0),0)</f>
        <v>1566</v>
      </c>
      <c r="K737" s="70">
        <f>IF(A737=0,VLOOKUP(D737,'03. Insumos'!A:F,4,0),"")</f>
        <v>1566</v>
      </c>
      <c r="L737" s="338">
        <f>H737*J737*I737</f>
        <v>0</v>
      </c>
      <c r="M737" s="153">
        <f t="shared" ca="1" si="89"/>
        <v>0</v>
      </c>
      <c r="O737" s="148"/>
      <c r="R737" s="12"/>
    </row>
    <row r="738" spans="1:18" s="59" customFormat="1" ht="13.5" hidden="1" customHeight="1" outlineLevel="1" x14ac:dyDescent="0.3">
      <c r="A738" s="290">
        <f t="shared" si="88"/>
        <v>6</v>
      </c>
      <c r="B738" s="55"/>
      <c r="C738" s="55" t="s">
        <v>2160</v>
      </c>
      <c r="D738" s="55" t="s">
        <v>2146</v>
      </c>
      <c r="E738" s="55"/>
      <c r="F738" s="56"/>
      <c r="G738" s="56"/>
      <c r="H738" s="57"/>
      <c r="I738" s="57"/>
      <c r="J738" s="58"/>
      <c r="K738" s="58" t="str">
        <f>IF(A738=0,VLOOKUP(D738,'03. Insumos'!A:F,4,0),"")</f>
        <v/>
      </c>
      <c r="L738" s="58">
        <f>SUM(L739:L740)</f>
        <v>0</v>
      </c>
      <c r="M738" s="153">
        <f t="shared" ca="1" si="89"/>
        <v>0</v>
      </c>
      <c r="O738" s="148">
        <f>IF(I738&lt;&gt;0,I738*H738*K738,)</f>
        <v>0</v>
      </c>
      <c r="R738" s="12">
        <f>IF(J738&lt;&gt;0,J738/1.03-K738,0)</f>
        <v>0</v>
      </c>
    </row>
    <row r="739" spans="1:18" s="59" customFormat="1" ht="13.5" hidden="1" customHeight="1" outlineLevel="1" x14ac:dyDescent="0.3">
      <c r="A739" s="290">
        <f t="shared" si="88"/>
        <v>0</v>
      </c>
      <c r="B739" s="55"/>
      <c r="C739" s="55"/>
      <c r="D739" s="140" t="s">
        <v>2149</v>
      </c>
      <c r="E739" s="67" t="str">
        <f>VLOOKUP(D739,'03. Insumos'!A:D,2,0)</f>
        <v>Espelhos 4 mm B. suíte, B. social e lavabo</v>
      </c>
      <c r="F739" s="68"/>
      <c r="G739" s="68" t="str">
        <f>VLOOKUP(D739,'03. Insumos'!A:F,3,0)</f>
        <v>vb</v>
      </c>
      <c r="H739" s="69">
        <v>1</v>
      </c>
      <c r="I739" s="141"/>
      <c r="J739" s="70">
        <f>IFERROR(IF(K739&lt;&gt;0,K739*$K$5,0),0)</f>
        <v>1364</v>
      </c>
      <c r="K739" s="70">
        <f>IF(A739=0,VLOOKUP(D739,'03. Insumos'!A:F,4,0),"")</f>
        <v>1364</v>
      </c>
      <c r="L739" s="338">
        <f>H739*J739*I739</f>
        <v>0</v>
      </c>
      <c r="M739" s="153">
        <f t="shared" ca="1" si="89"/>
        <v>0</v>
      </c>
      <c r="O739" s="148"/>
      <c r="R739" s="12"/>
    </row>
    <row r="740" spans="1:18" s="51" customFormat="1" ht="13.5" hidden="1" customHeight="1" outlineLevel="1" x14ac:dyDescent="0.3">
      <c r="A740" s="290">
        <f t="shared" si="88"/>
        <v>0</v>
      </c>
      <c r="B740" s="49"/>
      <c r="C740" s="49"/>
      <c r="D740" s="140" t="s">
        <v>2150</v>
      </c>
      <c r="E740" s="67" t="str">
        <f>VLOOKUP(D740,'03. Insumos'!A:D,2,0)</f>
        <v>Box para B. suíte e B. social</v>
      </c>
      <c r="F740" s="68"/>
      <c r="G740" s="68" t="str">
        <f>VLOOKUP(D740,'03. Insumos'!A:F,3,0)</f>
        <v>vb</v>
      </c>
      <c r="H740" s="69">
        <v>1</v>
      </c>
      <c r="I740" s="141"/>
      <c r="J740" s="70">
        <f>IFERROR(IF(K740&lt;&gt;0,K740*$K$5,0),0)</f>
        <v>2268</v>
      </c>
      <c r="K740" s="70">
        <f>IF(A740=0,VLOOKUP(D740,'03. Insumos'!A:F,4,0),"")</f>
        <v>2268</v>
      </c>
      <c r="L740" s="338">
        <f>H740*J740*I740</f>
        <v>0</v>
      </c>
      <c r="M740" s="153">
        <f t="shared" ca="1" si="89"/>
        <v>0</v>
      </c>
      <c r="O740" s="148">
        <f t="shared" ref="O740:O762" si="94">IF(I740&lt;&gt;0,I740*H740*K740,)</f>
        <v>0</v>
      </c>
      <c r="R740" s="12">
        <f t="shared" ref="R740:R762" si="95">IF(J740&lt;&gt;0,J740/1.03-K740,0)</f>
        <v>-66.05825242718447</v>
      </c>
    </row>
    <row r="741" spans="1:18" s="18" customFormat="1" x14ac:dyDescent="0.3">
      <c r="A741" s="290">
        <f t="shared" si="88"/>
        <v>3</v>
      </c>
      <c r="B741" s="35"/>
      <c r="C741" s="35" t="s">
        <v>328</v>
      </c>
      <c r="D741" s="35" t="s">
        <v>888</v>
      </c>
      <c r="E741" s="390"/>
      <c r="F741" s="323"/>
      <c r="G741" s="323"/>
      <c r="H741" s="324"/>
      <c r="I741" s="37"/>
      <c r="J741" s="333"/>
      <c r="K741" s="333"/>
      <c r="L741" s="333">
        <f>SUMIF(A742:A754,4,L742:L754)</f>
        <v>23331100</v>
      </c>
      <c r="M741" s="153">
        <f t="shared" ca="1" si="89"/>
        <v>0.87934836551522977</v>
      </c>
      <c r="O741" s="148">
        <f t="shared" si="94"/>
        <v>0</v>
      </c>
      <c r="R741" s="12">
        <f t="shared" si="95"/>
        <v>0</v>
      </c>
    </row>
    <row r="742" spans="1:18" s="18" customFormat="1" outlineLevel="1" x14ac:dyDescent="0.3">
      <c r="A742" s="290">
        <f t="shared" si="88"/>
        <v>4</v>
      </c>
      <c r="B742" s="45"/>
      <c r="C742" s="45" t="s">
        <v>329</v>
      </c>
      <c r="D742" s="45" t="s">
        <v>888</v>
      </c>
      <c r="E742" s="347"/>
      <c r="F742" s="327"/>
      <c r="G742" s="327"/>
      <c r="H742" s="328"/>
      <c r="I742" s="61"/>
      <c r="J742" s="335"/>
      <c r="K742" s="335" t="str">
        <f>IF(A742=0,VLOOKUP(D742,'03. Insumos'!A:F,4,0),"")</f>
        <v/>
      </c>
      <c r="L742" s="335">
        <f>SUMIF(A743:A754,6,L743:L754)</f>
        <v>23331100</v>
      </c>
      <c r="M742" s="153">
        <f t="shared" ca="1" si="89"/>
        <v>0.87934836551522977</v>
      </c>
      <c r="O742" s="148">
        <f t="shared" si="94"/>
        <v>0</v>
      </c>
      <c r="R742" s="12">
        <f t="shared" si="95"/>
        <v>0</v>
      </c>
    </row>
    <row r="743" spans="1:18" s="59" customFormat="1" outlineLevel="1" x14ac:dyDescent="0.3">
      <c r="A743" s="290">
        <f t="shared" si="88"/>
        <v>6</v>
      </c>
      <c r="B743" s="55"/>
      <c r="C743" s="55" t="s">
        <v>330</v>
      </c>
      <c r="D743" s="4" t="s">
        <v>2649</v>
      </c>
      <c r="E743" s="55"/>
      <c r="F743" s="56"/>
      <c r="G743" s="56"/>
      <c r="H743" s="57"/>
      <c r="I743" s="57"/>
      <c r="J743" s="58"/>
      <c r="K743" s="58" t="str">
        <f>IF(A743=0,VLOOKUP(D743,'03. Insumos'!A:F,4,0),"")</f>
        <v/>
      </c>
      <c r="L743" s="58">
        <f>SUM(L744:L744)</f>
        <v>2700</v>
      </c>
      <c r="M743" s="153">
        <f t="shared" ca="1" si="89"/>
        <v>1.0176290817368749E-4</v>
      </c>
      <c r="O743" s="148">
        <f t="shared" si="94"/>
        <v>0</v>
      </c>
      <c r="R743" s="12">
        <f t="shared" si="95"/>
        <v>0</v>
      </c>
    </row>
    <row r="744" spans="1:18" s="51" customFormat="1" outlineLevel="1" x14ac:dyDescent="0.3">
      <c r="A744" s="290">
        <f t="shared" si="88"/>
        <v>0</v>
      </c>
      <c r="B744" s="49"/>
      <c r="C744" s="49"/>
      <c r="D744" s="140" t="s">
        <v>2648</v>
      </c>
      <c r="E744" s="67" t="str">
        <f>VLOOKUP(D744,'03. Insumos'!A:D,2,0)</f>
        <v>Reforço estrutural em metálica</v>
      </c>
      <c r="F744" s="68" t="s">
        <v>2599</v>
      </c>
      <c r="G744" s="68" t="str">
        <f>VLOOKUP(D744,'03. Insumos'!A:F,3,0)</f>
        <v>kg</v>
      </c>
      <c r="H744" s="69">
        <v>1</v>
      </c>
      <c r="I744" s="141">
        <f>4*3*15</f>
        <v>180</v>
      </c>
      <c r="J744" s="70">
        <f>IFERROR(IF(K744&lt;&gt;0,K744*$K$5,0),0)</f>
        <v>15</v>
      </c>
      <c r="K744" s="70">
        <f>IF(A744=0,VLOOKUP(D744,'03. Insumos'!A:F,4,0),"")</f>
        <v>15</v>
      </c>
      <c r="L744" s="70">
        <f>H744*J744*I744</f>
        <v>2700</v>
      </c>
      <c r="M744" s="153">
        <f t="shared" ca="1" si="89"/>
        <v>1.0176290817368749E-4</v>
      </c>
      <c r="O744" s="148">
        <f t="shared" si="94"/>
        <v>2700</v>
      </c>
      <c r="R744" s="12">
        <f t="shared" si="95"/>
        <v>-0.43689320388349628</v>
      </c>
    </row>
    <row r="745" spans="1:18" s="59" customFormat="1" ht="13.5" customHeight="1" outlineLevel="1" x14ac:dyDescent="0.3">
      <c r="A745" s="290">
        <f t="shared" si="88"/>
        <v>6</v>
      </c>
      <c r="B745" s="55"/>
      <c r="C745" s="55" t="s">
        <v>2931</v>
      </c>
      <c r="D745" s="4" t="s">
        <v>2929</v>
      </c>
      <c r="E745" s="55"/>
      <c r="F745" s="56"/>
      <c r="G745" s="56"/>
      <c r="H745" s="57"/>
      <c r="I745" s="57"/>
      <c r="J745" s="58"/>
      <c r="K745" s="58" t="str">
        <f>IF(A745=0,VLOOKUP(D745,'03. Insumos'!A:F,4,0),"")</f>
        <v/>
      </c>
      <c r="L745" s="58">
        <f>SUM(L746)</f>
        <v>9700</v>
      </c>
      <c r="M745" s="153">
        <f t="shared" ca="1" si="89"/>
        <v>3.655926701054699E-4</v>
      </c>
      <c r="O745" s="148">
        <f t="shared" si="94"/>
        <v>0</v>
      </c>
      <c r="R745" s="12">
        <f t="shared" si="95"/>
        <v>0</v>
      </c>
    </row>
    <row r="746" spans="1:18" s="51" customFormat="1" ht="13.5" customHeight="1" outlineLevel="1" x14ac:dyDescent="0.3">
      <c r="A746" s="290">
        <f t="shared" si="88"/>
        <v>0</v>
      </c>
      <c r="B746" s="49"/>
      <c r="C746" s="49"/>
      <c r="D746" s="140" t="s">
        <v>2918</v>
      </c>
      <c r="E746" s="67" t="str">
        <f>VLOOKUP(D746,'03. Insumos'!A:D,2,0)</f>
        <v>Escada Metálica conforme imagem da maquete eletrônica</v>
      </c>
      <c r="F746" s="68" t="s">
        <v>2599</v>
      </c>
      <c r="G746" s="68" t="str">
        <f>VLOOKUP(D746,'03. Insumos'!A:F,3,0)</f>
        <v>vb</v>
      </c>
      <c r="H746" s="69">
        <v>1</v>
      </c>
      <c r="I746" s="141">
        <v>1</v>
      </c>
      <c r="J746" s="70">
        <f>IFERROR(IF(K746&lt;&gt;0,K746*$K$5,0),0)</f>
        <v>9700</v>
      </c>
      <c r="K746" s="70">
        <f>IF(A746=0,VLOOKUP(D746,'03. Insumos'!A:F,4,0),"")</f>
        <v>9700</v>
      </c>
      <c r="L746" s="70">
        <f>H746*J746*I746</f>
        <v>9700</v>
      </c>
      <c r="M746" s="153">
        <f t="shared" ca="1" si="89"/>
        <v>3.655926701054699E-4</v>
      </c>
      <c r="O746" s="148">
        <f t="shared" si="94"/>
        <v>9700</v>
      </c>
      <c r="R746" s="12">
        <f t="shared" si="95"/>
        <v>-282.52427184466069</v>
      </c>
    </row>
    <row r="747" spans="1:18" s="59" customFormat="1" ht="13.5" customHeight="1" outlineLevel="1" x14ac:dyDescent="0.3">
      <c r="A747" s="290">
        <f t="shared" si="88"/>
        <v>6</v>
      </c>
      <c r="B747" s="55"/>
      <c r="C747" s="55" t="s">
        <v>2932</v>
      </c>
      <c r="D747" s="4" t="s">
        <v>2830</v>
      </c>
      <c r="E747" s="55"/>
      <c r="F747" s="56"/>
      <c r="G747" s="56"/>
      <c r="H747" s="57"/>
      <c r="I747" s="57"/>
      <c r="J747" s="58"/>
      <c r="K747" s="58" t="str">
        <f>IF(A747=0,VLOOKUP(D747,'03. Insumos'!A:F,4,0),"")</f>
        <v/>
      </c>
      <c r="L747" s="58">
        <f>SUM(L748:L749)</f>
        <v>23307000</v>
      </c>
      <c r="M747" s="153">
        <f t="shared" ca="1" si="89"/>
        <v>0.87844003733486464</v>
      </c>
      <c r="O747" s="148">
        <f t="shared" si="94"/>
        <v>0</v>
      </c>
      <c r="R747" s="12">
        <f t="shared" si="95"/>
        <v>0</v>
      </c>
    </row>
    <row r="748" spans="1:18" s="51" customFormat="1" ht="13.5" customHeight="1" outlineLevel="1" x14ac:dyDescent="0.3">
      <c r="A748" s="290">
        <f t="shared" si="88"/>
        <v>0</v>
      </c>
      <c r="B748" s="49"/>
      <c r="C748" s="49"/>
      <c r="D748" s="140" t="s">
        <v>2802</v>
      </c>
      <c r="E748" s="67" t="str">
        <f>VLOOKUP(D748,'03. Insumos'!A:D,2,0)</f>
        <v>Execução de Telhado de Madeira - Material + MO</v>
      </c>
      <c r="F748" s="68" t="s">
        <v>2599</v>
      </c>
      <c r="G748" s="68" t="str">
        <f>VLOOKUP(D748,'03. Insumos'!A:F,3,0)</f>
        <v>m²</v>
      </c>
      <c r="H748" s="69">
        <v>1</v>
      </c>
      <c r="I748" s="141">
        <v>50</v>
      </c>
      <c r="J748" s="70">
        <f>IFERROR(IF(K748&lt;&gt;0,K748*$K$5,0),0)</f>
        <v>340</v>
      </c>
      <c r="K748" s="70">
        <f>IF(A748=0,VLOOKUP(D748,'03. Insumos'!A:F,4,0),"")</f>
        <v>340</v>
      </c>
      <c r="L748" s="70">
        <f>H748*J748*I748</f>
        <v>17000</v>
      </c>
      <c r="M748" s="153">
        <f t="shared" ca="1" si="89"/>
        <v>6.4072942183432868E-4</v>
      </c>
      <c r="O748" s="148">
        <f t="shared" si="94"/>
        <v>17000</v>
      </c>
      <c r="R748" s="12">
        <f t="shared" si="95"/>
        <v>-9.9029126213592349</v>
      </c>
    </row>
    <row r="749" spans="1:18" s="51" customFormat="1" ht="13.5" customHeight="1" outlineLevel="1" x14ac:dyDescent="0.3">
      <c r="A749" s="290">
        <f t="shared" si="88"/>
        <v>0</v>
      </c>
      <c r="B749" s="49"/>
      <c r="C749" s="49"/>
      <c r="D749" s="140" t="s">
        <v>2837</v>
      </c>
      <c r="E749" s="67" t="str">
        <f>VLOOKUP(D749,'03. Insumos'!A:D,2,0)</f>
        <v>Mão de Obra- Execução de Telhado colonial</v>
      </c>
      <c r="F749" s="68" t="s">
        <v>2599</v>
      </c>
      <c r="G749" s="68" t="str">
        <f>VLOOKUP(D749,'03. Insumos'!A:F,3,0)</f>
        <v>vb</v>
      </c>
      <c r="H749" s="69">
        <v>1</v>
      </c>
      <c r="I749" s="141">
        <v>1370</v>
      </c>
      <c r="J749" s="70">
        <f>IFERROR(IF(K749&lt;&gt;0,K749*$K$5,0),0)</f>
        <v>17000</v>
      </c>
      <c r="K749" s="70">
        <f>IF(A749=0,VLOOKUP(D749,'03. Insumos'!A:F,4,0),"")</f>
        <v>17000</v>
      </c>
      <c r="L749" s="70">
        <f>H749*J749*I749</f>
        <v>23290000</v>
      </c>
      <c r="M749" s="153">
        <f t="shared" ca="1" si="89"/>
        <v>0.87779930791303029</v>
      </c>
      <c r="O749" s="148">
        <f t="shared" si="94"/>
        <v>23290000</v>
      </c>
      <c r="R749" s="12">
        <f t="shared" si="95"/>
        <v>-495.14563106796049</v>
      </c>
    </row>
    <row r="750" spans="1:18" s="59" customFormat="1" ht="13.5" customHeight="1" outlineLevel="1" x14ac:dyDescent="0.3">
      <c r="A750" s="290">
        <f t="shared" si="88"/>
        <v>6</v>
      </c>
      <c r="B750" s="55"/>
      <c r="C750" s="55" t="s">
        <v>2933</v>
      </c>
      <c r="D750" s="4" t="s">
        <v>2223</v>
      </c>
      <c r="E750" s="55"/>
      <c r="F750" s="56"/>
      <c r="G750" s="56"/>
      <c r="H750" s="57"/>
      <c r="I750" s="57"/>
      <c r="J750" s="58"/>
      <c r="K750" s="58" t="str">
        <f>IF(A750=0,VLOOKUP(D750,'03. Insumos'!A:F,4,0),"")</f>
        <v/>
      </c>
      <c r="L750" s="58">
        <f>SUM(L751)</f>
        <v>11700</v>
      </c>
      <c r="M750" s="153">
        <f t="shared" ca="1" si="89"/>
        <v>4.4097260208597914E-4</v>
      </c>
      <c r="O750" s="148">
        <f t="shared" si="94"/>
        <v>0</v>
      </c>
      <c r="R750" s="12">
        <f t="shared" si="95"/>
        <v>0</v>
      </c>
    </row>
    <row r="751" spans="1:18" s="51" customFormat="1" ht="13.5" customHeight="1" outlineLevel="1" x14ac:dyDescent="0.3">
      <c r="A751" s="290">
        <f t="shared" si="88"/>
        <v>0</v>
      </c>
      <c r="B751" s="49"/>
      <c r="C751" s="49"/>
      <c r="D751" s="140" t="s">
        <v>2917</v>
      </c>
      <c r="E751" s="384" t="str">
        <f>VLOOKUP(D751,'03. Insumos'!A:D,2,0)</f>
        <v>Pergolado metálico</v>
      </c>
      <c r="F751" s="68" t="s">
        <v>2599</v>
      </c>
      <c r="G751" s="68" t="str">
        <f>VLOOKUP(D751,'03. Insumos'!A:F,3,0)</f>
        <v>kg</v>
      </c>
      <c r="H751" s="69">
        <v>1</v>
      </c>
      <c r="I751" s="141">
        <v>700</v>
      </c>
      <c r="J751" s="70">
        <f>IFERROR(IF(K751&lt;&gt;0,K751*$K$5,0),0)</f>
        <v>16.714285714285715</v>
      </c>
      <c r="K751" s="70">
        <f>IF(A751=0,VLOOKUP(D751,'03. Insumos'!A:F,4,0),"")</f>
        <v>16.714285714285715</v>
      </c>
      <c r="L751" s="70">
        <f>H751*J751*I751</f>
        <v>11700</v>
      </c>
      <c r="M751" s="153">
        <f t="shared" ca="1" si="89"/>
        <v>4.4097260208597914E-4</v>
      </c>
      <c r="O751" s="148">
        <f t="shared" si="94"/>
        <v>11700</v>
      </c>
      <c r="R751" s="12">
        <f t="shared" si="95"/>
        <v>-0.48682385575589393</v>
      </c>
    </row>
    <row r="752" spans="1:18" s="51" customFormat="1" hidden="1" outlineLevel="1" x14ac:dyDescent="0.3">
      <c r="A752" s="290"/>
      <c r="B752" s="49"/>
      <c r="C752" s="49"/>
      <c r="D752" s="140"/>
      <c r="E752" s="67"/>
      <c r="F752" s="68"/>
      <c r="G752" s="68"/>
      <c r="H752" s="69"/>
      <c r="I752" s="141"/>
      <c r="J752" s="70"/>
      <c r="K752" s="70"/>
      <c r="L752" s="70"/>
      <c r="M752" s="153"/>
      <c r="O752" s="148"/>
      <c r="R752" s="12"/>
    </row>
    <row r="753" spans="1:18" s="51" customFormat="1" hidden="1" outlineLevel="1" x14ac:dyDescent="0.3">
      <c r="A753" s="290"/>
      <c r="B753" s="49"/>
      <c r="C753" s="49"/>
      <c r="D753" s="140"/>
      <c r="E753" s="67"/>
      <c r="F753" s="68"/>
      <c r="G753" s="68"/>
      <c r="H753" s="69"/>
      <c r="I753" s="141"/>
      <c r="J753" s="70"/>
      <c r="K753" s="70"/>
      <c r="L753" s="70"/>
      <c r="M753" s="153"/>
      <c r="O753" s="148"/>
      <c r="R753" s="12"/>
    </row>
    <row r="754" spans="1:18" s="51" customFormat="1" hidden="1" outlineLevel="1" x14ac:dyDescent="0.3">
      <c r="A754" s="290"/>
      <c r="B754" s="49"/>
      <c r="C754" s="49"/>
      <c r="D754" s="140"/>
      <c r="E754" s="67"/>
      <c r="F754" s="68"/>
      <c r="G754" s="68"/>
      <c r="H754" s="69"/>
      <c r="I754" s="141"/>
      <c r="J754" s="70"/>
      <c r="K754" s="70"/>
      <c r="L754" s="70"/>
      <c r="M754" s="153"/>
      <c r="O754" s="148"/>
      <c r="R754" s="12"/>
    </row>
    <row r="755" spans="1:18" s="18" customFormat="1" x14ac:dyDescent="0.3">
      <c r="A755" s="290">
        <f t="shared" si="88"/>
        <v>3</v>
      </c>
      <c r="B755" s="35"/>
      <c r="C755" s="35" t="s">
        <v>346</v>
      </c>
      <c r="D755" s="35" t="s">
        <v>337</v>
      </c>
      <c r="E755" s="390"/>
      <c r="F755" s="323"/>
      <c r="G755" s="323"/>
      <c r="H755" s="324"/>
      <c r="I755" s="37"/>
      <c r="J755" s="333"/>
      <c r="K755" s="333"/>
      <c r="L755" s="333">
        <f>SUMIF(A756:A758,4,L756:L758)</f>
        <v>0</v>
      </c>
      <c r="M755" s="153">
        <f t="shared" ca="1" si="89"/>
        <v>0</v>
      </c>
      <c r="O755" s="148">
        <f t="shared" si="94"/>
        <v>0</v>
      </c>
      <c r="R755" s="12">
        <f t="shared" si="95"/>
        <v>0</v>
      </c>
    </row>
    <row r="756" spans="1:18" s="18" customFormat="1" hidden="1" outlineLevel="1" x14ac:dyDescent="0.3">
      <c r="A756" s="290">
        <f t="shared" si="88"/>
        <v>4</v>
      </c>
      <c r="B756" s="45"/>
      <c r="C756" s="45" t="s">
        <v>367</v>
      </c>
      <c r="D756" s="45" t="s">
        <v>349</v>
      </c>
      <c r="E756" s="347"/>
      <c r="F756" s="327"/>
      <c r="G756" s="327"/>
      <c r="H756" s="328"/>
      <c r="I756" s="61"/>
      <c r="J756" s="335"/>
      <c r="K756" s="335" t="str">
        <f>IF(A756=0,VLOOKUP(D756,'03. Insumos'!A:F,4,0),"")</f>
        <v/>
      </c>
      <c r="L756" s="335">
        <f>SUMIF(A757:A758,6,L757:L758)</f>
        <v>0</v>
      </c>
      <c r="M756" s="153">
        <f t="shared" ca="1" si="89"/>
        <v>0</v>
      </c>
      <c r="O756" s="148">
        <f t="shared" si="94"/>
        <v>0</v>
      </c>
      <c r="R756" s="12">
        <f t="shared" si="95"/>
        <v>0</v>
      </c>
    </row>
    <row r="757" spans="1:18" s="59" customFormat="1" ht="13.5" hidden="1" customHeight="1" outlineLevel="1" x14ac:dyDescent="0.3">
      <c r="A757" s="290">
        <f t="shared" si="88"/>
        <v>6</v>
      </c>
      <c r="B757" s="55"/>
      <c r="C757" s="55" t="s">
        <v>368</v>
      </c>
      <c r="D757" s="55" t="s">
        <v>1351</v>
      </c>
      <c r="E757" s="55"/>
      <c r="F757" s="56"/>
      <c r="G757" s="56" t="s">
        <v>241</v>
      </c>
      <c r="H757" s="57">
        <v>1</v>
      </c>
      <c r="I757" s="57"/>
      <c r="J757" s="58"/>
      <c r="K757" s="58"/>
      <c r="L757" s="58">
        <f>SUM(L758:L758)</f>
        <v>0</v>
      </c>
      <c r="M757" s="153">
        <f t="shared" ca="1" si="89"/>
        <v>0</v>
      </c>
      <c r="O757" s="148">
        <f t="shared" si="94"/>
        <v>0</v>
      </c>
      <c r="R757" s="12">
        <f t="shared" si="95"/>
        <v>0</v>
      </c>
    </row>
    <row r="758" spans="1:18" s="51" customFormat="1" ht="13.5" hidden="1" customHeight="1" outlineLevel="1" x14ac:dyDescent="0.3">
      <c r="A758" s="290">
        <f t="shared" si="88"/>
        <v>0</v>
      </c>
      <c r="B758" s="49"/>
      <c r="C758" s="49"/>
      <c r="D758" s="140" t="s">
        <v>698</v>
      </c>
      <c r="E758" s="67" t="str">
        <f>VLOOKUP(D758,'03. Insumos'!A:D,2,0)</f>
        <v xml:space="preserve">Elevador Plataforma de Acessibilidade </v>
      </c>
      <c r="F758" s="68"/>
      <c r="G758" s="68" t="str">
        <f>VLOOKUP(D758,'03. Insumos'!A:F,3,0)</f>
        <v>Unidade</v>
      </c>
      <c r="H758" s="69">
        <v>1</v>
      </c>
      <c r="I758" s="141"/>
      <c r="J758" s="70">
        <f>IFERROR(IF(K758&lt;&gt;0,K758*$K$5,0),0)</f>
        <v>51970</v>
      </c>
      <c r="K758" s="70">
        <f>IF(A758=0,VLOOKUP(D758,'03. Insumos'!A:F,4,0),"")</f>
        <v>51970</v>
      </c>
      <c r="L758" s="338">
        <f>H758*J758*I758</f>
        <v>0</v>
      </c>
      <c r="M758" s="153">
        <f t="shared" ca="1" si="89"/>
        <v>0</v>
      </c>
      <c r="O758" s="148">
        <f t="shared" si="94"/>
        <v>0</v>
      </c>
      <c r="R758" s="12">
        <f t="shared" si="95"/>
        <v>-1513.6893203883519</v>
      </c>
    </row>
    <row r="759" spans="1:18" s="18" customFormat="1" ht="13.5" customHeight="1" collapsed="1" x14ac:dyDescent="0.3">
      <c r="A759" s="290">
        <f t="shared" si="88"/>
        <v>3</v>
      </c>
      <c r="B759" s="35"/>
      <c r="C759" s="35" t="s">
        <v>347</v>
      </c>
      <c r="D759" s="35" t="s">
        <v>85</v>
      </c>
      <c r="E759" s="390"/>
      <c r="F759" s="323"/>
      <c r="G759" s="323"/>
      <c r="H759" s="324"/>
      <c r="I759" s="37"/>
      <c r="J759" s="333"/>
      <c r="K759" s="333"/>
      <c r="L759" s="333">
        <f>SUMIF(A760:A771,4,L760:L771)</f>
        <v>25819.637500000001</v>
      </c>
      <c r="M759" s="153">
        <f t="shared" ref="M759:M822" ca="1" si="96">L759/$L$7</f>
        <v>9.7314125925570302E-4</v>
      </c>
      <c r="O759" s="148">
        <f t="shared" si="94"/>
        <v>0</v>
      </c>
      <c r="R759" s="12">
        <f t="shared" si="95"/>
        <v>0</v>
      </c>
    </row>
    <row r="760" spans="1:18" s="18" customFormat="1" ht="5.25" customHeight="1" x14ac:dyDescent="0.3">
      <c r="A760" s="290">
        <f t="shared" si="88"/>
        <v>0</v>
      </c>
      <c r="B760" s="63"/>
      <c r="C760" s="63"/>
      <c r="D760" s="63"/>
      <c r="E760" s="391"/>
      <c r="F760" s="325"/>
      <c r="G760" s="325"/>
      <c r="H760" s="326"/>
      <c r="I760" s="65"/>
      <c r="J760" s="334">
        <f>IFERROR(IF(K760&lt;&gt;0,K760*$K$5,0),0)</f>
        <v>0</v>
      </c>
      <c r="K760" s="334" t="e">
        <f>IF(A760=0,VLOOKUP(D760,'03. Insumos'!A:F,4,0),"")</f>
        <v>#N/A</v>
      </c>
      <c r="L760" s="334"/>
      <c r="M760" s="153">
        <f t="shared" ca="1" si="96"/>
        <v>0</v>
      </c>
      <c r="O760" s="148">
        <f t="shared" si="94"/>
        <v>0</v>
      </c>
      <c r="R760" s="12">
        <f t="shared" si="95"/>
        <v>0</v>
      </c>
    </row>
    <row r="761" spans="1:18" s="18" customFormat="1" ht="13.5" customHeight="1" x14ac:dyDescent="0.3">
      <c r="A761" s="290">
        <f t="shared" si="88"/>
        <v>4</v>
      </c>
      <c r="B761" s="45"/>
      <c r="C761" s="45" t="s">
        <v>369</v>
      </c>
      <c r="D761" s="45" t="s">
        <v>276</v>
      </c>
      <c r="E761" s="347"/>
      <c r="F761" s="327"/>
      <c r="G761" s="327"/>
      <c r="H761" s="328"/>
      <c r="I761" s="61"/>
      <c r="J761" s="335"/>
      <c r="K761" s="335" t="str">
        <f>IF(A761=0,VLOOKUP(D761,'03. Insumos'!A:F,4,0),"")</f>
        <v/>
      </c>
      <c r="L761" s="335">
        <f>SUMIF(A762:A784,6,L762:L784)</f>
        <v>25819.637500000001</v>
      </c>
      <c r="M761" s="153">
        <f t="shared" ca="1" si="96"/>
        <v>9.7314125925570302E-4</v>
      </c>
      <c r="O761" s="148">
        <f t="shared" si="94"/>
        <v>0</v>
      </c>
      <c r="R761" s="12">
        <f t="shared" si="95"/>
        <v>0</v>
      </c>
    </row>
    <row r="762" spans="1:18" s="59" customFormat="1" ht="13.5" customHeight="1" outlineLevel="1" x14ac:dyDescent="0.3">
      <c r="A762" s="290">
        <f t="shared" si="88"/>
        <v>6</v>
      </c>
      <c r="B762" s="55"/>
      <c r="C762" s="55" t="s">
        <v>370</v>
      </c>
      <c r="D762" s="4" t="s">
        <v>2523</v>
      </c>
      <c r="E762" s="55"/>
      <c r="F762" s="56"/>
      <c r="G762" s="56" t="s">
        <v>73</v>
      </c>
      <c r="H762" s="57">
        <v>409.79</v>
      </c>
      <c r="I762" s="57"/>
      <c r="J762" s="58"/>
      <c r="K762" s="58" t="str">
        <f>IF(A762=0,VLOOKUP(D762,'03. Insumos'!A:F,4,0),"")</f>
        <v/>
      </c>
      <c r="L762" s="58">
        <f>SUM(L763:L765)</f>
        <v>13318.175000000001</v>
      </c>
      <c r="M762" s="153">
        <f t="shared" ca="1" si="96"/>
        <v>5.0196156280225943E-4</v>
      </c>
      <c r="O762" s="148">
        <f t="shared" si="94"/>
        <v>0</v>
      </c>
      <c r="R762" s="12">
        <f t="shared" si="95"/>
        <v>0</v>
      </c>
    </row>
    <row r="763" spans="1:18" s="51" customFormat="1" ht="13.5" customHeight="1" outlineLevel="1" x14ac:dyDescent="0.3">
      <c r="A763" s="290">
        <f t="shared" si="88"/>
        <v>0</v>
      </c>
      <c r="B763" s="49"/>
      <c r="C763" s="49"/>
      <c r="D763" s="140" t="s">
        <v>1961</v>
      </c>
      <c r="E763" s="67" t="str">
        <f>VLOOKUP(D763,'03. Insumos'!A:D,2,0)</f>
        <v>Mat - Pintura Acrílica Fosca Branco c/ Emassamento</v>
      </c>
      <c r="F763" s="68" t="s">
        <v>2607</v>
      </c>
      <c r="G763" s="68" t="str">
        <f>VLOOKUP(D763,'03. Insumos'!A:F,3,0)</f>
        <v>m²</v>
      </c>
      <c r="H763" s="69">
        <v>1</v>
      </c>
      <c r="I763" s="141">
        <f>H762</f>
        <v>409.79</v>
      </c>
      <c r="J763" s="70">
        <f>IFERROR(IF(K763&lt;&gt;0,K763*$K$5,0),0)</f>
        <v>19.5</v>
      </c>
      <c r="K763" s="70">
        <f>IF(A763=0,VLOOKUP(D763,'03. Insumos'!A:F,4,0),"")</f>
        <v>19.5</v>
      </c>
      <c r="L763" s="70">
        <f>H763*J763*I763</f>
        <v>7990.9050000000007</v>
      </c>
      <c r="M763" s="153">
        <f t="shared" ca="1" si="96"/>
        <v>3.0117693768135569E-4</v>
      </c>
      <c r="O763" s="148"/>
      <c r="R763" s="12"/>
    </row>
    <row r="764" spans="1:18" s="51" customFormat="1" ht="13.5" customHeight="1" outlineLevel="1" x14ac:dyDescent="0.3">
      <c r="A764" s="290">
        <f t="shared" si="88"/>
        <v>0</v>
      </c>
      <c r="B764" s="49"/>
      <c r="C764" s="49"/>
      <c r="D764" s="140" t="s">
        <v>2605</v>
      </c>
      <c r="E764" s="67" t="str">
        <f>VLOOKUP(D764,'03. Insumos'!A:D,2,0)</f>
        <v>Material - Pintura PVA com emassamento sobre paredes emboçadas</v>
      </c>
      <c r="F764" s="68" t="s">
        <v>2612</v>
      </c>
      <c r="G764" s="68" t="str">
        <f>VLOOKUP(D764,'03. Insumos'!A:F,3,0)</f>
        <v>m²</v>
      </c>
      <c r="H764" s="69">
        <v>1</v>
      </c>
      <c r="I764" s="141">
        <f>H762</f>
        <v>409.79</v>
      </c>
      <c r="J764" s="70">
        <f>IFERROR(IF(K764&lt;&gt;0,K764*$K$5,0),0)</f>
        <v>13</v>
      </c>
      <c r="K764" s="70">
        <f>IF(A764=0,VLOOKUP(D764,'03. Insumos'!A:F,4,0),"")</f>
        <v>13</v>
      </c>
      <c r="L764" s="70">
        <f>H764*J764*I764</f>
        <v>5327.27</v>
      </c>
      <c r="M764" s="153">
        <f t="shared" ca="1" si="96"/>
        <v>2.0078462512090379E-4</v>
      </c>
      <c r="O764" s="148"/>
      <c r="R764" s="12"/>
    </row>
    <row r="765" spans="1:18" s="51" customFormat="1" ht="13.5" hidden="1" customHeight="1" outlineLevel="1" x14ac:dyDescent="0.3">
      <c r="A765" s="290">
        <f t="shared" si="88"/>
        <v>0</v>
      </c>
      <c r="B765" s="49"/>
      <c r="C765" s="49"/>
      <c r="D765" s="140" t="s">
        <v>1854</v>
      </c>
      <c r="E765" s="67" t="str">
        <f>VLOOKUP(D765,'03. Insumos'!A:D,2,0)</f>
        <v>Material - Tinta Coral</v>
      </c>
      <c r="F765" s="68"/>
      <c r="G765" s="68" t="str">
        <f>VLOOKUP(D765,'03. Insumos'!A:F,3,0)</f>
        <v>Lata 18L</v>
      </c>
      <c r="H765" s="69">
        <v>1</v>
      </c>
      <c r="I765" s="141"/>
      <c r="J765" s="70">
        <f>IFERROR(IF(K765&lt;&gt;0,K765*$K$5,0),0)</f>
        <v>172.35</v>
      </c>
      <c r="K765" s="70">
        <f>IF(A765=0,VLOOKUP(D765,'03. Insumos'!A:F,4,0),"")</f>
        <v>172.35</v>
      </c>
      <c r="L765" s="70">
        <f>H765*J765*I765</f>
        <v>0</v>
      </c>
      <c r="M765" s="153">
        <f t="shared" ca="1" si="96"/>
        <v>0</v>
      </c>
      <c r="O765" s="148"/>
      <c r="R765" s="12"/>
    </row>
    <row r="766" spans="1:18" s="51" customFormat="1" ht="13.5" customHeight="1" outlineLevel="1" x14ac:dyDescent="0.3">
      <c r="A766" s="290">
        <f t="shared" si="88"/>
        <v>6</v>
      </c>
      <c r="B766" s="49"/>
      <c r="C766" s="55" t="s">
        <v>371</v>
      </c>
      <c r="D766" s="4" t="s">
        <v>2524</v>
      </c>
      <c r="E766" s="55"/>
      <c r="F766" s="56"/>
      <c r="G766" s="56" t="s">
        <v>73</v>
      </c>
      <c r="H766" s="57">
        <f>H365</f>
        <v>251.21</v>
      </c>
      <c r="I766" s="57"/>
      <c r="J766" s="58"/>
      <c r="K766" s="58" t="str">
        <f>IF(A766=0,VLOOKUP(D766,'03. Insumos'!A:F,4,0),"")</f>
        <v/>
      </c>
      <c r="L766" s="58">
        <f>SUM(L767:L770)</f>
        <v>7787.51</v>
      </c>
      <c r="M766" s="153">
        <f t="shared" ca="1" si="96"/>
        <v>2.9351098704876783E-4</v>
      </c>
      <c r="O766" s="148">
        <f>IF(I766&lt;&gt;0,I766*H766*K766,)</f>
        <v>0</v>
      </c>
      <c r="R766" s="12">
        <f>IF(J766&lt;&gt;0,J766/1.03-K766,0)</f>
        <v>0</v>
      </c>
    </row>
    <row r="767" spans="1:18" s="59" customFormat="1" ht="13.5" customHeight="1" outlineLevel="1" x14ac:dyDescent="0.3">
      <c r="A767" s="290">
        <f t="shared" si="88"/>
        <v>0</v>
      </c>
      <c r="B767" s="55"/>
      <c r="C767" s="49"/>
      <c r="D767" s="140" t="s">
        <v>2525</v>
      </c>
      <c r="E767" s="67" t="str">
        <f>VLOOKUP(D767,'03. Insumos'!A:D,2,0)</f>
        <v>Mat - Pintura PVA Fosca Branca c/ emassamento</v>
      </c>
      <c r="F767" s="68" t="s">
        <v>2607</v>
      </c>
      <c r="G767" s="68" t="str">
        <f>VLOOKUP(D767,'03. Insumos'!A:F,3,0)</f>
        <v>m²</v>
      </c>
      <c r="H767" s="69">
        <v>1</v>
      </c>
      <c r="I767" s="141">
        <f>H766</f>
        <v>251.21</v>
      </c>
      <c r="J767" s="70">
        <f>IFERROR(IF(K767&lt;&gt;0,K767*$K$5,0),0)</f>
        <v>15.5</v>
      </c>
      <c r="K767" s="70">
        <f>IF(A767=0,VLOOKUP(D767,'03. Insumos'!A:F,4,0),"")</f>
        <v>15.5</v>
      </c>
      <c r="L767" s="70">
        <f>H767*J767*I767</f>
        <v>3893.7550000000001</v>
      </c>
      <c r="M767" s="153">
        <f t="shared" ca="1" si="96"/>
        <v>1.4675549352438392E-4</v>
      </c>
      <c r="O767" s="148">
        <f>IF(I767&lt;&gt;0,I767*H767*K767,)</f>
        <v>3893.7550000000001</v>
      </c>
      <c r="R767" s="12">
        <f>IF(J767&lt;&gt;0,J767/1.03-K767,0)</f>
        <v>-0.45145631067961212</v>
      </c>
    </row>
    <row r="768" spans="1:18" s="59" customFormat="1" ht="13.5" customHeight="1" outlineLevel="1" x14ac:dyDescent="0.3">
      <c r="A768" s="290">
        <f t="shared" si="88"/>
        <v>0</v>
      </c>
      <c r="B768" s="55"/>
      <c r="C768" s="49"/>
      <c r="D768" s="140" t="s">
        <v>2604</v>
      </c>
      <c r="E768" s="67" t="str">
        <f>VLOOKUP(D768,'03. Insumos'!A:D,2,0)</f>
        <v>MO - Pintura PVA Fosca Branca  c/ emassamento</v>
      </c>
      <c r="F768" s="68" t="s">
        <v>2612</v>
      </c>
      <c r="G768" s="68" t="str">
        <f>VLOOKUP(D768,'03. Insumos'!A:F,3,0)</f>
        <v>m²</v>
      </c>
      <c r="H768" s="69">
        <v>1</v>
      </c>
      <c r="I768" s="141">
        <f>H766</f>
        <v>251.21</v>
      </c>
      <c r="J768" s="70">
        <f>IFERROR(IF(K768&lt;&gt;0,K768*$K$5,0),0)</f>
        <v>15.5</v>
      </c>
      <c r="K768" s="70">
        <f>IF(A768=0,VLOOKUP(D768,'03. Insumos'!A:F,4,0),"")</f>
        <v>15.5</v>
      </c>
      <c r="L768" s="70">
        <f>H768*J768*I768</f>
        <v>3893.7550000000001</v>
      </c>
      <c r="M768" s="153">
        <f t="shared" ca="1" si="96"/>
        <v>1.4675549352438392E-4</v>
      </c>
      <c r="O768" s="148"/>
      <c r="R768" s="12"/>
    </row>
    <row r="769" spans="1:18" s="59" customFormat="1" ht="13.5" hidden="1" customHeight="1" outlineLevel="1" x14ac:dyDescent="0.3">
      <c r="A769" s="290">
        <f t="shared" si="88"/>
        <v>0</v>
      </c>
      <c r="B769" s="55"/>
      <c r="C769" s="49"/>
      <c r="D769" s="140" t="s">
        <v>841</v>
      </c>
      <c r="E769" s="67" t="str">
        <f>VLOOKUP(D769,'03. Insumos'!A:D,2,0)</f>
        <v>Massa corrida Nova massa</v>
      </c>
      <c r="F769" s="68"/>
      <c r="G769" s="68" t="str">
        <f>VLOOKUP(D769,'03. Insumos'!A:F,3,0)</f>
        <v>Barrica 21 Kg</v>
      </c>
      <c r="H769" s="69">
        <v>1</v>
      </c>
      <c r="I769" s="141"/>
      <c r="J769" s="70">
        <f>IFERROR(IF(K769&lt;&gt;0,K769*$K$5,0),0)</f>
        <v>88.96</v>
      </c>
      <c r="K769" s="70">
        <f>IF(A769=0,VLOOKUP(D769,'03. Insumos'!A:F,4,0),"")</f>
        <v>88.96</v>
      </c>
      <c r="L769" s="70">
        <f>H769*J769*I769</f>
        <v>0</v>
      </c>
      <c r="M769" s="153">
        <f t="shared" ca="1" si="96"/>
        <v>0</v>
      </c>
      <c r="O769" s="148"/>
      <c r="R769" s="12"/>
    </row>
    <row r="770" spans="1:18" s="59" customFormat="1" ht="13.5" hidden="1" customHeight="1" outlineLevel="1" x14ac:dyDescent="0.3">
      <c r="A770" s="290">
        <f t="shared" si="88"/>
        <v>0</v>
      </c>
      <c r="B770" s="55"/>
      <c r="C770" s="49"/>
      <c r="D770" s="140" t="s">
        <v>1767</v>
      </c>
      <c r="E770" s="67" t="str">
        <f>VLOOKUP(D770,'03. Insumos'!A:D,2,0)</f>
        <v>Material  - Textura cor de elefante efeito mármore</v>
      </c>
      <c r="F770" s="68"/>
      <c r="G770" s="68" t="str">
        <f>VLOOKUP(D770,'03. Insumos'!A:F,3,0)</f>
        <v>Galão 2,8 L</v>
      </c>
      <c r="H770" s="69">
        <v>1</v>
      </c>
      <c r="I770" s="141"/>
      <c r="J770" s="70">
        <f>IFERROR(IF(K770&lt;&gt;0,K770*$K$5,0),0)</f>
        <v>113.87</v>
      </c>
      <c r="K770" s="70">
        <f>IF(A770=0,VLOOKUP(D770,'03. Insumos'!A:F,4,0),"")</f>
        <v>113.87</v>
      </c>
      <c r="L770" s="70">
        <f>H770*J770*I770</f>
        <v>0</v>
      </c>
      <c r="M770" s="153">
        <f t="shared" ca="1" si="96"/>
        <v>0</v>
      </c>
      <c r="O770" s="148"/>
      <c r="R770" s="12"/>
    </row>
    <row r="771" spans="1:18" s="59" customFormat="1" ht="13.5" customHeight="1" outlineLevel="1" x14ac:dyDescent="0.3">
      <c r="A771" s="290">
        <f t="shared" si="88"/>
        <v>6</v>
      </c>
      <c r="B771" s="55"/>
      <c r="C771" s="55" t="s">
        <v>1525</v>
      </c>
      <c r="D771" s="4" t="s">
        <v>2935</v>
      </c>
      <c r="E771" s="55"/>
      <c r="F771" s="56"/>
      <c r="G771" s="56" t="s">
        <v>73</v>
      </c>
      <c r="H771" s="57">
        <v>106.53</v>
      </c>
      <c r="I771" s="57"/>
      <c r="J771" s="58"/>
      <c r="K771" s="58" t="str">
        <f>IF(A771=0,VLOOKUP(D771,'03. Insumos'!A:F,4,0),"")</f>
        <v/>
      </c>
      <c r="L771" s="58">
        <f>SUM(L772:L773)</f>
        <v>4713.9525000000003</v>
      </c>
      <c r="M771" s="153">
        <f t="shared" ca="1" si="96"/>
        <v>1.7766870940467578E-4</v>
      </c>
      <c r="O771" s="148">
        <f>IF(I771&lt;&gt;0,I771*H771*K771,)</f>
        <v>0</v>
      </c>
      <c r="R771" s="12">
        <f>IF(J771&lt;&gt;0,J771/1.03-K771,0)</f>
        <v>0</v>
      </c>
    </row>
    <row r="772" spans="1:18" s="51" customFormat="1" ht="13.5" customHeight="1" outlineLevel="1" x14ac:dyDescent="0.3">
      <c r="A772" s="290">
        <f t="shared" si="88"/>
        <v>0</v>
      </c>
      <c r="B772" s="49"/>
      <c r="C772" s="49"/>
      <c r="D772" s="140" t="s">
        <v>2527</v>
      </c>
      <c r="E772" s="67" t="str">
        <f>VLOOKUP(D772,'03. Insumos'!A:D,2,0)</f>
        <v xml:space="preserve">Mão de obra - Execução de pintura Grafiatto fachada </v>
      </c>
      <c r="F772" s="68" t="s">
        <v>2613</v>
      </c>
      <c r="G772" s="68" t="str">
        <f>VLOOKUP(D772,'03. Insumos'!A:F,3,0)</f>
        <v>m²</v>
      </c>
      <c r="H772" s="69">
        <v>1</v>
      </c>
      <c r="I772" s="141">
        <f>H771</f>
        <v>106.53</v>
      </c>
      <c r="J772" s="70">
        <f>IFERROR(IF(K772&lt;&gt;0,K772*$K$5,0),0)</f>
        <v>15.750000000000002</v>
      </c>
      <c r="K772" s="70">
        <f>IF(A772=0,VLOOKUP(D772,'03. Insumos'!A:F,4,0),"")</f>
        <v>15.750000000000002</v>
      </c>
      <c r="L772" s="70">
        <f>H772*J772*I772</f>
        <v>1677.8475000000003</v>
      </c>
      <c r="M772" s="153">
        <f t="shared" ca="1" si="96"/>
        <v>6.3238015211833766E-5</v>
      </c>
      <c r="O772" s="148"/>
      <c r="R772" s="12"/>
    </row>
    <row r="773" spans="1:18" s="51" customFormat="1" ht="13.5" customHeight="1" outlineLevel="1" x14ac:dyDescent="0.3">
      <c r="A773" s="290">
        <f t="shared" si="88"/>
        <v>0</v>
      </c>
      <c r="B773" s="49"/>
      <c r="C773" s="49"/>
      <c r="D773" s="140" t="s">
        <v>2602</v>
      </c>
      <c r="E773" s="67" t="str">
        <f>VLOOKUP(D773,'03. Insumos'!A:D,2,0)</f>
        <v xml:space="preserve">Mat - Execução de textura </v>
      </c>
      <c r="F773" s="68" t="s">
        <v>2607</v>
      </c>
      <c r="G773" s="68" t="str">
        <f>VLOOKUP(D773,'03. Insumos'!A:F,3,0)</f>
        <v>m²</v>
      </c>
      <c r="H773" s="69">
        <v>1</v>
      </c>
      <c r="I773" s="141">
        <f>H771</f>
        <v>106.53</v>
      </c>
      <c r="J773" s="70">
        <f>IFERROR(IF(K773&lt;&gt;0,K773*$K$5,0),0)</f>
        <v>28.5</v>
      </c>
      <c r="K773" s="70">
        <f>IF(A773=0,VLOOKUP(D773,'03. Insumos'!A:F,4,0),"")</f>
        <v>28.5</v>
      </c>
      <c r="L773" s="70">
        <f>H773*J773*I773</f>
        <v>3036.105</v>
      </c>
      <c r="M773" s="153">
        <f t="shared" ca="1" si="96"/>
        <v>1.1443069419284203E-4</v>
      </c>
      <c r="O773" s="148"/>
      <c r="R773" s="12"/>
    </row>
    <row r="774" spans="1:18" s="51" customFormat="1" ht="13.5" hidden="1" customHeight="1" outlineLevel="1" x14ac:dyDescent="0.3">
      <c r="A774" s="290">
        <f t="shared" si="88"/>
        <v>6</v>
      </c>
      <c r="B774" s="49"/>
      <c r="C774" s="55" t="s">
        <v>372</v>
      </c>
      <c r="D774" s="55" t="s">
        <v>2668</v>
      </c>
      <c r="E774" s="67"/>
      <c r="F774" s="68"/>
      <c r="G774" s="56" t="s">
        <v>73</v>
      </c>
      <c r="H774" s="57"/>
      <c r="I774" s="141"/>
      <c r="J774" s="70"/>
      <c r="K774" s="70"/>
      <c r="L774" s="58">
        <f>SUM(L775:L776)</f>
        <v>0</v>
      </c>
      <c r="M774" s="153">
        <f t="shared" ca="1" si="96"/>
        <v>0</v>
      </c>
      <c r="O774" s="148"/>
      <c r="R774" s="12"/>
    </row>
    <row r="775" spans="1:18" s="51" customFormat="1" ht="13.5" hidden="1" customHeight="1" outlineLevel="1" x14ac:dyDescent="0.3">
      <c r="A775" s="290">
        <f t="shared" si="88"/>
        <v>0</v>
      </c>
      <c r="B775" s="49"/>
      <c r="C775" s="49"/>
      <c r="D775" s="140" t="s">
        <v>2774</v>
      </c>
      <c r="E775" s="67" t="str">
        <f>VLOOKUP(D775,'03. Insumos'!A:D,2,0)</f>
        <v>Revestimento Mr Cryl PU Cinza - material</v>
      </c>
      <c r="F775" s="68" t="s">
        <v>2613</v>
      </c>
      <c r="G775" s="68" t="str">
        <f>VLOOKUP(D775,'03. Insumos'!A:F,3,0)</f>
        <v>m²</v>
      </c>
      <c r="H775" s="69">
        <v>1</v>
      </c>
      <c r="I775" s="141">
        <f>H774</f>
        <v>0</v>
      </c>
      <c r="J775" s="70">
        <f>IFERROR(IF(K775&lt;&gt;0,K775*$K$5,0),0)</f>
        <v>39</v>
      </c>
      <c r="K775" s="70">
        <f>IF(A775=0,VLOOKUP(D775,'03. Insumos'!A:F,4,0),"")</f>
        <v>39</v>
      </c>
      <c r="L775" s="70">
        <f>H775*J775*I775</f>
        <v>0</v>
      </c>
      <c r="M775" s="153">
        <f t="shared" ca="1" si="96"/>
        <v>0</v>
      </c>
      <c r="O775" s="148"/>
      <c r="R775" s="12"/>
    </row>
    <row r="776" spans="1:18" s="51" customFormat="1" ht="13.5" hidden="1" customHeight="1" outlineLevel="1" x14ac:dyDescent="0.3">
      <c r="A776" s="290">
        <f t="shared" si="88"/>
        <v>0</v>
      </c>
      <c r="B776" s="49"/>
      <c r="C776" s="49"/>
      <c r="D776" s="140" t="s">
        <v>2780</v>
      </c>
      <c r="E776" s="67" t="str">
        <f>VLOOKUP(D776,'03. Insumos'!A:D,2,0)</f>
        <v>Revestimento Mr Cryl PU Cinza - mão de obra</v>
      </c>
      <c r="F776" s="68" t="s">
        <v>2607</v>
      </c>
      <c r="G776" s="68" t="str">
        <f>VLOOKUP(D776,'03. Insumos'!A:F,3,0)</f>
        <v>m²</v>
      </c>
      <c r="H776" s="69">
        <v>1</v>
      </c>
      <c r="I776" s="141">
        <f>H774</f>
        <v>0</v>
      </c>
      <c r="J776" s="70">
        <f>IFERROR(IF(K776&lt;&gt;0,K776*$K$5,0),0)</f>
        <v>50</v>
      </c>
      <c r="K776" s="70">
        <f>IF(A776=0,VLOOKUP(D776,'03. Insumos'!A:F,4,0),"")</f>
        <v>50</v>
      </c>
      <c r="L776" s="70">
        <f>H776*J776*I776</f>
        <v>0</v>
      </c>
      <c r="M776" s="153">
        <f t="shared" ca="1" si="96"/>
        <v>0</v>
      </c>
      <c r="O776" s="148"/>
      <c r="R776" s="12"/>
    </row>
    <row r="777" spans="1:18" s="59" customFormat="1" ht="13.5" hidden="1" customHeight="1" outlineLevel="1" x14ac:dyDescent="0.3">
      <c r="A777" s="290">
        <f t="shared" si="88"/>
        <v>6</v>
      </c>
      <c r="B777" s="55"/>
      <c r="C777" s="55" t="s">
        <v>370</v>
      </c>
      <c r="D777" s="55" t="s">
        <v>2823</v>
      </c>
      <c r="E777" s="55"/>
      <c r="F777" s="68"/>
      <c r="G777" s="56" t="s">
        <v>73</v>
      </c>
      <c r="H777" s="57"/>
      <c r="I777" s="57"/>
      <c r="J777" s="58"/>
      <c r="K777" s="58" t="str">
        <f>IF(A777=0,VLOOKUP(D777,'03. Insumos'!A:F,4,0),"")</f>
        <v/>
      </c>
      <c r="L777" s="58">
        <f>SUM(L778:L780)</f>
        <v>0</v>
      </c>
      <c r="M777" s="153">
        <f ca="1">L777/$L$7</f>
        <v>0</v>
      </c>
      <c r="O777" s="148">
        <f>IF(I777&lt;&gt;0,I777*H777*K777,)</f>
        <v>0</v>
      </c>
      <c r="R777" s="12">
        <f>IF(J777&lt;&gt;0,J777/1.03-K777,0)</f>
        <v>0</v>
      </c>
    </row>
    <row r="778" spans="1:18" s="51" customFormat="1" ht="13.5" hidden="1" customHeight="1" outlineLevel="1" x14ac:dyDescent="0.3">
      <c r="A778" s="290">
        <f t="shared" si="88"/>
        <v>0</v>
      </c>
      <c r="B778" s="49"/>
      <c r="C778" s="49"/>
      <c r="D778" s="140" t="s">
        <v>2783</v>
      </c>
      <c r="E778" s="67" t="str">
        <f>VLOOKUP(D778,'03. Insumos'!A:D,2,0)</f>
        <v xml:space="preserve">Mão de obra - Execução de emassamento acrílico sobre paredes internas </v>
      </c>
      <c r="F778" s="68" t="s">
        <v>2607</v>
      </c>
      <c r="G778" s="68" t="str">
        <f>VLOOKUP(D778,'03. Insumos'!A:F,3,0)</f>
        <v>m²</v>
      </c>
      <c r="H778" s="69">
        <v>1</v>
      </c>
      <c r="I778" s="141">
        <f>H777</f>
        <v>0</v>
      </c>
      <c r="J778" s="70">
        <f>IFERROR(IF(K778&lt;&gt;0,K778*$K$5,0),0)</f>
        <v>15</v>
      </c>
      <c r="K778" s="70">
        <f>IF(A778=0,VLOOKUP(D778,'03. Insumos'!A:F,4,0),"")</f>
        <v>15</v>
      </c>
      <c r="L778" s="70">
        <f>H778*J778*I778</f>
        <v>0</v>
      </c>
      <c r="M778" s="153">
        <f ca="1">L778/$L$7</f>
        <v>0</v>
      </c>
      <c r="O778" s="148"/>
      <c r="R778" s="12"/>
    </row>
    <row r="779" spans="1:18" s="51" customFormat="1" ht="13.5" hidden="1" customHeight="1" outlineLevel="1" x14ac:dyDescent="0.3">
      <c r="A779" s="290">
        <f t="shared" si="88"/>
        <v>0</v>
      </c>
      <c r="B779" s="49"/>
      <c r="C779" s="49"/>
      <c r="D779" s="140" t="s">
        <v>2784</v>
      </c>
      <c r="E779" s="67" t="str">
        <f>VLOOKUP(D779,'03. Insumos'!A:D,2,0)</f>
        <v xml:space="preserve">Material - Execução emassamento acrílico sobre paredes internas </v>
      </c>
      <c r="F779" s="68" t="s">
        <v>2612</v>
      </c>
      <c r="G779" s="68" t="str">
        <f>VLOOKUP(D779,'03. Insumos'!A:F,3,0)</f>
        <v>m²</v>
      </c>
      <c r="H779" s="69">
        <v>1</v>
      </c>
      <c r="I779" s="141">
        <f>H777</f>
        <v>0</v>
      </c>
      <c r="J779" s="70">
        <f>IFERROR(IF(K779&lt;&gt;0,K779*$K$5,0),0)</f>
        <v>15</v>
      </c>
      <c r="K779" s="70">
        <f>IF(A779=0,VLOOKUP(D779,'03. Insumos'!A:F,4,0),"")</f>
        <v>15</v>
      </c>
      <c r="L779" s="70">
        <f>H779*J779*I779</f>
        <v>0</v>
      </c>
      <c r="M779" s="153">
        <f ca="1">L779/$L$7</f>
        <v>0</v>
      </c>
      <c r="O779" s="148"/>
      <c r="R779" s="12"/>
    </row>
    <row r="780" spans="1:18" s="51" customFormat="1" ht="13.5" hidden="1" customHeight="1" outlineLevel="1" x14ac:dyDescent="0.3">
      <c r="A780" s="290">
        <f t="shared" si="88"/>
        <v>6</v>
      </c>
      <c r="B780" s="49"/>
      <c r="C780" s="55" t="s">
        <v>1529</v>
      </c>
      <c r="D780" s="55" t="s">
        <v>1528</v>
      </c>
      <c r="E780" s="67"/>
      <c r="F780" s="68"/>
      <c r="G780" s="56" t="s">
        <v>1376</v>
      </c>
      <c r="H780" s="57">
        <v>15</v>
      </c>
      <c r="I780" s="141"/>
      <c r="J780" s="70"/>
      <c r="K780" s="70"/>
      <c r="L780" s="58">
        <f>SUM(L781:L784)</f>
        <v>0</v>
      </c>
      <c r="M780" s="153">
        <f t="shared" ca="1" si="96"/>
        <v>0</v>
      </c>
      <c r="O780" s="148"/>
      <c r="R780" s="12"/>
    </row>
    <row r="781" spans="1:18" s="51" customFormat="1" ht="13.5" hidden="1" customHeight="1" outlineLevel="1" x14ac:dyDescent="0.3">
      <c r="A781" s="290">
        <f t="shared" ref="A781:A886" si="97">LEN(C781)</f>
        <v>0</v>
      </c>
      <c r="B781" s="49"/>
      <c r="C781" s="49"/>
      <c r="D781" s="140" t="s">
        <v>2601</v>
      </c>
      <c r="E781" s="67" t="str">
        <f>VLOOKUP(D781,'03. Insumos'!A:D,2,0)</f>
        <v>Material - Execução de pintura esmalte sobre esquadrias de madeira</v>
      </c>
      <c r="F781" s="68"/>
      <c r="G781" s="68" t="str">
        <f>VLOOKUP(D781,'03. Insumos'!A:F,3,0)</f>
        <v>Unid</v>
      </c>
      <c r="H781" s="69">
        <v>1</v>
      </c>
      <c r="I781" s="141"/>
      <c r="J781" s="70">
        <f>IFERROR(IF(K781&lt;&gt;0,K781*$K$5,0),0)</f>
        <v>53</v>
      </c>
      <c r="K781" s="70">
        <f>IF(A781=0,VLOOKUP(D781,'03. Insumos'!A:F,4,0),"")</f>
        <v>53</v>
      </c>
      <c r="L781" s="70">
        <f>H781*J781*I781</f>
        <v>0</v>
      </c>
      <c r="M781" s="153">
        <f t="shared" ca="1" si="96"/>
        <v>0</v>
      </c>
      <c r="O781" s="148"/>
      <c r="R781" s="12"/>
    </row>
    <row r="782" spans="1:18" s="51" customFormat="1" ht="13.5" hidden="1" customHeight="1" outlineLevel="1" x14ac:dyDescent="0.3">
      <c r="A782" s="290">
        <f t="shared" si="97"/>
        <v>0</v>
      </c>
      <c r="B782" s="49"/>
      <c r="C782" s="49"/>
      <c r="D782" s="140" t="s">
        <v>837</v>
      </c>
      <c r="E782" s="67" t="str">
        <f>VLOOKUP(D782,'03. Insumos'!A:D,2,0)</f>
        <v>Mão de obra - Execução de pintura esmalte sobre esquadrias de madeira</v>
      </c>
      <c r="F782" s="68"/>
      <c r="G782" s="68" t="str">
        <f>VLOOKUP(D782,'03. Insumos'!A:F,3,0)</f>
        <v>Unid</v>
      </c>
      <c r="H782" s="69">
        <v>1</v>
      </c>
      <c r="I782" s="141"/>
      <c r="J782" s="70">
        <f>IFERROR(IF(K782&lt;&gt;0,K782*$K$5,0),0)</f>
        <v>53</v>
      </c>
      <c r="K782" s="70">
        <f>IF(A782=0,VLOOKUP(D782,'03. Insumos'!A:F,4,0),"")</f>
        <v>53</v>
      </c>
      <c r="L782" s="70">
        <f>H782*J782*I782</f>
        <v>0</v>
      </c>
      <c r="M782" s="153">
        <f t="shared" ca="1" si="96"/>
        <v>0</v>
      </c>
      <c r="O782" s="148"/>
      <c r="R782" s="12"/>
    </row>
    <row r="783" spans="1:18" s="51" customFormat="1" ht="13.5" hidden="1" customHeight="1" outlineLevel="1" x14ac:dyDescent="0.3">
      <c r="A783" s="290">
        <f t="shared" si="97"/>
        <v>0</v>
      </c>
      <c r="B783" s="49"/>
      <c r="C783" s="49"/>
      <c r="D783" s="140" t="s">
        <v>845</v>
      </c>
      <c r="E783" s="67" t="str">
        <f>VLOOKUP(D783,'03. Insumos'!A:D,2,0)</f>
        <v>Esmalte sintético Suvinil</v>
      </c>
      <c r="F783" s="68"/>
      <c r="G783" s="68" t="str">
        <f>VLOOKUP(D783,'03. Insumos'!A:F,3,0)</f>
        <v>Galão 3,6 L</v>
      </c>
      <c r="H783" s="69">
        <v>1</v>
      </c>
      <c r="I783" s="141"/>
      <c r="J783" s="70">
        <f>IFERROR(IF(K783&lt;&gt;0,K783*$K$5,0),0)</f>
        <v>160.9</v>
      </c>
      <c r="K783" s="70">
        <f>IF(A783=0,VLOOKUP(D783,'03. Insumos'!A:F,4,0),"")</f>
        <v>160.9</v>
      </c>
      <c r="L783" s="70">
        <f>H783*J783*I783</f>
        <v>0</v>
      </c>
      <c r="M783" s="153">
        <f t="shared" ca="1" si="96"/>
        <v>0</v>
      </c>
      <c r="O783" s="148"/>
      <c r="R783" s="12"/>
    </row>
    <row r="784" spans="1:18" s="51" customFormat="1" ht="13.5" hidden="1" customHeight="1" outlineLevel="1" x14ac:dyDescent="0.3">
      <c r="A784" s="290">
        <f t="shared" si="97"/>
        <v>0</v>
      </c>
      <c r="B784" s="49"/>
      <c r="C784" s="49"/>
      <c r="D784" s="140" t="s">
        <v>846</v>
      </c>
      <c r="E784" s="67" t="str">
        <f>VLOOKUP(D784,'03. Insumos'!A:D,2,0)</f>
        <v>Massa corrida para madeira Coral</v>
      </c>
      <c r="F784" s="68"/>
      <c r="G784" s="68" t="str">
        <f>VLOOKUP(D784,'03. Insumos'!A:F,3,0)</f>
        <v>Galão 1,5 Kg</v>
      </c>
      <c r="H784" s="69">
        <v>1</v>
      </c>
      <c r="I784" s="141"/>
      <c r="J784" s="70">
        <f>IFERROR(IF(K784&lt;&gt;0,K784*$K$5,0),0)</f>
        <v>24.99</v>
      </c>
      <c r="K784" s="70">
        <f>IF(A784=0,VLOOKUP(D784,'03. Insumos'!A:F,4,0),"")</f>
        <v>24.99</v>
      </c>
      <c r="L784" s="70">
        <f>H784*J784*I784</f>
        <v>0</v>
      </c>
      <c r="M784" s="153">
        <f t="shared" ca="1" si="96"/>
        <v>0</v>
      </c>
      <c r="O784" s="148"/>
      <c r="R784" s="12"/>
    </row>
    <row r="785" spans="1:18" s="18" customFormat="1" ht="13.5" customHeight="1" x14ac:dyDescent="0.3">
      <c r="A785" s="290">
        <f t="shared" si="97"/>
        <v>3</v>
      </c>
      <c r="B785" s="35"/>
      <c r="C785" s="35" t="s">
        <v>350</v>
      </c>
      <c r="D785" s="35" t="s">
        <v>83</v>
      </c>
      <c r="E785" s="390"/>
      <c r="F785" s="323"/>
      <c r="G785" s="323"/>
      <c r="H785" s="324"/>
      <c r="I785" s="37"/>
      <c r="J785" s="333"/>
      <c r="K785" s="333"/>
      <c r="L785" s="333">
        <f>SUMIF(A786:A886,4,L786:L886)</f>
        <v>0</v>
      </c>
      <c r="M785" s="153">
        <f t="shared" ca="1" si="96"/>
        <v>0</v>
      </c>
      <c r="O785" s="148">
        <f t="shared" ref="O785:O796" si="98">IF(I785&lt;&gt;0,I785*H785*K785,)</f>
        <v>0</v>
      </c>
      <c r="R785" s="12">
        <f t="shared" ref="R785:R791" si="99">IF(J785&lt;&gt;0,J785/1.03-K785,0)</f>
        <v>0</v>
      </c>
    </row>
    <row r="786" spans="1:18" s="18" customFormat="1" ht="13.5" hidden="1" customHeight="1" outlineLevel="1" x14ac:dyDescent="0.3">
      <c r="A786" s="290">
        <f t="shared" si="97"/>
        <v>4</v>
      </c>
      <c r="B786" s="45"/>
      <c r="C786" s="45" t="s">
        <v>373</v>
      </c>
      <c r="D786" s="45" t="s">
        <v>83</v>
      </c>
      <c r="E786" s="347"/>
      <c r="F786" s="327"/>
      <c r="G786" s="327"/>
      <c r="H786" s="328"/>
      <c r="I786" s="61"/>
      <c r="J786" s="335"/>
      <c r="K786" s="335" t="str">
        <f>IF(A786=0,VLOOKUP(D786,'03. Insumos'!A:F,4,0),"")</f>
        <v/>
      </c>
      <c r="L786" s="335">
        <f>SUMIF(A787:A886,6,L787:L886)</f>
        <v>0</v>
      </c>
      <c r="M786" s="153">
        <f t="shared" ca="1" si="96"/>
        <v>0</v>
      </c>
      <c r="O786" s="148">
        <f t="shared" si="98"/>
        <v>0</v>
      </c>
      <c r="R786" s="12">
        <f t="shared" si="99"/>
        <v>0</v>
      </c>
    </row>
    <row r="787" spans="1:18" s="59" customFormat="1" ht="13.5" hidden="1" customHeight="1" outlineLevel="1" x14ac:dyDescent="0.3">
      <c r="A787" s="290">
        <f t="shared" si="97"/>
        <v>6</v>
      </c>
      <c r="B787" s="55"/>
      <c r="C787" s="55" t="s">
        <v>374</v>
      </c>
      <c r="D787" s="55" t="s">
        <v>83</v>
      </c>
      <c r="E787" s="55"/>
      <c r="F787" s="56"/>
      <c r="G787" s="56"/>
      <c r="H787" s="57"/>
      <c r="I787" s="57"/>
      <c r="J787" s="58"/>
      <c r="K787" s="58" t="str">
        <f>IF(A787=0,VLOOKUP(D787,'03. Insumos'!A:F,4,0),"")</f>
        <v/>
      </c>
      <c r="L787" s="58">
        <f>SUM(L788:L848)</f>
        <v>0</v>
      </c>
      <c r="M787" s="153">
        <f t="shared" ca="1" si="96"/>
        <v>0</v>
      </c>
      <c r="O787" s="148">
        <f t="shared" si="98"/>
        <v>0</v>
      </c>
      <c r="R787" s="12">
        <f t="shared" si="99"/>
        <v>0</v>
      </c>
    </row>
    <row r="788" spans="1:18" s="51" customFormat="1" ht="13.5" hidden="1" customHeight="1" outlineLevel="1" x14ac:dyDescent="0.3">
      <c r="A788" s="290">
        <f t="shared" si="97"/>
        <v>0</v>
      </c>
      <c r="B788" s="49"/>
      <c r="C788" s="49"/>
      <c r="D788" s="140" t="s">
        <v>2669</v>
      </c>
      <c r="E788" s="67" t="str">
        <f>VLOOKUP(D788,'03. Insumos'!A:D,2,0)</f>
        <v>Louças e Metais - Continuação -  Ralos Lineares Ocultos, Monocomando, Mekal, entre outros</v>
      </c>
      <c r="F788" s="68" t="s">
        <v>2613</v>
      </c>
      <c r="G788" s="68" t="str">
        <f>VLOOKUP(D788,'03. Insumos'!A:F,3,0)</f>
        <v>vb</v>
      </c>
      <c r="H788" s="69">
        <v>1</v>
      </c>
      <c r="I788" s="449"/>
      <c r="J788" s="70">
        <f t="shared" ref="J788:J848" si="100">IFERROR(IF(K788&lt;&gt;0,K788*$K$5,0),0)</f>
        <v>0</v>
      </c>
      <c r="K788" s="70">
        <f>IF(A788=0,VLOOKUP(D788,'03. Insumos'!A:F,4,0),"")</f>
        <v>0</v>
      </c>
      <c r="L788" s="70">
        <f t="shared" ref="L788:L848" si="101">H788*J788*I788</f>
        <v>0</v>
      </c>
      <c r="M788" s="153">
        <f t="shared" ca="1" si="96"/>
        <v>0</v>
      </c>
      <c r="O788" s="148">
        <f t="shared" si="98"/>
        <v>0</v>
      </c>
      <c r="R788" s="12">
        <f t="shared" si="99"/>
        <v>0</v>
      </c>
    </row>
    <row r="789" spans="1:18" s="51" customFormat="1" ht="13.5" hidden="1" customHeight="1" outlineLevel="1" x14ac:dyDescent="0.3">
      <c r="A789" s="290">
        <f t="shared" si="97"/>
        <v>0</v>
      </c>
      <c r="B789" s="49"/>
      <c r="C789" s="49"/>
      <c r="D789" s="140" t="s">
        <v>2670</v>
      </c>
      <c r="E789" s="67" t="str">
        <f>VLOOKUP(D789,'03. Insumos'!A:D,2,0)</f>
        <v>Cuba Inox de Semiencaixe simples com grelha/escorredor KOHLER Vault 3943BR-NA</v>
      </c>
      <c r="F789" s="68" t="s">
        <v>2613</v>
      </c>
      <c r="G789" s="68" t="str">
        <f>VLOOKUP(D789,'03. Insumos'!A:F,3,0)</f>
        <v>unid</v>
      </c>
      <c r="H789" s="69">
        <v>1</v>
      </c>
      <c r="I789" s="449"/>
      <c r="J789" s="70">
        <f t="shared" si="100"/>
        <v>9125.2099999999991</v>
      </c>
      <c r="K789" s="70">
        <f>IF(A789=0,VLOOKUP(D789,'03. Insumos'!A:F,4,0),"")</f>
        <v>9125.2099999999991</v>
      </c>
      <c r="L789" s="70">
        <f t="shared" si="101"/>
        <v>0</v>
      </c>
      <c r="M789" s="153">
        <f t="shared" ca="1" si="96"/>
        <v>0</v>
      </c>
      <c r="O789" s="148">
        <f t="shared" si="98"/>
        <v>0</v>
      </c>
      <c r="R789" s="12">
        <f t="shared" si="99"/>
        <v>-265.78281553398119</v>
      </c>
    </row>
    <row r="790" spans="1:18" s="51" customFormat="1" ht="13.5" hidden="1" customHeight="1" outlineLevel="1" x14ac:dyDescent="0.3">
      <c r="A790" s="290">
        <f t="shared" si="97"/>
        <v>0</v>
      </c>
      <c r="B790" s="49"/>
      <c r="C790" s="49"/>
      <c r="D790" s="140" t="s">
        <v>2671</v>
      </c>
      <c r="E790" s="67" t="str">
        <f>VLOOKUP(D790,'03. Insumos'!A:D,2,0)</f>
        <v>Louças e Metais -</v>
      </c>
      <c r="F790" s="68" t="s">
        <v>2613</v>
      </c>
      <c r="G790" s="68" t="str">
        <f>VLOOKUP(D790,'03. Insumos'!A:F,3,0)</f>
        <v>unid</v>
      </c>
      <c r="H790" s="69">
        <v>1</v>
      </c>
      <c r="I790" s="449"/>
      <c r="J790" s="70">
        <f t="shared" si="100"/>
        <v>0</v>
      </c>
      <c r="K790" s="70">
        <f>IF(A790=0,VLOOKUP(D790,'03. Insumos'!A:F,4,0),"")</f>
        <v>0</v>
      </c>
      <c r="L790" s="70">
        <f t="shared" si="101"/>
        <v>0</v>
      </c>
      <c r="M790" s="153">
        <f t="shared" ca="1" si="96"/>
        <v>0</v>
      </c>
      <c r="O790" s="148">
        <f t="shared" si="98"/>
        <v>0</v>
      </c>
      <c r="R790" s="12">
        <f t="shared" si="99"/>
        <v>0</v>
      </c>
    </row>
    <row r="791" spans="1:18" s="51" customFormat="1" ht="13.5" hidden="1" customHeight="1" outlineLevel="1" x14ac:dyDescent="0.3">
      <c r="A791" s="290">
        <f t="shared" si="97"/>
        <v>0</v>
      </c>
      <c r="B791" s="49"/>
      <c r="C791" s="49"/>
      <c r="D791" s="140" t="s">
        <v>2672</v>
      </c>
      <c r="E791" s="67" t="str">
        <f>VLOOKUP(D791,'03. Insumos'!A:D,2,0)</f>
        <v>Cuba Mekal Linha CT 60 ESC</v>
      </c>
      <c r="F791" s="68" t="s">
        <v>2613</v>
      </c>
      <c r="G791" s="68" t="str">
        <f>VLOOKUP(D791,'03. Insumos'!A:F,3,0)</f>
        <v>unid</v>
      </c>
      <c r="H791" s="69">
        <v>1</v>
      </c>
      <c r="I791" s="449"/>
      <c r="J791" s="70">
        <f t="shared" si="100"/>
        <v>411.01</v>
      </c>
      <c r="K791" s="70">
        <f>IF(A791=0,VLOOKUP(D791,'03. Insumos'!A:F,4,0),"")</f>
        <v>411.01</v>
      </c>
      <c r="L791" s="70">
        <f t="shared" si="101"/>
        <v>0</v>
      </c>
      <c r="M791" s="153">
        <f t="shared" ca="1" si="96"/>
        <v>0</v>
      </c>
      <c r="O791" s="148">
        <f t="shared" si="98"/>
        <v>0</v>
      </c>
      <c r="R791" s="12">
        <f t="shared" si="99"/>
        <v>-11.971165048543696</v>
      </c>
    </row>
    <row r="792" spans="1:18" s="51" customFormat="1" ht="13.5" hidden="1" customHeight="1" outlineLevel="1" x14ac:dyDescent="0.3">
      <c r="A792" s="290">
        <f t="shared" si="97"/>
        <v>0</v>
      </c>
      <c r="B792" s="49"/>
      <c r="C792" s="49"/>
      <c r="D792" s="140" t="s">
        <v>2673</v>
      </c>
      <c r="E792" s="67" t="str">
        <f>VLOOKUP(D792,'03. Insumos'!A:D,2,0)</f>
        <v>Lavatório Ref: 58004 e Coluna Ref: 58201 Linha Clássica CELITE + Coluna</v>
      </c>
      <c r="F792" s="68" t="s">
        <v>2613</v>
      </c>
      <c r="G792" s="68" t="str">
        <f>VLOOKUP(D792,'03. Insumos'!A:F,3,0)</f>
        <v>unid</v>
      </c>
      <c r="H792" s="69">
        <v>1</v>
      </c>
      <c r="I792" s="449"/>
      <c r="J792" s="70">
        <f t="shared" si="100"/>
        <v>681.71</v>
      </c>
      <c r="K792" s="70">
        <f>IF(A792=0,VLOOKUP(D792,'03. Insumos'!A:F,4,0),"")</f>
        <v>681.71</v>
      </c>
      <c r="L792" s="70">
        <f t="shared" si="101"/>
        <v>0</v>
      </c>
      <c r="M792" s="153">
        <f t="shared" ca="1" si="96"/>
        <v>0</v>
      </c>
      <c r="O792" s="148">
        <f t="shared" si="98"/>
        <v>0</v>
      </c>
      <c r="R792" s="12"/>
    </row>
    <row r="793" spans="1:18" s="51" customFormat="1" ht="13.5" hidden="1" customHeight="1" outlineLevel="1" x14ac:dyDescent="0.3">
      <c r="A793" s="290">
        <f t="shared" si="97"/>
        <v>0</v>
      </c>
      <c r="B793" s="49"/>
      <c r="C793" s="49"/>
      <c r="D793" s="140" t="s">
        <v>2674</v>
      </c>
      <c r="E793" s="67" t="str">
        <f>VLOOKUP(D793,'03. Insumos'!A:D,2,0)</f>
        <v>Misturador de mesa bica alta para lavatório Izy Deca, 1877.C37;</v>
      </c>
      <c r="F793" s="68" t="s">
        <v>2613</v>
      </c>
      <c r="G793" s="68" t="str">
        <f>VLOOKUP(D793,'03. Insumos'!A:F,3,0)</f>
        <v>unid</v>
      </c>
      <c r="H793" s="69">
        <v>1</v>
      </c>
      <c r="I793" s="449"/>
      <c r="J793" s="70">
        <f t="shared" si="100"/>
        <v>0</v>
      </c>
      <c r="K793" s="70">
        <f>IF(A793=0,VLOOKUP(D793,'03. Insumos'!A:F,4,0),"")</f>
        <v>0</v>
      </c>
      <c r="L793" s="70">
        <f t="shared" si="101"/>
        <v>0</v>
      </c>
      <c r="M793" s="153">
        <f t="shared" ca="1" si="96"/>
        <v>0</v>
      </c>
      <c r="O793" s="148">
        <f t="shared" si="98"/>
        <v>0</v>
      </c>
      <c r="R793" s="12"/>
    </row>
    <row r="794" spans="1:18" s="51" customFormat="1" ht="13.5" hidden="1" customHeight="1" outlineLevel="1" x14ac:dyDescent="0.3">
      <c r="A794" s="290">
        <f t="shared" si="97"/>
        <v>0</v>
      </c>
      <c r="B794" s="49"/>
      <c r="C794" s="49"/>
      <c r="D794" s="140" t="s">
        <v>2675</v>
      </c>
      <c r="E794" s="67" t="str">
        <f>VLOOKUP(D794,'03. Insumos'!A:D,2,0)</f>
        <v>Bacia convencional Vogue Plus Deca, P.5.17;</v>
      </c>
      <c r="F794" s="68" t="s">
        <v>2613</v>
      </c>
      <c r="G794" s="68" t="str">
        <f>VLOOKUP(D794,'03. Insumos'!A:F,3,0)</f>
        <v>unid</v>
      </c>
      <c r="H794" s="69">
        <v>1</v>
      </c>
      <c r="I794" s="449"/>
      <c r="J794" s="70">
        <f t="shared" si="100"/>
        <v>0</v>
      </c>
      <c r="K794" s="70">
        <f>IF(A794=0,VLOOKUP(D794,'03. Insumos'!A:F,4,0),"")</f>
        <v>0</v>
      </c>
      <c r="L794" s="70">
        <f t="shared" si="101"/>
        <v>0</v>
      </c>
      <c r="M794" s="153">
        <f t="shared" ca="1" si="96"/>
        <v>0</v>
      </c>
      <c r="O794" s="148">
        <f t="shared" si="98"/>
        <v>0</v>
      </c>
      <c r="R794" s="12"/>
    </row>
    <row r="795" spans="1:18" s="51" customFormat="1" ht="13.5" hidden="1" customHeight="1" outlineLevel="1" x14ac:dyDescent="0.3">
      <c r="A795" s="290">
        <f t="shared" si="97"/>
        <v>0</v>
      </c>
      <c r="B795" s="49"/>
      <c r="C795" s="49"/>
      <c r="D795" s="140" t="s">
        <v>2676</v>
      </c>
      <c r="E795" s="67" t="str">
        <f>VLOOKUP(D795,'03. Insumos'!A:D,2,0)</f>
        <v>Ducha higiênica com registro e derivação Izy Deca, 1984.C37.ACT.CR;</v>
      </c>
      <c r="F795" s="68" t="s">
        <v>2613</v>
      </c>
      <c r="G795" s="68" t="str">
        <f>VLOOKUP(D795,'03. Insumos'!A:F,3,0)</f>
        <v>unid</v>
      </c>
      <c r="H795" s="69">
        <v>1</v>
      </c>
      <c r="I795" s="449"/>
      <c r="J795" s="70">
        <f t="shared" si="100"/>
        <v>0</v>
      </c>
      <c r="K795" s="70">
        <f>IF(A795=0,VLOOKUP(D795,'03. Insumos'!A:F,4,0),"")</f>
        <v>0</v>
      </c>
      <c r="L795" s="70">
        <f t="shared" si="101"/>
        <v>0</v>
      </c>
      <c r="M795" s="153">
        <f t="shared" ca="1" si="96"/>
        <v>0</v>
      </c>
      <c r="O795" s="148">
        <f t="shared" si="98"/>
        <v>0</v>
      </c>
      <c r="R795" s="12"/>
    </row>
    <row r="796" spans="1:18" s="51" customFormat="1" ht="13.5" hidden="1" customHeight="1" outlineLevel="1" x14ac:dyDescent="0.3">
      <c r="A796" s="290">
        <f t="shared" si="97"/>
        <v>0</v>
      </c>
      <c r="B796" s="49"/>
      <c r="C796" s="49"/>
      <c r="D796" s="140" t="s">
        <v>2677</v>
      </c>
      <c r="E796" s="67" t="str">
        <f>VLOOKUP(D796,'03. Insumos'!A:D,2,0)</f>
        <v>Hydra Clean Deca, 4900.C.CLN;</v>
      </c>
      <c r="F796" s="68" t="s">
        <v>2613</v>
      </c>
      <c r="G796" s="68" t="str">
        <f>VLOOKUP(D796,'03. Insumos'!A:F,3,0)</f>
        <v>unid</v>
      </c>
      <c r="H796" s="69">
        <v>1</v>
      </c>
      <c r="I796" s="449"/>
      <c r="J796" s="70">
        <f t="shared" si="100"/>
        <v>0</v>
      </c>
      <c r="K796" s="70">
        <f>IF(A796=0,VLOOKUP(D796,'03. Insumos'!A:F,4,0),"")</f>
        <v>0</v>
      </c>
      <c r="L796" s="70">
        <f t="shared" si="101"/>
        <v>0</v>
      </c>
      <c r="M796" s="153">
        <f t="shared" ca="1" si="96"/>
        <v>0</v>
      </c>
      <c r="O796" s="148">
        <f t="shared" si="98"/>
        <v>0</v>
      </c>
      <c r="R796" s="12">
        <f>IF(J796&lt;&gt;0,J796/1.03-K796,0)</f>
        <v>0</v>
      </c>
    </row>
    <row r="797" spans="1:18" s="51" customFormat="1" ht="13.5" hidden="1" customHeight="1" outlineLevel="1" x14ac:dyDescent="0.3">
      <c r="A797" s="290">
        <f t="shared" si="97"/>
        <v>0</v>
      </c>
      <c r="B797" s="49"/>
      <c r="C797" s="49"/>
      <c r="D797" s="140" t="s">
        <v>2678</v>
      </c>
      <c r="E797" s="67" t="str">
        <f>VLOOKUP(D797,'03. Insumos'!A:D,2,0)</f>
        <v>Chuveiro com tubo de parede Acqua Plus Deca, 1990.C.STD</v>
      </c>
      <c r="F797" s="68" t="s">
        <v>2613</v>
      </c>
      <c r="G797" s="68" t="str">
        <f>VLOOKUP(D797,'03. Insumos'!A:F,3,0)</f>
        <v>unid</v>
      </c>
      <c r="H797" s="69">
        <v>1</v>
      </c>
      <c r="I797" s="449"/>
      <c r="J797" s="70">
        <f t="shared" si="100"/>
        <v>0</v>
      </c>
      <c r="K797" s="70">
        <f>IF(A797=0,VLOOKUP(D797,'03. Insumos'!A:F,4,0),"")</f>
        <v>0</v>
      </c>
      <c r="L797" s="70">
        <f t="shared" si="101"/>
        <v>0</v>
      </c>
      <c r="M797" s="153">
        <f t="shared" ca="1" si="96"/>
        <v>0</v>
      </c>
      <c r="O797" s="148"/>
      <c r="R797" s="12"/>
    </row>
    <row r="798" spans="1:18" s="51" customFormat="1" ht="13.5" hidden="1" customHeight="1" outlineLevel="1" x14ac:dyDescent="0.3">
      <c r="A798" s="290">
        <f t="shared" si="97"/>
        <v>0</v>
      </c>
      <c r="B798" s="49"/>
      <c r="C798" s="49"/>
      <c r="D798" s="140" t="s">
        <v>2679</v>
      </c>
      <c r="E798" s="67" t="str">
        <f>VLOOKUP(D798,'03. Insumos'!A:D,2,0)</f>
        <v>Cuba de embutir L129, Deca;</v>
      </c>
      <c r="F798" s="68" t="s">
        <v>2613</v>
      </c>
      <c r="G798" s="68" t="str">
        <f>VLOOKUP(D798,'03. Insumos'!A:F,3,0)</f>
        <v>unid</v>
      </c>
      <c r="H798" s="69">
        <v>1</v>
      </c>
      <c r="I798" s="449"/>
      <c r="J798" s="70">
        <f t="shared" si="100"/>
        <v>0</v>
      </c>
      <c r="K798" s="70">
        <f>IF(A798=0,VLOOKUP(D798,'03. Insumos'!A:F,4,0),"")</f>
        <v>0</v>
      </c>
      <c r="L798" s="70">
        <f t="shared" si="101"/>
        <v>0</v>
      </c>
      <c r="M798" s="153">
        <f t="shared" ca="1" si="96"/>
        <v>0</v>
      </c>
      <c r="O798" s="148"/>
      <c r="R798" s="12"/>
    </row>
    <row r="799" spans="1:18" s="51" customFormat="1" ht="13.5" hidden="1" customHeight="1" outlineLevel="1" x14ac:dyDescent="0.3">
      <c r="A799" s="290">
        <f t="shared" si="97"/>
        <v>0</v>
      </c>
      <c r="B799" s="49"/>
      <c r="C799" s="49"/>
      <c r="D799" s="140" t="s">
        <v>2680</v>
      </c>
      <c r="E799" s="67" t="str">
        <f>VLOOKUP(D799,'03. Insumos'!A:D,2,0)</f>
        <v>Misturador de mesa bica alta para lavatório Izy Plus Deca, 1877.C37</v>
      </c>
      <c r="F799" s="68" t="s">
        <v>2613</v>
      </c>
      <c r="G799" s="68" t="str">
        <f>VLOOKUP(D799,'03. Insumos'!A:F,3,0)</f>
        <v>unid</v>
      </c>
      <c r="H799" s="69">
        <v>1</v>
      </c>
      <c r="I799" s="449"/>
      <c r="J799" s="70">
        <f t="shared" si="100"/>
        <v>0</v>
      </c>
      <c r="K799" s="70">
        <f>IF(A799=0,VLOOKUP(D799,'03. Insumos'!A:F,4,0),"")</f>
        <v>0</v>
      </c>
      <c r="L799" s="70">
        <f t="shared" si="101"/>
        <v>0</v>
      </c>
      <c r="M799" s="153">
        <f t="shared" ca="1" si="96"/>
        <v>0</v>
      </c>
      <c r="O799" s="148">
        <f>IF(I799&lt;&gt;0,I799*H799*K799,)</f>
        <v>0</v>
      </c>
      <c r="R799" s="12">
        <f>IF(J799&lt;&gt;0,J799/1.03-K799,0)</f>
        <v>0</v>
      </c>
    </row>
    <row r="800" spans="1:18" s="51" customFormat="1" ht="13.5" hidden="1" customHeight="1" outlineLevel="1" x14ac:dyDescent="0.3">
      <c r="A800" s="290">
        <f t="shared" si="97"/>
        <v>0</v>
      </c>
      <c r="B800" s="49"/>
      <c r="C800" s="49"/>
      <c r="D800" s="140" t="s">
        <v>2681</v>
      </c>
      <c r="E800" s="67" t="str">
        <f>VLOOKUP(D800,'03. Insumos'!A:D,2,0)</f>
        <v>Barra deslizante moderna 1981.c com ducha manual aspen 4867.c</v>
      </c>
      <c r="F800" s="68" t="s">
        <v>2613</v>
      </c>
      <c r="G800" s="68" t="str">
        <f>VLOOKUP(D800,'03. Insumos'!A:F,3,0)</f>
        <v>unid</v>
      </c>
      <c r="H800" s="69">
        <v>1</v>
      </c>
      <c r="I800" s="449"/>
      <c r="J800" s="70">
        <f t="shared" si="100"/>
        <v>0</v>
      </c>
      <c r="K800" s="70">
        <f>IF(A800=0,VLOOKUP(D800,'03. Insumos'!A:F,4,0),"")</f>
        <v>0</v>
      </c>
      <c r="L800" s="70">
        <f t="shared" si="101"/>
        <v>0</v>
      </c>
      <c r="M800" s="153">
        <f t="shared" ca="1" si="96"/>
        <v>0</v>
      </c>
      <c r="O800" s="148">
        <f>IF(I800&lt;&gt;0,I800*H800*K800,)</f>
        <v>0</v>
      </c>
      <c r="R800" s="12">
        <f>IF(J800&lt;&gt;0,J800/1.03-K800,0)</f>
        <v>0</v>
      </c>
    </row>
    <row r="801" spans="1:18" s="51" customFormat="1" ht="13.5" hidden="1" customHeight="1" outlineLevel="1" x14ac:dyDescent="0.3">
      <c r="A801" s="290">
        <f t="shared" si="97"/>
        <v>0</v>
      </c>
      <c r="B801" s="49"/>
      <c r="C801" s="49"/>
      <c r="D801" s="140" t="s">
        <v>2682</v>
      </c>
      <c r="E801" s="67" t="str">
        <f>VLOOKUP(D801,'03. Insumos'!A:D,2,0)</f>
        <v>Bacia Carrara P60, Deca</v>
      </c>
      <c r="F801" s="68" t="s">
        <v>2613</v>
      </c>
      <c r="G801" s="68" t="str">
        <f>VLOOKUP(D801,'03. Insumos'!A:F,3,0)</f>
        <v>unid</v>
      </c>
      <c r="H801" s="69">
        <v>1</v>
      </c>
      <c r="I801" s="449"/>
      <c r="J801" s="70">
        <f t="shared" si="100"/>
        <v>0</v>
      </c>
      <c r="K801" s="70">
        <f>IF(A801=0,VLOOKUP(D801,'03. Insumos'!A:F,4,0),"")</f>
        <v>0</v>
      </c>
      <c r="L801" s="70">
        <f t="shared" si="101"/>
        <v>0</v>
      </c>
      <c r="M801" s="153">
        <f t="shared" ca="1" si="96"/>
        <v>0</v>
      </c>
      <c r="O801" s="148">
        <f>IF(I801&lt;&gt;0,I801*H801*K801,)</f>
        <v>0</v>
      </c>
      <c r="R801" s="12">
        <f>IF(J801&lt;&gt;0,J801/1.03-K801,0)</f>
        <v>0</v>
      </c>
    </row>
    <row r="802" spans="1:18" s="51" customFormat="1" ht="13.5" hidden="1" customHeight="1" outlineLevel="1" x14ac:dyDescent="0.3">
      <c r="A802" s="290">
        <f t="shared" si="97"/>
        <v>0</v>
      </c>
      <c r="B802" s="49"/>
      <c r="C802" s="49"/>
      <c r="D802" s="140" t="s">
        <v>2683</v>
      </c>
      <c r="E802" s="67" t="str">
        <f>VLOOKUP(D802,'03. Insumos'!A:D,2,0)</f>
        <v>Ducha higiênica com registro e derivação Izy Plus Deca, 1984.C37.ACT.CR</v>
      </c>
      <c r="F802" s="68" t="s">
        <v>2613</v>
      </c>
      <c r="G802" s="68" t="str">
        <f>VLOOKUP(D802,'03. Insumos'!A:F,3,0)</f>
        <v>unid</v>
      </c>
      <c r="H802" s="69">
        <v>1</v>
      </c>
      <c r="I802" s="449"/>
      <c r="J802" s="70">
        <f t="shared" si="100"/>
        <v>0</v>
      </c>
      <c r="K802" s="70">
        <f>IF(A802=0,VLOOKUP(D802,'03. Insumos'!A:F,4,0),"")</f>
        <v>0</v>
      </c>
      <c r="L802" s="70">
        <f t="shared" si="101"/>
        <v>0</v>
      </c>
      <c r="M802" s="153">
        <f t="shared" ca="1" si="96"/>
        <v>0</v>
      </c>
      <c r="O802" s="148">
        <f t="shared" ref="O802:O845" si="102">IF(I802&lt;&gt;0,I802*H802*K802,)</f>
        <v>0</v>
      </c>
      <c r="R802" s="12">
        <f t="shared" ref="R802:R842" si="103">IF(J802&lt;&gt;0,J802/1.03-K802,0)</f>
        <v>0</v>
      </c>
    </row>
    <row r="803" spans="1:18" s="51" customFormat="1" ht="13.5" hidden="1" customHeight="1" outlineLevel="1" x14ac:dyDescent="0.3">
      <c r="A803" s="290">
        <f t="shared" si="97"/>
        <v>0</v>
      </c>
      <c r="B803" s="49"/>
      <c r="C803" s="49"/>
      <c r="D803" s="140" t="s">
        <v>2684</v>
      </c>
      <c r="E803" s="67" t="str">
        <f>VLOOKUP(D803,'03. Insumos'!A:D,2,0)</f>
        <v>Válvula SLIM 2553.C.112 DECA</v>
      </c>
      <c r="F803" s="68" t="s">
        <v>2613</v>
      </c>
      <c r="G803" s="68" t="str">
        <f>VLOOKUP(D803,'03. Insumos'!A:F,3,0)</f>
        <v>unid</v>
      </c>
      <c r="H803" s="69">
        <v>1</v>
      </c>
      <c r="I803" s="449"/>
      <c r="J803" s="70">
        <f t="shared" si="100"/>
        <v>0</v>
      </c>
      <c r="K803" s="70">
        <f>IF(A803=0,VLOOKUP(D803,'03. Insumos'!A:F,4,0),"")</f>
        <v>0</v>
      </c>
      <c r="L803" s="70">
        <f t="shared" si="101"/>
        <v>0</v>
      </c>
      <c r="M803" s="153">
        <f t="shared" ca="1" si="96"/>
        <v>0</v>
      </c>
      <c r="O803" s="148">
        <f t="shared" si="102"/>
        <v>0</v>
      </c>
      <c r="R803" s="12">
        <f t="shared" si="103"/>
        <v>0</v>
      </c>
    </row>
    <row r="804" spans="1:18" s="51" customFormat="1" ht="13.5" hidden="1" customHeight="1" outlineLevel="1" x14ac:dyDescent="0.3">
      <c r="A804" s="290">
        <f t="shared" si="97"/>
        <v>0</v>
      </c>
      <c r="B804" s="49"/>
      <c r="C804" s="49"/>
      <c r="D804" s="140" t="s">
        <v>2685</v>
      </c>
      <c r="E804" s="67" t="str">
        <f>VLOOKUP(D804,'03. Insumos'!A:D,2,0)</f>
        <v>Cuba de embutir L375, Deca;</v>
      </c>
      <c r="F804" s="68" t="s">
        <v>2613</v>
      </c>
      <c r="G804" s="68" t="str">
        <f>VLOOKUP(D804,'03. Insumos'!A:F,3,0)</f>
        <v>unid</v>
      </c>
      <c r="H804" s="69">
        <v>1</v>
      </c>
      <c r="I804" s="449"/>
      <c r="J804" s="70">
        <f t="shared" si="100"/>
        <v>0</v>
      </c>
      <c r="K804" s="70">
        <f>IF(A804=0,VLOOKUP(D804,'03. Insumos'!A:F,4,0),"")</f>
        <v>0</v>
      </c>
      <c r="L804" s="70">
        <f t="shared" si="101"/>
        <v>0</v>
      </c>
      <c r="M804" s="153">
        <f t="shared" ca="1" si="96"/>
        <v>0</v>
      </c>
      <c r="O804" s="148">
        <f t="shared" si="102"/>
        <v>0</v>
      </c>
      <c r="R804" s="12">
        <f t="shared" si="103"/>
        <v>0</v>
      </c>
    </row>
    <row r="805" spans="1:18" s="51" customFormat="1" ht="13.5" hidden="1" customHeight="1" outlineLevel="1" x14ac:dyDescent="0.3">
      <c r="A805" s="290">
        <f t="shared" si="97"/>
        <v>0</v>
      </c>
      <c r="B805" s="49"/>
      <c r="C805" s="49"/>
      <c r="D805" s="140" t="s">
        <v>2686</v>
      </c>
      <c r="E805" s="67" t="str">
        <f>VLOOKUP(D805,'03. Insumos'!A:D,2,0)</f>
        <v>Misturador de parede para lavatório Izy Plus Deca, 1878.C37</v>
      </c>
      <c r="F805" s="68" t="s">
        <v>2613</v>
      </c>
      <c r="G805" s="68" t="str">
        <f>VLOOKUP(D805,'03. Insumos'!A:F,3,0)</f>
        <v>unid</v>
      </c>
      <c r="H805" s="69">
        <v>1</v>
      </c>
      <c r="I805" s="449"/>
      <c r="J805" s="70">
        <f t="shared" si="100"/>
        <v>0</v>
      </c>
      <c r="K805" s="70">
        <f>IF(A805=0,VLOOKUP(D805,'03. Insumos'!A:F,4,0),"")</f>
        <v>0</v>
      </c>
      <c r="L805" s="70">
        <f t="shared" si="101"/>
        <v>0</v>
      </c>
      <c r="M805" s="153">
        <f t="shared" ca="1" si="96"/>
        <v>0</v>
      </c>
      <c r="O805" s="148">
        <f t="shared" si="102"/>
        <v>0</v>
      </c>
      <c r="R805" s="12">
        <f t="shared" si="103"/>
        <v>0</v>
      </c>
    </row>
    <row r="806" spans="1:18" s="51" customFormat="1" ht="13.5" hidden="1" customHeight="1" outlineLevel="1" x14ac:dyDescent="0.3">
      <c r="A806" s="290">
        <f t="shared" si="97"/>
        <v>0</v>
      </c>
      <c r="B806" s="49"/>
      <c r="C806" s="49"/>
      <c r="D806" s="140" t="s">
        <v>2687</v>
      </c>
      <c r="E806" s="67" t="str">
        <f>VLOOKUP(D806,'03. Insumos'!A:D,2,0)</f>
        <v>Barra deslizante moderna 1981.c com ducha manual aspen 4867.c</v>
      </c>
      <c r="F806" s="68" t="s">
        <v>2613</v>
      </c>
      <c r="G806" s="68" t="str">
        <f>VLOOKUP(D806,'03. Insumos'!A:F,3,0)</f>
        <v>unid</v>
      </c>
      <c r="H806" s="69">
        <v>1</v>
      </c>
      <c r="I806" s="449"/>
      <c r="J806" s="70">
        <f t="shared" si="100"/>
        <v>0</v>
      </c>
      <c r="K806" s="70">
        <f>IF(A806=0,VLOOKUP(D806,'03. Insumos'!A:F,4,0),"")</f>
        <v>0</v>
      </c>
      <c r="L806" s="70">
        <f t="shared" si="101"/>
        <v>0</v>
      </c>
      <c r="M806" s="153">
        <f t="shared" ca="1" si="96"/>
        <v>0</v>
      </c>
      <c r="O806" s="148">
        <f t="shared" si="102"/>
        <v>0</v>
      </c>
      <c r="R806" s="12">
        <f t="shared" si="103"/>
        <v>0</v>
      </c>
    </row>
    <row r="807" spans="1:18" s="51" customFormat="1" ht="13.5" hidden="1" customHeight="1" outlineLevel="1" x14ac:dyDescent="0.3">
      <c r="A807" s="290">
        <f t="shared" si="97"/>
        <v>0</v>
      </c>
      <c r="B807" s="49"/>
      <c r="C807" s="49"/>
      <c r="D807" s="140" t="s">
        <v>2688</v>
      </c>
      <c r="E807" s="67" t="str">
        <f>VLOOKUP(D807,'03. Insumos'!A:D,2,0)</f>
        <v>Bacia Carrara P60, Deca</v>
      </c>
      <c r="F807" s="68" t="s">
        <v>2613</v>
      </c>
      <c r="G807" s="68" t="str">
        <f>VLOOKUP(D807,'03. Insumos'!A:F,3,0)</f>
        <v>unid</v>
      </c>
      <c r="H807" s="69">
        <v>1</v>
      </c>
      <c r="I807" s="449"/>
      <c r="J807" s="70">
        <f t="shared" si="100"/>
        <v>0</v>
      </c>
      <c r="K807" s="70">
        <f>IF(A807=0,VLOOKUP(D807,'03. Insumos'!A:F,4,0),"")</f>
        <v>0</v>
      </c>
      <c r="L807" s="70">
        <f t="shared" si="101"/>
        <v>0</v>
      </c>
      <c r="M807" s="153">
        <f t="shared" ca="1" si="96"/>
        <v>0</v>
      </c>
      <c r="O807" s="148">
        <f t="shared" si="102"/>
        <v>0</v>
      </c>
      <c r="R807" s="12">
        <f t="shared" si="103"/>
        <v>0</v>
      </c>
    </row>
    <row r="808" spans="1:18" s="51" customFormat="1" ht="13.5" hidden="1" customHeight="1" outlineLevel="1" x14ac:dyDescent="0.3">
      <c r="A808" s="290">
        <f t="shared" si="97"/>
        <v>0</v>
      </c>
      <c r="B808" s="49"/>
      <c r="C808" s="49"/>
      <c r="D808" s="140" t="s">
        <v>2689</v>
      </c>
      <c r="E808" s="67" t="str">
        <f>VLOOKUP(D808,'03. Insumos'!A:D,2,0)</f>
        <v>Ducha higiênica com registro e derivação Izy Plus Deca, 1984.C37.ACT.CR</v>
      </c>
      <c r="F808" s="68" t="s">
        <v>2613</v>
      </c>
      <c r="G808" s="68" t="str">
        <f>VLOOKUP(D808,'03. Insumos'!A:F,3,0)</f>
        <v>unid</v>
      </c>
      <c r="H808" s="69">
        <v>1</v>
      </c>
      <c r="I808" s="449"/>
      <c r="J808" s="70">
        <f t="shared" si="100"/>
        <v>0</v>
      </c>
      <c r="K808" s="70">
        <f>IF(A808=0,VLOOKUP(D808,'03. Insumos'!A:F,4,0),"")</f>
        <v>0</v>
      </c>
      <c r="L808" s="70">
        <f t="shared" si="101"/>
        <v>0</v>
      </c>
      <c r="M808" s="153">
        <f t="shared" ca="1" si="96"/>
        <v>0</v>
      </c>
      <c r="O808" s="148">
        <f t="shared" si="102"/>
        <v>0</v>
      </c>
      <c r="R808" s="12">
        <f t="shared" si="103"/>
        <v>0</v>
      </c>
    </row>
    <row r="809" spans="1:18" s="51" customFormat="1" ht="13.5" hidden="1" customHeight="1" outlineLevel="1" x14ac:dyDescent="0.3">
      <c r="A809" s="290">
        <f t="shared" si="97"/>
        <v>0</v>
      </c>
      <c r="B809" s="49"/>
      <c r="C809" s="49"/>
      <c r="D809" s="140" t="s">
        <v>2690</v>
      </c>
      <c r="E809" s="67" t="str">
        <f>VLOOKUP(D809,'03. Insumos'!A:D,2,0)</f>
        <v>Válvula SLIM 2553.C.112 DECA</v>
      </c>
      <c r="F809" s="68" t="s">
        <v>2613</v>
      </c>
      <c r="G809" s="68" t="str">
        <f>VLOOKUP(D809,'03. Insumos'!A:F,3,0)</f>
        <v>unid</v>
      </c>
      <c r="H809" s="69">
        <v>1</v>
      </c>
      <c r="I809" s="449"/>
      <c r="J809" s="70">
        <f t="shared" si="100"/>
        <v>0</v>
      </c>
      <c r="K809" s="70">
        <f>IF(A809=0,VLOOKUP(D809,'03. Insumos'!A:F,4,0),"")</f>
        <v>0</v>
      </c>
      <c r="L809" s="70">
        <f t="shared" si="101"/>
        <v>0</v>
      </c>
      <c r="M809" s="153">
        <f t="shared" ca="1" si="96"/>
        <v>0</v>
      </c>
      <c r="O809" s="148">
        <f t="shared" si="102"/>
        <v>0</v>
      </c>
      <c r="R809" s="12">
        <f t="shared" si="103"/>
        <v>0</v>
      </c>
    </row>
    <row r="810" spans="1:18" s="51" customFormat="1" ht="13.5" hidden="1" customHeight="1" outlineLevel="1" x14ac:dyDescent="0.3">
      <c r="A810" s="290">
        <f t="shared" si="97"/>
        <v>0</v>
      </c>
      <c r="B810" s="49"/>
      <c r="C810" s="49"/>
      <c r="D810" s="140" t="s">
        <v>2691</v>
      </c>
      <c r="E810" s="67" t="str">
        <f>VLOOKUP(D810,'03. Insumos'!A:D,2,0)</f>
        <v>Cuba de embutir L375, Deca</v>
      </c>
      <c r="F810" s="68" t="s">
        <v>2613</v>
      </c>
      <c r="G810" s="68" t="str">
        <f>VLOOKUP(D810,'03. Insumos'!A:F,3,0)</f>
        <v>unid</v>
      </c>
      <c r="H810" s="69">
        <v>1</v>
      </c>
      <c r="I810" s="449"/>
      <c r="J810" s="70">
        <f t="shared" si="100"/>
        <v>0</v>
      </c>
      <c r="K810" s="70">
        <f>IF(A810=0,VLOOKUP(D810,'03. Insumos'!A:F,4,0),"")</f>
        <v>0</v>
      </c>
      <c r="L810" s="70">
        <f t="shared" si="101"/>
        <v>0</v>
      </c>
      <c r="M810" s="153">
        <f t="shared" ca="1" si="96"/>
        <v>0</v>
      </c>
      <c r="O810" s="148">
        <f t="shared" si="102"/>
        <v>0</v>
      </c>
      <c r="R810" s="12">
        <f t="shared" si="103"/>
        <v>0</v>
      </c>
    </row>
    <row r="811" spans="1:18" s="51" customFormat="1" ht="13.5" hidden="1" customHeight="1" outlineLevel="1" x14ac:dyDescent="0.3">
      <c r="A811" s="290">
        <f t="shared" si="97"/>
        <v>0</v>
      </c>
      <c r="B811" s="49"/>
      <c r="C811" s="49"/>
      <c r="D811" s="140" t="s">
        <v>2692</v>
      </c>
      <c r="E811" s="67" t="str">
        <f>VLOOKUP(D811,'03. Insumos'!A:D,2,0)</f>
        <v>Misturador de parede para lavatório Izy Plus Deca, 1878.C37</v>
      </c>
      <c r="F811" s="68" t="s">
        <v>2613</v>
      </c>
      <c r="G811" s="68" t="str">
        <f>VLOOKUP(D811,'03. Insumos'!A:F,3,0)</f>
        <v>unid</v>
      </c>
      <c r="H811" s="69">
        <v>1</v>
      </c>
      <c r="I811" s="449"/>
      <c r="J811" s="70">
        <f t="shared" si="100"/>
        <v>0</v>
      </c>
      <c r="K811" s="70">
        <f>IF(A811=0,VLOOKUP(D811,'03. Insumos'!A:F,4,0),"")</f>
        <v>0</v>
      </c>
      <c r="L811" s="70">
        <f t="shared" si="101"/>
        <v>0</v>
      </c>
      <c r="M811" s="153">
        <f t="shared" ca="1" si="96"/>
        <v>0</v>
      </c>
      <c r="O811" s="148">
        <f t="shared" si="102"/>
        <v>0</v>
      </c>
      <c r="R811" s="12">
        <f t="shared" si="103"/>
        <v>0</v>
      </c>
    </row>
    <row r="812" spans="1:18" s="51" customFormat="1" ht="13.5" hidden="1" customHeight="1" outlineLevel="1" x14ac:dyDescent="0.3">
      <c r="A812" s="290">
        <f t="shared" si="97"/>
        <v>0</v>
      </c>
      <c r="B812" s="49"/>
      <c r="C812" s="49"/>
      <c r="D812" s="140" t="s">
        <v>2693</v>
      </c>
      <c r="E812" s="67" t="str">
        <f>VLOOKUP(D812,'03. Insumos'!A:D,2,0)</f>
        <v>Barra deslizante moderna 1981.c com ducha manual aspen 4867.c</v>
      </c>
      <c r="F812" s="68" t="s">
        <v>2613</v>
      </c>
      <c r="G812" s="68" t="str">
        <f>VLOOKUP(D812,'03. Insumos'!A:F,3,0)</f>
        <v>unid</v>
      </c>
      <c r="H812" s="69">
        <v>1</v>
      </c>
      <c r="I812" s="449"/>
      <c r="J812" s="70">
        <f t="shared" si="100"/>
        <v>0</v>
      </c>
      <c r="K812" s="70">
        <f>IF(A812=0,VLOOKUP(D812,'03. Insumos'!A:F,4,0),"")</f>
        <v>0</v>
      </c>
      <c r="L812" s="70">
        <f t="shared" si="101"/>
        <v>0</v>
      </c>
      <c r="M812" s="153">
        <f t="shared" ca="1" si="96"/>
        <v>0</v>
      </c>
      <c r="O812" s="148">
        <f t="shared" si="102"/>
        <v>0</v>
      </c>
      <c r="R812" s="12">
        <f t="shared" si="103"/>
        <v>0</v>
      </c>
    </row>
    <row r="813" spans="1:18" s="51" customFormat="1" ht="13.5" hidden="1" customHeight="1" outlineLevel="1" x14ac:dyDescent="0.3">
      <c r="A813" s="290">
        <f t="shared" si="97"/>
        <v>0</v>
      </c>
      <c r="B813" s="49"/>
      <c r="C813" s="49"/>
      <c r="D813" s="140" t="s">
        <v>2694</v>
      </c>
      <c r="E813" s="67" t="str">
        <f>VLOOKUP(D813,'03. Insumos'!A:D,2,0)</f>
        <v>Bacia Carrara P60, Deca</v>
      </c>
      <c r="F813" s="68" t="s">
        <v>2613</v>
      </c>
      <c r="G813" s="68" t="str">
        <f>VLOOKUP(D813,'03. Insumos'!A:F,3,0)</f>
        <v>unid</v>
      </c>
      <c r="H813" s="69">
        <v>1</v>
      </c>
      <c r="I813" s="449"/>
      <c r="J813" s="70">
        <f t="shared" si="100"/>
        <v>0</v>
      </c>
      <c r="K813" s="70">
        <f>IF(A813=0,VLOOKUP(D813,'03. Insumos'!A:F,4,0),"")</f>
        <v>0</v>
      </c>
      <c r="L813" s="70">
        <f t="shared" si="101"/>
        <v>0</v>
      </c>
      <c r="M813" s="153">
        <f t="shared" ca="1" si="96"/>
        <v>0</v>
      </c>
      <c r="O813" s="148">
        <f t="shared" si="102"/>
        <v>0</v>
      </c>
      <c r="R813" s="12">
        <f t="shared" si="103"/>
        <v>0</v>
      </c>
    </row>
    <row r="814" spans="1:18" s="51" customFormat="1" ht="13.5" hidden="1" customHeight="1" outlineLevel="1" x14ac:dyDescent="0.3">
      <c r="A814" s="290">
        <f t="shared" si="97"/>
        <v>0</v>
      </c>
      <c r="B814" s="49"/>
      <c r="C814" s="49"/>
      <c r="D814" s="140" t="s">
        <v>2695</v>
      </c>
      <c r="E814" s="67" t="str">
        <f>VLOOKUP(D814,'03. Insumos'!A:D,2,0)</f>
        <v>Ducha higiênica com registro e derivação Izy Plus Deca, 1984.C37.ACT.CR</v>
      </c>
      <c r="F814" s="68" t="s">
        <v>2613</v>
      </c>
      <c r="G814" s="68" t="str">
        <f>VLOOKUP(D814,'03. Insumos'!A:F,3,0)</f>
        <v>unid</v>
      </c>
      <c r="H814" s="69">
        <v>1</v>
      </c>
      <c r="I814" s="449"/>
      <c r="J814" s="70">
        <f t="shared" si="100"/>
        <v>0</v>
      </c>
      <c r="K814" s="70">
        <f>IF(A814=0,VLOOKUP(D814,'03. Insumos'!A:F,4,0),"")</f>
        <v>0</v>
      </c>
      <c r="L814" s="70">
        <f t="shared" si="101"/>
        <v>0</v>
      </c>
      <c r="M814" s="153">
        <f t="shared" ca="1" si="96"/>
        <v>0</v>
      </c>
      <c r="O814" s="148">
        <f t="shared" si="102"/>
        <v>0</v>
      </c>
      <c r="R814" s="12">
        <f t="shared" si="103"/>
        <v>0</v>
      </c>
    </row>
    <row r="815" spans="1:18" s="51" customFormat="1" ht="13.5" hidden="1" customHeight="1" outlineLevel="1" x14ac:dyDescent="0.3">
      <c r="A815" s="290">
        <f t="shared" si="97"/>
        <v>0</v>
      </c>
      <c r="B815" s="49"/>
      <c r="C815" s="49"/>
      <c r="D815" s="140" t="s">
        <v>2696</v>
      </c>
      <c r="E815" s="67" t="str">
        <f>VLOOKUP(D815,'03. Insumos'!A:D,2,0)</f>
        <v>Válvula SLIM 2553.C.112 DECA</v>
      </c>
      <c r="F815" s="68" t="s">
        <v>2613</v>
      </c>
      <c r="G815" s="68" t="str">
        <f>VLOOKUP(D815,'03. Insumos'!A:F,3,0)</f>
        <v>unid</v>
      </c>
      <c r="H815" s="69">
        <v>1</v>
      </c>
      <c r="I815" s="449"/>
      <c r="J815" s="70">
        <f t="shared" si="100"/>
        <v>0</v>
      </c>
      <c r="K815" s="70">
        <f>IF(A815=0,VLOOKUP(D815,'03. Insumos'!A:F,4,0),"")</f>
        <v>0</v>
      </c>
      <c r="L815" s="70">
        <f t="shared" si="101"/>
        <v>0</v>
      </c>
      <c r="M815" s="153">
        <f t="shared" ca="1" si="96"/>
        <v>0</v>
      </c>
      <c r="O815" s="148">
        <f t="shared" si="102"/>
        <v>0</v>
      </c>
      <c r="R815" s="12">
        <f t="shared" si="103"/>
        <v>0</v>
      </c>
    </row>
    <row r="816" spans="1:18" s="51" customFormat="1" ht="13.5" hidden="1" customHeight="1" outlineLevel="1" x14ac:dyDescent="0.3">
      <c r="A816" s="290">
        <f t="shared" si="97"/>
        <v>0</v>
      </c>
      <c r="B816" s="49"/>
      <c r="C816" s="49"/>
      <c r="D816" s="140" t="s">
        <v>2697</v>
      </c>
      <c r="E816" s="67" t="str">
        <f>VLOOKUP(D816,'03. Insumos'!A:D,2,0)</f>
        <v>Lavatório Ref: 58004 e Coluna Ref: 58201 Linha Clássica CELITE</v>
      </c>
      <c r="F816" s="68" t="s">
        <v>2613</v>
      </c>
      <c r="G816" s="68" t="str">
        <f>VLOOKUP(D816,'03. Insumos'!A:F,3,0)</f>
        <v>unid</v>
      </c>
      <c r="H816" s="69">
        <v>1</v>
      </c>
      <c r="I816" s="449"/>
      <c r="J816" s="70">
        <f t="shared" si="100"/>
        <v>0</v>
      </c>
      <c r="K816" s="70">
        <f>IF(A816=0,VLOOKUP(D816,'03. Insumos'!A:F,4,0),"")</f>
        <v>0</v>
      </c>
      <c r="L816" s="70">
        <f t="shared" si="101"/>
        <v>0</v>
      </c>
      <c r="M816" s="153">
        <f t="shared" ca="1" si="96"/>
        <v>0</v>
      </c>
      <c r="O816" s="148">
        <f t="shared" si="102"/>
        <v>0</v>
      </c>
      <c r="R816" s="12">
        <f t="shared" si="103"/>
        <v>0</v>
      </c>
    </row>
    <row r="817" spans="1:18" s="51" customFormat="1" ht="13.5" hidden="1" customHeight="1" outlineLevel="1" x14ac:dyDescent="0.3">
      <c r="A817" s="290">
        <f t="shared" si="97"/>
        <v>0</v>
      </c>
      <c r="B817" s="49"/>
      <c r="C817" s="49"/>
      <c r="D817" s="140" t="s">
        <v>2698</v>
      </c>
      <c r="E817" s="67" t="str">
        <f>VLOOKUP(D817,'03. Insumos'!A:D,2,0)</f>
        <v>Misturador de mesa bica alta para lavatório Belle Epoque 1877.C52 DECA</v>
      </c>
      <c r="F817" s="68" t="s">
        <v>2613</v>
      </c>
      <c r="G817" s="68" t="str">
        <f>VLOOKUP(D817,'03. Insumos'!A:F,3,0)</f>
        <v>unid</v>
      </c>
      <c r="H817" s="69">
        <v>1</v>
      </c>
      <c r="I817" s="449"/>
      <c r="J817" s="70">
        <f t="shared" si="100"/>
        <v>0</v>
      </c>
      <c r="K817" s="70">
        <f>IF(A817=0,VLOOKUP(D817,'03. Insumos'!A:F,4,0),"")</f>
        <v>0</v>
      </c>
      <c r="L817" s="70">
        <f t="shared" si="101"/>
        <v>0</v>
      </c>
      <c r="M817" s="153">
        <f t="shared" ca="1" si="96"/>
        <v>0</v>
      </c>
      <c r="O817" s="148">
        <f t="shared" si="102"/>
        <v>0</v>
      </c>
      <c r="R817" s="12">
        <f t="shared" si="103"/>
        <v>0</v>
      </c>
    </row>
    <row r="818" spans="1:18" s="51" customFormat="1" ht="13.5" hidden="1" customHeight="1" outlineLevel="1" x14ac:dyDescent="0.3">
      <c r="A818" s="290">
        <f t="shared" si="97"/>
        <v>0</v>
      </c>
      <c r="B818" s="49"/>
      <c r="C818" s="49"/>
      <c r="D818" s="140" t="s">
        <v>2699</v>
      </c>
      <c r="E818" s="67" t="str">
        <f>VLOOKUP(D818,'03. Insumos'!A:D,2,0)</f>
        <v>Acabamento para registro Belle Epoque 4900.C52. PQ DECA</v>
      </c>
      <c r="F818" s="68" t="s">
        <v>2613</v>
      </c>
      <c r="G818" s="68" t="str">
        <f>VLOOKUP(D818,'03. Insumos'!A:F,3,0)</f>
        <v>unid</v>
      </c>
      <c r="H818" s="69">
        <v>1</v>
      </c>
      <c r="I818" s="449"/>
      <c r="J818" s="70">
        <f t="shared" si="100"/>
        <v>0</v>
      </c>
      <c r="K818" s="70">
        <f>IF(A818=0,VLOOKUP(D818,'03. Insumos'!A:F,4,0),"")</f>
        <v>0</v>
      </c>
      <c r="L818" s="70">
        <f t="shared" si="101"/>
        <v>0</v>
      </c>
      <c r="M818" s="153">
        <f t="shared" ca="1" si="96"/>
        <v>0</v>
      </c>
      <c r="O818" s="148">
        <f t="shared" si="102"/>
        <v>0</v>
      </c>
      <c r="R818" s="12">
        <f t="shared" si="103"/>
        <v>0</v>
      </c>
    </row>
    <row r="819" spans="1:18" s="51" customFormat="1" ht="13.5" hidden="1" customHeight="1" outlineLevel="1" x14ac:dyDescent="0.3">
      <c r="A819" s="290">
        <f t="shared" si="97"/>
        <v>0</v>
      </c>
      <c r="B819" s="49"/>
      <c r="C819" s="49"/>
      <c r="D819" s="140" t="s">
        <v>2700</v>
      </c>
      <c r="E819" s="67" t="str">
        <f>VLOOKUP(D819,'03. Insumos'!A:D,2,0)</f>
        <v>Bacia Convencional Carrara P60 DECA</v>
      </c>
      <c r="F819" s="68" t="s">
        <v>2613</v>
      </c>
      <c r="G819" s="68" t="str">
        <f>VLOOKUP(D819,'03. Insumos'!A:F,3,0)</f>
        <v>unid</v>
      </c>
      <c r="H819" s="69">
        <v>1</v>
      </c>
      <c r="I819" s="449"/>
      <c r="J819" s="70">
        <f t="shared" si="100"/>
        <v>0</v>
      </c>
      <c r="K819" s="70">
        <f>IF(A819=0,VLOOKUP(D819,'03. Insumos'!A:F,4,0),"")</f>
        <v>0</v>
      </c>
      <c r="L819" s="70">
        <f t="shared" si="101"/>
        <v>0</v>
      </c>
      <c r="M819" s="153">
        <f t="shared" ca="1" si="96"/>
        <v>0</v>
      </c>
      <c r="O819" s="148">
        <f t="shared" si="102"/>
        <v>0</v>
      </c>
      <c r="R819" s="12">
        <f t="shared" si="103"/>
        <v>0</v>
      </c>
    </row>
    <row r="820" spans="1:18" s="51" customFormat="1" ht="13.5" hidden="1" customHeight="1" outlineLevel="1" x14ac:dyDescent="0.3">
      <c r="A820" s="290">
        <f t="shared" si="97"/>
        <v>0</v>
      </c>
      <c r="B820" s="49"/>
      <c r="C820" s="49"/>
      <c r="D820" s="140" t="s">
        <v>2701</v>
      </c>
      <c r="E820" s="67" t="str">
        <f>VLOOKUP(D820,'03. Insumos'!A:D,2,0)</f>
        <v>Ducha Higiênica com registro e derivação Belle Epoque 1984.C52. Act DECA</v>
      </c>
      <c r="F820" s="68" t="s">
        <v>2613</v>
      </c>
      <c r="G820" s="68" t="str">
        <f>VLOOKUP(D820,'03. Insumos'!A:F,3,0)</f>
        <v>unid</v>
      </c>
      <c r="H820" s="69">
        <v>1</v>
      </c>
      <c r="I820" s="449"/>
      <c r="J820" s="70">
        <f t="shared" si="100"/>
        <v>0</v>
      </c>
      <c r="K820" s="70">
        <f>IF(A820=0,VLOOKUP(D820,'03. Insumos'!A:F,4,0),"")</f>
        <v>0</v>
      </c>
      <c r="L820" s="70">
        <f t="shared" si="101"/>
        <v>0</v>
      </c>
      <c r="M820" s="153">
        <f t="shared" ca="1" si="96"/>
        <v>0</v>
      </c>
      <c r="O820" s="148">
        <f t="shared" si="102"/>
        <v>0</v>
      </c>
      <c r="R820" s="12">
        <f t="shared" si="103"/>
        <v>0</v>
      </c>
    </row>
    <row r="821" spans="1:18" s="51" customFormat="1" ht="13.5" hidden="1" customHeight="1" outlineLevel="1" x14ac:dyDescent="0.3">
      <c r="A821" s="290">
        <f t="shared" si="97"/>
        <v>0</v>
      </c>
      <c r="B821" s="49"/>
      <c r="C821" s="49"/>
      <c r="D821" s="140" t="s">
        <v>2702</v>
      </c>
      <c r="E821" s="67" t="str">
        <f>VLOOKUP(D821,'03. Insumos'!A:D,2,0)</f>
        <v>Chuveiro com tubo de teto Acqua Plus Deca, 1990.TET.STD;</v>
      </c>
      <c r="F821" s="68" t="s">
        <v>2613</v>
      </c>
      <c r="G821" s="68" t="str">
        <f>VLOOKUP(D821,'03. Insumos'!A:F,3,0)</f>
        <v>unid</v>
      </c>
      <c r="H821" s="69">
        <v>1</v>
      </c>
      <c r="I821" s="449"/>
      <c r="J821" s="70">
        <f t="shared" si="100"/>
        <v>0</v>
      </c>
      <c r="K821" s="70">
        <f>IF(A821=0,VLOOKUP(D821,'03. Insumos'!A:F,4,0),"")</f>
        <v>0</v>
      </c>
      <c r="L821" s="70">
        <f t="shared" si="101"/>
        <v>0</v>
      </c>
      <c r="M821" s="153">
        <f t="shared" ca="1" si="96"/>
        <v>0</v>
      </c>
      <c r="O821" s="148">
        <f t="shared" si="102"/>
        <v>0</v>
      </c>
      <c r="R821" s="12">
        <f t="shared" si="103"/>
        <v>0</v>
      </c>
    </row>
    <row r="822" spans="1:18" s="51" customFormat="1" ht="13.5" hidden="1" customHeight="1" outlineLevel="1" x14ac:dyDescent="0.3">
      <c r="A822" s="290">
        <f t="shared" si="97"/>
        <v>0</v>
      </c>
      <c r="B822" s="49"/>
      <c r="C822" s="49"/>
      <c r="D822" s="140" t="s">
        <v>2703</v>
      </c>
      <c r="E822" s="67" t="str">
        <f>VLOOKUP(D822,'03. Insumos'!A:D,2,0)</f>
        <v>Válvula De Descarga Deca Hydramax DECA</v>
      </c>
      <c r="F822" s="68" t="s">
        <v>2613</v>
      </c>
      <c r="G822" s="68" t="str">
        <f>VLOOKUP(D822,'03. Insumos'!A:F,3,0)</f>
        <v>unid</v>
      </c>
      <c r="H822" s="69">
        <v>1</v>
      </c>
      <c r="I822" s="449"/>
      <c r="J822" s="70">
        <f t="shared" si="100"/>
        <v>0</v>
      </c>
      <c r="K822" s="70">
        <f>IF(A822=0,VLOOKUP(D822,'03. Insumos'!A:F,4,0),"")</f>
        <v>0</v>
      </c>
      <c r="L822" s="70">
        <f t="shared" si="101"/>
        <v>0</v>
      </c>
      <c r="M822" s="153">
        <f t="shared" ca="1" si="96"/>
        <v>0</v>
      </c>
      <c r="O822" s="148">
        <f t="shared" si="102"/>
        <v>0</v>
      </c>
      <c r="R822" s="12">
        <f t="shared" si="103"/>
        <v>0</v>
      </c>
    </row>
    <row r="823" spans="1:18" s="51" customFormat="1" ht="13.5" hidden="1" customHeight="1" outlineLevel="1" x14ac:dyDescent="0.3">
      <c r="A823" s="290">
        <f t="shared" si="97"/>
        <v>0</v>
      </c>
      <c r="B823" s="49"/>
      <c r="C823" s="49"/>
      <c r="D823" s="140" t="s">
        <v>2704</v>
      </c>
      <c r="E823" s="67" t="str">
        <f>VLOOKUP(D823,'03. Insumos'!A:D,2,0)</f>
        <v>Lavatório Ref: 58004 e Coluna Ref: 58201 Linha Clássica CELITE</v>
      </c>
      <c r="F823" s="68" t="s">
        <v>2613</v>
      </c>
      <c r="G823" s="68" t="str">
        <f>VLOOKUP(D823,'03. Insumos'!A:F,3,0)</f>
        <v>unid</v>
      </c>
      <c r="H823" s="69">
        <v>1</v>
      </c>
      <c r="I823" s="449"/>
      <c r="J823" s="70">
        <f t="shared" si="100"/>
        <v>0</v>
      </c>
      <c r="K823" s="70">
        <f>IF(A823=0,VLOOKUP(D823,'03. Insumos'!A:F,4,0),"")</f>
        <v>0</v>
      </c>
      <c r="L823" s="70">
        <f t="shared" si="101"/>
        <v>0</v>
      </c>
      <c r="M823" s="153">
        <f t="shared" ref="M823:M886" ca="1" si="104">L823/$L$7</f>
        <v>0</v>
      </c>
      <c r="O823" s="148">
        <f t="shared" si="102"/>
        <v>0</v>
      </c>
      <c r="R823" s="12">
        <f t="shared" si="103"/>
        <v>0</v>
      </c>
    </row>
    <row r="824" spans="1:18" s="51" customFormat="1" ht="13.5" hidden="1" customHeight="1" outlineLevel="1" x14ac:dyDescent="0.3">
      <c r="A824" s="290">
        <f t="shared" si="97"/>
        <v>0</v>
      </c>
      <c r="B824" s="49"/>
      <c r="C824" s="49"/>
      <c r="D824" s="140" t="s">
        <v>2705</v>
      </c>
      <c r="E824" s="67" t="str">
        <f>VLOOKUP(D824,'03. Insumos'!A:D,2,0)</f>
        <v>Misturador de mesa bica alta para lavatório Belle Epoque 1877.C52 DECA</v>
      </c>
      <c r="F824" s="68" t="s">
        <v>2613</v>
      </c>
      <c r="G824" s="68" t="str">
        <f>VLOOKUP(D824,'03. Insumos'!A:F,3,0)</f>
        <v>unid</v>
      </c>
      <c r="H824" s="69">
        <v>1</v>
      </c>
      <c r="I824" s="449"/>
      <c r="J824" s="70">
        <f t="shared" si="100"/>
        <v>0</v>
      </c>
      <c r="K824" s="70">
        <f>IF(A824=0,VLOOKUP(D824,'03. Insumos'!A:F,4,0),"")</f>
        <v>0</v>
      </c>
      <c r="L824" s="70">
        <f t="shared" si="101"/>
        <v>0</v>
      </c>
      <c r="M824" s="153">
        <f t="shared" ca="1" si="104"/>
        <v>0</v>
      </c>
      <c r="O824" s="148">
        <f t="shared" si="102"/>
        <v>0</v>
      </c>
      <c r="R824" s="12">
        <f t="shared" si="103"/>
        <v>0</v>
      </c>
    </row>
    <row r="825" spans="1:18" s="51" customFormat="1" ht="13.5" hidden="1" customHeight="1" outlineLevel="1" x14ac:dyDescent="0.3">
      <c r="A825" s="290">
        <f t="shared" si="97"/>
        <v>0</v>
      </c>
      <c r="B825" s="49"/>
      <c r="C825" s="49"/>
      <c r="D825" s="140" t="s">
        <v>2706</v>
      </c>
      <c r="E825" s="67" t="str">
        <f>VLOOKUP(D825,'03. Insumos'!A:D,2,0)</f>
        <v>Acabamento para registro Belle Epoque 4900.C52. PQ DECA</v>
      </c>
      <c r="F825" s="68" t="s">
        <v>2613</v>
      </c>
      <c r="G825" s="68" t="str">
        <f>VLOOKUP(D825,'03. Insumos'!A:F,3,0)</f>
        <v>unid</v>
      </c>
      <c r="H825" s="69">
        <v>1</v>
      </c>
      <c r="I825" s="449"/>
      <c r="J825" s="70">
        <f t="shared" si="100"/>
        <v>0</v>
      </c>
      <c r="K825" s="70">
        <f>IF(A825=0,VLOOKUP(D825,'03. Insumos'!A:F,4,0),"")</f>
        <v>0</v>
      </c>
      <c r="L825" s="70">
        <f t="shared" si="101"/>
        <v>0</v>
      </c>
      <c r="M825" s="153">
        <f t="shared" ca="1" si="104"/>
        <v>0</v>
      </c>
      <c r="O825" s="148">
        <f t="shared" si="102"/>
        <v>0</v>
      </c>
      <c r="R825" s="12">
        <f t="shared" si="103"/>
        <v>0</v>
      </c>
    </row>
    <row r="826" spans="1:18" s="51" customFormat="1" ht="13.5" hidden="1" customHeight="1" outlineLevel="1" x14ac:dyDescent="0.3">
      <c r="A826" s="290">
        <f t="shared" si="97"/>
        <v>0</v>
      </c>
      <c r="B826" s="49"/>
      <c r="C826" s="49"/>
      <c r="D826" s="140" t="s">
        <v>2707</v>
      </c>
      <c r="E826" s="67" t="str">
        <f>VLOOKUP(D826,'03. Insumos'!A:D,2,0)</f>
        <v>Bacia Convencional Carrara P60 DECA</v>
      </c>
      <c r="F826" s="68" t="s">
        <v>2613</v>
      </c>
      <c r="G826" s="68" t="str">
        <f>VLOOKUP(D826,'03. Insumos'!A:F,3,0)</f>
        <v>unid</v>
      </c>
      <c r="H826" s="69">
        <v>1</v>
      </c>
      <c r="I826" s="449"/>
      <c r="J826" s="70">
        <f t="shared" si="100"/>
        <v>0</v>
      </c>
      <c r="K826" s="70">
        <f>IF(A826=0,VLOOKUP(D826,'03. Insumos'!A:F,4,0),"")</f>
        <v>0</v>
      </c>
      <c r="L826" s="70">
        <f t="shared" si="101"/>
        <v>0</v>
      </c>
      <c r="M826" s="153">
        <f t="shared" ca="1" si="104"/>
        <v>0</v>
      </c>
      <c r="O826" s="148">
        <f t="shared" si="102"/>
        <v>0</v>
      </c>
      <c r="R826" s="12">
        <f t="shared" si="103"/>
        <v>0</v>
      </c>
    </row>
    <row r="827" spans="1:18" s="51" customFormat="1" ht="13.5" hidden="1" customHeight="1" outlineLevel="1" x14ac:dyDescent="0.3">
      <c r="A827" s="290">
        <f t="shared" si="97"/>
        <v>0</v>
      </c>
      <c r="B827" s="49"/>
      <c r="C827" s="49"/>
      <c r="D827" s="140" t="s">
        <v>2708</v>
      </c>
      <c r="E827" s="67" t="str">
        <f>VLOOKUP(D827,'03. Insumos'!A:D,2,0)</f>
        <v>Ducha Higiênica com registro e derivação Belle Epoque 1984.C52. Act DECA</v>
      </c>
      <c r="F827" s="68" t="s">
        <v>2613</v>
      </c>
      <c r="G827" s="68" t="str">
        <f>VLOOKUP(D827,'03. Insumos'!A:F,3,0)</f>
        <v>unid</v>
      </c>
      <c r="H827" s="69">
        <v>1</v>
      </c>
      <c r="I827" s="449"/>
      <c r="J827" s="70">
        <f t="shared" si="100"/>
        <v>0</v>
      </c>
      <c r="K827" s="70">
        <f>IF(A827=0,VLOOKUP(D827,'03. Insumos'!A:F,4,0),"")</f>
        <v>0</v>
      </c>
      <c r="L827" s="70">
        <f t="shared" si="101"/>
        <v>0</v>
      </c>
      <c r="M827" s="153">
        <f t="shared" ca="1" si="104"/>
        <v>0</v>
      </c>
      <c r="O827" s="148">
        <f t="shared" si="102"/>
        <v>0</v>
      </c>
      <c r="R827" s="12">
        <f t="shared" si="103"/>
        <v>0</v>
      </c>
    </row>
    <row r="828" spans="1:18" s="51" customFormat="1" ht="13.5" hidden="1" customHeight="1" outlineLevel="1" x14ac:dyDescent="0.3">
      <c r="A828" s="290">
        <f t="shared" si="97"/>
        <v>0</v>
      </c>
      <c r="B828" s="49"/>
      <c r="C828" s="49"/>
      <c r="D828" s="140" t="s">
        <v>2709</v>
      </c>
      <c r="E828" s="67" t="str">
        <f>VLOOKUP(D828,'03. Insumos'!A:D,2,0)</f>
        <v>Válvula De Descarga Deca Hydramax DECA</v>
      </c>
      <c r="F828" s="68" t="s">
        <v>2613</v>
      </c>
      <c r="G828" s="68" t="str">
        <f>VLOOKUP(D828,'03. Insumos'!A:F,3,0)</f>
        <v>unid</v>
      </c>
      <c r="H828" s="69">
        <v>1</v>
      </c>
      <c r="I828" s="449"/>
      <c r="J828" s="70">
        <f t="shared" si="100"/>
        <v>0</v>
      </c>
      <c r="K828" s="70">
        <f>IF(A828=0,VLOOKUP(D828,'03. Insumos'!A:F,4,0),"")</f>
        <v>0</v>
      </c>
      <c r="L828" s="70">
        <f t="shared" si="101"/>
        <v>0</v>
      </c>
      <c r="M828" s="153">
        <f t="shared" ca="1" si="104"/>
        <v>0</v>
      </c>
      <c r="O828" s="148">
        <f t="shared" si="102"/>
        <v>0</v>
      </c>
      <c r="R828" s="12">
        <f t="shared" si="103"/>
        <v>0</v>
      </c>
    </row>
    <row r="829" spans="1:18" s="51" customFormat="1" ht="13.5" hidden="1" customHeight="1" outlineLevel="1" x14ac:dyDescent="0.3">
      <c r="A829" s="290">
        <f t="shared" si="97"/>
        <v>0</v>
      </c>
      <c r="B829" s="49"/>
      <c r="C829" s="49"/>
      <c r="D829" s="140" t="s">
        <v>2710</v>
      </c>
      <c r="E829" s="67" t="str">
        <f>VLOOKUP(D829,'03. Insumos'!A:D,2,0)</f>
        <v>Chuveiro com tubo de teto Acqua Plus Deca, 1990.TET.STD;</v>
      </c>
      <c r="F829" s="68" t="s">
        <v>2613</v>
      </c>
      <c r="G829" s="68" t="str">
        <f>VLOOKUP(D829,'03. Insumos'!A:F,3,0)</f>
        <v>unid</v>
      </c>
      <c r="H829" s="69">
        <v>1</v>
      </c>
      <c r="I829" s="449"/>
      <c r="J829" s="70">
        <f t="shared" si="100"/>
        <v>0</v>
      </c>
      <c r="K829" s="70">
        <f>IF(A829=0,VLOOKUP(D829,'03. Insumos'!A:F,4,0),"")</f>
        <v>0</v>
      </c>
      <c r="L829" s="70">
        <f t="shared" si="101"/>
        <v>0</v>
      </c>
      <c r="M829" s="153">
        <f t="shared" ca="1" si="104"/>
        <v>0</v>
      </c>
      <c r="O829" s="148">
        <f t="shared" si="102"/>
        <v>0</v>
      </c>
      <c r="R829" s="12">
        <f t="shared" si="103"/>
        <v>0</v>
      </c>
    </row>
    <row r="830" spans="1:18" s="51" customFormat="1" ht="13.5" hidden="1" customHeight="1" outlineLevel="1" x14ac:dyDescent="0.3">
      <c r="A830" s="290">
        <f t="shared" si="97"/>
        <v>0</v>
      </c>
      <c r="B830" s="49"/>
      <c r="C830" s="49"/>
      <c r="D830" s="140" t="s">
        <v>2711</v>
      </c>
      <c r="E830" s="67" t="str">
        <f>VLOOKUP(D830,'03. Insumos'!A:D,2,0)</f>
        <v>Lavatório Ref: 58004 e Coluna Ref: 58201 Linha Clássica CELITE</v>
      </c>
      <c r="F830" s="68" t="s">
        <v>2613</v>
      </c>
      <c r="G830" s="68" t="str">
        <f>VLOOKUP(D830,'03. Insumos'!A:F,3,0)</f>
        <v>unid</v>
      </c>
      <c r="H830" s="69">
        <v>1</v>
      </c>
      <c r="I830" s="449"/>
      <c r="J830" s="70">
        <f t="shared" si="100"/>
        <v>0</v>
      </c>
      <c r="K830" s="70">
        <f>IF(A830=0,VLOOKUP(D830,'03. Insumos'!A:F,4,0),"")</f>
        <v>0</v>
      </c>
      <c r="L830" s="70">
        <f t="shared" si="101"/>
        <v>0</v>
      </c>
      <c r="M830" s="153">
        <f t="shared" ca="1" si="104"/>
        <v>0</v>
      </c>
      <c r="O830" s="148">
        <f t="shared" si="102"/>
        <v>0</v>
      </c>
      <c r="R830" s="12">
        <f t="shared" si="103"/>
        <v>0</v>
      </c>
    </row>
    <row r="831" spans="1:18" s="51" customFormat="1" ht="13.5" hidden="1" customHeight="1" outlineLevel="1" x14ac:dyDescent="0.3">
      <c r="A831" s="290">
        <f t="shared" si="97"/>
        <v>0</v>
      </c>
      <c r="B831" s="49"/>
      <c r="C831" s="49"/>
      <c r="D831" s="140" t="s">
        <v>2712</v>
      </c>
      <c r="E831" s="67" t="str">
        <f>VLOOKUP(D831,'03. Insumos'!A:D,2,0)</f>
        <v>Bacia Convencional Carrara P60 DECA</v>
      </c>
      <c r="F831" s="68" t="s">
        <v>2613</v>
      </c>
      <c r="G831" s="68" t="str">
        <f>VLOOKUP(D831,'03. Insumos'!A:F,3,0)</f>
        <v>unid</v>
      </c>
      <c r="H831" s="69">
        <v>1</v>
      </c>
      <c r="I831" s="449"/>
      <c r="J831" s="70">
        <f t="shared" si="100"/>
        <v>0</v>
      </c>
      <c r="K831" s="70">
        <f>IF(A831=0,VLOOKUP(D831,'03. Insumos'!A:F,4,0),"")</f>
        <v>0</v>
      </c>
      <c r="L831" s="70">
        <f t="shared" si="101"/>
        <v>0</v>
      </c>
      <c r="M831" s="153">
        <f t="shared" ca="1" si="104"/>
        <v>0</v>
      </c>
      <c r="O831" s="148">
        <f t="shared" si="102"/>
        <v>0</v>
      </c>
      <c r="R831" s="12">
        <f t="shared" si="103"/>
        <v>0</v>
      </c>
    </row>
    <row r="832" spans="1:18" s="51" customFormat="1" ht="13.5" hidden="1" customHeight="1" outlineLevel="1" x14ac:dyDescent="0.3">
      <c r="A832" s="290">
        <f t="shared" si="97"/>
        <v>0</v>
      </c>
      <c r="B832" s="49"/>
      <c r="C832" s="49"/>
      <c r="D832" s="140" t="s">
        <v>2713</v>
      </c>
      <c r="E832" s="67" t="str">
        <f>VLOOKUP(D832,'03. Insumos'!A:D,2,0)</f>
        <v>Cuba Mekal Linha Retta LR-50 500x400</v>
      </c>
      <c r="F832" s="68" t="s">
        <v>2613</v>
      </c>
      <c r="G832" s="68" t="str">
        <f>VLOOKUP(D832,'03. Insumos'!A:F,3,0)</f>
        <v>unid</v>
      </c>
      <c r="H832" s="69">
        <v>1</v>
      </c>
      <c r="I832" s="449"/>
      <c r="J832" s="70">
        <f t="shared" si="100"/>
        <v>0</v>
      </c>
      <c r="K832" s="70">
        <f>IF(A832=0,VLOOKUP(D832,'03. Insumos'!A:F,4,0),"")</f>
        <v>0</v>
      </c>
      <c r="L832" s="70">
        <f t="shared" si="101"/>
        <v>0</v>
      </c>
      <c r="M832" s="153">
        <f t="shared" ca="1" si="104"/>
        <v>0</v>
      </c>
      <c r="O832" s="148">
        <f t="shared" si="102"/>
        <v>0</v>
      </c>
      <c r="R832" s="12">
        <f t="shared" si="103"/>
        <v>0</v>
      </c>
    </row>
    <row r="833" spans="1:18" s="51" customFormat="1" ht="13.5" hidden="1" customHeight="1" outlineLevel="1" x14ac:dyDescent="0.3">
      <c r="A833" s="290">
        <f t="shared" si="97"/>
        <v>0</v>
      </c>
      <c r="B833" s="49"/>
      <c r="C833" s="49"/>
      <c r="D833" s="140" t="s">
        <v>2714</v>
      </c>
      <c r="E833" s="67" t="str">
        <f>VLOOKUP(D833,'03. Insumos'!A:D,2,0)</f>
        <v>Misturador Para Cozinha Spin Gourmet de Mesa Monocomando Cromado 2281.C DECA [Cuba Kohler];</v>
      </c>
      <c r="F833" s="68" t="s">
        <v>2613</v>
      </c>
      <c r="G833" s="68" t="str">
        <f>VLOOKUP(D833,'03. Insumos'!A:F,3,0)</f>
        <v>unid</v>
      </c>
      <c r="H833" s="69">
        <v>1</v>
      </c>
      <c r="I833" s="449"/>
      <c r="J833" s="70">
        <f t="shared" si="100"/>
        <v>0</v>
      </c>
      <c r="K833" s="70">
        <f>IF(A833=0,VLOOKUP(D833,'03. Insumos'!A:F,4,0),"")</f>
        <v>0</v>
      </c>
      <c r="L833" s="70">
        <f t="shared" si="101"/>
        <v>0</v>
      </c>
      <c r="M833" s="153">
        <f t="shared" ca="1" si="104"/>
        <v>0</v>
      </c>
      <c r="O833" s="148">
        <f t="shared" si="102"/>
        <v>0</v>
      </c>
      <c r="R833" s="12">
        <f t="shared" si="103"/>
        <v>0</v>
      </c>
    </row>
    <row r="834" spans="1:18" s="51" customFormat="1" ht="13.5" hidden="1" customHeight="1" outlineLevel="1" x14ac:dyDescent="0.3">
      <c r="A834" s="290">
        <f t="shared" si="97"/>
        <v>0</v>
      </c>
      <c r="B834" s="49"/>
      <c r="C834" s="49"/>
      <c r="D834" s="140" t="s">
        <v>2715</v>
      </c>
      <c r="E834" s="67" t="str">
        <f>VLOOKUP(D834,'03. Insumos'!A:D,2,0)</f>
        <v>Lavatório Ref: 58004 e Coluna Ref: 58201 Linha Clássica CELITE</v>
      </c>
      <c r="F834" s="68" t="s">
        <v>2613</v>
      </c>
      <c r="G834" s="68" t="str">
        <f>VLOOKUP(D834,'03. Insumos'!A:F,3,0)</f>
        <v>unid</v>
      </c>
      <c r="H834" s="69">
        <v>1</v>
      </c>
      <c r="I834" s="449"/>
      <c r="J834" s="70">
        <f t="shared" si="100"/>
        <v>0</v>
      </c>
      <c r="K834" s="70">
        <f>IF(A834=0,VLOOKUP(D834,'03. Insumos'!A:F,4,0),"")</f>
        <v>0</v>
      </c>
      <c r="L834" s="70">
        <f t="shared" si="101"/>
        <v>0</v>
      </c>
      <c r="M834" s="153">
        <f t="shared" ca="1" si="104"/>
        <v>0</v>
      </c>
      <c r="O834" s="148">
        <f t="shared" si="102"/>
        <v>0</v>
      </c>
      <c r="R834" s="12">
        <f t="shared" si="103"/>
        <v>0</v>
      </c>
    </row>
    <row r="835" spans="1:18" s="51" customFormat="1" ht="13.5" hidden="1" customHeight="1" outlineLevel="1" x14ac:dyDescent="0.3">
      <c r="A835" s="290">
        <f t="shared" si="97"/>
        <v>0</v>
      </c>
      <c r="B835" s="49"/>
      <c r="C835" s="49"/>
      <c r="D835" s="140" t="s">
        <v>2716</v>
      </c>
      <c r="E835" s="67" t="str">
        <f>VLOOKUP(D835,'03. Insumos'!A:D,2,0)</f>
        <v>Misturador de mesa bica alta para lavatório Belle Epoque 1877.C52 DECA</v>
      </c>
      <c r="F835" s="68" t="s">
        <v>2613</v>
      </c>
      <c r="G835" s="68" t="str">
        <f>VLOOKUP(D835,'03. Insumos'!A:F,3,0)</f>
        <v>unid</v>
      </c>
      <c r="H835" s="69">
        <v>1</v>
      </c>
      <c r="I835" s="449"/>
      <c r="J835" s="70">
        <f t="shared" si="100"/>
        <v>0</v>
      </c>
      <c r="K835" s="70">
        <f>IF(A835=0,VLOOKUP(D835,'03. Insumos'!A:F,4,0),"")</f>
        <v>0</v>
      </c>
      <c r="L835" s="70">
        <f t="shared" si="101"/>
        <v>0</v>
      </c>
      <c r="M835" s="153">
        <f t="shared" ca="1" si="104"/>
        <v>0</v>
      </c>
      <c r="O835" s="148">
        <f t="shared" si="102"/>
        <v>0</v>
      </c>
      <c r="R835" s="12">
        <f t="shared" si="103"/>
        <v>0</v>
      </c>
    </row>
    <row r="836" spans="1:18" s="51" customFormat="1" ht="13.5" hidden="1" customHeight="1" outlineLevel="1" x14ac:dyDescent="0.3">
      <c r="A836" s="290">
        <f t="shared" si="97"/>
        <v>0</v>
      </c>
      <c r="B836" s="49"/>
      <c r="C836" s="49"/>
      <c r="D836" s="140" t="s">
        <v>2717</v>
      </c>
      <c r="E836" s="67" t="str">
        <f>VLOOKUP(D836,'03. Insumos'!A:D,2,0)</f>
        <v>Acabamento para registro Belle Epoque 4900.C52. PQ DECA</v>
      </c>
      <c r="F836" s="68" t="s">
        <v>2613</v>
      </c>
      <c r="G836" s="68" t="str">
        <f>VLOOKUP(D836,'03. Insumos'!A:F,3,0)</f>
        <v>unid</v>
      </c>
      <c r="H836" s="69">
        <v>1</v>
      </c>
      <c r="I836" s="449"/>
      <c r="J836" s="70">
        <f t="shared" si="100"/>
        <v>0</v>
      </c>
      <c r="K836" s="70">
        <f>IF(A836=0,VLOOKUP(D836,'03. Insumos'!A:F,4,0),"")</f>
        <v>0</v>
      </c>
      <c r="L836" s="70">
        <f t="shared" si="101"/>
        <v>0</v>
      </c>
      <c r="M836" s="153">
        <f t="shared" ca="1" si="104"/>
        <v>0</v>
      </c>
      <c r="O836" s="148">
        <f t="shared" si="102"/>
        <v>0</v>
      </c>
      <c r="R836" s="12">
        <f t="shared" si="103"/>
        <v>0</v>
      </c>
    </row>
    <row r="837" spans="1:18" s="51" customFormat="1" ht="13.5" hidden="1" customHeight="1" outlineLevel="1" x14ac:dyDescent="0.3">
      <c r="A837" s="290">
        <f t="shared" si="97"/>
        <v>0</v>
      </c>
      <c r="B837" s="49"/>
      <c r="C837" s="49"/>
      <c r="D837" s="140" t="s">
        <v>2718</v>
      </c>
      <c r="E837" s="67" t="str">
        <f>VLOOKUP(D837,'03. Insumos'!A:D,2,0)</f>
        <v>Bacia Convencional Carrara P60 DECA</v>
      </c>
      <c r="F837" s="68" t="s">
        <v>2613</v>
      </c>
      <c r="G837" s="68" t="str">
        <f>VLOOKUP(D837,'03. Insumos'!A:F,3,0)</f>
        <v>unid</v>
      </c>
      <c r="H837" s="69">
        <v>1</v>
      </c>
      <c r="I837" s="449"/>
      <c r="J837" s="70">
        <f t="shared" si="100"/>
        <v>0</v>
      </c>
      <c r="K837" s="70">
        <f>IF(A837=0,VLOOKUP(D837,'03. Insumos'!A:F,4,0),"")</f>
        <v>0</v>
      </c>
      <c r="L837" s="70">
        <f t="shared" si="101"/>
        <v>0</v>
      </c>
      <c r="M837" s="153">
        <f t="shared" ca="1" si="104"/>
        <v>0</v>
      </c>
      <c r="O837" s="148">
        <f t="shared" si="102"/>
        <v>0</v>
      </c>
      <c r="R837" s="12">
        <f t="shared" si="103"/>
        <v>0</v>
      </c>
    </row>
    <row r="838" spans="1:18" s="51" customFormat="1" ht="13.5" hidden="1" customHeight="1" outlineLevel="1" x14ac:dyDescent="0.3">
      <c r="A838" s="290">
        <f t="shared" si="97"/>
        <v>0</v>
      </c>
      <c r="B838" s="49"/>
      <c r="C838" s="49"/>
      <c r="D838" s="140" t="s">
        <v>2719</v>
      </c>
      <c r="E838" s="67" t="str">
        <f>VLOOKUP(D838,'03. Insumos'!A:D,2,0)</f>
        <v>Ducha Higiênica com registro e derivação Belle Epoque 1984.C52. Act DECA</v>
      </c>
      <c r="F838" s="68" t="s">
        <v>2613</v>
      </c>
      <c r="G838" s="68" t="str">
        <f>VLOOKUP(D838,'03. Insumos'!A:F,3,0)</f>
        <v>unid</v>
      </c>
      <c r="H838" s="69">
        <v>1</v>
      </c>
      <c r="I838" s="449"/>
      <c r="J838" s="70">
        <f t="shared" si="100"/>
        <v>0</v>
      </c>
      <c r="K838" s="70">
        <f>IF(A838=0,VLOOKUP(D838,'03. Insumos'!A:F,4,0),"")</f>
        <v>0</v>
      </c>
      <c r="L838" s="70">
        <f t="shared" si="101"/>
        <v>0</v>
      </c>
      <c r="M838" s="153">
        <f t="shared" ca="1" si="104"/>
        <v>0</v>
      </c>
      <c r="O838" s="148">
        <f t="shared" si="102"/>
        <v>0</v>
      </c>
      <c r="R838" s="12">
        <f t="shared" si="103"/>
        <v>0</v>
      </c>
    </row>
    <row r="839" spans="1:18" s="51" customFormat="1" ht="13.5" hidden="1" customHeight="1" outlineLevel="1" x14ac:dyDescent="0.3">
      <c r="A839" s="290">
        <f t="shared" si="97"/>
        <v>0</v>
      </c>
      <c r="B839" s="49"/>
      <c r="C839" s="49"/>
      <c r="D839" s="140" t="s">
        <v>2720</v>
      </c>
      <c r="E839" s="67" t="str">
        <f>VLOOKUP(D839,'03. Insumos'!A:D,2,0)</f>
        <v>Válvula De Descarga Deca Hydramax DECA</v>
      </c>
      <c r="F839" s="68" t="s">
        <v>2613</v>
      </c>
      <c r="G839" s="68" t="str">
        <f>VLOOKUP(D839,'03. Insumos'!A:F,3,0)</f>
        <v>unid</v>
      </c>
      <c r="H839" s="69">
        <v>1</v>
      </c>
      <c r="I839" s="449"/>
      <c r="J839" s="70">
        <f t="shared" si="100"/>
        <v>0</v>
      </c>
      <c r="K839" s="70">
        <f>IF(A839=0,VLOOKUP(D839,'03. Insumos'!A:F,4,0),"")</f>
        <v>0</v>
      </c>
      <c r="L839" s="70">
        <f t="shared" si="101"/>
        <v>0</v>
      </c>
      <c r="M839" s="153">
        <f t="shared" ca="1" si="104"/>
        <v>0</v>
      </c>
      <c r="O839" s="148">
        <f t="shared" si="102"/>
        <v>0</v>
      </c>
      <c r="R839" s="12">
        <f t="shared" si="103"/>
        <v>0</v>
      </c>
    </row>
    <row r="840" spans="1:18" s="51" customFormat="1" ht="13.5" hidden="1" customHeight="1" outlineLevel="1" x14ac:dyDescent="0.3">
      <c r="A840" s="290">
        <f t="shared" si="97"/>
        <v>0</v>
      </c>
      <c r="B840" s="49"/>
      <c r="C840" s="49"/>
      <c r="D840" s="140" t="s">
        <v>2721</v>
      </c>
      <c r="E840" s="67" t="str">
        <f>VLOOKUP(D840,'03. Insumos'!A:D,2,0)</f>
        <v>Chuveiro com tubo de teto Acqua Plus Deca, 1990.TET.STD;</v>
      </c>
      <c r="F840" s="68" t="s">
        <v>2613</v>
      </c>
      <c r="G840" s="68" t="str">
        <f>VLOOKUP(D840,'03. Insumos'!A:F,3,0)</f>
        <v>unid</v>
      </c>
      <c r="H840" s="69">
        <v>1</v>
      </c>
      <c r="I840" s="449"/>
      <c r="J840" s="70">
        <f t="shared" si="100"/>
        <v>484.7</v>
      </c>
      <c r="K840" s="70">
        <f>IF(A840=0,VLOOKUP(D840,'03. Insumos'!A:F,4,0),"")</f>
        <v>484.7</v>
      </c>
      <c r="L840" s="70">
        <f t="shared" si="101"/>
        <v>0</v>
      </c>
      <c r="M840" s="153">
        <f t="shared" ca="1" si="104"/>
        <v>0</v>
      </c>
      <c r="O840" s="148">
        <f t="shared" si="102"/>
        <v>0</v>
      </c>
      <c r="R840" s="12">
        <f t="shared" si="103"/>
        <v>-14.117475728155341</v>
      </c>
    </row>
    <row r="841" spans="1:18" s="51" customFormat="1" ht="13.5" hidden="1" customHeight="1" outlineLevel="1" x14ac:dyDescent="0.3">
      <c r="A841" s="290">
        <f t="shared" si="97"/>
        <v>0</v>
      </c>
      <c r="B841" s="49"/>
      <c r="C841" s="49"/>
      <c r="D841" s="140" t="s">
        <v>2722</v>
      </c>
      <c r="E841" s="67" t="str">
        <f>VLOOKUP(D841,'03. Insumos'!A:D,2,0)</f>
        <v>Misturador Monocomando Tramontina Monde Filter em Aço Inox com Saída Adicional para Água Filtrada</v>
      </c>
      <c r="F841" s="68" t="s">
        <v>2613</v>
      </c>
      <c r="G841" s="68" t="str">
        <f>VLOOKUP(D841,'03. Insumos'!A:F,3,0)</f>
        <v>unid</v>
      </c>
      <c r="H841" s="69">
        <v>1</v>
      </c>
      <c r="I841" s="449"/>
      <c r="J841" s="70">
        <f t="shared" si="100"/>
        <v>1354</v>
      </c>
      <c r="K841" s="70">
        <f>IF(A841=0,VLOOKUP(D841,'03. Insumos'!A:F,4,0),"")</f>
        <v>1354</v>
      </c>
      <c r="L841" s="70">
        <f t="shared" si="101"/>
        <v>0</v>
      </c>
      <c r="M841" s="153">
        <f t="shared" ca="1" si="104"/>
        <v>0</v>
      </c>
      <c r="O841" s="148">
        <f t="shared" si="102"/>
        <v>0</v>
      </c>
      <c r="R841" s="12">
        <f t="shared" si="103"/>
        <v>-39.436893203883528</v>
      </c>
    </row>
    <row r="842" spans="1:18" s="51" customFormat="1" ht="13.5" hidden="1" customHeight="1" outlineLevel="1" x14ac:dyDescent="0.3">
      <c r="A842" s="290">
        <f t="shared" si="97"/>
        <v>0</v>
      </c>
      <c r="B842" s="49"/>
      <c r="C842" s="49"/>
      <c r="D842" s="140" t="s">
        <v>2723</v>
      </c>
      <c r="E842" s="67" t="str">
        <f>VLOOKUP(D842,'03. Insumos'!A:D,2,0)</f>
        <v>Misturador Docol Monocomando para cozinha de mesa Orbit Cód 00738816</v>
      </c>
      <c r="F842" s="68" t="s">
        <v>2613</v>
      </c>
      <c r="G842" s="68" t="str">
        <f>VLOOKUP(D842,'03. Insumos'!A:F,3,0)</f>
        <v>unid</v>
      </c>
      <c r="H842" s="69">
        <v>1</v>
      </c>
      <c r="I842" s="449"/>
      <c r="J842" s="70">
        <f t="shared" si="100"/>
        <v>1475.9</v>
      </c>
      <c r="K842" s="70">
        <f>IF(A842=0,VLOOKUP(D842,'03. Insumos'!A:F,4,0),"")</f>
        <v>1475.9</v>
      </c>
      <c r="L842" s="70">
        <f t="shared" si="101"/>
        <v>0</v>
      </c>
      <c r="M842" s="153">
        <f t="shared" ca="1" si="104"/>
        <v>0</v>
      </c>
      <c r="O842" s="148">
        <f t="shared" si="102"/>
        <v>0</v>
      </c>
      <c r="R842" s="12">
        <f t="shared" si="103"/>
        <v>-42.987378640776797</v>
      </c>
    </row>
    <row r="843" spans="1:18" s="51" customFormat="1" ht="13.5" hidden="1" customHeight="1" outlineLevel="1" x14ac:dyDescent="0.3">
      <c r="A843" s="290">
        <f t="shared" si="97"/>
        <v>0</v>
      </c>
      <c r="B843" s="49"/>
      <c r="C843" s="49"/>
      <c r="D843" s="140" t="s">
        <v>854</v>
      </c>
      <c r="E843" s="67" t="str">
        <f>VLOOKUP(D843,'03. Insumos'!A:D,2,0)</f>
        <v>Ralo 15 x 15</v>
      </c>
      <c r="F843" s="68" t="s">
        <v>2613</v>
      </c>
      <c r="G843" s="68" t="str">
        <f>VLOOKUP(D843,'03. Insumos'!A:F,3,0)</f>
        <v>unid</v>
      </c>
      <c r="H843" s="69">
        <v>1</v>
      </c>
      <c r="I843" s="449"/>
      <c r="J843" s="70">
        <f t="shared" si="100"/>
        <v>75.59</v>
      </c>
      <c r="K843" s="70">
        <f>IF(A843=0,VLOOKUP(D843,'03. Insumos'!A:F,4,0),"")</f>
        <v>75.59</v>
      </c>
      <c r="L843" s="70">
        <f t="shared" si="101"/>
        <v>0</v>
      </c>
      <c r="M843" s="153">
        <f t="shared" ca="1" si="104"/>
        <v>0</v>
      </c>
      <c r="O843" s="148">
        <f t="shared" si="102"/>
        <v>0</v>
      </c>
      <c r="R843" s="12"/>
    </row>
    <row r="844" spans="1:18" s="51" customFormat="1" ht="13.5" hidden="1" customHeight="1" outlineLevel="1" x14ac:dyDescent="0.3">
      <c r="A844" s="290">
        <f t="shared" si="97"/>
        <v>0</v>
      </c>
      <c r="B844" s="49"/>
      <c r="C844" s="49"/>
      <c r="D844" s="140" t="s">
        <v>2822</v>
      </c>
      <c r="E844" s="67" t="str">
        <f>VLOOKUP(D844,'03. Insumos'!A:D,2,0)</f>
        <v>Base para para válvula de descarga Hydra Max, 4550.114</v>
      </c>
      <c r="F844" s="68" t="s">
        <v>2613</v>
      </c>
      <c r="G844" s="68" t="str">
        <f>VLOOKUP(D844,'03. Insumos'!A:F,3,0)</f>
        <v>unid</v>
      </c>
      <c r="H844" s="69">
        <v>1</v>
      </c>
      <c r="I844" s="449"/>
      <c r="J844" s="70">
        <f t="shared" si="100"/>
        <v>76.31</v>
      </c>
      <c r="K844" s="70">
        <f>IF(A844=0,VLOOKUP(D844,'03. Insumos'!A:F,4,0),"")</f>
        <v>76.31</v>
      </c>
      <c r="L844" s="70">
        <f t="shared" si="101"/>
        <v>0</v>
      </c>
      <c r="M844" s="153">
        <f t="shared" ca="1" si="104"/>
        <v>0</v>
      </c>
      <c r="O844" s="148">
        <f t="shared" si="102"/>
        <v>0</v>
      </c>
      <c r="R844" s="12"/>
    </row>
    <row r="845" spans="1:18" s="51" customFormat="1" ht="13.5" hidden="1" customHeight="1" outlineLevel="1" x14ac:dyDescent="0.3">
      <c r="A845" s="290">
        <f t="shared" si="97"/>
        <v>0</v>
      </c>
      <c r="B845" s="49"/>
      <c r="C845" s="49"/>
      <c r="D845" s="140" t="s">
        <v>2839</v>
      </c>
      <c r="E845" s="67" t="str">
        <f>VLOOKUP(D845,'03. Insumos'!A:D,2,0)</f>
        <v>Ralo Square 15x15 revestido com o revestimento do piso</v>
      </c>
      <c r="F845" s="68" t="s">
        <v>2613</v>
      </c>
      <c r="G845" s="68" t="str">
        <f>VLOOKUP(D845,'03. Insumos'!A:F,3,0)</f>
        <v>unid</v>
      </c>
      <c r="H845" s="69">
        <v>1</v>
      </c>
      <c r="I845" s="449"/>
      <c r="J845" s="70">
        <f t="shared" si="100"/>
        <v>175.9</v>
      </c>
      <c r="K845" s="70">
        <f>IF(A845=0,VLOOKUP(D845,'03. Insumos'!A:F,4,0),"")</f>
        <v>175.9</v>
      </c>
      <c r="L845" s="70">
        <f t="shared" si="101"/>
        <v>0</v>
      </c>
      <c r="M845" s="153">
        <f t="shared" ca="1" si="104"/>
        <v>0</v>
      </c>
      <c r="O845" s="148">
        <f t="shared" si="102"/>
        <v>0</v>
      </c>
      <c r="R845" s="12"/>
    </row>
    <row r="846" spans="1:18" s="51" customFormat="1" ht="13.5" hidden="1" customHeight="1" outlineLevel="1" x14ac:dyDescent="0.3">
      <c r="A846" s="290">
        <f t="shared" si="97"/>
        <v>0</v>
      </c>
      <c r="B846" s="49"/>
      <c r="C846" s="49"/>
      <c r="D846" s="140"/>
      <c r="E846" s="67" t="e">
        <f>VLOOKUP(D846,'03. Insumos'!A:D,2,0)</f>
        <v>#N/A</v>
      </c>
      <c r="F846" s="68" t="s">
        <v>2613</v>
      </c>
      <c r="G846" s="68" t="e">
        <f>VLOOKUP(D846,'03. Insumos'!A:F,3,0)</f>
        <v>#N/A</v>
      </c>
      <c r="H846" s="141">
        <v>1</v>
      </c>
      <c r="I846" s="141"/>
      <c r="J846" s="70">
        <f t="shared" si="100"/>
        <v>0</v>
      </c>
      <c r="K846" s="70" t="e">
        <f>IF(A846=0,VLOOKUP(D846,'03. Insumos'!A:F,4,0),"")</f>
        <v>#N/A</v>
      </c>
      <c r="L846" s="70">
        <f t="shared" si="101"/>
        <v>0</v>
      </c>
      <c r="M846" s="153">
        <f t="shared" ca="1" si="104"/>
        <v>0</v>
      </c>
      <c r="O846" s="148">
        <f>IF(I846&lt;&gt;0,I846*H846*K846,)</f>
        <v>0</v>
      </c>
      <c r="R846" s="12">
        <f>IF(J846&lt;&gt;0,J846/1.03-K846,0)</f>
        <v>0</v>
      </c>
    </row>
    <row r="847" spans="1:18" s="51" customFormat="1" ht="13.5" hidden="1" customHeight="1" outlineLevel="1" x14ac:dyDescent="0.3">
      <c r="A847" s="290">
        <f t="shared" si="97"/>
        <v>0</v>
      </c>
      <c r="B847" s="49"/>
      <c r="C847" s="49"/>
      <c r="D847" s="140"/>
      <c r="E847" s="67" t="e">
        <f>VLOOKUP(D847,'03. Insumos'!A:D,2,0)</f>
        <v>#N/A</v>
      </c>
      <c r="F847" s="68" t="s">
        <v>2613</v>
      </c>
      <c r="G847" s="68" t="e">
        <f>VLOOKUP(D847,'03. Insumos'!A:F,3,0)</f>
        <v>#N/A</v>
      </c>
      <c r="H847" s="141">
        <v>1</v>
      </c>
      <c r="I847" s="141"/>
      <c r="J847" s="70">
        <f t="shared" si="100"/>
        <v>0</v>
      </c>
      <c r="K847" s="70" t="e">
        <f>IF(A847=0,VLOOKUP(D847,'03. Insumos'!A:F,4,0),"")</f>
        <v>#N/A</v>
      </c>
      <c r="L847" s="70">
        <f t="shared" si="101"/>
        <v>0</v>
      </c>
      <c r="M847" s="153">
        <f t="shared" ca="1" si="104"/>
        <v>0</v>
      </c>
      <c r="O847" s="148">
        <f>IF(I847&lt;&gt;0,I847*H847*K847,)</f>
        <v>0</v>
      </c>
      <c r="R847" s="12"/>
    </row>
    <row r="848" spans="1:18" s="51" customFormat="1" ht="13.5" hidden="1" customHeight="1" outlineLevel="1" x14ac:dyDescent="0.3">
      <c r="A848" s="290">
        <f t="shared" si="97"/>
        <v>0</v>
      </c>
      <c r="B848" s="49"/>
      <c r="C848" s="49"/>
      <c r="D848" s="140"/>
      <c r="E848" s="67" t="e">
        <f>VLOOKUP(D848,'03. Insumos'!A:D,2,0)</f>
        <v>#N/A</v>
      </c>
      <c r="F848" s="68" t="s">
        <v>2613</v>
      </c>
      <c r="G848" s="68" t="e">
        <f>VLOOKUP(D848,'03. Insumos'!A:F,3,0)</f>
        <v>#N/A</v>
      </c>
      <c r="H848" s="141">
        <v>1</v>
      </c>
      <c r="I848" s="141"/>
      <c r="J848" s="70">
        <f t="shared" si="100"/>
        <v>0</v>
      </c>
      <c r="K848" s="70" t="e">
        <f>IF(A848=0,VLOOKUP(D848,'03. Insumos'!A:F,4,0),"")</f>
        <v>#N/A</v>
      </c>
      <c r="L848" s="70">
        <f t="shared" si="101"/>
        <v>0</v>
      </c>
      <c r="M848" s="153">
        <f t="shared" ca="1" si="104"/>
        <v>0</v>
      </c>
      <c r="O848" s="148">
        <f>IF(I848&lt;&gt;0,I848*H848*K848,)</f>
        <v>0</v>
      </c>
      <c r="R848" s="12"/>
    </row>
    <row r="849" spans="1:18" s="51" customFormat="1" ht="13.5" hidden="1" customHeight="1" outlineLevel="1" x14ac:dyDescent="0.3">
      <c r="A849" s="290">
        <f t="shared" si="97"/>
        <v>6</v>
      </c>
      <c r="B849" s="49"/>
      <c r="C849" s="55" t="s">
        <v>1545</v>
      </c>
      <c r="D849" s="55" t="s">
        <v>2735</v>
      </c>
      <c r="E849" s="67"/>
      <c r="F849" s="68"/>
      <c r="G849" s="68"/>
      <c r="H849" s="69"/>
      <c r="I849" s="141"/>
      <c r="J849" s="70"/>
      <c r="K849" s="70"/>
      <c r="L849" s="58">
        <f>SUM(L850:L855)</f>
        <v>0</v>
      </c>
      <c r="M849" s="153">
        <f t="shared" ca="1" si="104"/>
        <v>0</v>
      </c>
      <c r="O849" s="148"/>
      <c r="R849" s="12"/>
    </row>
    <row r="850" spans="1:18" s="51" customFormat="1" ht="13.5" hidden="1" customHeight="1" outlineLevel="1" x14ac:dyDescent="0.3">
      <c r="A850" s="290">
        <f t="shared" si="97"/>
        <v>0</v>
      </c>
      <c r="B850" s="49"/>
      <c r="C850" s="49"/>
      <c r="D850" s="140" t="s">
        <v>2727</v>
      </c>
      <c r="E850" s="67" t="str">
        <f>VLOOKUP(D850,'03. Insumos'!A:D,2,0)</f>
        <v>Purificador Duplimax 5" DM5BR Springway sem torneira (sob bancada)</v>
      </c>
      <c r="F850" s="68" t="s">
        <v>2613</v>
      </c>
      <c r="G850" s="68" t="str">
        <f>VLOOKUP(D850,'03. Insumos'!A:F,3,0)</f>
        <v>unid</v>
      </c>
      <c r="H850" s="69">
        <v>1</v>
      </c>
      <c r="I850" s="449"/>
      <c r="J850" s="70">
        <f t="shared" ref="J850:J855" si="105">IFERROR(IF(K850&lt;&gt;0,K850*$K$5,0),0)</f>
        <v>449</v>
      </c>
      <c r="K850" s="70">
        <f>IF(A850=0,VLOOKUP(D850,'03. Insumos'!A:F,4,0),"")</f>
        <v>449</v>
      </c>
      <c r="L850" s="70">
        <f t="shared" ref="L850:L855" si="106">H850*J850*I850</f>
        <v>0</v>
      </c>
      <c r="M850" s="153">
        <f t="shared" ca="1" si="104"/>
        <v>0</v>
      </c>
      <c r="O850" s="148"/>
      <c r="R850" s="12"/>
    </row>
    <row r="851" spans="1:18" s="51" customFormat="1" ht="13.5" hidden="1" customHeight="1" outlineLevel="1" x14ac:dyDescent="0.3">
      <c r="A851" s="290">
        <f t="shared" si="97"/>
        <v>0</v>
      </c>
      <c r="B851" s="49"/>
      <c r="C851" s="49"/>
      <c r="D851" s="140" t="s">
        <v>2728</v>
      </c>
      <c r="E851" s="67" t="str">
        <f>VLOOKUP(D851,'03. Insumos'!A:D,2,0)</f>
        <v>Triturador Insinkerator Evolution 200 com acionamento pneumático</v>
      </c>
      <c r="F851" s="68" t="s">
        <v>2613</v>
      </c>
      <c r="G851" s="68" t="str">
        <f>VLOOKUP(D851,'03. Insumos'!A:F,3,0)</f>
        <v>unid</v>
      </c>
      <c r="H851" s="69">
        <v>1</v>
      </c>
      <c r="I851" s="449"/>
      <c r="J851" s="70">
        <f t="shared" si="105"/>
        <v>2990</v>
      </c>
      <c r="K851" s="70">
        <f>IF(A851=0,VLOOKUP(D851,'03. Insumos'!A:F,4,0),"")</f>
        <v>2990</v>
      </c>
      <c r="L851" s="70">
        <f t="shared" si="106"/>
        <v>0</v>
      </c>
      <c r="M851" s="153">
        <f t="shared" ca="1" si="104"/>
        <v>0</v>
      </c>
      <c r="O851" s="148"/>
      <c r="R851" s="12"/>
    </row>
    <row r="852" spans="1:18" s="51" customFormat="1" ht="13.5" hidden="1" customHeight="1" outlineLevel="1" x14ac:dyDescent="0.3">
      <c r="A852" s="290">
        <f t="shared" si="97"/>
        <v>0</v>
      </c>
      <c r="B852" s="49"/>
      <c r="C852" s="49"/>
      <c r="D852" s="140" t="s">
        <v>859</v>
      </c>
      <c r="E852" s="67" t="str">
        <f>VLOOKUP(D852,'03. Insumos'!A:D,2,0)</f>
        <v>Acabamento de registro linha Spin 1/2 a 3/4</v>
      </c>
      <c r="F852" s="68"/>
      <c r="G852" s="68" t="str">
        <f>VLOOKUP(D852,'03. Insumos'!A:F,3,0)</f>
        <v>unid</v>
      </c>
      <c r="H852" s="69">
        <v>1</v>
      </c>
      <c r="I852" s="141"/>
      <c r="J852" s="70">
        <f t="shared" si="105"/>
        <v>170.05</v>
      </c>
      <c r="K852" s="70">
        <f>IF(A852=0,VLOOKUP(D852,'03. Insumos'!A:F,4,0),"")</f>
        <v>170.05</v>
      </c>
      <c r="L852" s="338">
        <f t="shared" si="106"/>
        <v>0</v>
      </c>
      <c r="M852" s="153">
        <f t="shared" ca="1" si="104"/>
        <v>0</v>
      </c>
      <c r="O852" s="148"/>
      <c r="R852" s="12"/>
    </row>
    <row r="853" spans="1:18" s="51" customFormat="1" ht="13.5" hidden="1" customHeight="1" outlineLevel="1" x14ac:dyDescent="0.3">
      <c r="A853" s="290">
        <f t="shared" si="97"/>
        <v>0</v>
      </c>
      <c r="B853" s="49"/>
      <c r="C853" s="49"/>
      <c r="D853" s="140" t="s">
        <v>860</v>
      </c>
      <c r="E853" s="67" t="str">
        <f>VLOOKUP(D853,'03. Insumos'!A:D,2,0)</f>
        <v xml:space="preserve">Sifão para Cozinha 11/2"X11/2" Cromado </v>
      </c>
      <c r="F853" s="68"/>
      <c r="G853" s="68" t="str">
        <f>VLOOKUP(D853,'03. Insumos'!A:F,3,0)</f>
        <v>unid</v>
      </c>
      <c r="H853" s="69">
        <v>1</v>
      </c>
      <c r="I853" s="141"/>
      <c r="J853" s="70">
        <f t="shared" si="105"/>
        <v>77.63</v>
      </c>
      <c r="K853" s="70">
        <f>IF(A853=0,VLOOKUP(D853,'03. Insumos'!A:F,4,0),"")</f>
        <v>77.63</v>
      </c>
      <c r="L853" s="338">
        <f t="shared" si="106"/>
        <v>0</v>
      </c>
      <c r="M853" s="153">
        <f t="shared" ca="1" si="104"/>
        <v>0</v>
      </c>
      <c r="O853" s="148"/>
      <c r="R853" s="12"/>
    </row>
    <row r="854" spans="1:18" s="51" customFormat="1" ht="13.5" hidden="1" customHeight="1" outlineLevel="1" x14ac:dyDescent="0.3">
      <c r="A854" s="290">
        <f t="shared" si="97"/>
        <v>0</v>
      </c>
      <c r="B854" s="49"/>
      <c r="C854" s="49"/>
      <c r="D854" s="140" t="s">
        <v>872</v>
      </c>
      <c r="E854" s="67" t="str">
        <f>VLOOKUP(D854,'03. Insumos'!A:D,2,0)</f>
        <v>Válvula americana para pia de cozinha</v>
      </c>
      <c r="F854" s="68"/>
      <c r="G854" s="68" t="str">
        <f>VLOOKUP(D854,'03. Insumos'!A:F,3,0)</f>
        <v>unid</v>
      </c>
      <c r="H854" s="69">
        <v>1</v>
      </c>
      <c r="I854" s="141"/>
      <c r="J854" s="70">
        <f t="shared" si="105"/>
        <v>36.18</v>
      </c>
      <c r="K854" s="70">
        <f>IF(A854=0,VLOOKUP(D854,'03. Insumos'!A:F,4,0),"")</f>
        <v>36.18</v>
      </c>
      <c r="L854" s="338">
        <f t="shared" si="106"/>
        <v>0</v>
      </c>
      <c r="M854" s="153">
        <f t="shared" ca="1" si="104"/>
        <v>0</v>
      </c>
      <c r="O854" s="148"/>
      <c r="R854" s="12"/>
    </row>
    <row r="855" spans="1:18" s="51" customFormat="1" ht="13.5" hidden="1" customHeight="1" outlineLevel="1" x14ac:dyDescent="0.3">
      <c r="A855" s="290">
        <f t="shared" si="97"/>
        <v>0</v>
      </c>
      <c r="B855" s="49"/>
      <c r="C855" s="49"/>
      <c r="D855" s="140" t="s">
        <v>856</v>
      </c>
      <c r="E855" s="67" t="str">
        <f>VLOOKUP(D855,'03. Insumos'!A:D,2,0)</f>
        <v>Flexível 40 cm</v>
      </c>
      <c r="F855" s="68"/>
      <c r="G855" s="68" t="str">
        <f>VLOOKUP(D855,'03. Insumos'!A:F,3,0)</f>
        <v>unid</v>
      </c>
      <c r="H855" s="69">
        <v>1</v>
      </c>
      <c r="I855" s="141"/>
      <c r="J855" s="70">
        <f t="shared" si="105"/>
        <v>16.2</v>
      </c>
      <c r="K855" s="70">
        <f>IF(A855=0,VLOOKUP(D855,'03. Insumos'!A:F,4,0),"")</f>
        <v>16.2</v>
      </c>
      <c r="L855" s="338">
        <f t="shared" si="106"/>
        <v>0</v>
      </c>
      <c r="M855" s="153">
        <f t="shared" ca="1" si="104"/>
        <v>0</v>
      </c>
      <c r="O855" s="148"/>
      <c r="R855" s="12"/>
    </row>
    <row r="856" spans="1:18" s="51" customFormat="1" ht="13.5" hidden="1" customHeight="1" outlineLevel="1" x14ac:dyDescent="0.3">
      <c r="A856" s="13">
        <f t="shared" si="97"/>
        <v>6</v>
      </c>
      <c r="B856" s="49"/>
      <c r="C856" s="55" t="s">
        <v>1204</v>
      </c>
      <c r="D856" s="55" t="s">
        <v>1547</v>
      </c>
      <c r="E856" s="67"/>
      <c r="F856" s="68"/>
      <c r="G856" s="68"/>
      <c r="H856" s="69"/>
      <c r="I856" s="141"/>
      <c r="J856" s="70"/>
      <c r="K856" s="70"/>
      <c r="L856" s="58">
        <f>SUM(L857:L862)</f>
        <v>0</v>
      </c>
      <c r="M856" s="355">
        <f t="shared" ca="1" si="104"/>
        <v>0</v>
      </c>
      <c r="O856" s="148"/>
      <c r="R856" s="356"/>
    </row>
    <row r="857" spans="1:18" s="51" customFormat="1" ht="13.5" hidden="1" customHeight="1" outlineLevel="1" x14ac:dyDescent="0.3">
      <c r="A857" s="13">
        <f t="shared" si="97"/>
        <v>0</v>
      </c>
      <c r="B857" s="49"/>
      <c r="C857" s="49"/>
      <c r="D857" s="140" t="s">
        <v>861</v>
      </c>
      <c r="E857" s="67" t="str">
        <f>VLOOKUP(D857,'03. Insumos'!A:D,2,0)</f>
        <v>Tanque inox 50 x 40 alto brilho 32 L</v>
      </c>
      <c r="F857" s="68"/>
      <c r="G857" s="68" t="str">
        <f>VLOOKUP(D857,'03. Insumos'!A:F,3,0)</f>
        <v>unid</v>
      </c>
      <c r="H857" s="69">
        <v>1</v>
      </c>
      <c r="I857" s="141"/>
      <c r="J857" s="70">
        <f t="shared" ref="J857:J862" si="107">IFERROR(IF(K857&lt;&gt;0,K857*$K$5,0),0)</f>
        <v>396.08</v>
      </c>
      <c r="K857" s="70">
        <f>IF(A857=0,VLOOKUP(D857,'03. Insumos'!A:F,4,0),"")</f>
        <v>396.08</v>
      </c>
      <c r="L857" s="70">
        <f t="shared" ref="L857:L862" si="108">H857*J857*I857</f>
        <v>0</v>
      </c>
      <c r="M857" s="355">
        <f t="shared" ca="1" si="104"/>
        <v>0</v>
      </c>
      <c r="O857" s="148"/>
      <c r="R857" s="356"/>
    </row>
    <row r="858" spans="1:18" s="51" customFormat="1" ht="13.5" hidden="1" customHeight="1" outlineLevel="1" x14ac:dyDescent="0.3">
      <c r="A858" s="13">
        <f t="shared" si="97"/>
        <v>0</v>
      </c>
      <c r="B858" s="49"/>
      <c r="C858" s="49"/>
      <c r="D858" s="140" t="s">
        <v>862</v>
      </c>
      <c r="E858" s="67" t="str">
        <f>VLOOKUP(D858,'03. Insumos'!A:D,2,0)</f>
        <v>Torneira de mesa bica móvel Link para tanque 1166 C.LNK</v>
      </c>
      <c r="F858" s="68"/>
      <c r="G858" s="68" t="str">
        <f>VLOOKUP(D858,'03. Insumos'!A:F,3,0)</f>
        <v>unid</v>
      </c>
      <c r="H858" s="69">
        <v>1</v>
      </c>
      <c r="I858" s="141"/>
      <c r="J858" s="70">
        <f t="shared" si="107"/>
        <v>236.38</v>
      </c>
      <c r="K858" s="70">
        <f>IF(A858=0,VLOOKUP(D858,'03. Insumos'!A:F,4,0),"")</f>
        <v>236.38</v>
      </c>
      <c r="L858" s="70">
        <f t="shared" si="108"/>
        <v>0</v>
      </c>
      <c r="M858" s="355">
        <f t="shared" ca="1" si="104"/>
        <v>0</v>
      </c>
      <c r="O858" s="148"/>
      <c r="R858" s="356"/>
    </row>
    <row r="859" spans="1:18" s="51" customFormat="1" ht="13.5" hidden="1" customHeight="1" outlineLevel="1" x14ac:dyDescent="0.3">
      <c r="A859" s="13">
        <f t="shared" si="97"/>
        <v>0</v>
      </c>
      <c r="B859" s="49"/>
      <c r="C859" s="49"/>
      <c r="D859" s="140" t="s">
        <v>859</v>
      </c>
      <c r="E859" s="67" t="str">
        <f>VLOOKUP(D859,'03. Insumos'!A:D,2,0)</f>
        <v>Acabamento de registro linha Spin 1/2 a 3/4</v>
      </c>
      <c r="F859" s="68"/>
      <c r="G859" s="68" t="str">
        <f>VLOOKUP(D859,'03. Insumos'!A:F,3,0)</f>
        <v>unid</v>
      </c>
      <c r="H859" s="69">
        <v>1</v>
      </c>
      <c r="I859" s="141"/>
      <c r="J859" s="70">
        <f t="shared" si="107"/>
        <v>170.05</v>
      </c>
      <c r="K859" s="70">
        <f>IF(A859=0,VLOOKUP(D859,'03. Insumos'!A:F,4,0),"")</f>
        <v>170.05</v>
      </c>
      <c r="L859" s="70">
        <f t="shared" si="108"/>
        <v>0</v>
      </c>
      <c r="M859" s="355">
        <f t="shared" ca="1" si="104"/>
        <v>0</v>
      </c>
      <c r="O859" s="148"/>
      <c r="R859" s="356"/>
    </row>
    <row r="860" spans="1:18" s="51" customFormat="1" ht="13.5" hidden="1" customHeight="1" outlineLevel="1" x14ac:dyDescent="0.3">
      <c r="A860" s="13">
        <f t="shared" si="97"/>
        <v>0</v>
      </c>
      <c r="B860" s="49"/>
      <c r="C860" s="49"/>
      <c r="D860" s="140" t="s">
        <v>860</v>
      </c>
      <c r="E860" s="67" t="str">
        <f>VLOOKUP(D860,'03. Insumos'!A:D,2,0)</f>
        <v xml:space="preserve">Sifão para Cozinha 11/2"X11/2" Cromado </v>
      </c>
      <c r="F860" s="68"/>
      <c r="G860" s="68" t="str">
        <f>VLOOKUP(D860,'03. Insumos'!A:F,3,0)</f>
        <v>unid</v>
      </c>
      <c r="H860" s="69">
        <v>1</v>
      </c>
      <c r="I860" s="141"/>
      <c r="J860" s="70">
        <f t="shared" si="107"/>
        <v>77.63</v>
      </c>
      <c r="K860" s="70">
        <f>IF(A860=0,VLOOKUP(D860,'03. Insumos'!A:F,4,0),"")</f>
        <v>77.63</v>
      </c>
      <c r="L860" s="70">
        <f t="shared" si="108"/>
        <v>0</v>
      </c>
      <c r="M860" s="355">
        <f t="shared" ca="1" si="104"/>
        <v>0</v>
      </c>
      <c r="O860" s="148"/>
      <c r="R860" s="356"/>
    </row>
    <row r="861" spans="1:18" s="51" customFormat="1" ht="13.5" hidden="1" customHeight="1" outlineLevel="1" x14ac:dyDescent="0.3">
      <c r="A861" s="13">
        <f t="shared" si="97"/>
        <v>0</v>
      </c>
      <c r="B861" s="49"/>
      <c r="C861" s="49"/>
      <c r="D861" s="140" t="s">
        <v>872</v>
      </c>
      <c r="E861" s="67" t="str">
        <f>VLOOKUP(D861,'03. Insumos'!A:D,2,0)</f>
        <v>Válvula americana para pia de cozinha</v>
      </c>
      <c r="F861" s="68"/>
      <c r="G861" s="68" t="str">
        <f>VLOOKUP(D861,'03. Insumos'!A:F,3,0)</f>
        <v>unid</v>
      </c>
      <c r="H861" s="69">
        <v>1</v>
      </c>
      <c r="I861" s="141"/>
      <c r="J861" s="70">
        <f t="shared" si="107"/>
        <v>36.18</v>
      </c>
      <c r="K861" s="70">
        <f>IF(A861=0,VLOOKUP(D861,'03. Insumos'!A:F,4,0),"")</f>
        <v>36.18</v>
      </c>
      <c r="L861" s="70">
        <f t="shared" si="108"/>
        <v>0</v>
      </c>
      <c r="M861" s="355">
        <f t="shared" ca="1" si="104"/>
        <v>0</v>
      </c>
      <c r="O861" s="148"/>
      <c r="R861" s="356"/>
    </row>
    <row r="862" spans="1:18" s="51" customFormat="1" ht="13.5" hidden="1" customHeight="1" outlineLevel="1" x14ac:dyDescent="0.3">
      <c r="A862" s="13">
        <f t="shared" si="97"/>
        <v>0</v>
      </c>
      <c r="B862" s="49"/>
      <c r="C862" s="49"/>
      <c r="D862" s="140" t="s">
        <v>856</v>
      </c>
      <c r="E862" s="67" t="str">
        <f>VLOOKUP(D862,'03. Insumos'!A:D,2,0)</f>
        <v>Flexível 40 cm</v>
      </c>
      <c r="F862" s="68"/>
      <c r="G862" s="68" t="str">
        <f>VLOOKUP(D862,'03. Insumos'!A:F,3,0)</f>
        <v>unid</v>
      </c>
      <c r="H862" s="69">
        <v>1</v>
      </c>
      <c r="I862" s="141"/>
      <c r="J862" s="70">
        <f t="shared" si="107"/>
        <v>16.2</v>
      </c>
      <c r="K862" s="70">
        <f>IF(A862=0,VLOOKUP(D862,'03. Insumos'!A:F,4,0),"")</f>
        <v>16.2</v>
      </c>
      <c r="L862" s="70">
        <f t="shared" si="108"/>
        <v>0</v>
      </c>
      <c r="M862" s="355">
        <f t="shared" ca="1" si="104"/>
        <v>0</v>
      </c>
      <c r="O862" s="148"/>
      <c r="R862" s="356"/>
    </row>
    <row r="863" spans="1:18" s="51" customFormat="1" ht="13.5" hidden="1" customHeight="1" outlineLevel="1" x14ac:dyDescent="0.3">
      <c r="A863" s="13">
        <f t="shared" si="97"/>
        <v>6</v>
      </c>
      <c r="B863" s="49"/>
      <c r="C863" s="55" t="s">
        <v>1548</v>
      </c>
      <c r="D863" s="55" t="s">
        <v>1549</v>
      </c>
      <c r="E863" s="67"/>
      <c r="F863" s="68"/>
      <c r="G863" s="68"/>
      <c r="H863" s="69"/>
      <c r="I863" s="141"/>
      <c r="J863" s="70"/>
      <c r="K863" s="70"/>
      <c r="L863" s="58">
        <f>SUM(L864:L876)</f>
        <v>0</v>
      </c>
      <c r="M863" s="355">
        <f t="shared" ca="1" si="104"/>
        <v>0</v>
      </c>
      <c r="O863" s="148"/>
      <c r="R863" s="356"/>
    </row>
    <row r="864" spans="1:18" s="51" customFormat="1" ht="13.5" hidden="1" customHeight="1" outlineLevel="1" x14ac:dyDescent="0.3">
      <c r="A864" s="13">
        <f t="shared" si="97"/>
        <v>0</v>
      </c>
      <c r="B864" s="49"/>
      <c r="C864" s="55"/>
      <c r="D864" s="140" t="s">
        <v>848</v>
      </c>
      <c r="E864" s="67" t="str">
        <f>VLOOKUP(D864,'03. Insumos'!A:D,2,0)</f>
        <v>Bacia convencional linha Duna P7.17</v>
      </c>
      <c r="F864" s="68"/>
      <c r="G864" s="68" t="str">
        <f>VLOOKUP(D864,'03. Insumos'!A:F,3,0)</f>
        <v>unid</v>
      </c>
      <c r="H864" s="69">
        <v>1</v>
      </c>
      <c r="I864" s="141"/>
      <c r="J864" s="70">
        <f t="shared" ref="J864:J876" si="109">IFERROR(IF(K864&lt;&gt;0,K864*$K$5,0),0)</f>
        <v>266.5</v>
      </c>
      <c r="K864" s="70">
        <f>IF(A864=0,VLOOKUP(D864,'03. Insumos'!A:F,4,0),"")</f>
        <v>266.5</v>
      </c>
      <c r="L864" s="70">
        <f t="shared" ref="L864:L876" si="110">H864*J864*I864</f>
        <v>0</v>
      </c>
      <c r="M864" s="355">
        <f t="shared" ca="1" si="104"/>
        <v>0</v>
      </c>
      <c r="O864" s="148"/>
      <c r="R864" s="356"/>
    </row>
    <row r="865" spans="1:18" s="51" customFormat="1" ht="13.5" hidden="1" customHeight="1" outlineLevel="1" x14ac:dyDescent="0.3">
      <c r="A865" s="13">
        <f t="shared" si="97"/>
        <v>0</v>
      </c>
      <c r="B865" s="49"/>
      <c r="C865" s="55"/>
      <c r="D865" s="140" t="s">
        <v>863</v>
      </c>
      <c r="E865" s="67" t="str">
        <f>VLOOKUP(D865,'03. Insumos'!A:D,2,0)</f>
        <v>Cuba quadrada de embutir L701</v>
      </c>
      <c r="F865" s="68"/>
      <c r="G865" s="68" t="str">
        <f>VLOOKUP(D865,'03. Insumos'!A:F,3,0)</f>
        <v>unid</v>
      </c>
      <c r="H865" s="69">
        <v>1</v>
      </c>
      <c r="I865" s="141"/>
      <c r="J865" s="70">
        <f t="shared" si="109"/>
        <v>300.31</v>
      </c>
      <c r="K865" s="70">
        <f>IF(A865=0,VLOOKUP(D865,'03. Insumos'!A:F,4,0),"")</f>
        <v>300.31</v>
      </c>
      <c r="L865" s="70">
        <f t="shared" si="110"/>
        <v>0</v>
      </c>
      <c r="M865" s="355">
        <f t="shared" ca="1" si="104"/>
        <v>0</v>
      </c>
      <c r="O865" s="148"/>
      <c r="R865" s="356"/>
    </row>
    <row r="866" spans="1:18" s="51" customFormat="1" ht="13.5" hidden="1" customHeight="1" outlineLevel="1" x14ac:dyDescent="0.3">
      <c r="A866" s="13">
        <f t="shared" si="97"/>
        <v>0</v>
      </c>
      <c r="B866" s="49"/>
      <c r="C866" s="55"/>
      <c r="D866" s="140" t="s">
        <v>864</v>
      </c>
      <c r="E866" s="67" t="str">
        <f>VLOOKUP(D866,'03. Insumos'!A:D,2,0)</f>
        <v>Misturador lavatório mesa bica alta linha Polo clássica 1877 C32</v>
      </c>
      <c r="F866" s="68"/>
      <c r="G866" s="68" t="str">
        <f>VLOOKUP(D866,'03. Insumos'!A:F,3,0)</f>
        <v>unid</v>
      </c>
      <c r="H866" s="69">
        <v>1</v>
      </c>
      <c r="I866" s="141"/>
      <c r="J866" s="70">
        <f t="shared" si="109"/>
        <v>476.08</v>
      </c>
      <c r="K866" s="70">
        <f>IF(A866=0,VLOOKUP(D866,'03. Insumos'!A:F,4,0),"")</f>
        <v>476.08</v>
      </c>
      <c r="L866" s="70">
        <f t="shared" si="110"/>
        <v>0</v>
      </c>
      <c r="M866" s="355">
        <f t="shared" ca="1" si="104"/>
        <v>0</v>
      </c>
      <c r="O866" s="148"/>
      <c r="R866" s="356"/>
    </row>
    <row r="867" spans="1:18" s="51" customFormat="1" ht="13.5" hidden="1" customHeight="1" outlineLevel="1" x14ac:dyDescent="0.3">
      <c r="A867" s="13">
        <f t="shared" si="97"/>
        <v>0</v>
      </c>
      <c r="B867" s="49"/>
      <c r="C867" s="55"/>
      <c r="D867" s="140" t="s">
        <v>850</v>
      </c>
      <c r="E867" s="67" t="str">
        <f>VLOOKUP(D867,'03. Insumos'!A:D,2,0)</f>
        <v>Válvula de descarga Hydra Plus Deca 2555 C114</v>
      </c>
      <c r="F867" s="68"/>
      <c r="G867" s="68" t="str">
        <f>VLOOKUP(D867,'03. Insumos'!A:F,3,0)</f>
        <v>unid</v>
      </c>
      <c r="H867" s="69">
        <v>1</v>
      </c>
      <c r="I867" s="141"/>
      <c r="J867" s="70">
        <f t="shared" si="109"/>
        <v>226.05</v>
      </c>
      <c r="K867" s="70">
        <f>IF(A867=0,VLOOKUP(D867,'03. Insumos'!A:F,4,0),"")</f>
        <v>226.05</v>
      </c>
      <c r="L867" s="70">
        <f t="shared" si="110"/>
        <v>0</v>
      </c>
      <c r="M867" s="355">
        <f t="shared" ca="1" si="104"/>
        <v>0</v>
      </c>
      <c r="O867" s="148"/>
      <c r="R867" s="356"/>
    </row>
    <row r="868" spans="1:18" s="51" customFormat="1" ht="13.5" hidden="1" customHeight="1" outlineLevel="1" x14ac:dyDescent="0.3">
      <c r="A868" s="13">
        <f t="shared" si="97"/>
        <v>0</v>
      </c>
      <c r="B868" s="49"/>
      <c r="C868" s="55"/>
      <c r="D868" s="140" t="s">
        <v>865</v>
      </c>
      <c r="E868" s="67" t="str">
        <f>VLOOKUP(D868,'03. Insumos'!A:D,2,0)</f>
        <v>Chuveiro Acqua plus sem tubo 1990CST</v>
      </c>
      <c r="F868" s="68"/>
      <c r="G868" s="68" t="str">
        <f>VLOOKUP(D868,'03. Insumos'!A:F,3,0)</f>
        <v>unid</v>
      </c>
      <c r="H868" s="69">
        <v>1</v>
      </c>
      <c r="I868" s="141"/>
      <c r="J868" s="70">
        <f t="shared" si="109"/>
        <v>309.69</v>
      </c>
      <c r="K868" s="70">
        <f>IF(A868=0,VLOOKUP(D868,'03. Insumos'!A:F,4,0),"")</f>
        <v>309.69</v>
      </c>
      <c r="L868" s="70">
        <f t="shared" si="110"/>
        <v>0</v>
      </c>
      <c r="M868" s="355">
        <f t="shared" ca="1" si="104"/>
        <v>0</v>
      </c>
      <c r="O868" s="148"/>
      <c r="R868" s="356"/>
    </row>
    <row r="869" spans="1:18" s="51" customFormat="1" ht="13.5" hidden="1" customHeight="1" outlineLevel="1" x14ac:dyDescent="0.3">
      <c r="A869" s="13">
        <f t="shared" si="97"/>
        <v>0</v>
      </c>
      <c r="B869" s="49"/>
      <c r="C869" s="55"/>
      <c r="D869" s="140" t="s">
        <v>866</v>
      </c>
      <c r="E869" s="67" t="str">
        <f>VLOOKUP(D869,'03. Insumos'!A:D,2,0)</f>
        <v>Ducha Higiênica linha polo clássica 1984.C32.ACT.CR</v>
      </c>
      <c r="F869" s="68"/>
      <c r="G869" s="68" t="str">
        <f>VLOOKUP(D869,'03. Insumos'!A:F,3,0)</f>
        <v>unid</v>
      </c>
      <c r="H869" s="69">
        <v>1</v>
      </c>
      <c r="I869" s="141"/>
      <c r="J869" s="70">
        <f t="shared" si="109"/>
        <v>219.73</v>
      </c>
      <c r="K869" s="70">
        <f>IF(A869=0,VLOOKUP(D869,'03. Insumos'!A:F,4,0),"")</f>
        <v>219.73</v>
      </c>
      <c r="L869" s="70">
        <f t="shared" si="110"/>
        <v>0</v>
      </c>
      <c r="M869" s="355">
        <f t="shared" ca="1" si="104"/>
        <v>0</v>
      </c>
      <c r="O869" s="148"/>
      <c r="R869" s="356"/>
    </row>
    <row r="870" spans="1:18" s="51" customFormat="1" ht="13.5" hidden="1" customHeight="1" outlineLevel="1" x14ac:dyDescent="0.3">
      <c r="A870" s="13">
        <f t="shared" si="97"/>
        <v>0</v>
      </c>
      <c r="B870" s="49"/>
      <c r="C870" s="55"/>
      <c r="D870" s="140" t="s">
        <v>851</v>
      </c>
      <c r="E870" s="67" t="str">
        <f>VLOOKUP(D870,'03. Insumos'!A:D,2,0)</f>
        <v>Acabamento de registro linha Polo Classica 1/2 a 3/4</v>
      </c>
      <c r="F870" s="68"/>
      <c r="G870" s="68" t="str">
        <f>VLOOKUP(D870,'03. Insumos'!A:F,3,0)</f>
        <v>unid</v>
      </c>
      <c r="H870" s="69">
        <v>1</v>
      </c>
      <c r="I870" s="141"/>
      <c r="J870" s="70">
        <f t="shared" si="109"/>
        <v>120.82</v>
      </c>
      <c r="K870" s="70">
        <f>IF(A870=0,VLOOKUP(D870,'03. Insumos'!A:F,4,0),"")</f>
        <v>120.82</v>
      </c>
      <c r="L870" s="70">
        <f t="shared" si="110"/>
        <v>0</v>
      </c>
      <c r="M870" s="355">
        <f t="shared" ca="1" si="104"/>
        <v>0</v>
      </c>
      <c r="O870" s="148"/>
      <c r="R870" s="356"/>
    </row>
    <row r="871" spans="1:18" s="51" customFormat="1" ht="13.5" hidden="1" customHeight="1" outlineLevel="1" x14ac:dyDescent="0.3">
      <c r="A871" s="13">
        <f t="shared" si="97"/>
        <v>0</v>
      </c>
      <c r="B871" s="49"/>
      <c r="C871" s="55"/>
      <c r="D871" s="140" t="s">
        <v>852</v>
      </c>
      <c r="E871" s="67" t="str">
        <f>VLOOKUP(D871,'03. Insumos'!A:D,2,0)</f>
        <v>Sifão para lavatório 1 x 11/2</v>
      </c>
      <c r="F871" s="68"/>
      <c r="G871" s="68" t="str">
        <f>VLOOKUP(D871,'03. Insumos'!A:F,3,0)</f>
        <v>unid</v>
      </c>
      <c r="H871" s="69">
        <v>1</v>
      </c>
      <c r="I871" s="141"/>
      <c r="J871" s="70">
        <f t="shared" si="109"/>
        <v>72.400000000000006</v>
      </c>
      <c r="K871" s="70">
        <f>IF(A871=0,VLOOKUP(D871,'03. Insumos'!A:F,4,0),"")</f>
        <v>72.400000000000006</v>
      </c>
      <c r="L871" s="70">
        <f t="shared" si="110"/>
        <v>0</v>
      </c>
      <c r="M871" s="355">
        <f t="shared" ca="1" si="104"/>
        <v>0</v>
      </c>
      <c r="O871" s="148"/>
      <c r="R871" s="356"/>
    </row>
    <row r="872" spans="1:18" s="51" customFormat="1" ht="13.5" hidden="1" customHeight="1" outlineLevel="1" x14ac:dyDescent="0.3">
      <c r="A872" s="13">
        <f t="shared" si="97"/>
        <v>0</v>
      </c>
      <c r="B872" s="49"/>
      <c r="C872" s="55"/>
      <c r="D872" s="140" t="s">
        <v>853</v>
      </c>
      <c r="E872" s="67" t="str">
        <f>VLOOKUP(D872,'03. Insumos'!A:D,2,0)</f>
        <v>Válvula para lavatório</v>
      </c>
      <c r="F872" s="68"/>
      <c r="G872" s="68" t="str">
        <f>VLOOKUP(D872,'03. Insumos'!A:F,3,0)</f>
        <v>unid</v>
      </c>
      <c r="H872" s="69">
        <v>1</v>
      </c>
      <c r="I872" s="141"/>
      <c r="J872" s="70">
        <f t="shared" si="109"/>
        <v>16.57</v>
      </c>
      <c r="K872" s="70">
        <f>IF(A872=0,VLOOKUP(D872,'03. Insumos'!A:F,4,0),"")</f>
        <v>16.57</v>
      </c>
      <c r="L872" s="70">
        <f t="shared" si="110"/>
        <v>0</v>
      </c>
      <c r="M872" s="355">
        <f t="shared" ca="1" si="104"/>
        <v>0</v>
      </c>
      <c r="O872" s="148"/>
      <c r="R872" s="356"/>
    </row>
    <row r="873" spans="1:18" s="51" customFormat="1" ht="13.5" hidden="1" customHeight="1" outlineLevel="1" x14ac:dyDescent="0.3">
      <c r="A873" s="13">
        <f t="shared" si="97"/>
        <v>0</v>
      </c>
      <c r="B873" s="49"/>
      <c r="C873" s="55"/>
      <c r="D873" s="140" t="s">
        <v>854</v>
      </c>
      <c r="E873" s="67" t="str">
        <f>VLOOKUP(D873,'03. Insumos'!A:D,2,0)</f>
        <v>Ralo 15 x 15</v>
      </c>
      <c r="F873" s="68"/>
      <c r="G873" s="68" t="str">
        <f>VLOOKUP(D873,'03. Insumos'!A:F,3,0)</f>
        <v>unid</v>
      </c>
      <c r="H873" s="69">
        <v>1</v>
      </c>
      <c r="I873" s="141"/>
      <c r="J873" s="70">
        <f t="shared" si="109"/>
        <v>75.59</v>
      </c>
      <c r="K873" s="70">
        <f>IF(A873=0,VLOOKUP(D873,'03. Insumos'!A:F,4,0),"")</f>
        <v>75.59</v>
      </c>
      <c r="L873" s="70">
        <f t="shared" si="110"/>
        <v>0</v>
      </c>
      <c r="M873" s="355">
        <f t="shared" ca="1" si="104"/>
        <v>0</v>
      </c>
      <c r="O873" s="148"/>
      <c r="R873" s="356"/>
    </row>
    <row r="874" spans="1:18" s="51" customFormat="1" ht="13.5" hidden="1" customHeight="1" outlineLevel="1" x14ac:dyDescent="0.3">
      <c r="A874" s="13">
        <f t="shared" si="97"/>
        <v>0</v>
      </c>
      <c r="B874" s="49"/>
      <c r="C874" s="55"/>
      <c r="D874" s="140" t="s">
        <v>855</v>
      </c>
      <c r="E874" s="67" t="str">
        <f>VLOOKUP(D874,'03. Insumos'!A:D,2,0)</f>
        <v>Anel de vedação para bacia sanitária</v>
      </c>
      <c r="F874" s="68"/>
      <c r="G874" s="68" t="str">
        <f>VLOOKUP(D874,'03. Insumos'!A:F,3,0)</f>
        <v>unid</v>
      </c>
      <c r="H874" s="69">
        <v>1</v>
      </c>
      <c r="I874" s="141"/>
      <c r="J874" s="70">
        <f t="shared" si="109"/>
        <v>19.79</v>
      </c>
      <c r="K874" s="70">
        <f>IF(A874=0,VLOOKUP(D874,'03. Insumos'!A:F,4,0),"")</f>
        <v>19.79</v>
      </c>
      <c r="L874" s="70">
        <f t="shared" si="110"/>
        <v>0</v>
      </c>
      <c r="M874" s="355">
        <f t="shared" ca="1" si="104"/>
        <v>0</v>
      </c>
      <c r="O874" s="148"/>
      <c r="R874" s="356"/>
    </row>
    <row r="875" spans="1:18" s="51" customFormat="1" ht="13.5" hidden="1" customHeight="1" outlineLevel="1" x14ac:dyDescent="0.3">
      <c r="A875" s="13">
        <f t="shared" si="97"/>
        <v>0</v>
      </c>
      <c r="B875" s="49"/>
      <c r="C875" s="55"/>
      <c r="D875" s="140" t="s">
        <v>856</v>
      </c>
      <c r="E875" s="67" t="str">
        <f>VLOOKUP(D875,'03. Insumos'!A:D,2,0)</f>
        <v>Flexível 40 cm</v>
      </c>
      <c r="F875" s="68"/>
      <c r="G875" s="68" t="str">
        <f>VLOOKUP(D875,'03. Insumos'!A:F,3,0)</f>
        <v>unid</v>
      </c>
      <c r="H875" s="69">
        <v>1</v>
      </c>
      <c r="I875" s="141"/>
      <c r="J875" s="70">
        <f t="shared" si="109"/>
        <v>16.2</v>
      </c>
      <c r="K875" s="70">
        <f>IF(A875=0,VLOOKUP(D875,'03. Insumos'!A:F,4,0),"")</f>
        <v>16.2</v>
      </c>
      <c r="L875" s="70">
        <f t="shared" si="110"/>
        <v>0</v>
      </c>
      <c r="M875" s="355">
        <f t="shared" ca="1" si="104"/>
        <v>0</v>
      </c>
      <c r="O875" s="148"/>
      <c r="R875" s="356"/>
    </row>
    <row r="876" spans="1:18" s="51" customFormat="1" ht="13.5" hidden="1" customHeight="1" outlineLevel="1" x14ac:dyDescent="0.3">
      <c r="A876" s="13">
        <f t="shared" si="97"/>
        <v>0</v>
      </c>
      <c r="B876" s="49"/>
      <c r="C876" s="55"/>
      <c r="D876" s="140" t="s">
        <v>867</v>
      </c>
      <c r="E876" s="67" t="str">
        <f>VLOOKUP(D876,'03. Insumos'!A:D,2,0)</f>
        <v>Ralo 10 x 10</v>
      </c>
      <c r="F876" s="68"/>
      <c r="G876" s="68" t="str">
        <f>VLOOKUP(D876,'03. Insumos'!A:F,3,0)</f>
        <v>unid</v>
      </c>
      <c r="H876" s="69">
        <v>1</v>
      </c>
      <c r="I876" s="141"/>
      <c r="J876" s="70">
        <f t="shared" si="109"/>
        <v>95.7</v>
      </c>
      <c r="K876" s="70">
        <f>IF(A876=0,VLOOKUP(D876,'03. Insumos'!A:F,4,0),"")</f>
        <v>95.7</v>
      </c>
      <c r="L876" s="70">
        <f t="shared" si="110"/>
        <v>0</v>
      </c>
      <c r="M876" s="355">
        <f t="shared" ca="1" si="104"/>
        <v>0</v>
      </c>
      <c r="O876" s="148"/>
      <c r="R876" s="356"/>
    </row>
    <row r="877" spans="1:18" s="51" customFormat="1" ht="13.5" hidden="1" customHeight="1" outlineLevel="1" x14ac:dyDescent="0.3">
      <c r="A877" s="13">
        <f t="shared" si="97"/>
        <v>0</v>
      </c>
      <c r="B877" s="49"/>
      <c r="C877" s="55"/>
      <c r="D877" s="140" t="s">
        <v>867</v>
      </c>
      <c r="E877" s="67" t="str">
        <f>VLOOKUP(D877,'03. Insumos'!A:D,2,0)</f>
        <v>Ralo 10 x 10</v>
      </c>
      <c r="F877" s="68"/>
      <c r="G877" s="68" t="str">
        <f>VLOOKUP(D877,'03. Insumos'!A:F,3,0)</f>
        <v>unid</v>
      </c>
      <c r="H877" s="69">
        <v>1</v>
      </c>
      <c r="I877" s="141"/>
      <c r="J877" s="70">
        <f>IFERROR(IF(K877&lt;&gt;0,K877*$K$5,0),0)</f>
        <v>95.7</v>
      </c>
      <c r="K877" s="70">
        <f>IF(A877=0,VLOOKUP(D877,'03. Insumos'!A:F,4,0),"")</f>
        <v>95.7</v>
      </c>
      <c r="L877" s="70">
        <f>H877*J877*I877</f>
        <v>0</v>
      </c>
      <c r="M877" s="355">
        <f t="shared" ca="1" si="104"/>
        <v>0</v>
      </c>
      <c r="O877" s="148"/>
      <c r="R877" s="356"/>
    </row>
    <row r="878" spans="1:18" s="51" customFormat="1" ht="13.5" hidden="1" customHeight="1" outlineLevel="1" x14ac:dyDescent="0.3">
      <c r="A878" s="13">
        <f t="shared" si="97"/>
        <v>0</v>
      </c>
      <c r="B878" s="49"/>
      <c r="C878" s="55"/>
      <c r="D878" s="140" t="s">
        <v>854</v>
      </c>
      <c r="E878" s="67" t="str">
        <f>VLOOKUP(D878,'03. Insumos'!A:D,2,0)</f>
        <v>Ralo 15 x 15</v>
      </c>
      <c r="F878" s="68"/>
      <c r="G878" s="68" t="str">
        <f>VLOOKUP(D878,'03. Insumos'!A:F,3,0)</f>
        <v>unid</v>
      </c>
      <c r="H878" s="69">
        <v>1</v>
      </c>
      <c r="I878" s="141"/>
      <c r="J878" s="70">
        <f>IFERROR(IF(K878&lt;&gt;0,K878*$K$5,0),0)</f>
        <v>75.59</v>
      </c>
      <c r="K878" s="70">
        <f>IF(A878=0,VLOOKUP(D878,'03. Insumos'!A:F,4,0),"")</f>
        <v>75.59</v>
      </c>
      <c r="L878" s="70">
        <f>H878*J878*I878</f>
        <v>0</v>
      </c>
      <c r="M878" s="355">
        <f t="shared" ca="1" si="104"/>
        <v>0</v>
      </c>
      <c r="O878" s="148"/>
      <c r="R878" s="356"/>
    </row>
    <row r="879" spans="1:18" s="51" customFormat="1" ht="13.5" hidden="1" customHeight="1" outlineLevel="1" x14ac:dyDescent="0.3">
      <c r="A879" s="13">
        <f t="shared" si="97"/>
        <v>0</v>
      </c>
      <c r="B879" s="49"/>
      <c r="C879" s="55"/>
      <c r="D879" s="140" t="s">
        <v>855</v>
      </c>
      <c r="E879" s="67" t="str">
        <f>VLOOKUP(D879,'03. Insumos'!A:D,2,0)</f>
        <v>Anel de vedação para bacia sanitária</v>
      </c>
      <c r="F879" s="68"/>
      <c r="G879" s="68" t="str">
        <f>VLOOKUP(D879,'03. Insumos'!A:F,3,0)</f>
        <v>unid</v>
      </c>
      <c r="H879" s="69">
        <v>1</v>
      </c>
      <c r="I879" s="141"/>
      <c r="J879" s="70">
        <f>IFERROR(IF(K879&lt;&gt;0,K879*$K$5,0),0)</f>
        <v>19.79</v>
      </c>
      <c r="K879" s="70">
        <f>IF(A879=0,VLOOKUP(D879,'03. Insumos'!A:F,4,0),"")</f>
        <v>19.79</v>
      </c>
      <c r="L879" s="70">
        <f>H879*J879*I879</f>
        <v>0</v>
      </c>
      <c r="M879" s="355">
        <f t="shared" ca="1" si="104"/>
        <v>0</v>
      </c>
      <c r="O879" s="148"/>
      <c r="R879" s="356"/>
    </row>
    <row r="880" spans="1:18" s="51" customFormat="1" ht="13.5" hidden="1" customHeight="1" outlineLevel="1" x14ac:dyDescent="0.3">
      <c r="A880" s="13">
        <f t="shared" si="97"/>
        <v>0</v>
      </c>
      <c r="B880" s="49"/>
      <c r="C880" s="55"/>
      <c r="D880" s="140" t="s">
        <v>856</v>
      </c>
      <c r="E880" s="67" t="str">
        <f>VLOOKUP(D880,'03. Insumos'!A:D,2,0)</f>
        <v>Flexível 40 cm</v>
      </c>
      <c r="F880" s="68"/>
      <c r="G880" s="68" t="str">
        <f>VLOOKUP(D880,'03. Insumos'!A:F,3,0)</f>
        <v>unid</v>
      </c>
      <c r="H880" s="69">
        <v>1</v>
      </c>
      <c r="I880" s="141"/>
      <c r="J880" s="70">
        <f>IFERROR(IF(K880&lt;&gt;0,K880*$K$5,0),0)</f>
        <v>16.2</v>
      </c>
      <c r="K880" s="70">
        <f>IF(A880=0,VLOOKUP(D880,'03. Insumos'!A:F,4,0),"")</f>
        <v>16.2</v>
      </c>
      <c r="L880" s="70">
        <f>H880*J880*I880</f>
        <v>0</v>
      </c>
      <c r="M880" s="355">
        <f t="shared" ca="1" si="104"/>
        <v>0</v>
      </c>
      <c r="O880" s="148"/>
      <c r="R880" s="356"/>
    </row>
    <row r="881" spans="1:18" s="51" customFormat="1" ht="13.5" hidden="1" customHeight="1" outlineLevel="1" x14ac:dyDescent="0.3">
      <c r="A881" s="13">
        <f t="shared" si="97"/>
        <v>0</v>
      </c>
      <c r="B881" s="49"/>
      <c r="C881" s="55"/>
      <c r="D881" s="140" t="s">
        <v>867</v>
      </c>
      <c r="E881" s="67" t="str">
        <f>VLOOKUP(D881,'03. Insumos'!A:D,2,0)</f>
        <v>Ralo 10 x 10</v>
      </c>
      <c r="F881" s="68"/>
      <c r="G881" s="68" t="str">
        <f>VLOOKUP(D881,'03. Insumos'!A:F,3,0)</f>
        <v>unid</v>
      </c>
      <c r="H881" s="69">
        <v>1</v>
      </c>
      <c r="I881" s="141"/>
      <c r="J881" s="70">
        <f>IFERROR(IF(K881&lt;&gt;0,K881*$K$5,0),0)</f>
        <v>95.7</v>
      </c>
      <c r="K881" s="70">
        <f>IF(A881=0,VLOOKUP(D881,'03. Insumos'!A:F,4,0),"")</f>
        <v>95.7</v>
      </c>
      <c r="L881" s="70">
        <f>H881*J881*I881</f>
        <v>0</v>
      </c>
      <c r="M881" s="355">
        <f t="shared" ca="1" si="104"/>
        <v>0</v>
      </c>
      <c r="O881" s="148"/>
      <c r="R881" s="356"/>
    </row>
    <row r="882" spans="1:18" s="51" customFormat="1" ht="13.5" hidden="1" customHeight="1" outlineLevel="1" x14ac:dyDescent="0.3">
      <c r="A882" s="13">
        <f t="shared" si="97"/>
        <v>6</v>
      </c>
      <c r="B882" s="49"/>
      <c r="C882" s="55" t="s">
        <v>1556</v>
      </c>
      <c r="D882" s="55" t="s">
        <v>1557</v>
      </c>
      <c r="E882" s="67"/>
      <c r="F882" s="68"/>
      <c r="G882" s="68"/>
      <c r="H882" s="69"/>
      <c r="I882" s="141"/>
      <c r="J882" s="70"/>
      <c r="K882" s="70"/>
      <c r="L882" s="58">
        <f>SUM(L883)</f>
        <v>0</v>
      </c>
      <c r="M882" s="355">
        <f t="shared" ca="1" si="104"/>
        <v>0</v>
      </c>
      <c r="O882" s="148"/>
      <c r="R882" s="356"/>
    </row>
    <row r="883" spans="1:18" s="51" customFormat="1" ht="13.5" hidden="1" customHeight="1" outlineLevel="1" x14ac:dyDescent="0.3">
      <c r="A883" s="13">
        <f t="shared" si="97"/>
        <v>0</v>
      </c>
      <c r="B883" s="49"/>
      <c r="C883" s="55"/>
      <c r="D883" s="140" t="s">
        <v>871</v>
      </c>
      <c r="E883" s="67" t="str">
        <f>VLOOKUP(D883,'03. Insumos'!A:D,2,0)</f>
        <v>Torneira de jardim DN 15/20 MAX CR</v>
      </c>
      <c r="F883" s="68"/>
      <c r="G883" s="68" t="str">
        <f>VLOOKUP(D883,'03. Insumos'!A:F,3,0)</f>
        <v>unid</v>
      </c>
      <c r="H883" s="69">
        <v>1</v>
      </c>
      <c r="I883" s="141"/>
      <c r="J883" s="70">
        <f>IFERROR(IF(K883&lt;&gt;0,K883*$K$5,0),0)</f>
        <v>50.86</v>
      </c>
      <c r="K883" s="70">
        <f>IF(A883=0,VLOOKUP(D883,'03. Insumos'!A:F,4,0),"")</f>
        <v>50.86</v>
      </c>
      <c r="L883" s="70">
        <f>H883*J883*I883</f>
        <v>0</v>
      </c>
      <c r="M883" s="355">
        <f t="shared" ca="1" si="104"/>
        <v>0</v>
      </c>
      <c r="O883" s="148"/>
      <c r="R883" s="356"/>
    </row>
    <row r="884" spans="1:18" s="59" customFormat="1" ht="13.5" hidden="1" customHeight="1" outlineLevel="1" x14ac:dyDescent="0.3">
      <c r="A884" s="13">
        <f t="shared" si="97"/>
        <v>6</v>
      </c>
      <c r="B884" s="55"/>
      <c r="C884" s="55" t="s">
        <v>1558</v>
      </c>
      <c r="D884" s="55" t="s">
        <v>1205</v>
      </c>
      <c r="E884" s="55"/>
      <c r="F884" s="56"/>
      <c r="G884" s="56"/>
      <c r="H884" s="57"/>
      <c r="I884" s="57"/>
      <c r="J884" s="58">
        <f>IFERROR(IF(K884&lt;&gt;0,K884*$K$5,0),0)</f>
        <v>0</v>
      </c>
      <c r="K884" s="58" t="str">
        <f>IF(A884=0,VLOOKUP(D884,'03. Insumos'!A:F,4,0),"")</f>
        <v/>
      </c>
      <c r="L884" s="58">
        <f>SUM(L885:L886)</f>
        <v>0</v>
      </c>
      <c r="M884" s="355">
        <f t="shared" ca="1" si="104"/>
        <v>0</v>
      </c>
      <c r="O884" s="148">
        <f>IF(I884&lt;&gt;0,I884*H884*K884,)</f>
        <v>0</v>
      </c>
      <c r="R884" s="356">
        <f>IF(J884&lt;&gt;0,J884/1.03-K884,0)</f>
        <v>0</v>
      </c>
    </row>
    <row r="885" spans="1:18" s="51" customFormat="1" ht="13.5" hidden="1" customHeight="1" outlineLevel="1" x14ac:dyDescent="0.3">
      <c r="A885" s="13">
        <f t="shared" si="97"/>
        <v>0</v>
      </c>
      <c r="B885" s="49"/>
      <c r="C885" s="49"/>
      <c r="D885" s="140" t="s">
        <v>873</v>
      </c>
      <c r="E885" s="67" t="str">
        <f>VLOOKUP(D885,'03. Insumos'!A:D,2,0)</f>
        <v>Maçanetas modelo logus cromado Imab - Ref.: MA0910</v>
      </c>
      <c r="F885" s="68"/>
      <c r="G885" s="68" t="str">
        <f>VLOOKUP(D885,'03. Insumos'!A:F,3,0)</f>
        <v>unid</v>
      </c>
      <c r="H885" s="69">
        <v>1</v>
      </c>
      <c r="I885" s="141"/>
      <c r="J885" s="70">
        <f>IFERROR(IF(K885&lt;&gt;0,K885*$K$5,0),0)</f>
        <v>173.9</v>
      </c>
      <c r="K885" s="70">
        <f>IF(A885=0,VLOOKUP(D885,'03. Insumos'!A:F,4,0),"")</f>
        <v>173.9</v>
      </c>
      <c r="L885" s="70">
        <f>H885*J885*I885</f>
        <v>0</v>
      </c>
      <c r="M885" s="355">
        <f t="shared" ca="1" si="104"/>
        <v>0</v>
      </c>
      <c r="O885" s="148">
        <f>IF(I885&lt;&gt;0,I885*H885*K885,)</f>
        <v>0</v>
      </c>
      <c r="R885" s="356">
        <f>IF(J885&lt;&gt;0,J885/1.03-K885,0)</f>
        <v>-5.0650485436893291</v>
      </c>
    </row>
    <row r="886" spans="1:18" s="51" customFormat="1" ht="13.5" hidden="1" customHeight="1" outlineLevel="1" x14ac:dyDescent="0.3">
      <c r="A886" s="13">
        <f t="shared" si="97"/>
        <v>0</v>
      </c>
      <c r="B886" s="49"/>
      <c r="C886" s="49"/>
      <c r="D886" s="140" t="s">
        <v>874</v>
      </c>
      <c r="E886" s="67" t="str">
        <f>VLOOKUP(D886,'03. Insumos'!A:D,2,0)</f>
        <v>Dobradiças para portas internas</v>
      </c>
      <c r="F886" s="68"/>
      <c r="G886" s="68" t="str">
        <f>VLOOKUP(D886,'03. Insumos'!A:F,3,0)</f>
        <v>unid</v>
      </c>
      <c r="H886" s="69">
        <v>1</v>
      </c>
      <c r="I886" s="141"/>
      <c r="J886" s="70">
        <f>IFERROR(IF(K886&lt;&gt;0,K886*$K$5,0),0)</f>
        <v>5.98</v>
      </c>
      <c r="K886" s="70">
        <f>IF(A886=0,VLOOKUP(D886,'03. Insumos'!A:F,4,0),"")</f>
        <v>5.98</v>
      </c>
      <c r="L886" s="70">
        <f>H886*J886*I886</f>
        <v>0</v>
      </c>
      <c r="M886" s="355">
        <f t="shared" ca="1" si="104"/>
        <v>0</v>
      </c>
      <c r="O886" s="148"/>
      <c r="R886" s="356"/>
    </row>
    <row r="887" spans="1:18" s="18" customFormat="1" collapsed="1" x14ac:dyDescent="0.3">
      <c r="A887" s="290">
        <f t="shared" ref="A887:A929" si="111">LEN(C887)</f>
        <v>3</v>
      </c>
      <c r="B887" s="35"/>
      <c r="C887" s="35" t="s">
        <v>351</v>
      </c>
      <c r="D887" s="35" t="s">
        <v>1597</v>
      </c>
      <c r="E887" s="390"/>
      <c r="F887" s="323"/>
      <c r="G887" s="323"/>
      <c r="H887" s="324"/>
      <c r="I887" s="37"/>
      <c r="J887" s="333"/>
      <c r="K887" s="333"/>
      <c r="L887" s="333">
        <f>SUMIF(A888:A890,4,L888:L890)</f>
        <v>67531.5</v>
      </c>
      <c r="M887" s="153">
        <f t="shared" ref="M887:M929" ca="1" si="112">L887/$L$7</f>
        <v>2.5452599382708805E-3</v>
      </c>
      <c r="O887" s="148">
        <f t="shared" ref="O887:O929" si="113">IF(I887&lt;&gt;0,I887*H887*K887,)</f>
        <v>0</v>
      </c>
      <c r="R887" s="12">
        <f t="shared" ref="R887:R930" si="114">IF(J887&lt;&gt;0,J887/1.03-K887,0)</f>
        <v>0</v>
      </c>
    </row>
    <row r="888" spans="1:18" s="18" customFormat="1" outlineLevel="1" x14ac:dyDescent="0.3">
      <c r="A888" s="290">
        <f t="shared" si="111"/>
        <v>4</v>
      </c>
      <c r="B888" s="45"/>
      <c r="C888" s="45" t="s">
        <v>375</v>
      </c>
      <c r="D888" s="45" t="s">
        <v>1809</v>
      </c>
      <c r="E888" s="347"/>
      <c r="F888" s="327"/>
      <c r="G888" s="327"/>
      <c r="H888" s="328"/>
      <c r="I888" s="61"/>
      <c r="J888" s="335"/>
      <c r="K888" s="335" t="str">
        <f>IF(A888=0,VLOOKUP(D888,'03. Insumos'!A:F,4,0),"")</f>
        <v/>
      </c>
      <c r="L888" s="335">
        <f>SUMIF(A889:A890,6,L889:L890)</f>
        <v>67531.5</v>
      </c>
      <c r="M888" s="153">
        <f t="shared" ca="1" si="112"/>
        <v>2.5452599382708805E-3</v>
      </c>
      <c r="O888" s="148">
        <f t="shared" si="113"/>
        <v>0</v>
      </c>
      <c r="R888" s="12">
        <f t="shared" si="114"/>
        <v>0</v>
      </c>
    </row>
    <row r="889" spans="1:18" s="59" customFormat="1" outlineLevel="1" x14ac:dyDescent="0.3">
      <c r="A889" s="290">
        <f t="shared" si="111"/>
        <v>6</v>
      </c>
      <c r="B889" s="55"/>
      <c r="C889" s="55" t="s">
        <v>376</v>
      </c>
      <c r="D889" s="4" t="s">
        <v>1809</v>
      </c>
      <c r="E889" s="55"/>
      <c r="F889" s="56"/>
      <c r="G889" s="56"/>
      <c r="H889" s="57"/>
      <c r="I889" s="57"/>
      <c r="J889" s="58"/>
      <c r="K889" s="58" t="str">
        <f>IF(A889=0,VLOOKUP(D889,'03. Insumos'!A:F,4,0),"")</f>
        <v/>
      </c>
      <c r="L889" s="58">
        <f>SUM(L890:L893)</f>
        <v>67531.5</v>
      </c>
      <c r="M889" s="153">
        <f t="shared" ca="1" si="112"/>
        <v>2.5452599382708805E-3</v>
      </c>
      <c r="O889" s="148">
        <f t="shared" si="113"/>
        <v>0</v>
      </c>
      <c r="R889" s="12">
        <f t="shared" si="114"/>
        <v>0</v>
      </c>
    </row>
    <row r="890" spans="1:18" s="51" customFormat="1" ht="13.5" customHeight="1" outlineLevel="1" x14ac:dyDescent="0.3">
      <c r="A890" s="290">
        <f t="shared" si="111"/>
        <v>0</v>
      </c>
      <c r="B890" s="49"/>
      <c r="C890" s="49"/>
      <c r="D890" s="140" t="s">
        <v>2666</v>
      </c>
      <c r="E890" s="67" t="str">
        <f>VLOOKUP(D890,'03. Insumos'!A:D,2,0)</f>
        <v>Deck de madeira (mat +mo)</v>
      </c>
      <c r="F890" s="68" t="s">
        <v>2599</v>
      </c>
      <c r="G890" s="68" t="str">
        <f>VLOOKUP(D890,'03. Insumos'!A:F,3,0)</f>
        <v>m²</v>
      </c>
      <c r="H890" s="69">
        <v>1</v>
      </c>
      <c r="I890" s="141">
        <v>5</v>
      </c>
      <c r="J890" s="70">
        <f>IFERROR(IF(K890&lt;&gt;0,K890*$K$5,0),0)</f>
        <v>12500</v>
      </c>
      <c r="K890" s="70">
        <f>IF(A890=0,VLOOKUP(D890,'03. Insumos'!A:F,4,0),"")</f>
        <v>12500</v>
      </c>
      <c r="L890" s="70">
        <f>H890*J890*I890</f>
        <v>62500</v>
      </c>
      <c r="M890" s="153">
        <f t="shared" ca="1" si="112"/>
        <v>2.3556228743909142E-3</v>
      </c>
      <c r="O890" s="148">
        <f t="shared" si="113"/>
        <v>62500</v>
      </c>
      <c r="R890" s="12">
        <f t="shared" si="114"/>
        <v>-364.07766990291384</v>
      </c>
    </row>
    <row r="891" spans="1:18" s="51" customFormat="1" outlineLevel="1" x14ac:dyDescent="0.3">
      <c r="A891" s="290">
        <f t="shared" si="111"/>
        <v>0</v>
      </c>
      <c r="B891" s="49"/>
      <c r="C891" s="49"/>
      <c r="D891" s="140" t="s">
        <v>2922</v>
      </c>
      <c r="E891" s="67" t="str">
        <f>VLOOKUP(D891,'03. Insumos'!A:D,2,0)</f>
        <v>Degrau em madeira</v>
      </c>
      <c r="F891" s="68" t="s">
        <v>2599</v>
      </c>
      <c r="G891" s="68" t="str">
        <f>VLOOKUP(D891,'03. Insumos'!A:F,3,0)</f>
        <v>m²</v>
      </c>
      <c r="H891" s="69">
        <v>1</v>
      </c>
      <c r="I891" s="141">
        <v>3.47</v>
      </c>
      <c r="J891" s="70">
        <f>IFERROR(IF(K891&lt;&gt;0,K891*$K$5,0),0)</f>
        <v>1450</v>
      </c>
      <c r="K891" s="70">
        <f>IF(A891=0,VLOOKUP(D891,'03. Insumos'!A:F,4,0),"")</f>
        <v>1450</v>
      </c>
      <c r="L891" s="70">
        <f>H891*J891*I891</f>
        <v>5031.5</v>
      </c>
      <c r="M891" s="153">
        <f t="shared" ca="1" si="112"/>
        <v>1.8963706387996616E-4</v>
      </c>
      <c r="O891" s="148"/>
      <c r="R891" s="12"/>
    </row>
    <row r="892" spans="1:18" s="51" customFormat="1" hidden="1" outlineLevel="1" x14ac:dyDescent="0.3">
      <c r="A892" s="290">
        <f t="shared" si="111"/>
        <v>0</v>
      </c>
      <c r="B892" s="49"/>
      <c r="C892" s="49"/>
      <c r="D892" s="140" t="s">
        <v>2632</v>
      </c>
      <c r="E892" s="67" t="str">
        <f>VLOOKUP(D892,'03. Insumos'!A:D,2,0)</f>
        <v>Revestimento de parede com painel de correr, acab com fundo preto e ripado madeirado - 4,96 x 2,45</v>
      </c>
      <c r="F892" s="68" t="s">
        <v>2599</v>
      </c>
      <c r="G892" s="68" t="str">
        <f>VLOOKUP(D892,'03. Insumos'!A:F,3,0)</f>
        <v>unid</v>
      </c>
      <c r="H892" s="69">
        <v>1</v>
      </c>
      <c r="I892" s="141"/>
      <c r="J892" s="70">
        <f>IFERROR(IF(K892&lt;&gt;0,K892*$K$5,0),0)</f>
        <v>12749</v>
      </c>
      <c r="K892" s="70">
        <f>IF(A892=0,VLOOKUP(D892,'03. Insumos'!A:F,4,0),"")</f>
        <v>12749</v>
      </c>
      <c r="L892" s="70">
        <f>H892*J892*I892</f>
        <v>0</v>
      </c>
      <c r="M892" s="153">
        <f t="shared" ca="1" si="112"/>
        <v>0</v>
      </c>
      <c r="O892" s="148"/>
      <c r="R892" s="12"/>
    </row>
    <row r="893" spans="1:18" s="51" customFormat="1" hidden="1" outlineLevel="1" x14ac:dyDescent="0.3">
      <c r="A893" s="290">
        <f t="shared" si="111"/>
        <v>0</v>
      </c>
      <c r="B893" s="49"/>
      <c r="C893" s="49"/>
      <c r="D893" s="140" t="s">
        <v>2635</v>
      </c>
      <c r="E893" s="67" t="str">
        <f>VLOOKUP(D893,'03. Insumos'!A:D,2,0)</f>
        <v>Revestimento de parede com painel de correr, acab com fundo preto e ripado madeirado - 4,95 x 2,5</v>
      </c>
      <c r="F893" s="68" t="s">
        <v>2599</v>
      </c>
      <c r="G893" s="68" t="str">
        <f>VLOOKUP(D893,'03. Insumos'!A:F,3,0)</f>
        <v>unid</v>
      </c>
      <c r="H893" s="69">
        <v>1</v>
      </c>
      <c r="I893" s="141"/>
      <c r="J893" s="70">
        <f>IFERROR(IF(K893&lt;&gt;0,K893*$K$5,0),0)</f>
        <v>13009.183673469388</v>
      </c>
      <c r="K893" s="70">
        <f>IF(A893=0,VLOOKUP(D893,'03. Insumos'!A:F,4,0),"")</f>
        <v>13009.183673469388</v>
      </c>
      <c r="L893" s="70">
        <f>H893*J893*I893</f>
        <v>0</v>
      </c>
      <c r="M893" s="153">
        <f t="shared" ca="1" si="112"/>
        <v>0</v>
      </c>
      <c r="O893" s="148"/>
      <c r="R893" s="12"/>
    </row>
    <row r="894" spans="1:18" s="18" customFormat="1" x14ac:dyDescent="0.3">
      <c r="A894" s="290">
        <f t="shared" si="111"/>
        <v>3</v>
      </c>
      <c r="B894" s="35"/>
      <c r="C894" s="35" t="s">
        <v>360</v>
      </c>
      <c r="D894" s="35" t="s">
        <v>87</v>
      </c>
      <c r="E894" s="390"/>
      <c r="F894" s="323"/>
      <c r="G894" s="323"/>
      <c r="H894" s="324"/>
      <c r="I894" s="37"/>
      <c r="J894" s="333"/>
      <c r="K894" s="333"/>
      <c r="L894" s="333">
        <f>SUMIF(A895:A897,4,L895:L897)</f>
        <v>5400</v>
      </c>
      <c r="M894" s="153">
        <f t="shared" ca="1" si="112"/>
        <v>2.0352581634737498E-4</v>
      </c>
      <c r="O894" s="148">
        <f t="shared" si="113"/>
        <v>0</v>
      </c>
      <c r="R894" s="12">
        <f t="shared" si="114"/>
        <v>0</v>
      </c>
    </row>
    <row r="895" spans="1:18" s="18" customFormat="1" outlineLevel="1" x14ac:dyDescent="0.3">
      <c r="A895" s="290">
        <f t="shared" si="111"/>
        <v>4</v>
      </c>
      <c r="B895" s="45"/>
      <c r="C895" s="45" t="s">
        <v>1815</v>
      </c>
      <c r="D895" s="45" t="s">
        <v>93</v>
      </c>
      <c r="E895" s="347"/>
      <c r="F895" s="327"/>
      <c r="G895" s="327"/>
      <c r="H895" s="328"/>
      <c r="I895" s="61"/>
      <c r="J895" s="335"/>
      <c r="K895" s="335" t="str">
        <f>IF(A895=0,VLOOKUP(D895,'03. Insumos'!A:F,4,0),"")</f>
        <v/>
      </c>
      <c r="L895" s="335">
        <f>SUMIF(A896:A897,6,L896:L897)</f>
        <v>5400</v>
      </c>
      <c r="M895" s="153">
        <f t="shared" ca="1" si="112"/>
        <v>2.0352581634737498E-4</v>
      </c>
      <c r="O895" s="148">
        <f t="shared" si="113"/>
        <v>0</v>
      </c>
      <c r="R895" s="12">
        <f t="shared" si="114"/>
        <v>0</v>
      </c>
    </row>
    <row r="896" spans="1:18" s="59" customFormat="1" outlineLevel="1" x14ac:dyDescent="0.3">
      <c r="A896" s="290">
        <f t="shared" si="111"/>
        <v>6</v>
      </c>
      <c r="B896" s="55"/>
      <c r="C896" s="55" t="s">
        <v>1816</v>
      </c>
      <c r="D896" s="4" t="s">
        <v>93</v>
      </c>
      <c r="E896" s="55"/>
      <c r="F896" s="56"/>
      <c r="G896" s="56"/>
      <c r="H896" s="57"/>
      <c r="I896" s="57"/>
      <c r="J896" s="58"/>
      <c r="K896" s="58" t="str">
        <f>IF(A896=0,VLOOKUP(D896,'03. Insumos'!A:F,4,0),"")</f>
        <v/>
      </c>
      <c r="L896" s="58">
        <f>SUM(L897)</f>
        <v>5400</v>
      </c>
      <c r="M896" s="153">
        <f t="shared" ca="1" si="112"/>
        <v>2.0352581634737498E-4</v>
      </c>
      <c r="O896" s="148">
        <f t="shared" si="113"/>
        <v>0</v>
      </c>
      <c r="R896" s="12">
        <f t="shared" si="114"/>
        <v>0</v>
      </c>
    </row>
    <row r="897" spans="1:18" s="51" customFormat="1" outlineLevel="1" x14ac:dyDescent="0.3">
      <c r="A897" s="290">
        <f t="shared" si="111"/>
        <v>0</v>
      </c>
      <c r="B897" s="49"/>
      <c r="C897" s="49"/>
      <c r="D897" s="140" t="s">
        <v>557</v>
      </c>
      <c r="E897" s="67" t="str">
        <f>VLOOKUP(D897,'03. Insumos'!A:D,2,0)</f>
        <v>Limpeza de obra</v>
      </c>
      <c r="F897" s="68" t="s">
        <v>2607</v>
      </c>
      <c r="G897" s="68" t="str">
        <f>VLOOKUP(D897,'03. Insumos'!A:F,3,0)</f>
        <v>Diária</v>
      </c>
      <c r="H897" s="69">
        <v>1</v>
      </c>
      <c r="I897" s="141">
        <f>3*6</f>
        <v>18</v>
      </c>
      <c r="J897" s="70">
        <f>IFERROR(IF(K897&lt;&gt;0,K897*$K$5,0),0)</f>
        <v>300</v>
      </c>
      <c r="K897" s="70">
        <f>IF(A897=0,VLOOKUP(D897,'03. Insumos'!A:F,4,0),"")</f>
        <v>300</v>
      </c>
      <c r="L897" s="70">
        <f>H897*J897*I897</f>
        <v>5400</v>
      </c>
      <c r="M897" s="153">
        <f t="shared" ca="1" si="112"/>
        <v>2.0352581634737498E-4</v>
      </c>
      <c r="O897" s="148">
        <f t="shared" si="113"/>
        <v>5400</v>
      </c>
      <c r="R897" s="12">
        <f t="shared" si="114"/>
        <v>-8.737864077669883</v>
      </c>
    </row>
    <row r="898" spans="1:18" s="18" customFormat="1" x14ac:dyDescent="0.3">
      <c r="A898" s="290">
        <f t="shared" si="111"/>
        <v>3</v>
      </c>
      <c r="B898" s="35"/>
      <c r="C898" s="35" t="s">
        <v>980</v>
      </c>
      <c r="D898" s="35" t="s">
        <v>974</v>
      </c>
      <c r="E898" s="390"/>
      <c r="F898" s="36"/>
      <c r="G898" s="36"/>
      <c r="H898" s="37"/>
      <c r="I898" s="37"/>
      <c r="J898" s="38"/>
      <c r="K898" s="38"/>
      <c r="L898" s="333">
        <f>SUMIF(A899:A906,4,L899:L906)</f>
        <v>15200</v>
      </c>
      <c r="M898" s="153">
        <f t="shared" ca="1" si="112"/>
        <v>5.7288748305187032E-4</v>
      </c>
      <c r="O898" s="148">
        <f t="shared" si="113"/>
        <v>0</v>
      </c>
      <c r="R898" s="12">
        <f t="shared" si="114"/>
        <v>0</v>
      </c>
    </row>
    <row r="899" spans="1:18" s="18" customFormat="1" outlineLevel="1" x14ac:dyDescent="0.3">
      <c r="A899" s="290">
        <f t="shared" si="111"/>
        <v>4</v>
      </c>
      <c r="B899" s="45"/>
      <c r="C899" s="45" t="s">
        <v>981</v>
      </c>
      <c r="D899" s="45" t="s">
        <v>2183</v>
      </c>
      <c r="E899" s="347"/>
      <c r="F899" s="60"/>
      <c r="G899" s="60"/>
      <c r="H899" s="61"/>
      <c r="I899" s="61"/>
      <c r="J899" s="62"/>
      <c r="K899" s="62" t="str">
        <f>IF(A899=0,VLOOKUP(D899,'03. Insumos'!A:F,4,0),"")</f>
        <v/>
      </c>
      <c r="L899" s="335">
        <f>SUMIF(A900:A906,6,L900:L906)</f>
        <v>15200</v>
      </c>
      <c r="M899" s="153">
        <f t="shared" ca="1" si="112"/>
        <v>5.7288748305187032E-4</v>
      </c>
      <c r="O899" s="148">
        <f t="shared" si="113"/>
        <v>0</v>
      </c>
      <c r="R899" s="12">
        <f t="shared" si="114"/>
        <v>0</v>
      </c>
    </row>
    <row r="900" spans="1:18" s="59" customFormat="1" ht="13.5" customHeight="1" outlineLevel="1" x14ac:dyDescent="0.3">
      <c r="A900" s="290">
        <f t="shared" si="111"/>
        <v>6</v>
      </c>
      <c r="B900" s="55"/>
      <c r="C900" s="55" t="s">
        <v>982</v>
      </c>
      <c r="D900" s="55" t="s">
        <v>975</v>
      </c>
      <c r="E900" s="55"/>
      <c r="F900" s="56"/>
      <c r="G900" s="56"/>
      <c r="H900" s="57"/>
      <c r="I900" s="57"/>
      <c r="J900" s="58"/>
      <c r="K900" s="58" t="str">
        <f>IF(A900=0,VLOOKUP(D900,'03. Insumos'!A:F,4,0),"")</f>
        <v/>
      </c>
      <c r="L900" s="58">
        <f>SUM(L901:L903)</f>
        <v>15200</v>
      </c>
      <c r="M900" s="153">
        <f t="shared" ca="1" si="112"/>
        <v>5.7288748305187032E-4</v>
      </c>
      <c r="O900" s="148">
        <f t="shared" si="113"/>
        <v>0</v>
      </c>
      <c r="R900" s="12">
        <f t="shared" si="114"/>
        <v>0</v>
      </c>
    </row>
    <row r="901" spans="1:18" s="51" customFormat="1" ht="13.5" customHeight="1" outlineLevel="1" x14ac:dyDescent="0.3">
      <c r="A901" s="290">
        <f t="shared" si="111"/>
        <v>0</v>
      </c>
      <c r="B901" s="49"/>
      <c r="C901" s="49"/>
      <c r="D901" s="140" t="s">
        <v>2794</v>
      </c>
      <c r="E901" s="67" t="str">
        <f>VLOOKUP(D901,'03. Insumos'!A:D,2,0)</f>
        <v>Projeto de Instalações</v>
      </c>
      <c r="F901" s="68" t="s">
        <v>2599</v>
      </c>
      <c r="G901" s="68" t="str">
        <f>VLOOKUP(D901,'03. Insumos'!A:F,3,0)</f>
        <v>vb</v>
      </c>
      <c r="H901" s="69">
        <v>1</v>
      </c>
      <c r="I901" s="141">
        <v>1</v>
      </c>
      <c r="J901" s="70">
        <f>IFERROR(IF(K901&lt;&gt;0,K901*$K$5,0),0)</f>
        <v>6200</v>
      </c>
      <c r="K901" s="70">
        <f>IF(A901=0,VLOOKUP(D901,'03. Insumos'!A:F,4,0),"")</f>
        <v>6200</v>
      </c>
      <c r="L901" s="70">
        <f>H901*J901*I901</f>
        <v>6200</v>
      </c>
      <c r="M901" s="153">
        <f t="shared" ca="1" si="112"/>
        <v>2.3367778913957869E-4</v>
      </c>
      <c r="O901" s="148">
        <f t="shared" si="113"/>
        <v>6200</v>
      </c>
      <c r="R901" s="12">
        <f t="shared" si="114"/>
        <v>-180.5825242718447</v>
      </c>
    </row>
    <row r="902" spans="1:18" s="51" customFormat="1" ht="13.5" hidden="1" customHeight="1" outlineLevel="1" x14ac:dyDescent="0.3">
      <c r="A902" s="290">
        <f t="shared" si="111"/>
        <v>0</v>
      </c>
      <c r="B902" s="49"/>
      <c r="C902" s="49"/>
      <c r="D902" s="140"/>
      <c r="E902" s="67" t="e">
        <f>VLOOKUP(D902,'03. Insumos'!A:D,2,0)</f>
        <v>#N/A</v>
      </c>
      <c r="F902" s="68" t="s">
        <v>2599</v>
      </c>
      <c r="G902" s="68" t="s">
        <v>29</v>
      </c>
      <c r="H902" s="69">
        <v>1</v>
      </c>
      <c r="I902" s="141">
        <v>1</v>
      </c>
      <c r="J902" s="70">
        <f>IFERROR(IF(K902&lt;&gt;0,K902*$K$5,0),0)</f>
        <v>0</v>
      </c>
      <c r="K902" s="70" t="e">
        <f>IF(A902=0,VLOOKUP(D902,'03. Insumos'!A:F,4,0),"")</f>
        <v>#N/A</v>
      </c>
      <c r="L902" s="70">
        <f>H902*J902*I902</f>
        <v>0</v>
      </c>
      <c r="M902" s="153">
        <f t="shared" ca="1" si="112"/>
        <v>0</v>
      </c>
      <c r="O902" s="148" t="e">
        <f t="shared" si="113"/>
        <v>#N/A</v>
      </c>
      <c r="R902" s="12">
        <f t="shared" si="114"/>
        <v>0</v>
      </c>
    </row>
    <row r="903" spans="1:18" s="51" customFormat="1" ht="13.5" customHeight="1" outlineLevel="1" x14ac:dyDescent="0.3">
      <c r="A903" s="290">
        <f t="shared" si="111"/>
        <v>0</v>
      </c>
      <c r="B903" s="49"/>
      <c r="C903" s="49"/>
      <c r="D903" s="140" t="s">
        <v>2796</v>
      </c>
      <c r="E903" s="67" t="str">
        <f>VLOOKUP(D903,'03. Insumos'!A:D,2,0)</f>
        <v>Projeto de Estrutura</v>
      </c>
      <c r="F903" s="68" t="s">
        <v>2599</v>
      </c>
      <c r="G903" s="68" t="s">
        <v>29</v>
      </c>
      <c r="H903" s="69">
        <v>1</v>
      </c>
      <c r="I903" s="141">
        <v>1</v>
      </c>
      <c r="J903" s="70">
        <f>IFERROR(IF(K903&lt;&gt;0,K903*$K$5,0),0)</f>
        <v>9000</v>
      </c>
      <c r="K903" s="70">
        <f>IF(A903=0,VLOOKUP(D903,'03. Insumos'!A:F,4,0),"")</f>
        <v>9000</v>
      </c>
      <c r="L903" s="70">
        <f>H903*J903*I903</f>
        <v>9000</v>
      </c>
      <c r="M903" s="153">
        <f t="shared" ca="1" si="112"/>
        <v>3.3920969391229165E-4</v>
      </c>
      <c r="O903" s="148">
        <f t="shared" si="113"/>
        <v>9000</v>
      </c>
      <c r="R903" s="12">
        <f t="shared" si="114"/>
        <v>-262.13592233009695</v>
      </c>
    </row>
    <row r="904" spans="1:18" s="59" customFormat="1" ht="13.5" hidden="1" customHeight="1" outlineLevel="1" x14ac:dyDescent="0.3">
      <c r="A904" s="290">
        <f t="shared" si="111"/>
        <v>6</v>
      </c>
      <c r="B904" s="55"/>
      <c r="C904" s="55" t="s">
        <v>985</v>
      </c>
      <c r="D904" s="55" t="s">
        <v>94</v>
      </c>
      <c r="E904" s="55"/>
      <c r="F904" s="56"/>
      <c r="G904" s="56"/>
      <c r="H904" s="57"/>
      <c r="I904" s="57"/>
      <c r="J904" s="58"/>
      <c r="K904" s="58" t="str">
        <f>IF(A904=0,VLOOKUP(D904,'03. Insumos'!A:F,4,0),"")</f>
        <v/>
      </c>
      <c r="L904" s="58">
        <f>SUM(L905:L906)</f>
        <v>0</v>
      </c>
      <c r="M904" s="153">
        <f t="shared" ca="1" si="112"/>
        <v>0</v>
      </c>
      <c r="O904" s="148">
        <f t="shared" si="113"/>
        <v>0</v>
      </c>
      <c r="R904" s="12">
        <f t="shared" si="114"/>
        <v>0</v>
      </c>
    </row>
    <row r="905" spans="1:18" s="51" customFormat="1" ht="13.5" hidden="1" customHeight="1" outlineLevel="1" x14ac:dyDescent="0.3">
      <c r="A905" s="290">
        <f t="shared" si="111"/>
        <v>0</v>
      </c>
      <c r="B905" s="49"/>
      <c r="C905" s="49"/>
      <c r="D905" s="49"/>
      <c r="E905" s="67" t="s">
        <v>2182</v>
      </c>
      <c r="F905" s="52"/>
      <c r="G905" s="52" t="s">
        <v>29</v>
      </c>
      <c r="H905" s="53">
        <v>1</v>
      </c>
      <c r="I905" s="141"/>
      <c r="J905" s="54">
        <f>IFERROR(IF(K905&lt;&gt;0,K905*$K$5,0),0)</f>
        <v>8000</v>
      </c>
      <c r="K905" s="54">
        <v>8000</v>
      </c>
      <c r="L905" s="70">
        <f>H905*J905*I905</f>
        <v>0</v>
      </c>
      <c r="M905" s="153">
        <f t="shared" ca="1" si="112"/>
        <v>0</v>
      </c>
      <c r="O905" s="148">
        <f t="shared" si="113"/>
        <v>0</v>
      </c>
      <c r="R905" s="12">
        <f t="shared" si="114"/>
        <v>-233.00970873786446</v>
      </c>
    </row>
    <row r="906" spans="1:18" s="51" customFormat="1" ht="13.5" hidden="1" customHeight="1" outlineLevel="1" x14ac:dyDescent="0.3">
      <c r="A906" s="290">
        <f t="shared" si="111"/>
        <v>0</v>
      </c>
      <c r="B906" s="49"/>
      <c r="C906" s="49"/>
      <c r="D906" s="49"/>
      <c r="E906" s="67" t="s">
        <v>979</v>
      </c>
      <c r="F906" s="52"/>
      <c r="G906" s="52" t="s">
        <v>241</v>
      </c>
      <c r="H906" s="53">
        <v>1</v>
      </c>
      <c r="I906" s="141"/>
      <c r="J906" s="54"/>
      <c r="K906" s="54">
        <v>2000</v>
      </c>
      <c r="L906" s="338">
        <f>H906*J906*I906</f>
        <v>0</v>
      </c>
      <c r="M906" s="153">
        <f t="shared" ca="1" si="112"/>
        <v>0</v>
      </c>
      <c r="O906" s="148">
        <f t="shared" si="113"/>
        <v>0</v>
      </c>
      <c r="R906" s="12">
        <f t="shared" si="114"/>
        <v>0</v>
      </c>
    </row>
    <row r="907" spans="1:18" s="18" customFormat="1" ht="13.5" customHeight="1" x14ac:dyDescent="0.3">
      <c r="A907" s="290">
        <f t="shared" si="111"/>
        <v>3</v>
      </c>
      <c r="B907" s="35"/>
      <c r="C907" s="35" t="s">
        <v>2872</v>
      </c>
      <c r="D907" s="35" t="s">
        <v>2799</v>
      </c>
      <c r="E907" s="390"/>
      <c r="F907" s="36"/>
      <c r="G907" s="36"/>
      <c r="H907" s="37"/>
      <c r="I907" s="37"/>
      <c r="J907" s="38"/>
      <c r="K907" s="38"/>
      <c r="L907" s="333">
        <f>SUMIF(A908:A921,4,L908:L921)</f>
        <v>0</v>
      </c>
      <c r="M907" s="153">
        <f t="shared" ca="1" si="112"/>
        <v>0</v>
      </c>
      <c r="O907" s="148">
        <f t="shared" si="113"/>
        <v>0</v>
      </c>
      <c r="R907" s="12">
        <f t="shared" si="114"/>
        <v>0</v>
      </c>
    </row>
    <row r="908" spans="1:18" s="18" customFormat="1" ht="13.5" hidden="1" customHeight="1" outlineLevel="1" x14ac:dyDescent="0.3">
      <c r="A908" s="290">
        <f t="shared" si="111"/>
        <v>4</v>
      </c>
      <c r="B908" s="45"/>
      <c r="C908" s="45" t="s">
        <v>2873</v>
      </c>
      <c r="D908" s="45" t="s">
        <v>2799</v>
      </c>
      <c r="E908" s="347"/>
      <c r="F908" s="60"/>
      <c r="G908" s="60"/>
      <c r="H908" s="61"/>
      <c r="I908" s="61"/>
      <c r="J908" s="62"/>
      <c r="K908" s="62" t="str">
        <f>IF(A908=0,VLOOKUP(D908,'03. Insumos'!A:F,4,0),"")</f>
        <v/>
      </c>
      <c r="L908" s="335">
        <f>SUMIF(A909:A921,6,L909:L921)</f>
        <v>0</v>
      </c>
      <c r="M908" s="153">
        <f t="shared" ca="1" si="112"/>
        <v>0</v>
      </c>
      <c r="O908" s="148">
        <f t="shared" si="113"/>
        <v>0</v>
      </c>
      <c r="R908" s="12">
        <f t="shared" si="114"/>
        <v>0</v>
      </c>
    </row>
    <row r="909" spans="1:18" s="59" customFormat="1" ht="13.5" hidden="1" customHeight="1" outlineLevel="1" x14ac:dyDescent="0.3">
      <c r="A909" s="290">
        <f t="shared" si="111"/>
        <v>6</v>
      </c>
      <c r="B909" s="55"/>
      <c r="C909" s="55" t="s">
        <v>2874</v>
      </c>
      <c r="D909" s="55"/>
      <c r="E909" s="55"/>
      <c r="F909" s="56"/>
      <c r="G909" s="56"/>
      <c r="H909" s="57"/>
      <c r="I909" s="57"/>
      <c r="J909" s="58"/>
      <c r="K909" s="58" t="str">
        <f>IF(A909=0,VLOOKUP(D909,'03. Insumos'!A:F,4,0),"")</f>
        <v/>
      </c>
      <c r="L909" s="58">
        <f>SUM(L910:L911)</f>
        <v>0</v>
      </c>
      <c r="M909" s="153">
        <f t="shared" ca="1" si="112"/>
        <v>0</v>
      </c>
      <c r="O909" s="148">
        <f t="shared" si="113"/>
        <v>0</v>
      </c>
      <c r="R909" s="12">
        <f t="shared" si="114"/>
        <v>0</v>
      </c>
    </row>
    <row r="910" spans="1:18" s="51" customFormat="1" ht="13.5" hidden="1" customHeight="1" outlineLevel="1" x14ac:dyDescent="0.3">
      <c r="A910" s="290">
        <f t="shared" si="111"/>
        <v>0</v>
      </c>
      <c r="B910" s="49"/>
      <c r="C910" s="49"/>
      <c r="D910" s="140"/>
      <c r="E910" s="67" t="e">
        <f>VLOOKUP(D910,'03. Insumos'!A:D,2,0)</f>
        <v>#N/A</v>
      </c>
      <c r="F910" s="68" t="s">
        <v>2599</v>
      </c>
      <c r="G910" s="68" t="e">
        <f>VLOOKUP(D910,'03. Insumos'!A:F,3,0)</f>
        <v>#N/A</v>
      </c>
      <c r="H910" s="69">
        <v>1</v>
      </c>
      <c r="I910" s="141"/>
      <c r="J910" s="70">
        <f>IFERROR(IF(K910&lt;&gt;0,K910*$K$5,0),0)</f>
        <v>0</v>
      </c>
      <c r="K910" s="70" t="e">
        <f>IF(A910=0,VLOOKUP(D910,'03. Insumos'!A:F,4,0),"")</f>
        <v>#N/A</v>
      </c>
      <c r="L910" s="70">
        <f t="shared" ref="L910:L921" si="115">H910*J910*I910</f>
        <v>0</v>
      </c>
      <c r="M910" s="153">
        <f t="shared" ca="1" si="112"/>
        <v>0</v>
      </c>
      <c r="O910" s="148">
        <f t="shared" si="113"/>
        <v>0</v>
      </c>
      <c r="R910" s="12">
        <f t="shared" si="114"/>
        <v>0</v>
      </c>
    </row>
    <row r="911" spans="1:18" s="51" customFormat="1" ht="13.5" hidden="1" customHeight="1" outlineLevel="1" x14ac:dyDescent="0.3">
      <c r="A911" s="290">
        <f t="shared" si="111"/>
        <v>0</v>
      </c>
      <c r="B911" s="49"/>
      <c r="C911" s="49"/>
      <c r="D911" s="140"/>
      <c r="E911" s="67" t="e">
        <f>VLOOKUP(D911,'03. Insumos'!A:D,2,0)</f>
        <v>#N/A</v>
      </c>
      <c r="F911" s="68"/>
      <c r="G911" s="68" t="e">
        <f>VLOOKUP(D911,'03. Insumos'!A:F,3,0)</f>
        <v>#N/A</v>
      </c>
      <c r="H911" s="69">
        <v>1</v>
      </c>
      <c r="I911" s="141">
        <v>1</v>
      </c>
      <c r="J911" s="70">
        <f>IFERROR(IF(K911&lt;&gt;0,K911*$K$5,0),0)</f>
        <v>0</v>
      </c>
      <c r="K911" s="70" t="e">
        <f>IF(A911=0,VLOOKUP(D911,'03. Insumos'!A:F,4,0),"")</f>
        <v>#N/A</v>
      </c>
      <c r="L911" s="70">
        <f t="shared" si="115"/>
        <v>0</v>
      </c>
      <c r="M911" s="153">
        <f t="shared" ca="1" si="112"/>
        <v>0</v>
      </c>
      <c r="O911" s="148" t="e">
        <f t="shared" si="113"/>
        <v>#N/A</v>
      </c>
      <c r="R911" s="12">
        <f t="shared" si="114"/>
        <v>0</v>
      </c>
    </row>
    <row r="912" spans="1:18" s="59" customFormat="1" ht="13.5" hidden="1" customHeight="1" outlineLevel="1" x14ac:dyDescent="0.3">
      <c r="A912" s="290">
        <f t="shared" si="111"/>
        <v>6</v>
      </c>
      <c r="B912" s="55"/>
      <c r="C912" s="55" t="s">
        <v>2875</v>
      </c>
      <c r="D912" s="55"/>
      <c r="E912" s="55"/>
      <c r="F912" s="56"/>
      <c r="G912" s="56"/>
      <c r="H912" s="57"/>
      <c r="I912" s="57"/>
      <c r="J912" s="58"/>
      <c r="K912" s="58" t="str">
        <f>IF(A912=0,VLOOKUP(D912,'03. Insumos'!A:F,4,0),"")</f>
        <v/>
      </c>
      <c r="L912" s="58">
        <f>SUM(L913:L914)</f>
        <v>0</v>
      </c>
      <c r="M912" s="153">
        <f t="shared" ca="1" si="112"/>
        <v>0</v>
      </c>
      <c r="O912" s="148">
        <f t="shared" si="113"/>
        <v>0</v>
      </c>
      <c r="R912" s="12">
        <f t="shared" si="114"/>
        <v>0</v>
      </c>
    </row>
    <row r="913" spans="1:18" s="51" customFormat="1" ht="13.5" hidden="1" customHeight="1" outlineLevel="1" x14ac:dyDescent="0.3">
      <c r="A913" s="290">
        <f t="shared" si="111"/>
        <v>0</v>
      </c>
      <c r="B913" s="49"/>
      <c r="C913" s="49"/>
      <c r="D913" s="140"/>
      <c r="E913" s="67" t="e">
        <f>VLOOKUP(D913,'03. Insumos'!A:D,2,0)</f>
        <v>#N/A</v>
      </c>
      <c r="F913" s="68" t="s">
        <v>2599</v>
      </c>
      <c r="G913" s="68" t="e">
        <f>VLOOKUP(D913,'03. Insumos'!A:F,3,0)</f>
        <v>#N/A</v>
      </c>
      <c r="H913" s="69">
        <v>1</v>
      </c>
      <c r="I913" s="141"/>
      <c r="J913" s="70">
        <f>IFERROR(IF(K913&lt;&gt;0,K913*$K$5,0),0)</f>
        <v>0</v>
      </c>
      <c r="K913" s="70" t="e">
        <f>IF(A913=0,VLOOKUP(D913,'03. Insumos'!A:F,4,0),"")</f>
        <v>#N/A</v>
      </c>
      <c r="L913" s="70">
        <f t="shared" si="115"/>
        <v>0</v>
      </c>
      <c r="M913" s="153">
        <f t="shared" ca="1" si="112"/>
        <v>0</v>
      </c>
      <c r="O913" s="148">
        <f t="shared" si="113"/>
        <v>0</v>
      </c>
      <c r="R913" s="12">
        <f t="shared" si="114"/>
        <v>0</v>
      </c>
    </row>
    <row r="914" spans="1:18" s="51" customFormat="1" ht="13.5" hidden="1" customHeight="1" outlineLevel="1" x14ac:dyDescent="0.3">
      <c r="A914" s="290">
        <f t="shared" si="111"/>
        <v>0</v>
      </c>
      <c r="B914" s="49"/>
      <c r="C914" s="49"/>
      <c r="D914" s="140"/>
      <c r="E914" s="67" t="e">
        <f>VLOOKUP(D914,'03. Insumos'!A:D,2,0)</f>
        <v>#N/A</v>
      </c>
      <c r="F914" s="68" t="s">
        <v>2599</v>
      </c>
      <c r="G914" s="68" t="e">
        <f>VLOOKUP(D914,'03. Insumos'!A:F,3,0)</f>
        <v>#N/A</v>
      </c>
      <c r="H914" s="69">
        <v>1</v>
      </c>
      <c r="I914" s="141"/>
      <c r="J914" s="70">
        <f>IFERROR(IF(K914&lt;&gt;0,K914*$K$5,0),0)</f>
        <v>0</v>
      </c>
      <c r="K914" s="70" t="e">
        <f>IF(A914=0,VLOOKUP(D914,'03. Insumos'!A:F,4,0),"")</f>
        <v>#N/A</v>
      </c>
      <c r="L914" s="70">
        <f t="shared" si="115"/>
        <v>0</v>
      </c>
      <c r="M914" s="153">
        <f t="shared" ca="1" si="112"/>
        <v>0</v>
      </c>
      <c r="O914" s="148">
        <f t="shared" si="113"/>
        <v>0</v>
      </c>
      <c r="R914" s="12">
        <f t="shared" si="114"/>
        <v>0</v>
      </c>
    </row>
    <row r="915" spans="1:18" s="59" customFormat="1" ht="13.5" hidden="1" customHeight="1" outlineLevel="1" x14ac:dyDescent="0.3">
      <c r="A915" s="290">
        <f t="shared" si="111"/>
        <v>6</v>
      </c>
      <c r="B915" s="55"/>
      <c r="C915" s="55" t="s">
        <v>2876</v>
      </c>
      <c r="D915" s="55"/>
      <c r="E915" s="55"/>
      <c r="F915" s="56"/>
      <c r="G915" s="56"/>
      <c r="H915" s="57"/>
      <c r="I915" s="57"/>
      <c r="J915" s="58"/>
      <c r="K915" s="58" t="str">
        <f>IF(A915=0,VLOOKUP(D915,'03. Insumos'!A:F,4,0),"")</f>
        <v/>
      </c>
      <c r="L915" s="58">
        <f>SUM(L916)</f>
        <v>0</v>
      </c>
      <c r="M915" s="153">
        <f t="shared" ca="1" si="112"/>
        <v>0</v>
      </c>
      <c r="O915" s="148">
        <f t="shared" si="113"/>
        <v>0</v>
      </c>
      <c r="R915" s="12">
        <f t="shared" si="114"/>
        <v>0</v>
      </c>
    </row>
    <row r="916" spans="1:18" s="51" customFormat="1" ht="13.5" hidden="1" customHeight="1" outlineLevel="1" x14ac:dyDescent="0.3">
      <c r="A916" s="290">
        <f t="shared" si="111"/>
        <v>0</v>
      </c>
      <c r="B916" s="49"/>
      <c r="C916" s="49"/>
      <c r="D916" s="140"/>
      <c r="E916" s="67" t="e">
        <f>VLOOKUP(D916,'03. Insumos'!A:D,2,0)</f>
        <v>#N/A</v>
      </c>
      <c r="F916" s="68" t="s">
        <v>2599</v>
      </c>
      <c r="G916" s="68" t="e">
        <f>VLOOKUP(D916,'03. Insumos'!A:F,3,0)</f>
        <v>#N/A</v>
      </c>
      <c r="H916" s="69">
        <v>1</v>
      </c>
      <c r="I916" s="141"/>
      <c r="J916" s="70">
        <f>IFERROR(IF(K916&lt;&gt;0,K916*$K$5,0),0)</f>
        <v>0</v>
      </c>
      <c r="K916" s="70" t="e">
        <f>IF(A916=0,VLOOKUP(D916,'03. Insumos'!A:F,4,0),"")</f>
        <v>#N/A</v>
      </c>
      <c r="L916" s="70">
        <f t="shared" si="115"/>
        <v>0</v>
      </c>
      <c r="M916" s="153">
        <f t="shared" ca="1" si="112"/>
        <v>0</v>
      </c>
      <c r="O916" s="148">
        <f t="shared" si="113"/>
        <v>0</v>
      </c>
      <c r="R916" s="12">
        <f t="shared" si="114"/>
        <v>0</v>
      </c>
    </row>
    <row r="917" spans="1:18" s="59" customFormat="1" ht="13.5" hidden="1" customHeight="1" outlineLevel="1" x14ac:dyDescent="0.3">
      <c r="A917" s="290">
        <f t="shared" si="111"/>
        <v>6</v>
      </c>
      <c r="B917" s="55"/>
      <c r="C917" s="55" t="s">
        <v>2877</v>
      </c>
      <c r="D917" s="55" t="s">
        <v>2856</v>
      </c>
      <c r="E917" s="55"/>
      <c r="F917" s="56"/>
      <c r="G917" s="56"/>
      <c r="H917" s="57"/>
      <c r="I917" s="57"/>
      <c r="J917" s="58"/>
      <c r="K917" s="58" t="str">
        <f>IF(A917=0,VLOOKUP(D917,'03. Insumos'!A:F,4,0),"")</f>
        <v/>
      </c>
      <c r="L917" s="58">
        <f>SUM(L918)</f>
        <v>0</v>
      </c>
      <c r="M917" s="153">
        <f t="shared" ca="1" si="112"/>
        <v>0</v>
      </c>
      <c r="O917" s="148">
        <f t="shared" si="113"/>
        <v>0</v>
      </c>
      <c r="R917" s="12">
        <f t="shared" si="114"/>
        <v>0</v>
      </c>
    </row>
    <row r="918" spans="1:18" s="51" customFormat="1" ht="13.5" hidden="1" customHeight="1" outlineLevel="1" x14ac:dyDescent="0.3">
      <c r="A918" s="290">
        <f t="shared" si="111"/>
        <v>0</v>
      </c>
      <c r="B918" s="49"/>
      <c r="C918" s="49"/>
      <c r="D918" s="140" t="s">
        <v>2852</v>
      </c>
      <c r="E918" s="67" t="str">
        <f>VLOOKUP(D918,'03. Insumos'!A:D,2,0)</f>
        <v>Reforma hall de serviço</v>
      </c>
      <c r="F918" s="68" t="s">
        <v>2599</v>
      </c>
      <c r="G918" s="68" t="str">
        <f>VLOOKUP(D918,'03. Insumos'!A:F,3,0)</f>
        <v>m²</v>
      </c>
      <c r="H918" s="69">
        <v>1</v>
      </c>
      <c r="I918" s="141"/>
      <c r="J918" s="70">
        <f>IFERROR(IF(K918&lt;&gt;0,K918*$K$5,0),0)</f>
        <v>750</v>
      </c>
      <c r="K918" s="70">
        <f>IF(A918=0,VLOOKUP(D918,'03. Insumos'!A:F,4,0),"")</f>
        <v>750</v>
      </c>
      <c r="L918" s="70">
        <f>H918*J918*I918</f>
        <v>0</v>
      </c>
      <c r="M918" s="153">
        <f t="shared" ca="1" si="112"/>
        <v>0</v>
      </c>
      <c r="O918" s="148">
        <f t="shared" si="113"/>
        <v>0</v>
      </c>
      <c r="R918" s="12">
        <f t="shared" si="114"/>
        <v>-21.844660194174821</v>
      </c>
    </row>
    <row r="919" spans="1:18" s="59" customFormat="1" ht="13.5" hidden="1" customHeight="1" outlineLevel="1" x14ac:dyDescent="0.3">
      <c r="A919" s="290">
        <f t="shared" si="111"/>
        <v>6</v>
      </c>
      <c r="B919" s="55"/>
      <c r="C919" s="55" t="s">
        <v>1828</v>
      </c>
      <c r="D919" s="55" t="s">
        <v>2828</v>
      </c>
      <c r="E919" s="55"/>
      <c r="F919" s="56"/>
      <c r="G919" s="56"/>
      <c r="H919" s="57"/>
      <c r="I919" s="57"/>
      <c r="J919" s="58"/>
      <c r="K919" s="58" t="str">
        <f>IF(A919=0,VLOOKUP(D919,'03. Insumos'!A:F,4,0),"")</f>
        <v/>
      </c>
      <c r="L919" s="58">
        <f>SUM(L920:L921)</f>
        <v>0</v>
      </c>
      <c r="M919" s="153">
        <f t="shared" ca="1" si="112"/>
        <v>0</v>
      </c>
      <c r="O919" s="148">
        <f t="shared" si="113"/>
        <v>0</v>
      </c>
      <c r="R919" s="12">
        <f t="shared" si="114"/>
        <v>0</v>
      </c>
    </row>
    <row r="920" spans="1:18" s="51" customFormat="1" ht="13.5" hidden="1" customHeight="1" outlineLevel="1" x14ac:dyDescent="0.3">
      <c r="A920" s="290">
        <f t="shared" si="111"/>
        <v>0</v>
      </c>
      <c r="B920" s="49"/>
      <c r="C920" s="49"/>
      <c r="D920" s="140" t="s">
        <v>2853</v>
      </c>
      <c r="E920" s="67" t="str">
        <f>VLOOKUP(D920,'03. Insumos'!A:D,2,0)</f>
        <v>Demolição área externa</v>
      </c>
      <c r="F920" s="68" t="s">
        <v>2599</v>
      </c>
      <c r="G920" s="68">
        <f>VLOOKUP(D920,'03. Insumos'!A:F,3,0)</f>
        <v>0</v>
      </c>
      <c r="H920" s="69">
        <v>1</v>
      </c>
      <c r="I920" s="141">
        <f>6.3*3</f>
        <v>18.899999999999999</v>
      </c>
      <c r="J920" s="70">
        <f>IFERROR(IF(K920&lt;&gt;0,K920*$K$5,0),0)</f>
        <v>0</v>
      </c>
      <c r="K920" s="70">
        <f>IF(A920=0,VLOOKUP(D920,'03. Insumos'!A:F,4,0),"")</f>
        <v>0</v>
      </c>
      <c r="L920" s="70">
        <f>H920*J920*I920</f>
        <v>0</v>
      </c>
      <c r="M920" s="153">
        <f t="shared" ca="1" si="112"/>
        <v>0</v>
      </c>
      <c r="O920" s="148">
        <f t="shared" si="113"/>
        <v>0</v>
      </c>
      <c r="R920" s="12">
        <f t="shared" si="114"/>
        <v>0</v>
      </c>
    </row>
    <row r="921" spans="1:18" s="51" customFormat="1" ht="13.5" hidden="1" customHeight="1" outlineLevel="1" x14ac:dyDescent="0.3">
      <c r="A921" s="290">
        <f t="shared" si="111"/>
        <v>0</v>
      </c>
      <c r="B921" s="49"/>
      <c r="C921" s="49"/>
      <c r="D921" s="140" t="s">
        <v>2854</v>
      </c>
      <c r="E921" s="67" t="str">
        <f>VLOOKUP(D921,'03. Insumos'!A:D,2,0)</f>
        <v xml:space="preserve">Abertura de vão janela </v>
      </c>
      <c r="F921" s="68" t="s">
        <v>2599</v>
      </c>
      <c r="G921" s="68">
        <f>VLOOKUP(D921,'03. Insumos'!A:F,3,0)</f>
        <v>0</v>
      </c>
      <c r="H921" s="69">
        <v>1</v>
      </c>
      <c r="I921" s="141">
        <v>1</v>
      </c>
      <c r="J921" s="70">
        <f>IFERROR(IF(K921&lt;&gt;0,K921*$K$5,0),0)</f>
        <v>0</v>
      </c>
      <c r="K921" s="70">
        <f>IF(A921=0,VLOOKUP(D921,'03. Insumos'!A:F,4,0),"")</f>
        <v>0</v>
      </c>
      <c r="L921" s="70">
        <f t="shared" si="115"/>
        <v>0</v>
      </c>
      <c r="M921" s="153">
        <f t="shared" ca="1" si="112"/>
        <v>0</v>
      </c>
      <c r="O921" s="148">
        <f t="shared" si="113"/>
        <v>0</v>
      </c>
      <c r="R921" s="12">
        <f t="shared" si="114"/>
        <v>0</v>
      </c>
    </row>
    <row r="922" spans="1:18" s="18" customFormat="1" ht="13.5" customHeight="1" collapsed="1" x14ac:dyDescent="0.3">
      <c r="A922" s="290">
        <f t="shared" si="111"/>
        <v>3</v>
      </c>
      <c r="B922" s="35"/>
      <c r="C922" s="35" t="s">
        <v>1812</v>
      </c>
      <c r="D922" s="35" t="s">
        <v>1260</v>
      </c>
      <c r="E922" s="390"/>
      <c r="F922" s="36"/>
      <c r="G922" s="36"/>
      <c r="H922" s="37"/>
      <c r="I922" s="37"/>
      <c r="J922" s="38"/>
      <c r="K922" s="38"/>
      <c r="L922" s="38">
        <f>SUMIF(A923:A925,4,L923:L925)</f>
        <v>0</v>
      </c>
      <c r="M922" s="153">
        <f t="shared" ca="1" si="112"/>
        <v>0</v>
      </c>
      <c r="O922" s="148">
        <f t="shared" si="113"/>
        <v>0</v>
      </c>
      <c r="R922" s="12">
        <f t="shared" si="114"/>
        <v>0</v>
      </c>
    </row>
    <row r="923" spans="1:18" s="18" customFormat="1" ht="13.5" hidden="1" customHeight="1" outlineLevel="1" x14ac:dyDescent="0.3">
      <c r="A923" s="290">
        <f t="shared" si="111"/>
        <v>4</v>
      </c>
      <c r="B923" s="45"/>
      <c r="C923" s="45" t="s">
        <v>1813</v>
      </c>
      <c r="D923" s="45" t="s">
        <v>1260</v>
      </c>
      <c r="E923" s="347"/>
      <c r="F923" s="60"/>
      <c r="G923" s="60"/>
      <c r="H923" s="61"/>
      <c r="I923" s="61"/>
      <c r="J923" s="62"/>
      <c r="K923" s="62" t="str">
        <f>IF(A923=0,VLOOKUP(D923,'03. Insumos'!A:F,4,0),"")</f>
        <v/>
      </c>
      <c r="L923" s="62">
        <f>SUMIF(A924:A925,6,L924:L925)</f>
        <v>0</v>
      </c>
      <c r="M923" s="153">
        <f t="shared" ca="1" si="112"/>
        <v>0</v>
      </c>
      <c r="O923" s="148">
        <f t="shared" si="113"/>
        <v>0</v>
      </c>
      <c r="R923" s="12">
        <f t="shared" si="114"/>
        <v>0</v>
      </c>
    </row>
    <row r="924" spans="1:18" s="59" customFormat="1" ht="13.5" hidden="1" customHeight="1" outlineLevel="1" x14ac:dyDescent="0.3">
      <c r="A924" s="290">
        <f t="shared" si="111"/>
        <v>6</v>
      </c>
      <c r="B924" s="55"/>
      <c r="C924" s="55" t="s">
        <v>1814</v>
      </c>
      <c r="D924" s="55" t="s">
        <v>1260</v>
      </c>
      <c r="E924" s="55"/>
      <c r="F924" s="56"/>
      <c r="G924" s="56"/>
      <c r="H924" s="57"/>
      <c r="I924" s="57"/>
      <c r="J924" s="58"/>
      <c r="K924" s="58" t="str">
        <f>IF(A924=0,VLOOKUP(D924,'03. Insumos'!A:F,4,0),"")</f>
        <v/>
      </c>
      <c r="L924" s="58">
        <f>SUM(L925:L925)</f>
        <v>0</v>
      </c>
      <c r="M924" s="153">
        <f t="shared" ca="1" si="112"/>
        <v>0</v>
      </c>
      <c r="O924" s="148">
        <f t="shared" si="113"/>
        <v>0</v>
      </c>
      <c r="R924" s="12">
        <f t="shared" si="114"/>
        <v>0</v>
      </c>
    </row>
    <row r="925" spans="1:18" s="51" customFormat="1" ht="13.5" hidden="1" customHeight="1" outlineLevel="1" x14ac:dyDescent="0.3">
      <c r="A925" s="290">
        <f t="shared" si="111"/>
        <v>0</v>
      </c>
      <c r="B925" s="49"/>
      <c r="C925" s="49"/>
      <c r="D925" s="49"/>
      <c r="E925" s="67" t="s">
        <v>1260</v>
      </c>
      <c r="F925" s="52"/>
      <c r="G925" s="52" t="s">
        <v>29</v>
      </c>
      <c r="H925" s="53">
        <v>1</v>
      </c>
      <c r="I925" s="141"/>
      <c r="J925" s="54">
        <f>IFERROR(IF(K925&lt;&gt;0,K925*$K$5,0),0)</f>
        <v>0</v>
      </c>
      <c r="K925" s="54"/>
      <c r="L925" s="274">
        <f>H925*J925*I925</f>
        <v>0</v>
      </c>
      <c r="M925" s="153">
        <f t="shared" ca="1" si="112"/>
        <v>0</v>
      </c>
      <c r="N925" s="224">
        <f ca="1">L7*0.03</f>
        <v>795967.81827176502</v>
      </c>
      <c r="O925" s="148">
        <f t="shared" si="113"/>
        <v>0</v>
      </c>
      <c r="R925" s="12">
        <f t="shared" si="114"/>
        <v>0</v>
      </c>
    </row>
    <row r="926" spans="1:18" s="18" customFormat="1" collapsed="1" x14ac:dyDescent="0.3">
      <c r="A926" s="290">
        <f t="shared" si="111"/>
        <v>3</v>
      </c>
      <c r="B926" s="35"/>
      <c r="C926" s="35" t="s">
        <v>1838</v>
      </c>
      <c r="D926" s="35" t="s">
        <v>997</v>
      </c>
      <c r="E926" s="390"/>
      <c r="F926" s="36"/>
      <c r="G926" s="36"/>
      <c r="H926" s="37"/>
      <c r="I926" s="37"/>
      <c r="J926" s="38"/>
      <c r="K926" s="38"/>
      <c r="L926" s="38">
        <f>SUMIF(A927:A929,4,L927:L929)</f>
        <v>0</v>
      </c>
      <c r="M926" s="153">
        <f t="shared" ca="1" si="112"/>
        <v>0</v>
      </c>
      <c r="O926" s="148">
        <f t="shared" si="113"/>
        <v>0</v>
      </c>
      <c r="R926" s="12">
        <f t="shared" si="114"/>
        <v>0</v>
      </c>
    </row>
    <row r="927" spans="1:18" s="18" customFormat="1" hidden="1" outlineLevel="1" x14ac:dyDescent="0.3">
      <c r="A927" s="290">
        <f t="shared" si="111"/>
        <v>4</v>
      </c>
      <c r="B927" s="45"/>
      <c r="C927" s="45" t="s">
        <v>1839</v>
      </c>
      <c r="D927" s="45" t="s">
        <v>997</v>
      </c>
      <c r="E927" s="347"/>
      <c r="F927" s="60"/>
      <c r="G927" s="60"/>
      <c r="H927" s="61"/>
      <c r="I927" s="61"/>
      <c r="J927" s="62"/>
      <c r="K927" s="62" t="str">
        <f>IF(A927=0,VLOOKUP(D927,'03. Insumos'!A:F,4,0),"")</f>
        <v/>
      </c>
      <c r="L927" s="62">
        <f>SUMIF(A928:A929,6,L928:L929)</f>
        <v>0</v>
      </c>
      <c r="M927" s="153">
        <f t="shared" ca="1" si="112"/>
        <v>0</v>
      </c>
      <c r="O927" s="148">
        <f t="shared" si="113"/>
        <v>0</v>
      </c>
      <c r="R927" s="12">
        <f t="shared" si="114"/>
        <v>0</v>
      </c>
    </row>
    <row r="928" spans="1:18" s="59" customFormat="1" hidden="1" outlineLevel="1" x14ac:dyDescent="0.3">
      <c r="A928" s="290">
        <f t="shared" si="111"/>
        <v>6</v>
      </c>
      <c r="B928" s="55"/>
      <c r="C928" s="55" t="s">
        <v>1840</v>
      </c>
      <c r="D928" s="55" t="s">
        <v>997</v>
      </c>
      <c r="E928" s="55"/>
      <c r="F928" s="56"/>
      <c r="G928" s="56"/>
      <c r="H928" s="57"/>
      <c r="I928" s="57"/>
      <c r="J928" s="58"/>
      <c r="K928" s="58" t="str">
        <f>IF(A928=0,VLOOKUP(D928,'03. Insumos'!A:F,4,0),"")</f>
        <v/>
      </c>
      <c r="L928" s="58">
        <f>SUM(L929:L929)</f>
        <v>0</v>
      </c>
      <c r="M928" s="153">
        <f t="shared" ca="1" si="112"/>
        <v>0</v>
      </c>
      <c r="O928" s="148">
        <f t="shared" si="113"/>
        <v>0</v>
      </c>
      <c r="R928" s="12">
        <f t="shared" si="114"/>
        <v>0</v>
      </c>
    </row>
    <row r="929" spans="1:18" s="51" customFormat="1" hidden="1" outlineLevel="1" x14ac:dyDescent="0.3">
      <c r="A929" s="290">
        <f t="shared" si="111"/>
        <v>0</v>
      </c>
      <c r="B929" s="49"/>
      <c r="C929" s="49"/>
      <c r="D929" s="49"/>
      <c r="E929" s="67" t="s">
        <v>997</v>
      </c>
      <c r="F929" s="52"/>
      <c r="G929" s="52" t="s">
        <v>29</v>
      </c>
      <c r="H929" s="53">
        <v>1</v>
      </c>
      <c r="I929" s="141"/>
      <c r="J929" s="54">
        <f>IFERROR(IF(K929&lt;&gt;0,K929*$K$5,0),0)</f>
        <v>0</v>
      </c>
      <c r="K929" s="54"/>
      <c r="L929" s="274">
        <f>H929*J929*I929</f>
        <v>0</v>
      </c>
      <c r="M929" s="153">
        <f t="shared" ca="1" si="112"/>
        <v>0</v>
      </c>
      <c r="N929" s="171">
        <f ca="1">L7*0.02</f>
        <v>530645.21218117676</v>
      </c>
      <c r="O929" s="148">
        <f t="shared" si="113"/>
        <v>0</v>
      </c>
      <c r="R929" s="12">
        <f t="shared" si="114"/>
        <v>0</v>
      </c>
    </row>
    <row r="930" spans="1:18" hidden="1" outlineLevel="1" x14ac:dyDescent="0.3">
      <c r="B930" s="179"/>
      <c r="C930" s="179"/>
      <c r="D930" s="179"/>
      <c r="E930" s="393"/>
      <c r="F930" s="180"/>
      <c r="G930" s="180"/>
      <c r="H930" s="181"/>
      <c r="I930" s="182"/>
      <c r="J930" s="183"/>
      <c r="K930" s="183"/>
      <c r="L930" s="183"/>
      <c r="M930" s="153"/>
      <c r="N930" s="51"/>
      <c r="R930" s="12">
        <f t="shared" si="114"/>
        <v>0</v>
      </c>
    </row>
    <row r="931" spans="1:18" ht="16.2" collapsed="1" x14ac:dyDescent="0.4">
      <c r="B931" s="175" t="s">
        <v>22</v>
      </c>
      <c r="C931" s="175"/>
      <c r="D931" s="175"/>
      <c r="E931" s="394"/>
      <c r="F931" s="176"/>
      <c r="G931" s="176"/>
      <c r="H931" s="177"/>
      <c r="I931" s="177"/>
      <c r="J931" s="178"/>
      <c r="K931" s="178"/>
      <c r="L931" s="178">
        <f ca="1">SUM(L932:L938)</f>
        <v>30512099.70041766</v>
      </c>
      <c r="M931" s="153" t="b">
        <f ca="1">L931=SUM(L7,L937)</f>
        <v>1</v>
      </c>
    </row>
    <row r="932" spans="1:18" ht="14.4" x14ac:dyDescent="0.3">
      <c r="B932" s="455"/>
      <c r="C932" s="455"/>
      <c r="D932" s="455" t="s">
        <v>30</v>
      </c>
      <c r="E932" s="456"/>
      <c r="F932" s="457"/>
      <c r="G932" s="457"/>
      <c r="H932" s="458">
        <v>1</v>
      </c>
      <c r="I932" s="458">
        <v>1</v>
      </c>
      <c r="J932" s="359">
        <f ca="1">L7</f>
        <v>26532260.609058835</v>
      </c>
      <c r="K932" s="359"/>
      <c r="L932" s="359">
        <f ca="1">H932*J932*I932</f>
        <v>26532260.609058835</v>
      </c>
      <c r="M932" s="153"/>
      <c r="N932" s="59"/>
    </row>
    <row r="933" spans="1:18" ht="14.4" hidden="1" outlineLevel="1" x14ac:dyDescent="0.3">
      <c r="B933" s="455"/>
      <c r="C933" s="455"/>
      <c r="D933" s="455"/>
      <c r="E933" s="456"/>
      <c r="F933" s="457"/>
      <c r="G933" s="459"/>
      <c r="H933" s="458"/>
      <c r="I933" s="458"/>
      <c r="J933" s="359"/>
      <c r="K933" s="359"/>
      <c r="L933" s="359"/>
      <c r="M933" s="153"/>
      <c r="N933" s="59"/>
    </row>
    <row r="934" spans="1:18" ht="14.4" hidden="1" outlineLevel="1" x14ac:dyDescent="0.3">
      <c r="B934" s="455"/>
      <c r="C934" s="455"/>
      <c r="D934" s="455"/>
      <c r="E934" s="456" t="s">
        <v>2253</v>
      </c>
      <c r="F934" s="457"/>
      <c r="G934" s="459">
        <f ca="1">J934/J932</f>
        <v>0.99819088163246783</v>
      </c>
      <c r="H934" s="458">
        <v>1</v>
      </c>
      <c r="I934" s="458">
        <v>1</v>
      </c>
      <c r="J934" s="359">
        <f ca="1">J932-J935</f>
        <v>26484260.609058835</v>
      </c>
      <c r="K934" s="359"/>
      <c r="L934" s="359"/>
      <c r="M934" s="153"/>
      <c r="N934" s="59"/>
    </row>
    <row r="935" spans="1:18" ht="14.4" hidden="1" outlineLevel="1" x14ac:dyDescent="0.3">
      <c r="B935" s="455"/>
      <c r="C935" s="455"/>
      <c r="D935" s="455"/>
      <c r="E935" s="456" t="s">
        <v>2846</v>
      </c>
      <c r="F935" s="457"/>
      <c r="G935" s="459">
        <f ca="1">J935/J932</f>
        <v>1.8091183675322221E-3</v>
      </c>
      <c r="H935" s="458">
        <v>1</v>
      </c>
      <c r="I935" s="458">
        <v>1</v>
      </c>
      <c r="J935" s="359">
        <f>8000*L2</f>
        <v>48000</v>
      </c>
      <c r="K935" s="359"/>
      <c r="L935" s="359"/>
      <c r="M935" s="153"/>
      <c r="N935" s="59"/>
    </row>
    <row r="936" spans="1:18" ht="14.4" hidden="1" outlineLevel="1" x14ac:dyDescent="0.3">
      <c r="B936" s="455"/>
      <c r="C936" s="455"/>
      <c r="D936" s="455"/>
      <c r="E936" s="456"/>
      <c r="F936" s="457"/>
      <c r="G936" s="459"/>
      <c r="H936" s="458"/>
      <c r="I936" s="458"/>
      <c r="J936" s="359"/>
      <c r="K936" s="359"/>
      <c r="L936" s="359"/>
      <c r="M936" s="153"/>
      <c r="N936" s="59"/>
    </row>
    <row r="937" spans="1:18" ht="14.4" collapsed="1" x14ac:dyDescent="0.3">
      <c r="B937" s="455"/>
      <c r="C937" s="455"/>
      <c r="D937" s="455" t="s">
        <v>2252</v>
      </c>
      <c r="E937" s="456"/>
      <c r="F937" s="457"/>
      <c r="G937" s="460">
        <v>0.15</v>
      </c>
      <c r="H937" s="458">
        <v>1</v>
      </c>
      <c r="I937" s="458">
        <v>1</v>
      </c>
      <c r="J937" s="359">
        <f ca="1">G937*J932</f>
        <v>3979839.0913588251</v>
      </c>
      <c r="K937" s="359"/>
      <c r="L937" s="359">
        <f ca="1">H937*J937*I937</f>
        <v>3979839.0913588251</v>
      </c>
      <c r="M937" s="153">
        <f ca="1">L937/$L$7</f>
        <v>0.15</v>
      </c>
      <c r="N937" s="348">
        <f ca="1">L937/L2</f>
        <v>663306.51522647089</v>
      </c>
    </row>
    <row r="938" spans="1:18" ht="14.4" x14ac:dyDescent="0.3">
      <c r="B938" s="461"/>
      <c r="C938" s="461"/>
      <c r="D938" s="461" t="s">
        <v>2251</v>
      </c>
      <c r="E938" s="462"/>
      <c r="F938" s="463"/>
      <c r="G938" s="464"/>
      <c r="H938" s="465"/>
      <c r="I938" s="465"/>
      <c r="J938" s="466"/>
      <c r="K938" s="359"/>
      <c r="L938" s="359"/>
      <c r="M938" s="153">
        <f ca="1">L938/$L$7</f>
        <v>0</v>
      </c>
      <c r="N938" s="59"/>
    </row>
    <row r="939" spans="1:18" ht="14.4" thickBot="1" x14ac:dyDescent="0.35">
      <c r="J939" s="284"/>
      <c r="K939" s="360"/>
    </row>
    <row r="940" spans="1:18" x14ac:dyDescent="0.3">
      <c r="J940" s="361"/>
      <c r="K940" s="362" t="s">
        <v>73</v>
      </c>
      <c r="L940" s="363" t="s">
        <v>2824</v>
      </c>
    </row>
    <row r="941" spans="1:18" ht="14.4" thickBot="1" x14ac:dyDescent="0.35">
      <c r="J941" s="367" t="s">
        <v>2826</v>
      </c>
      <c r="K941" s="368">
        <f>115.01+153.81</f>
        <v>268.82</v>
      </c>
      <c r="L941" s="369">
        <f ca="1">L931/K941</f>
        <v>113503.83044571706</v>
      </c>
    </row>
    <row r="943" spans="1:18" x14ac:dyDescent="0.3">
      <c r="L943" s="43">
        <f ca="1">SUM(L7:L926)</f>
        <v>159193563.65435293</v>
      </c>
    </row>
    <row r="944" spans="1:18" x14ac:dyDescent="0.3">
      <c r="L944" s="43">
        <f ca="1">L943/6</f>
        <v>26532260.609058823</v>
      </c>
    </row>
    <row r="946" spans="12:12" x14ac:dyDescent="0.3">
      <c r="L946" s="43">
        <f>SUM(L9:L176)</f>
        <v>982987.90000000014</v>
      </c>
    </row>
    <row r="947" spans="12:12" x14ac:dyDescent="0.3">
      <c r="L947" s="43">
        <f>L946/5</f>
        <v>196597.58000000002</v>
      </c>
    </row>
    <row r="949" spans="12:12" x14ac:dyDescent="0.3">
      <c r="L949" s="43">
        <f ca="1">SUM(L177:L926)</f>
        <v>131678315.14529416</v>
      </c>
    </row>
    <row r="950" spans="12:12" x14ac:dyDescent="0.3">
      <c r="L950" s="43">
        <f ca="1">L949/5</f>
        <v>26335663.029058833</v>
      </c>
    </row>
  </sheetData>
  <mergeCells count="1">
    <mergeCell ref="E1:J2"/>
  </mergeCells>
  <conditionalFormatting sqref="A1:A65536">
    <cfRule type="cellIs" dxfId="1" priority="1" operator="equal">
      <formula>2</formula>
    </cfRule>
  </conditionalFormatting>
  <pageMargins left="0.51181102362204722" right="0.51181102362204722" top="0.78740157480314965" bottom="0.78740157480314965" header="0.31496062992125984" footer="0.31496062992125984"/>
  <pageSetup paperSize="9" scale="61" fitToHeight="6" orientation="portrait" verticalDpi="200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Plan5"/>
  <dimension ref="A1:AQ76"/>
  <sheetViews>
    <sheetView showGridLines="0" zoomScale="115" zoomScaleNormal="115" workbookViewId="0">
      <pane xSplit="2" ySplit="5" topLeftCell="C7" activePane="bottomRight" state="frozen"/>
      <selection pane="topRight" activeCell="C1" sqref="C1"/>
      <selection pane="bottomLeft" activeCell="A6" sqref="A6"/>
      <selection pane="bottomRight" activeCell="D26" sqref="D26"/>
    </sheetView>
  </sheetViews>
  <sheetFormatPr defaultColWidth="9.109375" defaultRowHeight="13.8" x14ac:dyDescent="0.3"/>
  <cols>
    <col min="1" max="1" width="7.5546875" style="13" bestFit="1" customWidth="1"/>
    <col min="2" max="2" width="26.44140625" style="13" bestFit="1" customWidth="1"/>
    <col min="3" max="3" width="26.33203125" style="13" bestFit="1" customWidth="1"/>
    <col min="4" max="4" width="29.33203125" style="13" bestFit="1" customWidth="1"/>
    <col min="5" max="5" width="11.44140625" style="13" bestFit="1" customWidth="1"/>
    <col min="6" max="6" width="16.33203125" style="13" bestFit="1" customWidth="1"/>
    <col min="7" max="7" width="28.109375" style="9" bestFit="1" customWidth="1"/>
    <col min="8" max="8" width="15.109375" style="9" bestFit="1" customWidth="1"/>
    <col min="9" max="9" width="16.44140625" style="13" customWidth="1"/>
    <col min="10" max="10" width="19.88671875" style="9" customWidth="1"/>
    <col min="11" max="12" width="15.109375" style="9" customWidth="1"/>
    <col min="13" max="13" width="14.44140625" style="12" customWidth="1"/>
    <col min="14" max="14" width="17.109375" style="12" customWidth="1"/>
    <col min="15" max="15" width="17.6640625" style="12" customWidth="1"/>
    <col min="16" max="20" width="13.109375" style="12" customWidth="1"/>
    <col min="21" max="21" width="14.5546875" style="13" bestFit="1" customWidth="1"/>
    <col min="22" max="23" width="13.109375" style="13" customWidth="1"/>
    <col min="24" max="24" width="14.5546875" style="13" customWidth="1"/>
    <col min="25" max="25" width="16" style="13" customWidth="1"/>
    <col min="26" max="30" width="13.109375" style="13" customWidth="1"/>
    <col min="31" max="36" width="9.6640625" style="13" customWidth="1"/>
    <col min="37" max="16384" width="9.109375" style="13"/>
  </cols>
  <sheetData>
    <row r="1" spans="1:43" x14ac:dyDescent="0.3">
      <c r="E1" s="1202"/>
      <c r="F1" s="1202"/>
      <c r="G1" s="1202"/>
      <c r="H1" s="1202"/>
      <c r="I1" s="1202"/>
      <c r="J1" s="1202"/>
      <c r="K1" s="1202"/>
      <c r="L1" s="1202"/>
      <c r="M1" s="1202"/>
      <c r="N1" s="1202"/>
      <c r="O1" s="5"/>
      <c r="P1" s="5"/>
      <c r="Q1" s="5"/>
      <c r="R1" s="5"/>
      <c r="S1" s="5"/>
      <c r="T1" s="5"/>
      <c r="U1" s="9"/>
    </row>
    <row r="2" spans="1:43" x14ac:dyDescent="0.3">
      <c r="C2" s="18" t="s">
        <v>24</v>
      </c>
      <c r="D2" s="18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</row>
    <row r="3" spans="1:43" ht="24.75" customHeight="1" thickBot="1" x14ac:dyDescent="0.35">
      <c r="A3" s="14"/>
      <c r="B3" s="14"/>
      <c r="C3" s="19" t="s">
        <v>25</v>
      </c>
      <c r="D3" s="19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4"/>
      <c r="V3" s="14"/>
      <c r="W3" s="14"/>
      <c r="X3" s="14"/>
      <c r="Y3" s="14"/>
      <c r="Z3" s="14"/>
      <c r="AA3" s="14"/>
      <c r="AB3" s="14"/>
      <c r="AC3" s="14"/>
      <c r="AD3" s="14"/>
      <c r="AE3" s="14"/>
      <c r="AF3" s="14"/>
      <c r="AG3" s="14"/>
      <c r="AH3" s="14"/>
      <c r="AI3" s="14"/>
      <c r="AJ3" s="14"/>
    </row>
    <row r="4" spans="1:43" ht="14.4" thickTop="1" x14ac:dyDescent="0.3">
      <c r="G4" s="13"/>
      <c r="H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</row>
    <row r="5" spans="1:43" ht="14.4" thickBot="1" x14ac:dyDescent="0.35">
      <c r="A5" s="3" t="s">
        <v>0</v>
      </c>
      <c r="B5" s="3" t="s">
        <v>1</v>
      </c>
      <c r="C5" s="3" t="s">
        <v>1265</v>
      </c>
      <c r="D5" s="3" t="s">
        <v>1266</v>
      </c>
      <c r="E5" s="3" t="s">
        <v>1264</v>
      </c>
      <c r="F5" s="3" t="s">
        <v>1291</v>
      </c>
      <c r="G5" s="3" t="s">
        <v>1292</v>
      </c>
      <c r="H5" s="10"/>
      <c r="I5" s="297" t="s">
        <v>2</v>
      </c>
      <c r="J5" s="298" t="s">
        <v>3</v>
      </c>
      <c r="K5" s="298" t="s">
        <v>4</v>
      </c>
      <c r="L5" s="298" t="s">
        <v>5</v>
      </c>
      <c r="M5" s="304" t="s">
        <v>6</v>
      </c>
      <c r="N5" s="310" t="s">
        <v>7</v>
      </c>
      <c r="O5" s="310" t="s">
        <v>2583</v>
      </c>
      <c r="P5" s="310" t="s">
        <v>2584</v>
      </c>
      <c r="Q5" s="310" t="s">
        <v>2964</v>
      </c>
      <c r="R5" s="310" t="s">
        <v>11</v>
      </c>
      <c r="S5" s="310" t="s">
        <v>12</v>
      </c>
      <c r="T5" s="310" t="s">
        <v>13</v>
      </c>
      <c r="U5" s="307" t="s">
        <v>27</v>
      </c>
      <c r="V5" s="10"/>
      <c r="W5" s="3" t="s">
        <v>2</v>
      </c>
      <c r="X5" s="3" t="s">
        <v>3</v>
      </c>
      <c r="Y5" s="3" t="s">
        <v>4</v>
      </c>
      <c r="Z5" s="3" t="s">
        <v>5</v>
      </c>
      <c r="AA5" s="3" t="s">
        <v>6</v>
      </c>
      <c r="AB5" s="3" t="s">
        <v>7</v>
      </c>
      <c r="AC5" s="3" t="s">
        <v>8</v>
      </c>
      <c r="AD5" s="3" t="s">
        <v>9</v>
      </c>
      <c r="AE5" s="3" t="s">
        <v>10</v>
      </c>
      <c r="AF5" s="3" t="s">
        <v>11</v>
      </c>
      <c r="AG5" s="3" t="s">
        <v>12</v>
      </c>
      <c r="AH5" s="3" t="s">
        <v>13</v>
      </c>
      <c r="AI5" s="3" t="s">
        <v>14</v>
      </c>
      <c r="AJ5" s="3" t="s">
        <v>15</v>
      </c>
      <c r="AK5" s="3" t="s">
        <v>16</v>
      </c>
      <c r="AL5" s="3" t="s">
        <v>17</v>
      </c>
      <c r="AM5" s="3" t="s">
        <v>18</v>
      </c>
      <c r="AN5" s="3" t="s">
        <v>19</v>
      </c>
      <c r="AO5" s="3" t="s">
        <v>20</v>
      </c>
      <c r="AP5" s="3" t="s">
        <v>21</v>
      </c>
    </row>
    <row r="6" spans="1:43" x14ac:dyDescent="0.3">
      <c r="A6" s="1">
        <v>1</v>
      </c>
      <c r="B6" s="287" t="s">
        <v>2037</v>
      </c>
      <c r="C6" s="6">
        <v>8000</v>
      </c>
      <c r="D6" s="7">
        <v>8000</v>
      </c>
      <c r="E6" s="143">
        <v>0</v>
      </c>
      <c r="F6" s="8">
        <f t="shared" ref="F6:F19" si="0">IF(C6=0,"",E6+C6)</f>
        <v>8000</v>
      </c>
      <c r="G6" s="8">
        <f t="shared" ref="G6:G19" si="1">IF(D6=0,"",E6+D6)</f>
        <v>8000</v>
      </c>
      <c r="I6" s="299">
        <f t="shared" ref="I6:I19" si="2">W6*F6</f>
        <v>4000</v>
      </c>
      <c r="J6" s="300">
        <f t="shared" ref="J6:J19" si="3">X6*G6</f>
        <v>4000</v>
      </c>
      <c r="K6" s="300">
        <f t="shared" ref="K6:K19" si="4">Y6*G6</f>
        <v>4000</v>
      </c>
      <c r="L6" s="300">
        <f t="shared" ref="L6:L19" si="5">Z6*G6</f>
        <v>4000</v>
      </c>
      <c r="M6" s="305">
        <f t="shared" ref="M6:M19" si="6">AA6*G6</f>
        <v>4000</v>
      </c>
      <c r="N6" s="311">
        <f t="shared" ref="N6:N19" si="7">AB6*G6</f>
        <v>4000</v>
      </c>
      <c r="O6" s="311">
        <f>AC6*G6</f>
        <v>4000</v>
      </c>
      <c r="P6" s="311">
        <f>AD6*G6</f>
        <v>0</v>
      </c>
      <c r="Q6" s="311">
        <f>AE6*G6</f>
        <v>0</v>
      </c>
      <c r="R6" s="311">
        <f>AF6*G6</f>
        <v>0</v>
      </c>
      <c r="S6" s="311">
        <f>AG6*G6</f>
        <v>0</v>
      </c>
      <c r="T6" s="311">
        <f>AH6*G6</f>
        <v>0</v>
      </c>
      <c r="U6" s="308">
        <f>SUM(I6:T6)</f>
        <v>28000</v>
      </c>
      <c r="V6" s="9"/>
      <c r="W6" s="275">
        <v>0.5</v>
      </c>
      <c r="X6" s="275">
        <v>0.5</v>
      </c>
      <c r="Y6" s="275">
        <v>0.5</v>
      </c>
      <c r="Z6" s="275">
        <v>0.5</v>
      </c>
      <c r="AA6" s="275">
        <v>0.5</v>
      </c>
      <c r="AB6" s="275">
        <v>0.5</v>
      </c>
      <c r="AC6" s="275">
        <v>0.5</v>
      </c>
      <c r="AD6" s="275"/>
      <c r="AE6" s="275"/>
      <c r="AF6" s="275"/>
      <c r="AG6" s="275"/>
      <c r="AH6" s="275"/>
      <c r="AI6" s="275"/>
      <c r="AJ6" s="275"/>
      <c r="AK6" s="275"/>
      <c r="AL6" s="276"/>
      <c r="AM6" s="276"/>
      <c r="AN6" s="276"/>
      <c r="AO6" s="276"/>
      <c r="AP6" s="275"/>
      <c r="AQ6" s="11"/>
    </row>
    <row r="7" spans="1:43" x14ac:dyDescent="0.3">
      <c r="A7" s="2">
        <v>2</v>
      </c>
      <c r="B7" s="4" t="s">
        <v>2842</v>
      </c>
      <c r="C7" s="6">
        <v>8000</v>
      </c>
      <c r="D7" s="7">
        <v>8000</v>
      </c>
      <c r="E7" s="29">
        <v>0</v>
      </c>
      <c r="F7" s="8">
        <f t="shared" si="0"/>
        <v>8000</v>
      </c>
      <c r="G7" s="8">
        <f t="shared" si="1"/>
        <v>8000</v>
      </c>
      <c r="I7" s="299">
        <f t="shared" si="2"/>
        <v>4000</v>
      </c>
      <c r="J7" s="300">
        <f t="shared" si="3"/>
        <v>4000</v>
      </c>
      <c r="K7" s="300">
        <f t="shared" si="4"/>
        <v>4000</v>
      </c>
      <c r="L7" s="300">
        <f t="shared" si="5"/>
        <v>4000</v>
      </c>
      <c r="M7" s="305">
        <f t="shared" si="6"/>
        <v>4000</v>
      </c>
      <c r="N7" s="311">
        <f t="shared" si="7"/>
        <v>4000</v>
      </c>
      <c r="O7" s="311">
        <f t="shared" ref="O7:O18" si="8">AC7*G7</f>
        <v>4000</v>
      </c>
      <c r="P7" s="311">
        <f>AD7*G7</f>
        <v>0</v>
      </c>
      <c r="Q7" s="311">
        <f>AE7*G7</f>
        <v>0</v>
      </c>
      <c r="R7" s="311">
        <f>AF7*G7</f>
        <v>0</v>
      </c>
      <c r="S7" s="311">
        <f>AG7*G7</f>
        <v>0</v>
      </c>
      <c r="T7" s="311">
        <f>AH7*G7</f>
        <v>0</v>
      </c>
      <c r="U7" s="308">
        <f t="shared" ref="U7:U18" si="9">SUM(I7:T7)</f>
        <v>28000</v>
      </c>
      <c r="V7" s="9"/>
      <c r="W7" s="275">
        <v>0.5</v>
      </c>
      <c r="X7" s="275">
        <v>0.5</v>
      </c>
      <c r="Y7" s="275">
        <v>0.5</v>
      </c>
      <c r="Z7" s="275">
        <v>0.5</v>
      </c>
      <c r="AA7" s="275">
        <v>0.5</v>
      </c>
      <c r="AB7" s="275">
        <v>0.5</v>
      </c>
      <c r="AC7" s="275">
        <v>0.5</v>
      </c>
      <c r="AD7" s="275"/>
      <c r="AE7" s="275"/>
      <c r="AF7" s="275"/>
      <c r="AG7" s="275"/>
      <c r="AH7" s="275"/>
      <c r="AI7" s="277"/>
      <c r="AJ7" s="277"/>
      <c r="AK7" s="277"/>
      <c r="AL7" s="277"/>
      <c r="AM7" s="277"/>
      <c r="AN7" s="277"/>
      <c r="AO7" s="277"/>
      <c r="AP7" s="277"/>
    </row>
    <row r="8" spans="1:43" hidden="1" x14ac:dyDescent="0.3">
      <c r="A8" s="1">
        <v>3</v>
      </c>
      <c r="B8" s="287" t="s">
        <v>2019</v>
      </c>
      <c r="C8" s="6">
        <f>O39</f>
        <v>5758.2168650999993</v>
      </c>
      <c r="D8" s="7">
        <f>Y39</f>
        <v>5139.1106150999994</v>
      </c>
      <c r="E8" s="29">
        <f>$J$34*(D8/30/8)</f>
        <v>0</v>
      </c>
      <c r="F8" s="8">
        <f t="shared" si="0"/>
        <v>5758.2168650999993</v>
      </c>
      <c r="G8" s="8">
        <f t="shared" si="1"/>
        <v>5139.1106150999994</v>
      </c>
      <c r="I8" s="299">
        <f t="shared" si="2"/>
        <v>0</v>
      </c>
      <c r="J8" s="300">
        <f t="shared" si="3"/>
        <v>0</v>
      </c>
      <c r="K8" s="300">
        <f t="shared" si="4"/>
        <v>0</v>
      </c>
      <c r="L8" s="300">
        <f t="shared" si="5"/>
        <v>0</v>
      </c>
      <c r="M8" s="305">
        <f t="shared" si="6"/>
        <v>0</v>
      </c>
      <c r="N8" s="311">
        <f t="shared" si="7"/>
        <v>0</v>
      </c>
      <c r="O8" s="311">
        <f t="shared" si="8"/>
        <v>0</v>
      </c>
      <c r="P8" s="311">
        <f t="shared" ref="P8:P17" si="10">AD8*G8</f>
        <v>0</v>
      </c>
      <c r="Q8" s="311">
        <f t="shared" ref="Q8:Q17" si="11">AE8*G8</f>
        <v>0</v>
      </c>
      <c r="R8" s="311">
        <f t="shared" ref="R8:R17" si="12">AF8*G8</f>
        <v>0</v>
      </c>
      <c r="S8" s="311">
        <f t="shared" ref="S8:S17" si="13">AG8*G8</f>
        <v>0</v>
      </c>
      <c r="T8" s="311">
        <f t="shared" ref="T8:T17" si="14">AH8*G8</f>
        <v>0</v>
      </c>
      <c r="U8" s="308">
        <f t="shared" si="9"/>
        <v>0</v>
      </c>
      <c r="V8" s="9"/>
      <c r="W8" s="277"/>
      <c r="X8" s="277"/>
      <c r="Y8" s="277"/>
      <c r="Z8" s="277"/>
      <c r="AA8" s="277"/>
      <c r="AB8" s="277"/>
      <c r="AC8" s="277"/>
      <c r="AD8" s="277"/>
      <c r="AE8" s="277"/>
      <c r="AF8" s="277"/>
      <c r="AG8" s="277"/>
      <c r="AH8" s="277"/>
      <c r="AI8" s="277"/>
      <c r="AJ8" s="277"/>
      <c r="AK8" s="277"/>
      <c r="AL8" s="277"/>
      <c r="AM8" s="277"/>
      <c r="AN8" s="277"/>
      <c r="AO8" s="277"/>
      <c r="AP8" s="277"/>
    </row>
    <row r="9" spans="1:43" hidden="1" x14ac:dyDescent="0.3">
      <c r="A9" s="2">
        <v>4</v>
      </c>
      <c r="B9" s="287" t="s">
        <v>1889</v>
      </c>
      <c r="C9" s="7">
        <f>O53</f>
        <v>7517.0029798710002</v>
      </c>
      <c r="D9" s="7">
        <f>Y53</f>
        <v>6903.0364798709998</v>
      </c>
      <c r="E9" s="29">
        <f>$J$34*(D9/30/8)</f>
        <v>0</v>
      </c>
      <c r="F9" s="8">
        <f t="shared" si="0"/>
        <v>7517.0029798710002</v>
      </c>
      <c r="G9" s="8">
        <f t="shared" si="1"/>
        <v>6903.0364798709998</v>
      </c>
      <c r="I9" s="299">
        <f t="shared" si="2"/>
        <v>0</v>
      </c>
      <c r="J9" s="300">
        <f t="shared" si="3"/>
        <v>0</v>
      </c>
      <c r="K9" s="300">
        <f t="shared" si="4"/>
        <v>0</v>
      </c>
      <c r="L9" s="300">
        <f t="shared" si="5"/>
        <v>0</v>
      </c>
      <c r="M9" s="305">
        <f t="shared" si="6"/>
        <v>0</v>
      </c>
      <c r="N9" s="311">
        <f t="shared" si="7"/>
        <v>0</v>
      </c>
      <c r="O9" s="311">
        <f t="shared" si="8"/>
        <v>0</v>
      </c>
      <c r="P9" s="311">
        <f t="shared" si="10"/>
        <v>0</v>
      </c>
      <c r="Q9" s="311">
        <f t="shared" si="11"/>
        <v>0</v>
      </c>
      <c r="R9" s="311">
        <f t="shared" si="12"/>
        <v>0</v>
      </c>
      <c r="S9" s="311">
        <f t="shared" si="13"/>
        <v>0</v>
      </c>
      <c r="T9" s="311">
        <f t="shared" si="14"/>
        <v>0</v>
      </c>
      <c r="U9" s="308">
        <f t="shared" si="9"/>
        <v>0</v>
      </c>
      <c r="V9" s="9"/>
      <c r="W9" s="277"/>
      <c r="X9" s="277"/>
      <c r="Y9" s="277"/>
      <c r="Z9" s="277"/>
      <c r="AA9" s="277"/>
      <c r="AB9" s="277"/>
      <c r="AC9" s="277"/>
      <c r="AD9" s="277"/>
      <c r="AE9" s="277"/>
      <c r="AF9" s="277"/>
      <c r="AG9" s="277"/>
      <c r="AH9" s="277"/>
      <c r="AI9" s="277"/>
      <c r="AJ9" s="277"/>
      <c r="AK9" s="277"/>
      <c r="AL9" s="277"/>
      <c r="AM9" s="277"/>
      <c r="AN9" s="277"/>
      <c r="AO9" s="277"/>
      <c r="AP9" s="277"/>
    </row>
    <row r="10" spans="1:43" hidden="1" x14ac:dyDescent="0.3">
      <c r="A10" s="1">
        <v>5</v>
      </c>
      <c r="B10" s="4" t="s">
        <v>2020</v>
      </c>
      <c r="C10" s="7">
        <f>O46</f>
        <v>7413.3796147740013</v>
      </c>
      <c r="D10" s="7">
        <f>Y46</f>
        <v>6794.2733647740015</v>
      </c>
      <c r="E10" s="29">
        <f t="shared" ref="E10:E19" si="15">$J$34*(D10/30/8)</f>
        <v>0</v>
      </c>
      <c r="F10" s="8">
        <f t="shared" si="0"/>
        <v>7413.3796147740013</v>
      </c>
      <c r="G10" s="8">
        <f t="shared" si="1"/>
        <v>6794.2733647740015</v>
      </c>
      <c r="I10" s="299">
        <f t="shared" si="2"/>
        <v>0</v>
      </c>
      <c r="J10" s="300">
        <f t="shared" si="3"/>
        <v>0</v>
      </c>
      <c r="K10" s="300">
        <f t="shared" si="4"/>
        <v>0</v>
      </c>
      <c r="L10" s="300">
        <f t="shared" si="5"/>
        <v>0</v>
      </c>
      <c r="M10" s="305">
        <f t="shared" si="6"/>
        <v>0</v>
      </c>
      <c r="N10" s="311">
        <f t="shared" si="7"/>
        <v>0</v>
      </c>
      <c r="O10" s="311">
        <f t="shared" si="8"/>
        <v>0</v>
      </c>
      <c r="P10" s="311">
        <f t="shared" si="10"/>
        <v>0</v>
      </c>
      <c r="Q10" s="311">
        <f t="shared" si="11"/>
        <v>0</v>
      </c>
      <c r="R10" s="311">
        <f t="shared" si="12"/>
        <v>0</v>
      </c>
      <c r="S10" s="311">
        <f t="shared" si="13"/>
        <v>0</v>
      </c>
      <c r="T10" s="311">
        <f t="shared" si="14"/>
        <v>0</v>
      </c>
      <c r="U10" s="308">
        <f t="shared" si="9"/>
        <v>0</v>
      </c>
      <c r="V10" s="9"/>
      <c r="W10" s="277"/>
      <c r="X10" s="277"/>
      <c r="Y10" s="277"/>
      <c r="Z10" s="277"/>
      <c r="AA10" s="277"/>
      <c r="AB10" s="277"/>
      <c r="AC10" s="277"/>
      <c r="AD10" s="277"/>
      <c r="AE10" s="277"/>
      <c r="AF10" s="277"/>
      <c r="AG10" s="277"/>
      <c r="AH10" s="277"/>
      <c r="AI10" s="277"/>
      <c r="AJ10" s="277"/>
      <c r="AK10" s="277"/>
      <c r="AL10" s="277"/>
      <c r="AM10" s="277"/>
      <c r="AN10" s="277"/>
      <c r="AO10" s="277"/>
      <c r="AP10" s="277"/>
    </row>
    <row r="11" spans="1:43" hidden="1" x14ac:dyDescent="0.3">
      <c r="A11" s="2">
        <v>6</v>
      </c>
      <c r="B11" s="4" t="s">
        <v>2228</v>
      </c>
      <c r="C11" s="7">
        <f>O60</f>
        <v>9787.8903464699288</v>
      </c>
      <c r="D11" s="7">
        <f>Y60</f>
        <v>9173.9238464699265</v>
      </c>
      <c r="E11" s="29"/>
      <c r="F11" s="8">
        <f>IF(C11=0,"",E11+C11)</f>
        <v>9787.8903464699288</v>
      </c>
      <c r="G11" s="8">
        <f>IF(D11=0,"",E11+D11)</f>
        <v>9173.9238464699265</v>
      </c>
      <c r="I11" s="299">
        <f t="shared" si="2"/>
        <v>0</v>
      </c>
      <c r="J11" s="300">
        <f t="shared" si="3"/>
        <v>0</v>
      </c>
      <c r="K11" s="300">
        <f t="shared" si="4"/>
        <v>0</v>
      </c>
      <c r="L11" s="300">
        <f t="shared" si="5"/>
        <v>0</v>
      </c>
      <c r="M11" s="305">
        <f t="shared" si="6"/>
        <v>0</v>
      </c>
      <c r="N11" s="311">
        <f t="shared" si="7"/>
        <v>0</v>
      </c>
      <c r="O11" s="311">
        <f t="shared" si="8"/>
        <v>0</v>
      </c>
      <c r="P11" s="311">
        <f t="shared" si="10"/>
        <v>0</v>
      </c>
      <c r="Q11" s="311">
        <f t="shared" si="11"/>
        <v>0</v>
      </c>
      <c r="R11" s="311">
        <f t="shared" si="12"/>
        <v>0</v>
      </c>
      <c r="S11" s="311">
        <f t="shared" si="13"/>
        <v>0</v>
      </c>
      <c r="T11" s="311">
        <f t="shared" si="14"/>
        <v>0</v>
      </c>
      <c r="U11" s="308">
        <f t="shared" si="9"/>
        <v>0</v>
      </c>
      <c r="V11" s="9"/>
      <c r="W11" s="277"/>
      <c r="X11" s="277"/>
      <c r="Y11" s="277"/>
      <c r="Z11" s="277"/>
      <c r="AA11" s="277"/>
      <c r="AB11" s="277"/>
      <c r="AC11" s="277"/>
      <c r="AD11" s="277"/>
      <c r="AE11" s="277"/>
      <c r="AF11" s="277"/>
      <c r="AG11" s="277"/>
      <c r="AH11" s="277"/>
      <c r="AI11" s="277"/>
      <c r="AJ11" s="277"/>
      <c r="AK11" s="277"/>
      <c r="AL11" s="277"/>
      <c r="AM11" s="277"/>
      <c r="AN11" s="277"/>
      <c r="AO11" s="277"/>
      <c r="AP11" s="277"/>
    </row>
    <row r="12" spans="1:43" x14ac:dyDescent="0.3">
      <c r="A12" s="1">
        <v>7</v>
      </c>
      <c r="B12" s="288" t="s">
        <v>2022</v>
      </c>
      <c r="C12" s="7">
        <v>4000</v>
      </c>
      <c r="D12" s="7">
        <v>4000</v>
      </c>
      <c r="E12" s="29"/>
      <c r="F12" s="8">
        <f t="shared" si="0"/>
        <v>4000</v>
      </c>
      <c r="G12" s="8">
        <f t="shared" si="1"/>
        <v>4000</v>
      </c>
      <c r="I12" s="299">
        <f t="shared" si="2"/>
        <v>4000</v>
      </c>
      <c r="J12" s="300">
        <f t="shared" si="3"/>
        <v>4000</v>
      </c>
      <c r="K12" s="300">
        <f t="shared" si="4"/>
        <v>4000</v>
      </c>
      <c r="L12" s="300">
        <f t="shared" si="5"/>
        <v>4000</v>
      </c>
      <c r="M12" s="305">
        <f t="shared" si="6"/>
        <v>4000</v>
      </c>
      <c r="N12" s="311">
        <f t="shared" si="7"/>
        <v>4000</v>
      </c>
      <c r="O12" s="311">
        <f t="shared" si="8"/>
        <v>4000</v>
      </c>
      <c r="P12" s="311">
        <f>AD12*G12</f>
        <v>0</v>
      </c>
      <c r="Q12" s="311">
        <f>AE12*G12</f>
        <v>0</v>
      </c>
      <c r="R12" s="311">
        <f>AF12*G12</f>
        <v>0</v>
      </c>
      <c r="S12" s="311">
        <f>AG12*G12</f>
        <v>0</v>
      </c>
      <c r="T12" s="311">
        <f>AH12*G12</f>
        <v>0</v>
      </c>
      <c r="U12" s="308">
        <f t="shared" si="9"/>
        <v>28000</v>
      </c>
      <c r="V12" s="9"/>
      <c r="W12" s="277">
        <v>1</v>
      </c>
      <c r="X12" s="277">
        <v>1</v>
      </c>
      <c r="Y12" s="277">
        <v>1</v>
      </c>
      <c r="Z12" s="277">
        <v>1</v>
      </c>
      <c r="AA12" s="277">
        <v>1</v>
      </c>
      <c r="AB12" s="277">
        <v>1</v>
      </c>
      <c r="AC12" s="277">
        <v>1</v>
      </c>
      <c r="AD12" s="277"/>
      <c r="AE12" s="277"/>
      <c r="AF12" s="277"/>
      <c r="AG12" s="277"/>
      <c r="AH12" s="277"/>
      <c r="AI12" s="277"/>
      <c r="AJ12" s="277"/>
      <c r="AK12" s="277"/>
      <c r="AL12" s="277"/>
      <c r="AM12" s="277"/>
      <c r="AN12" s="277"/>
      <c r="AO12" s="277"/>
      <c r="AP12" s="277"/>
    </row>
    <row r="13" spans="1:43" hidden="1" x14ac:dyDescent="0.3">
      <c r="A13" s="2">
        <v>8</v>
      </c>
      <c r="B13" s="288" t="s">
        <v>2038</v>
      </c>
      <c r="C13" s="7">
        <f>O54</f>
        <v>10154.744192061002</v>
      </c>
      <c r="D13" s="7">
        <f>Y54</f>
        <v>9540.7776920610013</v>
      </c>
      <c r="E13" s="29"/>
      <c r="F13" s="8">
        <f>IF(C13=0,"",E13+C13)</f>
        <v>10154.744192061002</v>
      </c>
      <c r="G13" s="8">
        <f>IF(D13=0,"",E13+D13)</f>
        <v>9540.7776920610013</v>
      </c>
      <c r="I13" s="299">
        <f t="shared" si="2"/>
        <v>0</v>
      </c>
      <c r="J13" s="300">
        <f t="shared" si="3"/>
        <v>0</v>
      </c>
      <c r="K13" s="300">
        <f t="shared" si="4"/>
        <v>0</v>
      </c>
      <c r="L13" s="300">
        <f t="shared" si="5"/>
        <v>0</v>
      </c>
      <c r="M13" s="305">
        <f t="shared" si="6"/>
        <v>0</v>
      </c>
      <c r="N13" s="311">
        <f t="shared" si="7"/>
        <v>0</v>
      </c>
      <c r="O13" s="311">
        <f t="shared" si="8"/>
        <v>0</v>
      </c>
      <c r="P13" s="311">
        <f t="shared" si="10"/>
        <v>0</v>
      </c>
      <c r="Q13" s="311">
        <f t="shared" si="11"/>
        <v>0</v>
      </c>
      <c r="R13" s="311">
        <f t="shared" si="12"/>
        <v>0</v>
      </c>
      <c r="S13" s="311">
        <f t="shared" si="13"/>
        <v>0</v>
      </c>
      <c r="T13" s="311">
        <f t="shared" si="14"/>
        <v>0</v>
      </c>
      <c r="U13" s="308">
        <f t="shared" si="9"/>
        <v>0</v>
      </c>
      <c r="V13" s="9"/>
      <c r="W13" s="277"/>
      <c r="X13" s="277"/>
      <c r="Y13" s="277"/>
      <c r="Z13" s="277"/>
      <c r="AA13" s="277"/>
      <c r="AB13" s="277"/>
      <c r="AC13" s="277"/>
      <c r="AD13" s="277"/>
      <c r="AE13" s="277"/>
      <c r="AF13" s="277"/>
      <c r="AG13" s="277"/>
      <c r="AH13" s="277"/>
      <c r="AI13" s="277"/>
      <c r="AJ13" s="277"/>
      <c r="AK13" s="277"/>
      <c r="AL13" s="277"/>
      <c r="AM13" s="277"/>
      <c r="AN13" s="277"/>
      <c r="AO13" s="277"/>
      <c r="AP13" s="277"/>
    </row>
    <row r="14" spans="1:43" hidden="1" x14ac:dyDescent="0.3">
      <c r="A14" s="1">
        <v>9</v>
      </c>
      <c r="B14" s="4" t="s">
        <v>1886</v>
      </c>
      <c r="C14" s="7">
        <f>O47</f>
        <v>4690.144543077</v>
      </c>
      <c r="D14" s="7">
        <f>Y47</f>
        <v>4071.0382930770002</v>
      </c>
      <c r="E14" s="29">
        <f t="shared" si="15"/>
        <v>0</v>
      </c>
      <c r="F14" s="8">
        <f t="shared" si="0"/>
        <v>4690.144543077</v>
      </c>
      <c r="G14" s="8">
        <f t="shared" si="1"/>
        <v>4071.0382930770002</v>
      </c>
      <c r="I14" s="299">
        <f t="shared" si="2"/>
        <v>0</v>
      </c>
      <c r="J14" s="300">
        <f t="shared" si="3"/>
        <v>0</v>
      </c>
      <c r="K14" s="300">
        <f t="shared" si="4"/>
        <v>0</v>
      </c>
      <c r="L14" s="300">
        <f t="shared" si="5"/>
        <v>0</v>
      </c>
      <c r="M14" s="305">
        <f t="shared" si="6"/>
        <v>0</v>
      </c>
      <c r="N14" s="311">
        <f t="shared" si="7"/>
        <v>0</v>
      </c>
      <c r="O14" s="311">
        <f t="shared" si="8"/>
        <v>0</v>
      </c>
      <c r="P14" s="311">
        <f t="shared" si="10"/>
        <v>0</v>
      </c>
      <c r="Q14" s="311">
        <f t="shared" si="11"/>
        <v>0</v>
      </c>
      <c r="R14" s="311">
        <f t="shared" si="12"/>
        <v>0</v>
      </c>
      <c r="S14" s="311">
        <f t="shared" si="13"/>
        <v>0</v>
      </c>
      <c r="T14" s="311">
        <f t="shared" si="14"/>
        <v>0</v>
      </c>
      <c r="U14" s="308">
        <f t="shared" si="9"/>
        <v>0</v>
      </c>
      <c r="V14" s="9"/>
      <c r="W14" s="277"/>
      <c r="X14" s="277"/>
      <c r="Y14" s="277"/>
      <c r="Z14" s="277"/>
      <c r="AA14" s="277"/>
      <c r="AB14" s="277"/>
      <c r="AC14" s="277"/>
      <c r="AD14" s="277"/>
      <c r="AE14" s="277"/>
      <c r="AF14" s="277"/>
      <c r="AG14" s="277"/>
      <c r="AH14" s="277"/>
      <c r="AI14" s="277"/>
      <c r="AJ14" s="277"/>
      <c r="AK14" s="277"/>
      <c r="AL14" s="277"/>
      <c r="AM14" s="277"/>
      <c r="AN14" s="277"/>
      <c r="AO14" s="277"/>
      <c r="AP14" s="277"/>
    </row>
    <row r="15" spans="1:43" hidden="1" x14ac:dyDescent="0.3">
      <c r="A15" s="2">
        <v>10</v>
      </c>
      <c r="B15" s="4" t="s">
        <v>2227</v>
      </c>
      <c r="C15" s="7">
        <f>O61</f>
        <v>6051.6093021930001</v>
      </c>
      <c r="D15" s="7">
        <f>Y61</f>
        <v>5437.6428021930005</v>
      </c>
      <c r="E15" s="29"/>
      <c r="F15" s="8">
        <f>IF(C15=0,"",E15+C15)</f>
        <v>6051.6093021930001</v>
      </c>
      <c r="G15" s="8">
        <f>IF(D15=0,"",E15+D15)</f>
        <v>5437.6428021930005</v>
      </c>
      <c r="I15" s="299">
        <f t="shared" si="2"/>
        <v>0</v>
      </c>
      <c r="J15" s="300">
        <f t="shared" si="3"/>
        <v>0</v>
      </c>
      <c r="K15" s="300">
        <f t="shared" si="4"/>
        <v>0</v>
      </c>
      <c r="L15" s="300">
        <f t="shared" si="5"/>
        <v>0</v>
      </c>
      <c r="M15" s="305">
        <f t="shared" si="6"/>
        <v>0</v>
      </c>
      <c r="N15" s="311">
        <f t="shared" si="7"/>
        <v>0</v>
      </c>
      <c r="O15" s="311">
        <f t="shared" si="8"/>
        <v>0</v>
      </c>
      <c r="P15" s="311">
        <f t="shared" si="10"/>
        <v>0</v>
      </c>
      <c r="Q15" s="311">
        <f t="shared" si="11"/>
        <v>0</v>
      </c>
      <c r="R15" s="311">
        <f t="shared" si="12"/>
        <v>0</v>
      </c>
      <c r="S15" s="311">
        <f t="shared" si="13"/>
        <v>0</v>
      </c>
      <c r="T15" s="311">
        <f t="shared" si="14"/>
        <v>0</v>
      </c>
      <c r="U15" s="308">
        <f t="shared" si="9"/>
        <v>0</v>
      </c>
      <c r="V15" s="9"/>
      <c r="W15" s="277"/>
      <c r="X15" s="277"/>
      <c r="Y15" s="277"/>
      <c r="Z15" s="277"/>
      <c r="AA15" s="277"/>
      <c r="AB15" s="277"/>
      <c r="AC15" s="277"/>
      <c r="AD15" s="277"/>
      <c r="AE15" s="277"/>
      <c r="AF15" s="277"/>
      <c r="AG15" s="277"/>
      <c r="AH15" s="277"/>
      <c r="AI15" s="277"/>
      <c r="AJ15" s="277"/>
      <c r="AK15" s="277"/>
      <c r="AL15" s="277"/>
      <c r="AM15" s="277"/>
      <c r="AN15" s="277"/>
      <c r="AO15" s="277"/>
      <c r="AP15" s="277"/>
    </row>
    <row r="16" spans="1:43" x14ac:dyDescent="0.3">
      <c r="A16" s="1">
        <v>11</v>
      </c>
      <c r="B16" s="4" t="s">
        <v>2021</v>
      </c>
      <c r="C16" s="339">
        <f>(170*22)+55</f>
        <v>3795</v>
      </c>
      <c r="D16" s="339">
        <f>(170*22)+55</f>
        <v>3795</v>
      </c>
      <c r="E16" s="340">
        <f>$J$34*(D16/30/8)</f>
        <v>0</v>
      </c>
      <c r="F16" s="341">
        <f t="shared" si="0"/>
        <v>3795</v>
      </c>
      <c r="G16" s="341">
        <f t="shared" si="1"/>
        <v>3795</v>
      </c>
      <c r="I16" s="299">
        <f t="shared" si="2"/>
        <v>0</v>
      </c>
      <c r="J16" s="300">
        <f t="shared" si="3"/>
        <v>0</v>
      </c>
      <c r="K16" s="300">
        <f t="shared" si="4"/>
        <v>0</v>
      </c>
      <c r="L16" s="300">
        <f t="shared" si="5"/>
        <v>0</v>
      </c>
      <c r="M16" s="305">
        <f t="shared" si="6"/>
        <v>0</v>
      </c>
      <c r="N16" s="311">
        <f t="shared" si="7"/>
        <v>0</v>
      </c>
      <c r="O16" s="311">
        <f t="shared" si="8"/>
        <v>0</v>
      </c>
      <c r="P16" s="311">
        <f>AD16*G16</f>
        <v>0</v>
      </c>
      <c r="Q16" s="311">
        <f>AE16*G16</f>
        <v>0</v>
      </c>
      <c r="R16" s="311">
        <f>AF16*G16</f>
        <v>0</v>
      </c>
      <c r="S16" s="311">
        <f>AG16*G16</f>
        <v>0</v>
      </c>
      <c r="T16" s="311">
        <f>AH16*G16</f>
        <v>0</v>
      </c>
      <c r="U16" s="308">
        <f t="shared" si="9"/>
        <v>0</v>
      </c>
      <c r="V16" s="9"/>
      <c r="W16" s="277"/>
      <c r="X16" s="277"/>
      <c r="Y16" s="277"/>
      <c r="Z16" s="277"/>
      <c r="AA16" s="277"/>
      <c r="AB16" s="277"/>
      <c r="AC16" s="277"/>
      <c r="AD16" s="277"/>
      <c r="AE16" s="277"/>
      <c r="AF16" s="277"/>
      <c r="AG16" s="277"/>
      <c r="AH16" s="277"/>
      <c r="AI16" s="277"/>
      <c r="AJ16" s="277"/>
      <c r="AK16" s="277"/>
      <c r="AL16" s="277"/>
      <c r="AM16" s="277"/>
      <c r="AN16" s="277"/>
      <c r="AO16" s="277"/>
      <c r="AP16" s="277"/>
    </row>
    <row r="17" spans="1:42" hidden="1" x14ac:dyDescent="0.3">
      <c r="A17" s="2">
        <v>12</v>
      </c>
      <c r="B17" s="288" t="s">
        <v>1887</v>
      </c>
      <c r="C17" s="7">
        <f>O57</f>
        <v>6514.7876146710005</v>
      </c>
      <c r="D17" s="7">
        <f>Y57</f>
        <v>5900.821114671</v>
      </c>
      <c r="E17" s="29">
        <f t="shared" si="15"/>
        <v>0</v>
      </c>
      <c r="F17" s="8">
        <f t="shared" si="0"/>
        <v>6514.7876146710005</v>
      </c>
      <c r="G17" s="8">
        <f t="shared" si="1"/>
        <v>5900.821114671</v>
      </c>
      <c r="I17" s="299">
        <f t="shared" si="2"/>
        <v>0</v>
      </c>
      <c r="J17" s="300">
        <f t="shared" si="3"/>
        <v>0</v>
      </c>
      <c r="K17" s="300">
        <f t="shared" si="4"/>
        <v>0</v>
      </c>
      <c r="L17" s="300">
        <f t="shared" si="5"/>
        <v>0</v>
      </c>
      <c r="M17" s="305">
        <f t="shared" si="6"/>
        <v>0</v>
      </c>
      <c r="N17" s="311">
        <f t="shared" si="7"/>
        <v>0</v>
      </c>
      <c r="O17" s="311">
        <f t="shared" si="8"/>
        <v>0</v>
      </c>
      <c r="P17" s="311">
        <f t="shared" si="10"/>
        <v>0</v>
      </c>
      <c r="Q17" s="311">
        <f t="shared" si="11"/>
        <v>0</v>
      </c>
      <c r="R17" s="311">
        <f t="shared" si="12"/>
        <v>0</v>
      </c>
      <c r="S17" s="311">
        <f t="shared" si="13"/>
        <v>0</v>
      </c>
      <c r="T17" s="311">
        <f t="shared" si="14"/>
        <v>0</v>
      </c>
      <c r="U17" s="308">
        <f t="shared" si="9"/>
        <v>0</v>
      </c>
      <c r="V17" s="9"/>
      <c r="W17" s="277"/>
      <c r="X17" s="277"/>
      <c r="Y17" s="277"/>
      <c r="Z17" s="277"/>
      <c r="AA17" s="277"/>
      <c r="AB17" s="277"/>
      <c r="AC17" s="277"/>
      <c r="AD17" s="277"/>
      <c r="AE17" s="277"/>
      <c r="AF17" s="277"/>
      <c r="AG17" s="277"/>
      <c r="AH17" s="277"/>
      <c r="AI17" s="277"/>
      <c r="AJ17" s="277"/>
      <c r="AK17" s="277"/>
      <c r="AL17" s="277"/>
      <c r="AM17" s="277"/>
      <c r="AN17" s="277"/>
      <c r="AO17" s="277"/>
      <c r="AP17" s="277"/>
    </row>
    <row r="18" spans="1:42" x14ac:dyDescent="0.3">
      <c r="A18" s="1">
        <v>13</v>
      </c>
      <c r="B18" s="289" t="s">
        <v>1902</v>
      </c>
      <c r="C18" s="339">
        <f>(110*22)+55</f>
        <v>2475</v>
      </c>
      <c r="D18" s="339">
        <f>(110*22)+55</f>
        <v>2475</v>
      </c>
      <c r="E18" s="340">
        <f t="shared" si="15"/>
        <v>0</v>
      </c>
      <c r="F18" s="341">
        <f t="shared" si="0"/>
        <v>2475</v>
      </c>
      <c r="G18" s="341">
        <f t="shared" si="1"/>
        <v>2475</v>
      </c>
      <c r="I18" s="299">
        <f t="shared" si="2"/>
        <v>4950</v>
      </c>
      <c r="J18" s="300">
        <f t="shared" si="3"/>
        <v>4950</v>
      </c>
      <c r="K18" s="300">
        <f t="shared" si="4"/>
        <v>4950</v>
      </c>
      <c r="L18" s="300">
        <f t="shared" si="5"/>
        <v>4950</v>
      </c>
      <c r="M18" s="305">
        <f t="shared" si="6"/>
        <v>4950</v>
      </c>
      <c r="N18" s="311">
        <f t="shared" si="7"/>
        <v>4950</v>
      </c>
      <c r="O18" s="311">
        <f t="shared" si="8"/>
        <v>4950</v>
      </c>
      <c r="P18" s="311">
        <f>AD18*G18</f>
        <v>0</v>
      </c>
      <c r="Q18" s="311">
        <f>AE18*G18</f>
        <v>0</v>
      </c>
      <c r="R18" s="311">
        <f>AF18*G18</f>
        <v>0</v>
      </c>
      <c r="S18" s="311">
        <f>AG18*G18</f>
        <v>0</v>
      </c>
      <c r="T18" s="311">
        <f>AH18*G18</f>
        <v>0</v>
      </c>
      <c r="U18" s="308">
        <f t="shared" si="9"/>
        <v>34650</v>
      </c>
      <c r="V18" s="9"/>
      <c r="W18" s="277">
        <v>2</v>
      </c>
      <c r="X18" s="277">
        <v>2</v>
      </c>
      <c r="Y18" s="277">
        <v>2</v>
      </c>
      <c r="Z18" s="277">
        <v>2</v>
      </c>
      <c r="AA18" s="277">
        <v>2</v>
      </c>
      <c r="AB18" s="277">
        <v>2</v>
      </c>
      <c r="AC18" s="277">
        <v>2</v>
      </c>
      <c r="AD18" s="277"/>
      <c r="AE18" s="277"/>
      <c r="AF18" s="277"/>
      <c r="AG18" s="277"/>
      <c r="AH18" s="277"/>
      <c r="AI18" s="277"/>
      <c r="AJ18" s="277"/>
      <c r="AK18" s="277"/>
      <c r="AL18" s="277"/>
      <c r="AM18" s="277"/>
      <c r="AN18" s="277"/>
      <c r="AO18" s="277"/>
      <c r="AP18" s="277"/>
    </row>
    <row r="19" spans="1:42" hidden="1" x14ac:dyDescent="0.3">
      <c r="A19" s="2">
        <v>14</v>
      </c>
      <c r="B19" s="288" t="s">
        <v>1888</v>
      </c>
      <c r="C19" s="7">
        <f>O59</f>
        <v>5002.2572224590003</v>
      </c>
      <c r="D19" s="7">
        <f>Y59</f>
        <v>4388.2907224589999</v>
      </c>
      <c r="E19" s="29">
        <f t="shared" si="15"/>
        <v>0</v>
      </c>
      <c r="F19" s="8">
        <f t="shared" si="0"/>
        <v>5002.2572224590003</v>
      </c>
      <c r="G19" s="8">
        <f t="shared" si="1"/>
        <v>4388.2907224589999</v>
      </c>
      <c r="I19" s="299">
        <f t="shared" si="2"/>
        <v>0</v>
      </c>
      <c r="J19" s="300">
        <f t="shared" si="3"/>
        <v>0</v>
      </c>
      <c r="K19" s="300">
        <f t="shared" si="4"/>
        <v>0</v>
      </c>
      <c r="L19" s="300">
        <f t="shared" si="5"/>
        <v>0</v>
      </c>
      <c r="M19" s="305">
        <f t="shared" si="6"/>
        <v>0</v>
      </c>
      <c r="N19" s="311">
        <f t="shared" si="7"/>
        <v>0</v>
      </c>
      <c r="O19" s="311">
        <f>AC19*G19</f>
        <v>0</v>
      </c>
      <c r="P19" s="311">
        <f>AD19*G19</f>
        <v>0</v>
      </c>
      <c r="Q19" s="311">
        <f>AE19*H19</f>
        <v>0</v>
      </c>
      <c r="R19" s="311"/>
      <c r="S19" s="311"/>
      <c r="T19" s="311"/>
      <c r="U19" s="308">
        <f>SUM(I19:P19)</f>
        <v>0</v>
      </c>
      <c r="V19" s="9"/>
      <c r="W19" s="277"/>
      <c r="X19" s="277"/>
      <c r="Y19" s="277"/>
      <c r="Z19" s="277"/>
      <c r="AA19" s="277"/>
      <c r="AB19" s="277"/>
      <c r="AC19" s="277"/>
      <c r="AD19" s="277"/>
      <c r="AE19" s="277"/>
      <c r="AF19" s="277"/>
      <c r="AG19" s="277"/>
      <c r="AH19" s="277"/>
      <c r="AI19" s="277"/>
      <c r="AJ19" s="277"/>
      <c r="AK19" s="277"/>
      <c r="AL19" s="277"/>
      <c r="AM19" s="277"/>
      <c r="AN19" s="277"/>
      <c r="AO19" s="277"/>
      <c r="AP19" s="277"/>
    </row>
    <row r="20" spans="1:42" x14ac:dyDescent="0.3">
      <c r="H20" s="296"/>
      <c r="I20" s="301">
        <f t="shared" ref="I20:U20" si="16">SUM(I6:I19)</f>
        <v>16950</v>
      </c>
      <c r="J20" s="302">
        <f t="shared" si="16"/>
        <v>16950</v>
      </c>
      <c r="K20" s="302">
        <f t="shared" si="16"/>
        <v>16950</v>
      </c>
      <c r="L20" s="303">
        <f t="shared" si="16"/>
        <v>16950</v>
      </c>
      <c r="M20" s="306">
        <f t="shared" si="16"/>
        <v>16950</v>
      </c>
      <c r="N20" s="312">
        <f t="shared" ref="N20:T20" si="17">SUM(N6:N19)</f>
        <v>16950</v>
      </c>
      <c r="O20" s="312">
        <f t="shared" si="17"/>
        <v>16950</v>
      </c>
      <c r="P20" s="312">
        <f t="shared" si="17"/>
        <v>0</v>
      </c>
      <c r="Q20" s="312">
        <f t="shared" si="17"/>
        <v>0</v>
      </c>
      <c r="R20" s="312">
        <f t="shared" si="17"/>
        <v>0</v>
      </c>
      <c r="S20" s="312">
        <f t="shared" si="17"/>
        <v>0</v>
      </c>
      <c r="T20" s="312">
        <f t="shared" si="17"/>
        <v>0</v>
      </c>
      <c r="U20" s="309">
        <f t="shared" si="16"/>
        <v>118650</v>
      </c>
      <c r="V20" s="12"/>
      <c r="W20" s="12">
        <f>SUMPRODUCT($F$6:$F$19,W6:W19)</f>
        <v>16950</v>
      </c>
      <c r="X20" s="12">
        <f>SUMPRODUCT($G$6:$G$19,X6:X19)</f>
        <v>16950</v>
      </c>
      <c r="Y20" s="12">
        <f>SUMPRODUCT($G$6:$G$19,Y6:Y19)</f>
        <v>16950</v>
      </c>
      <c r="Z20" s="12">
        <f>SUMPRODUCT($G$6:$G$19,Z6:Z19)</f>
        <v>16950</v>
      </c>
      <c r="AA20" s="12">
        <f t="shared" ref="AA20:AP20" si="18">SUMPRODUCT($G$6:$G$19,AA6:AA19)</f>
        <v>16950</v>
      </c>
      <c r="AB20" s="12">
        <f t="shared" si="18"/>
        <v>16950</v>
      </c>
      <c r="AC20" s="12">
        <f t="shared" si="18"/>
        <v>16950</v>
      </c>
      <c r="AD20" s="12">
        <f t="shared" si="18"/>
        <v>0</v>
      </c>
      <c r="AE20" s="12">
        <f t="shared" si="18"/>
        <v>0</v>
      </c>
      <c r="AF20" s="12">
        <f t="shared" si="18"/>
        <v>0</v>
      </c>
      <c r="AG20" s="12">
        <f t="shared" si="18"/>
        <v>0</v>
      </c>
      <c r="AH20" s="12">
        <f t="shared" si="18"/>
        <v>0</v>
      </c>
      <c r="AI20" s="12">
        <f t="shared" si="18"/>
        <v>0</v>
      </c>
      <c r="AJ20" s="12">
        <f t="shared" si="18"/>
        <v>0</v>
      </c>
      <c r="AK20" s="12">
        <f t="shared" si="18"/>
        <v>0</v>
      </c>
      <c r="AL20" s="12">
        <f t="shared" si="18"/>
        <v>0</v>
      </c>
      <c r="AM20" s="12">
        <f t="shared" si="18"/>
        <v>0</v>
      </c>
      <c r="AN20" s="12">
        <f t="shared" si="18"/>
        <v>0</v>
      </c>
      <c r="AO20" s="12">
        <f t="shared" si="18"/>
        <v>0</v>
      </c>
      <c r="AP20" s="12">
        <f t="shared" si="18"/>
        <v>0</v>
      </c>
    </row>
    <row r="21" spans="1:42" ht="15.75" customHeight="1" x14ac:dyDescent="0.3">
      <c r="A21" s="1201" t="s">
        <v>268</v>
      </c>
      <c r="B21" s="1201"/>
      <c r="C21" s="1201"/>
      <c r="D21" s="1201"/>
      <c r="E21" s="1201"/>
      <c r="F21" s="1201"/>
      <c r="G21" s="1201"/>
      <c r="I21" s="16" t="s">
        <v>23</v>
      </c>
      <c r="J21" s="17">
        <f>U20</f>
        <v>118650</v>
      </c>
      <c r="K21" s="273"/>
    </row>
    <row r="22" spans="1:42" x14ac:dyDescent="0.3">
      <c r="A22" s="145" t="s">
        <v>269</v>
      </c>
      <c r="B22" s="145">
        <v>17</v>
      </c>
      <c r="C22" s="146" t="s">
        <v>270</v>
      </c>
      <c r="D22" s="278">
        <f>SUM(W12:AP19)*22</f>
        <v>462</v>
      </c>
      <c r="E22" s="147"/>
      <c r="F22" s="147"/>
      <c r="G22" s="144">
        <f>B22*D22</f>
        <v>7854</v>
      </c>
      <c r="N22" s="12">
        <f>45*22*15.5</f>
        <v>15345</v>
      </c>
      <c r="W22" s="11">
        <f>SUM(W16:W18)</f>
        <v>2</v>
      </c>
      <c r="X22" s="11">
        <f t="shared" ref="X22:AH22" si="19">SUM(X16:X18)</f>
        <v>2</v>
      </c>
      <c r="Y22" s="11">
        <f t="shared" si="19"/>
        <v>2</v>
      </c>
      <c r="Z22" s="11">
        <f t="shared" si="19"/>
        <v>2</v>
      </c>
      <c r="AA22" s="11">
        <f t="shared" si="19"/>
        <v>2</v>
      </c>
      <c r="AB22" s="11">
        <f t="shared" si="19"/>
        <v>2</v>
      </c>
      <c r="AC22" s="11">
        <f t="shared" si="19"/>
        <v>2</v>
      </c>
      <c r="AD22" s="11">
        <f t="shared" si="19"/>
        <v>0</v>
      </c>
      <c r="AE22" s="11">
        <f t="shared" si="19"/>
        <v>0</v>
      </c>
      <c r="AF22" s="11">
        <f t="shared" si="19"/>
        <v>0</v>
      </c>
      <c r="AG22" s="11">
        <f t="shared" si="19"/>
        <v>0</v>
      </c>
      <c r="AH22" s="11">
        <f t="shared" si="19"/>
        <v>0</v>
      </c>
    </row>
    <row r="23" spans="1:42" x14ac:dyDescent="0.3">
      <c r="G23" s="346"/>
      <c r="V23" s="11"/>
    </row>
    <row r="24" spans="1:42" x14ac:dyDescent="0.3">
      <c r="A24" s="1211" t="s">
        <v>1248</v>
      </c>
      <c r="B24" s="1211"/>
      <c r="C24" s="9"/>
      <c r="D24" s="9"/>
      <c r="G24" s="346"/>
    </row>
    <row r="25" spans="1:42" ht="14.4" thickBot="1" x14ac:dyDescent="0.35">
      <c r="A25" s="1203" t="s">
        <v>1245</v>
      </c>
      <c r="B25" s="1203"/>
      <c r="C25" s="1203"/>
      <c r="D25" s="1203"/>
      <c r="E25" s="1203"/>
      <c r="F25" s="1204"/>
      <c r="G25" s="1204"/>
      <c r="H25" s="1204"/>
      <c r="I25" s="1203"/>
      <c r="J25" s="1203"/>
    </row>
    <row r="26" spans="1:42" s="200" customFormat="1" x14ac:dyDescent="0.3">
      <c r="A26" s="205" t="s">
        <v>1237</v>
      </c>
      <c r="B26" s="205" t="s">
        <v>1238</v>
      </c>
      <c r="C26" s="205" t="s">
        <v>1239</v>
      </c>
      <c r="D26" s="205"/>
      <c r="E26" s="205"/>
      <c r="F26" s="205"/>
      <c r="G26" s="1205" t="s">
        <v>1240</v>
      </c>
      <c r="H26" s="1205"/>
      <c r="I26" s="205" t="s">
        <v>1241</v>
      </c>
      <c r="J26" s="205" t="s">
        <v>1246</v>
      </c>
      <c r="K26" s="198"/>
      <c r="L26" s="198"/>
      <c r="M26" s="199" t="s">
        <v>1249</v>
      </c>
      <c r="N26" s="199"/>
      <c r="O26" s="199"/>
      <c r="P26" s="199"/>
      <c r="Q26" s="199"/>
      <c r="R26" s="199"/>
      <c r="S26" s="199"/>
      <c r="T26" s="199"/>
    </row>
    <row r="27" spans="1:42" x14ac:dyDescent="0.3">
      <c r="A27" s="204" t="s">
        <v>1236</v>
      </c>
      <c r="B27" s="207">
        <v>0.7</v>
      </c>
      <c r="C27" s="208">
        <v>6</v>
      </c>
      <c r="D27" s="231"/>
      <c r="E27" s="201"/>
      <c r="F27" s="201"/>
      <c r="G27" s="1206">
        <v>0</v>
      </c>
      <c r="H27" s="1207"/>
      <c r="I27" s="213">
        <f t="shared" ref="I27:I33" si="20">G27*C27</f>
        <v>0</v>
      </c>
      <c r="J27" s="214">
        <f t="shared" ref="J27:J33" si="21">I27*B27+I27</f>
        <v>0</v>
      </c>
      <c r="M27" s="12" t="s">
        <v>1250</v>
      </c>
    </row>
    <row r="28" spans="1:42" x14ac:dyDescent="0.3">
      <c r="A28" s="204" t="s">
        <v>1236</v>
      </c>
      <c r="B28" s="219">
        <v>1</v>
      </c>
      <c r="C28" s="220">
        <v>4</v>
      </c>
      <c r="D28" s="232"/>
      <c r="E28" s="221"/>
      <c r="F28" s="221"/>
      <c r="G28" s="1214">
        <v>0</v>
      </c>
      <c r="H28" s="1215"/>
      <c r="I28" s="222">
        <f t="shared" si="20"/>
        <v>0</v>
      </c>
      <c r="J28" s="223">
        <f t="shared" si="21"/>
        <v>0</v>
      </c>
    </row>
    <row r="29" spans="1:42" x14ac:dyDescent="0.3">
      <c r="A29" s="204" t="s">
        <v>1243</v>
      </c>
      <c r="B29" s="209">
        <v>0.5</v>
      </c>
      <c r="C29" s="210">
        <v>1</v>
      </c>
      <c r="D29" s="233"/>
      <c r="E29" s="202"/>
      <c r="F29" s="202"/>
      <c r="G29" s="1212">
        <v>0</v>
      </c>
      <c r="H29" s="1213"/>
      <c r="I29" s="215">
        <f t="shared" si="20"/>
        <v>0</v>
      </c>
      <c r="J29" s="216">
        <f t="shared" si="21"/>
        <v>0</v>
      </c>
      <c r="M29" s="12" t="s">
        <v>1251</v>
      </c>
    </row>
    <row r="30" spans="1:42" x14ac:dyDescent="0.3">
      <c r="A30" s="204" t="s">
        <v>1243</v>
      </c>
      <c r="B30" s="209">
        <v>1</v>
      </c>
      <c r="C30" s="210">
        <v>1</v>
      </c>
      <c r="D30" s="233"/>
      <c r="E30" s="202"/>
      <c r="F30" s="202"/>
      <c r="G30" s="1212">
        <v>0</v>
      </c>
      <c r="H30" s="1213"/>
      <c r="I30" s="215">
        <f t="shared" si="20"/>
        <v>0</v>
      </c>
      <c r="J30" s="216">
        <f t="shared" si="21"/>
        <v>0</v>
      </c>
    </row>
    <row r="31" spans="1:42" x14ac:dyDescent="0.3">
      <c r="A31" s="204" t="s">
        <v>1244</v>
      </c>
      <c r="B31" s="209">
        <v>0.5</v>
      </c>
      <c r="C31" s="210">
        <v>2</v>
      </c>
      <c r="D31" s="233"/>
      <c r="E31" s="202"/>
      <c r="F31" s="202"/>
      <c r="G31" s="1212">
        <v>0</v>
      </c>
      <c r="H31" s="1213"/>
      <c r="I31" s="215">
        <f t="shared" si="20"/>
        <v>0</v>
      </c>
      <c r="J31" s="216">
        <f t="shared" si="21"/>
        <v>0</v>
      </c>
      <c r="M31" s="12" t="s">
        <v>1252</v>
      </c>
    </row>
    <row r="32" spans="1:42" x14ac:dyDescent="0.3">
      <c r="A32" s="204" t="s">
        <v>1244</v>
      </c>
      <c r="B32" s="209">
        <v>1</v>
      </c>
      <c r="C32" s="210">
        <v>2</v>
      </c>
      <c r="D32" s="233"/>
      <c r="E32" s="202"/>
      <c r="F32" s="202"/>
      <c r="G32" s="1212">
        <v>0</v>
      </c>
      <c r="H32" s="1213"/>
      <c r="I32" s="215">
        <f t="shared" si="20"/>
        <v>0</v>
      </c>
      <c r="J32" s="216">
        <f t="shared" si="21"/>
        <v>0</v>
      </c>
    </row>
    <row r="33" spans="1:26" x14ac:dyDescent="0.3">
      <c r="A33" s="204" t="s">
        <v>1242</v>
      </c>
      <c r="B33" s="211">
        <v>1</v>
      </c>
      <c r="C33" s="212">
        <v>8</v>
      </c>
      <c r="D33" s="234"/>
      <c r="E33" s="203"/>
      <c r="F33" s="203"/>
      <c r="G33" s="1216">
        <v>0</v>
      </c>
      <c r="H33" s="1217"/>
      <c r="I33" s="217">
        <f t="shared" si="20"/>
        <v>0</v>
      </c>
      <c r="J33" s="218">
        <f t="shared" si="21"/>
        <v>0</v>
      </c>
      <c r="M33" s="12" t="s">
        <v>1253</v>
      </c>
    </row>
    <row r="34" spans="1:26" ht="15" customHeight="1" x14ac:dyDescent="0.3">
      <c r="A34" s="1208" t="s">
        <v>1247</v>
      </c>
      <c r="B34" s="1209"/>
      <c r="C34" s="1209"/>
      <c r="D34" s="1209"/>
      <c r="E34" s="1209"/>
      <c r="F34" s="1209"/>
      <c r="G34" s="1209"/>
      <c r="H34" s="1209"/>
      <c r="I34" s="1210"/>
      <c r="J34" s="206">
        <f>SUM(J27:J33)</f>
        <v>0</v>
      </c>
    </row>
    <row r="36" spans="1:26" ht="15" customHeight="1" x14ac:dyDescent="0.3">
      <c r="A36" s="1219" t="s">
        <v>1267</v>
      </c>
      <c r="B36" s="1219"/>
      <c r="C36" s="1220" t="s">
        <v>1268</v>
      </c>
      <c r="D36" s="1220" t="s">
        <v>1269</v>
      </c>
      <c r="E36" s="1220" t="s">
        <v>1270</v>
      </c>
      <c r="F36" s="1220" t="s">
        <v>1271</v>
      </c>
      <c r="G36" s="1221" t="s">
        <v>1272</v>
      </c>
      <c r="H36" s="1222"/>
      <c r="I36" s="1222"/>
      <c r="J36" s="1222"/>
      <c r="K36" s="1222"/>
      <c r="L36" s="1222"/>
      <c r="M36" s="1222"/>
      <c r="N36" s="1223"/>
      <c r="O36" s="1224" t="s">
        <v>1273</v>
      </c>
      <c r="P36" s="1225"/>
      <c r="Q36" s="1225"/>
      <c r="R36" s="1225"/>
      <c r="S36" s="1225"/>
      <c r="T36" s="1225"/>
      <c r="U36" s="1225"/>
      <c r="V36" s="1225"/>
      <c r="W36" s="1225"/>
      <c r="X36" s="1226"/>
      <c r="Y36" s="138"/>
    </row>
    <row r="37" spans="1:26" ht="15" customHeight="1" x14ac:dyDescent="0.3">
      <c r="A37" s="1219"/>
      <c r="B37" s="1219"/>
      <c r="C37" s="1220"/>
      <c r="D37" s="1220"/>
      <c r="E37" s="1220"/>
      <c r="F37" s="1220"/>
      <c r="G37" s="1227" t="s">
        <v>1271</v>
      </c>
      <c r="H37" s="1229" t="s">
        <v>1274</v>
      </c>
      <c r="I37" s="1229" t="s">
        <v>1275</v>
      </c>
      <c r="J37" s="1231" t="s">
        <v>1276</v>
      </c>
      <c r="K37" s="1235" t="s">
        <v>2226</v>
      </c>
      <c r="L37" s="1232" t="s">
        <v>1277</v>
      </c>
      <c r="M37" s="285" t="s">
        <v>1278</v>
      </c>
      <c r="N37" s="285" t="s">
        <v>1279</v>
      </c>
      <c r="O37" s="1232" t="s">
        <v>1280</v>
      </c>
      <c r="P37" s="1233" t="s">
        <v>1271</v>
      </c>
      <c r="Q37" s="475"/>
      <c r="R37" s="475"/>
      <c r="S37" s="475"/>
      <c r="T37" s="475"/>
      <c r="U37" s="1251" t="s">
        <v>1274</v>
      </c>
      <c r="V37" s="1218" t="s">
        <v>1277</v>
      </c>
      <c r="W37" s="286" t="s">
        <v>1278</v>
      </c>
      <c r="X37" s="286" t="s">
        <v>1279</v>
      </c>
      <c r="Y37" s="1218" t="s">
        <v>1280</v>
      </c>
      <c r="Z37" s="138"/>
    </row>
    <row r="38" spans="1:26" ht="14.4" x14ac:dyDescent="0.3">
      <c r="A38" s="235" t="s">
        <v>1281</v>
      </c>
      <c r="B38" s="235" t="s">
        <v>1282</v>
      </c>
      <c r="C38" s="236">
        <v>0.55700000000000005</v>
      </c>
      <c r="D38" s="1220"/>
      <c r="E38" s="237">
        <v>0.12</v>
      </c>
      <c r="F38" s="1220"/>
      <c r="G38" s="1228"/>
      <c r="H38" s="1230"/>
      <c r="I38" s="1230"/>
      <c r="J38" s="1231"/>
      <c r="K38" s="1236"/>
      <c r="L38" s="1232"/>
      <c r="M38" s="238">
        <v>0.1125</v>
      </c>
      <c r="N38" s="239">
        <v>0.05</v>
      </c>
      <c r="O38" s="1232"/>
      <c r="P38" s="1234"/>
      <c r="Q38" s="476"/>
      <c r="R38" s="476"/>
      <c r="S38" s="476"/>
      <c r="T38" s="476"/>
      <c r="U38" s="1251"/>
      <c r="V38" s="1218"/>
      <c r="W38" s="240">
        <v>0.1125</v>
      </c>
      <c r="X38" s="241">
        <v>0.05</v>
      </c>
      <c r="Y38" s="1218"/>
      <c r="Z38" s="138"/>
    </row>
    <row r="39" spans="1:26" ht="41.4" x14ac:dyDescent="0.3">
      <c r="A39" s="242" t="s">
        <v>1309</v>
      </c>
      <c r="B39" s="243">
        <v>2321</v>
      </c>
      <c r="C39" s="244">
        <f>B39*$C$38</f>
        <v>1292.797</v>
      </c>
      <c r="D39" s="244">
        <f>B39+C39</f>
        <v>3613.797</v>
      </c>
      <c r="E39" s="245">
        <f>D39*$E$38</f>
        <v>433.65564000000001</v>
      </c>
      <c r="F39" s="246">
        <f>D39+E39</f>
        <v>4047.45264</v>
      </c>
      <c r="G39" s="247">
        <f>F39</f>
        <v>4047.45264</v>
      </c>
      <c r="H39" s="248">
        <v>352</v>
      </c>
      <c r="I39" s="248">
        <v>150</v>
      </c>
      <c r="J39" s="248">
        <v>140</v>
      </c>
      <c r="K39" s="248">
        <v>240</v>
      </c>
      <c r="L39" s="248">
        <f>G39+H39+I39+J39+K39</f>
        <v>4929.4526399999995</v>
      </c>
      <c r="M39" s="248">
        <f>L39*$M$38</f>
        <v>554.56342199999995</v>
      </c>
      <c r="N39" s="249">
        <f>(L39+M39)*$N$38</f>
        <v>274.20080309999997</v>
      </c>
      <c r="O39" s="250">
        <f>L39+M39+N39</f>
        <v>5758.2168650999993</v>
      </c>
      <c r="P39" s="251">
        <f>F39</f>
        <v>4047.45264</v>
      </c>
      <c r="Q39" s="477"/>
      <c r="R39" s="477"/>
      <c r="S39" s="477"/>
      <c r="T39" s="477"/>
      <c r="U39" s="252">
        <v>352</v>
      </c>
      <c r="V39" s="252">
        <f t="shared" ref="V39:V47" si="22">U39+F39</f>
        <v>4399.4526399999995</v>
      </c>
      <c r="W39" s="252">
        <f>V39*$W$38</f>
        <v>494.93842199999995</v>
      </c>
      <c r="X39" s="253">
        <f>(V39+W39)*$X$38</f>
        <v>244.71955309999998</v>
      </c>
      <c r="Y39" s="254">
        <f>X39+W39+V39</f>
        <v>5139.1106150999994</v>
      </c>
      <c r="Z39"/>
    </row>
    <row r="40" spans="1:26" ht="69" x14ac:dyDescent="0.3">
      <c r="A40" s="242" t="s">
        <v>1283</v>
      </c>
      <c r="B40" s="243">
        <v>3264.8</v>
      </c>
      <c r="C40" s="244">
        <f t="shared" ref="C40:C47" si="23">B40*$C$38</f>
        <v>1818.4936000000002</v>
      </c>
      <c r="D40" s="244">
        <f t="shared" ref="D40:D47" si="24">B40+C40</f>
        <v>5083.2936000000009</v>
      </c>
      <c r="E40" s="245">
        <f t="shared" ref="E40:E47" si="25">D40*$E$38</f>
        <v>609.9952320000001</v>
      </c>
      <c r="F40" s="246">
        <f t="shared" ref="F40:F47" si="26">D40+E40</f>
        <v>5693.2888320000011</v>
      </c>
      <c r="G40" s="247">
        <f t="shared" ref="G40:G47" si="27">F40</f>
        <v>5693.2888320000011</v>
      </c>
      <c r="H40" s="248">
        <v>352</v>
      </c>
      <c r="I40" s="248">
        <v>150</v>
      </c>
      <c r="J40" s="248">
        <v>140</v>
      </c>
      <c r="K40" s="248">
        <v>240</v>
      </c>
      <c r="L40" s="248">
        <f t="shared" ref="L40:L47" si="28">G40+H40+I40+J40+K40</f>
        <v>6575.2888320000011</v>
      </c>
      <c r="M40" s="248">
        <f t="shared" ref="M40:M47" si="29">L40*$M$38</f>
        <v>739.71999360000018</v>
      </c>
      <c r="N40" s="249">
        <f t="shared" ref="N40:N47" si="30">(L40+M40)*$N$38</f>
        <v>365.75044128000013</v>
      </c>
      <c r="O40" s="250">
        <f t="shared" ref="O40:O47" si="31">L40+M40+N40</f>
        <v>7680.7592668800016</v>
      </c>
      <c r="P40" s="251">
        <f t="shared" ref="P40:P47" si="32">F40</f>
        <v>5693.2888320000011</v>
      </c>
      <c r="Q40" s="477"/>
      <c r="R40" s="477"/>
      <c r="S40" s="477"/>
      <c r="T40" s="477"/>
      <c r="U40" s="252">
        <v>352</v>
      </c>
      <c r="V40" s="252">
        <f t="shared" si="22"/>
        <v>6045.2888320000011</v>
      </c>
      <c r="W40" s="252">
        <f t="shared" ref="W40:W47" si="33">V40*$W$38</f>
        <v>680.09499360000018</v>
      </c>
      <c r="X40" s="253">
        <f t="shared" ref="X40:X47" si="34">(V40+W40)*$X$38</f>
        <v>336.26919128000009</v>
      </c>
      <c r="Y40" s="254">
        <f t="shared" ref="Y40:Y47" si="35">X40+W40+V40</f>
        <v>7061.6530168800018</v>
      </c>
      <c r="Z40"/>
    </row>
    <row r="41" spans="1:26" ht="27.6" x14ac:dyDescent="0.3">
      <c r="A41" s="242" t="s">
        <v>1284</v>
      </c>
      <c r="B41" s="243">
        <v>2714.8</v>
      </c>
      <c r="C41" s="244">
        <f t="shared" si="23"/>
        <v>1512.1436000000003</v>
      </c>
      <c r="D41" s="244">
        <f t="shared" si="24"/>
        <v>4226.9436000000005</v>
      </c>
      <c r="E41" s="245">
        <f t="shared" si="25"/>
        <v>507.23323200000004</v>
      </c>
      <c r="F41" s="246">
        <f t="shared" si="26"/>
        <v>4734.176832000001</v>
      </c>
      <c r="G41" s="247">
        <f t="shared" si="27"/>
        <v>4734.176832000001</v>
      </c>
      <c r="H41" s="248">
        <v>352</v>
      </c>
      <c r="I41" s="248">
        <v>150</v>
      </c>
      <c r="J41" s="248">
        <v>140</v>
      </c>
      <c r="K41" s="248">
        <v>240</v>
      </c>
      <c r="L41" s="248">
        <f t="shared" si="28"/>
        <v>5616.176832000001</v>
      </c>
      <c r="M41" s="248">
        <f t="shared" si="29"/>
        <v>631.81989360000011</v>
      </c>
      <c r="N41" s="249">
        <f t="shared" si="30"/>
        <v>312.39983628000005</v>
      </c>
      <c r="O41" s="250">
        <f t="shared" si="31"/>
        <v>6560.3965618800012</v>
      </c>
      <c r="P41" s="251">
        <f t="shared" si="32"/>
        <v>4734.176832000001</v>
      </c>
      <c r="Q41" s="477"/>
      <c r="R41" s="477"/>
      <c r="S41" s="477"/>
      <c r="T41" s="477"/>
      <c r="U41" s="252">
        <v>352</v>
      </c>
      <c r="V41" s="252">
        <f t="shared" si="22"/>
        <v>5086.176832000001</v>
      </c>
      <c r="W41" s="252">
        <f t="shared" si="33"/>
        <v>572.19489360000011</v>
      </c>
      <c r="X41" s="253">
        <f t="shared" si="34"/>
        <v>282.91858628000006</v>
      </c>
      <c r="Y41" s="254">
        <f t="shared" si="35"/>
        <v>5941.2903118800014</v>
      </c>
      <c r="Z41"/>
    </row>
    <row r="42" spans="1:26" ht="82.8" x14ac:dyDescent="0.3">
      <c r="A42" s="242" t="s">
        <v>1285</v>
      </c>
      <c r="B42" s="243">
        <v>2321</v>
      </c>
      <c r="C42" s="244">
        <f t="shared" si="23"/>
        <v>1292.797</v>
      </c>
      <c r="D42" s="244">
        <f t="shared" si="24"/>
        <v>3613.797</v>
      </c>
      <c r="E42" s="245">
        <f t="shared" si="25"/>
        <v>433.65564000000001</v>
      </c>
      <c r="F42" s="246">
        <f t="shared" si="26"/>
        <v>4047.45264</v>
      </c>
      <c r="G42" s="247">
        <f t="shared" si="27"/>
        <v>4047.45264</v>
      </c>
      <c r="H42" s="248">
        <v>352</v>
      </c>
      <c r="I42" s="248">
        <v>150</v>
      </c>
      <c r="J42" s="248">
        <v>140</v>
      </c>
      <c r="K42" s="248">
        <v>240</v>
      </c>
      <c r="L42" s="248">
        <f t="shared" si="28"/>
        <v>4929.4526399999995</v>
      </c>
      <c r="M42" s="248">
        <f t="shared" si="29"/>
        <v>554.56342199999995</v>
      </c>
      <c r="N42" s="249">
        <f t="shared" si="30"/>
        <v>274.20080309999997</v>
      </c>
      <c r="O42" s="250">
        <f t="shared" si="31"/>
        <v>5758.2168650999993</v>
      </c>
      <c r="P42" s="251">
        <f t="shared" si="32"/>
        <v>4047.45264</v>
      </c>
      <c r="Q42" s="477"/>
      <c r="R42" s="477"/>
      <c r="S42" s="477"/>
      <c r="T42" s="477"/>
      <c r="U42" s="252">
        <v>352</v>
      </c>
      <c r="V42" s="252">
        <f t="shared" si="22"/>
        <v>4399.4526399999995</v>
      </c>
      <c r="W42" s="252">
        <f t="shared" si="33"/>
        <v>494.93842199999995</v>
      </c>
      <c r="X42" s="253">
        <f t="shared" si="34"/>
        <v>244.71955309999998</v>
      </c>
      <c r="Y42" s="254">
        <f t="shared" si="35"/>
        <v>5139.1106150999994</v>
      </c>
      <c r="Z42"/>
    </row>
    <row r="43" spans="1:26" ht="27.6" x14ac:dyDescent="0.3">
      <c r="A43" s="242" t="s">
        <v>1286</v>
      </c>
      <c r="B43" s="243">
        <v>1962.4</v>
      </c>
      <c r="C43" s="244">
        <f t="shared" si="23"/>
        <v>1093.0568000000001</v>
      </c>
      <c r="D43" s="244">
        <f t="shared" si="24"/>
        <v>3055.4567999999999</v>
      </c>
      <c r="E43" s="245">
        <f t="shared" si="25"/>
        <v>366.65481599999998</v>
      </c>
      <c r="F43" s="246">
        <f t="shared" si="26"/>
        <v>3422.1116160000001</v>
      </c>
      <c r="G43" s="247">
        <f t="shared" si="27"/>
        <v>3422.1116160000001</v>
      </c>
      <c r="H43" s="248">
        <v>352</v>
      </c>
      <c r="I43" s="248">
        <v>150</v>
      </c>
      <c r="J43" s="248">
        <v>140</v>
      </c>
      <c r="K43" s="248">
        <v>240</v>
      </c>
      <c r="L43" s="248">
        <f t="shared" si="28"/>
        <v>4304.1116160000001</v>
      </c>
      <c r="M43" s="248">
        <f t="shared" si="29"/>
        <v>484.21255680000002</v>
      </c>
      <c r="N43" s="249">
        <f t="shared" si="30"/>
        <v>239.41620864000004</v>
      </c>
      <c r="O43" s="250">
        <f t="shared" si="31"/>
        <v>5027.7403814400004</v>
      </c>
      <c r="P43" s="251">
        <f t="shared" si="32"/>
        <v>3422.1116160000001</v>
      </c>
      <c r="Q43" s="477"/>
      <c r="R43" s="477"/>
      <c r="S43" s="477"/>
      <c r="T43" s="477"/>
      <c r="U43" s="252">
        <v>352</v>
      </c>
      <c r="V43" s="252">
        <f t="shared" si="22"/>
        <v>3774.1116160000001</v>
      </c>
      <c r="W43" s="252">
        <f t="shared" si="33"/>
        <v>424.58755680000002</v>
      </c>
      <c r="X43" s="253">
        <f t="shared" si="34"/>
        <v>209.93495864000002</v>
      </c>
      <c r="Y43" s="254">
        <f t="shared" si="35"/>
        <v>4408.6341314399997</v>
      </c>
      <c r="Z43"/>
    </row>
    <row r="44" spans="1:26" ht="27.6" x14ac:dyDescent="0.3">
      <c r="A44" s="242" t="s">
        <v>1287</v>
      </c>
      <c r="B44" s="243">
        <v>1493.8</v>
      </c>
      <c r="C44" s="244">
        <f t="shared" si="23"/>
        <v>832.04660000000001</v>
      </c>
      <c r="D44" s="244">
        <f t="shared" si="24"/>
        <v>2325.8465999999999</v>
      </c>
      <c r="E44" s="245">
        <f t="shared" si="25"/>
        <v>279.10159199999998</v>
      </c>
      <c r="F44" s="246">
        <f t="shared" si="26"/>
        <v>2604.9481919999998</v>
      </c>
      <c r="G44" s="247">
        <f t="shared" si="27"/>
        <v>2604.9481919999998</v>
      </c>
      <c r="H44" s="248">
        <v>352</v>
      </c>
      <c r="I44" s="248">
        <v>150</v>
      </c>
      <c r="J44" s="248">
        <v>140</v>
      </c>
      <c r="K44" s="248">
        <v>240</v>
      </c>
      <c r="L44" s="248">
        <f t="shared" si="28"/>
        <v>3486.9481919999998</v>
      </c>
      <c r="M44" s="248">
        <f t="shared" si="29"/>
        <v>392.28167159999998</v>
      </c>
      <c r="N44" s="249">
        <f t="shared" si="30"/>
        <v>193.96149317999999</v>
      </c>
      <c r="O44" s="250">
        <f t="shared" si="31"/>
        <v>4073.1913567799998</v>
      </c>
      <c r="P44" s="251">
        <f t="shared" si="32"/>
        <v>2604.9481919999998</v>
      </c>
      <c r="Q44" s="477"/>
      <c r="R44" s="477"/>
      <c r="S44" s="477"/>
      <c r="T44" s="477"/>
      <c r="U44" s="252">
        <v>352</v>
      </c>
      <c r="V44" s="252">
        <f t="shared" si="22"/>
        <v>2956.9481919999998</v>
      </c>
      <c r="W44" s="252">
        <f t="shared" si="33"/>
        <v>332.65667159999998</v>
      </c>
      <c r="X44" s="253">
        <f t="shared" si="34"/>
        <v>164.48024318</v>
      </c>
      <c r="Y44" s="254">
        <f t="shared" si="35"/>
        <v>3454.0851067799999</v>
      </c>
      <c r="Z44"/>
    </row>
    <row r="45" spans="1:26" ht="27.6" x14ac:dyDescent="0.3">
      <c r="A45" s="242" t="s">
        <v>1288</v>
      </c>
      <c r="B45" s="243">
        <v>1421.2</v>
      </c>
      <c r="C45" s="244">
        <f t="shared" si="23"/>
        <v>791.60840000000007</v>
      </c>
      <c r="D45" s="244">
        <f t="shared" si="24"/>
        <v>2212.8083999999999</v>
      </c>
      <c r="E45" s="245">
        <f t="shared" si="25"/>
        <v>265.53700799999996</v>
      </c>
      <c r="F45" s="246">
        <f t="shared" si="26"/>
        <v>2478.3454079999997</v>
      </c>
      <c r="G45" s="247">
        <f t="shared" si="27"/>
        <v>2478.3454079999997</v>
      </c>
      <c r="H45" s="248">
        <v>352</v>
      </c>
      <c r="I45" s="248">
        <v>150</v>
      </c>
      <c r="J45" s="248">
        <v>140</v>
      </c>
      <c r="K45" s="248">
        <v>240</v>
      </c>
      <c r="L45" s="248">
        <f t="shared" si="28"/>
        <v>3360.3454079999997</v>
      </c>
      <c r="M45" s="248">
        <f t="shared" si="29"/>
        <v>378.03885839999998</v>
      </c>
      <c r="N45" s="249">
        <f t="shared" si="30"/>
        <v>186.91921331999998</v>
      </c>
      <c r="O45" s="250">
        <f t="shared" si="31"/>
        <v>3925.3034797199994</v>
      </c>
      <c r="P45" s="251">
        <f t="shared" si="32"/>
        <v>2478.3454079999997</v>
      </c>
      <c r="Q45" s="477"/>
      <c r="R45" s="477"/>
      <c r="S45" s="477"/>
      <c r="T45" s="477"/>
      <c r="U45" s="252">
        <v>352</v>
      </c>
      <c r="V45" s="252">
        <f t="shared" si="22"/>
        <v>2830.3454079999997</v>
      </c>
      <c r="W45" s="252">
        <f t="shared" si="33"/>
        <v>318.41385839999998</v>
      </c>
      <c r="X45" s="253">
        <f t="shared" si="34"/>
        <v>157.43796331999999</v>
      </c>
      <c r="Y45" s="254">
        <f t="shared" si="35"/>
        <v>3306.1972297199995</v>
      </c>
      <c r="Z45"/>
    </row>
    <row r="46" spans="1:26" ht="41.4" x14ac:dyDescent="0.3">
      <c r="A46" s="242" t="s">
        <v>1289</v>
      </c>
      <c r="B46" s="243">
        <v>3133.54</v>
      </c>
      <c r="C46" s="244">
        <f t="shared" si="23"/>
        <v>1745.3817800000002</v>
      </c>
      <c r="D46" s="244">
        <f t="shared" si="24"/>
        <v>4878.9217800000006</v>
      </c>
      <c r="E46" s="245">
        <f t="shared" si="25"/>
        <v>585.47061360000009</v>
      </c>
      <c r="F46" s="246">
        <f t="shared" si="26"/>
        <v>5464.392393600001</v>
      </c>
      <c r="G46" s="247">
        <f t="shared" si="27"/>
        <v>5464.392393600001</v>
      </c>
      <c r="H46" s="248">
        <v>352</v>
      </c>
      <c r="I46" s="248">
        <v>150</v>
      </c>
      <c r="J46" s="248">
        <v>140</v>
      </c>
      <c r="K46" s="248">
        <v>240</v>
      </c>
      <c r="L46" s="248">
        <f t="shared" si="28"/>
        <v>6346.392393600001</v>
      </c>
      <c r="M46" s="248">
        <f t="shared" si="29"/>
        <v>713.96914428000014</v>
      </c>
      <c r="N46" s="249">
        <f t="shared" si="30"/>
        <v>353.0180768940001</v>
      </c>
      <c r="O46" s="250">
        <f t="shared" si="31"/>
        <v>7413.3796147740013</v>
      </c>
      <c r="P46" s="251">
        <f t="shared" si="32"/>
        <v>5464.392393600001</v>
      </c>
      <c r="Q46" s="477"/>
      <c r="R46" s="477"/>
      <c r="S46" s="477"/>
      <c r="T46" s="477"/>
      <c r="U46" s="252">
        <v>352</v>
      </c>
      <c r="V46" s="252">
        <f t="shared" si="22"/>
        <v>5816.392393600001</v>
      </c>
      <c r="W46" s="252">
        <f t="shared" si="33"/>
        <v>654.34414428000014</v>
      </c>
      <c r="X46" s="253">
        <f t="shared" si="34"/>
        <v>323.53682689400011</v>
      </c>
      <c r="Y46" s="254">
        <f t="shared" si="35"/>
        <v>6794.2733647740015</v>
      </c>
      <c r="Z46"/>
    </row>
    <row r="47" spans="1:26" ht="55.2" x14ac:dyDescent="0.3">
      <c r="A47" s="242" t="s">
        <v>1290</v>
      </c>
      <c r="B47" s="243">
        <v>1796.67</v>
      </c>
      <c r="C47" s="244">
        <f t="shared" si="23"/>
        <v>1000.7451900000001</v>
      </c>
      <c r="D47" s="244">
        <f t="shared" si="24"/>
        <v>2797.4151900000002</v>
      </c>
      <c r="E47" s="245">
        <f t="shared" si="25"/>
        <v>335.6898228</v>
      </c>
      <c r="F47" s="246">
        <f t="shared" si="26"/>
        <v>3133.1050128000002</v>
      </c>
      <c r="G47" s="247">
        <f t="shared" si="27"/>
        <v>3133.1050128000002</v>
      </c>
      <c r="H47" s="248">
        <v>352</v>
      </c>
      <c r="I47" s="248">
        <v>150</v>
      </c>
      <c r="J47" s="248">
        <v>140</v>
      </c>
      <c r="K47" s="248">
        <v>240</v>
      </c>
      <c r="L47" s="248">
        <f t="shared" si="28"/>
        <v>4015.1050128000002</v>
      </c>
      <c r="M47" s="248">
        <f t="shared" si="29"/>
        <v>451.69931394000002</v>
      </c>
      <c r="N47" s="249">
        <f t="shared" si="30"/>
        <v>223.34021633700002</v>
      </c>
      <c r="O47" s="250">
        <f t="shared" si="31"/>
        <v>4690.144543077</v>
      </c>
      <c r="P47" s="251">
        <f t="shared" si="32"/>
        <v>3133.1050128000002</v>
      </c>
      <c r="Q47" s="477"/>
      <c r="R47" s="477"/>
      <c r="S47" s="477"/>
      <c r="T47" s="477"/>
      <c r="U47" s="252">
        <v>352</v>
      </c>
      <c r="V47" s="252">
        <f t="shared" si="22"/>
        <v>3485.1050128000002</v>
      </c>
      <c r="W47" s="252">
        <f t="shared" si="33"/>
        <v>392.07431394000002</v>
      </c>
      <c r="X47" s="253">
        <f t="shared" si="34"/>
        <v>193.85896633700003</v>
      </c>
      <c r="Y47" s="254">
        <f t="shared" si="35"/>
        <v>4071.0382930770002</v>
      </c>
      <c r="Z47"/>
    </row>
    <row r="48" spans="1:26" ht="14.4" x14ac:dyDescent="0.3">
      <c r="A48"/>
      <c r="B48"/>
      <c r="C48"/>
      <c r="D48"/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</row>
    <row r="49" spans="1:26" ht="14.4" x14ac:dyDescent="0.3">
      <c r="A49"/>
      <c r="B49"/>
      <c r="C49"/>
      <c r="D49"/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</row>
    <row r="50" spans="1:26" ht="15" customHeight="1" x14ac:dyDescent="0.3">
      <c r="A50" s="1237" t="s">
        <v>2225</v>
      </c>
      <c r="B50" s="1238"/>
      <c r="C50" s="1220" t="s">
        <v>1268</v>
      </c>
      <c r="D50" s="1220" t="s">
        <v>1269</v>
      </c>
      <c r="E50" s="1220" t="s">
        <v>1270</v>
      </c>
      <c r="F50" s="1220" t="s">
        <v>1271</v>
      </c>
      <c r="G50" s="1221" t="s">
        <v>1272</v>
      </c>
      <c r="H50" s="1222"/>
      <c r="I50" s="1222"/>
      <c r="J50" s="1222"/>
      <c r="K50" s="1222"/>
      <c r="L50" s="1222"/>
      <c r="M50" s="1222"/>
      <c r="N50" s="1223"/>
      <c r="O50" s="1224" t="s">
        <v>1273</v>
      </c>
      <c r="P50" s="1225"/>
      <c r="Q50" s="1225"/>
      <c r="R50" s="1225"/>
      <c r="S50" s="1225"/>
      <c r="T50" s="1225"/>
      <c r="U50" s="1225"/>
      <c r="V50" s="1225"/>
      <c r="W50" s="1225"/>
      <c r="X50" s="1226"/>
      <c r="Y50"/>
    </row>
    <row r="51" spans="1:26" ht="15" customHeight="1" x14ac:dyDescent="0.3">
      <c r="A51" s="1239"/>
      <c r="B51" s="1240"/>
      <c r="C51" s="1220"/>
      <c r="D51" s="1220"/>
      <c r="E51" s="1220"/>
      <c r="F51" s="1220"/>
      <c r="G51" s="1227" t="s">
        <v>1271</v>
      </c>
      <c r="H51" s="1229" t="s">
        <v>1274</v>
      </c>
      <c r="I51" s="1229" t="s">
        <v>1275</v>
      </c>
      <c r="J51" s="1231" t="s">
        <v>1276</v>
      </c>
      <c r="K51" s="1235" t="s">
        <v>2226</v>
      </c>
      <c r="L51" s="1232" t="s">
        <v>1277</v>
      </c>
      <c r="M51" s="285" t="s">
        <v>1278</v>
      </c>
      <c r="N51" s="285" t="s">
        <v>1279</v>
      </c>
      <c r="O51" s="1232" t="s">
        <v>1280</v>
      </c>
      <c r="P51" s="1233" t="s">
        <v>1271</v>
      </c>
      <c r="Q51" s="475"/>
      <c r="R51" s="475"/>
      <c r="S51" s="475"/>
      <c r="T51" s="475"/>
      <c r="U51" s="1251" t="s">
        <v>1274</v>
      </c>
      <c r="V51" s="1218" t="s">
        <v>1277</v>
      </c>
      <c r="W51" s="286" t="s">
        <v>1278</v>
      </c>
      <c r="X51" s="286" t="s">
        <v>1279</v>
      </c>
      <c r="Y51" s="1218" t="s">
        <v>1280</v>
      </c>
      <c r="Z51"/>
    </row>
    <row r="52" spans="1:26" ht="14.4" x14ac:dyDescent="0.3">
      <c r="A52" s="235" t="s">
        <v>1281</v>
      </c>
      <c r="B52" s="235" t="s">
        <v>1282</v>
      </c>
      <c r="C52" s="236">
        <v>0.55700000000000005</v>
      </c>
      <c r="D52" s="1220"/>
      <c r="E52" s="237">
        <v>0.12</v>
      </c>
      <c r="F52" s="1220"/>
      <c r="G52" s="1228"/>
      <c r="H52" s="1230"/>
      <c r="I52" s="1230"/>
      <c r="J52" s="1231"/>
      <c r="K52" s="1236"/>
      <c r="L52" s="1232"/>
      <c r="M52" s="238">
        <v>0.1125</v>
      </c>
      <c r="N52" s="239">
        <v>0.05</v>
      </c>
      <c r="O52" s="1232"/>
      <c r="P52" s="1234"/>
      <c r="Q52" s="476"/>
      <c r="R52" s="476"/>
      <c r="S52" s="476"/>
      <c r="T52" s="476"/>
      <c r="U52" s="1251"/>
      <c r="V52" s="1218"/>
      <c r="W52" s="240">
        <v>0.1125</v>
      </c>
      <c r="X52" s="241">
        <v>0.05</v>
      </c>
      <c r="Y52" s="1218"/>
      <c r="Z52"/>
    </row>
    <row r="53" spans="1:26" ht="41.4" x14ac:dyDescent="0.3">
      <c r="A53" s="242" t="s">
        <v>1309</v>
      </c>
      <c r="B53" s="243">
        <v>3184.41</v>
      </c>
      <c r="C53" s="244">
        <f>B53*$C$38</f>
        <v>1773.7163700000001</v>
      </c>
      <c r="D53" s="244">
        <f>B53+C53</f>
        <v>4958.12637</v>
      </c>
      <c r="E53" s="245">
        <f>D53*$E$38</f>
        <v>594.97516439999993</v>
      </c>
      <c r="F53" s="246">
        <f>D53+E53</f>
        <v>5553.1015343999998</v>
      </c>
      <c r="G53" s="247">
        <f>F53</f>
        <v>5553.1015343999998</v>
      </c>
      <c r="H53" s="248">
        <v>352</v>
      </c>
      <c r="I53" s="248">
        <v>150</v>
      </c>
      <c r="J53" s="248">
        <v>140</v>
      </c>
      <c r="K53" s="248">
        <v>240</v>
      </c>
      <c r="L53" s="248">
        <f>G53+H53+I53+J53+K53</f>
        <v>6435.1015343999998</v>
      </c>
      <c r="M53" s="248">
        <f>L53*$M$38</f>
        <v>723.94892261999996</v>
      </c>
      <c r="N53" s="249">
        <f>(L53+M53)*$N$38</f>
        <v>357.95252285100003</v>
      </c>
      <c r="O53" s="250">
        <f>L53+M53+N53</f>
        <v>7517.0029798710002</v>
      </c>
      <c r="P53" s="251">
        <f>F53</f>
        <v>5553.1015343999998</v>
      </c>
      <c r="Q53" s="477"/>
      <c r="R53" s="477"/>
      <c r="S53" s="477"/>
      <c r="T53" s="477"/>
      <c r="U53" s="252">
        <f>16.2*22</f>
        <v>356.4</v>
      </c>
      <c r="V53" s="252">
        <f t="shared" ref="V53:V61" si="36">U53+F53</f>
        <v>5909.5015343999994</v>
      </c>
      <c r="W53" s="252">
        <f>V53*$W$38</f>
        <v>664.81892261999997</v>
      </c>
      <c r="X53" s="253">
        <f>(V53+W53)*$X$38</f>
        <v>328.71602285099999</v>
      </c>
      <c r="Y53" s="254">
        <f>X53+W53+V53</f>
        <v>6903.0364798709998</v>
      </c>
      <c r="Z53"/>
    </row>
    <row r="54" spans="1:26" ht="69" x14ac:dyDescent="0.3">
      <c r="A54" s="242" t="s">
        <v>1283</v>
      </c>
      <c r="B54" s="243">
        <v>4479.3100000000004</v>
      </c>
      <c r="C54" s="244">
        <f t="shared" ref="C54:C61" si="37">B54*$C$38</f>
        <v>2494.9756700000003</v>
      </c>
      <c r="D54" s="244">
        <f t="shared" ref="D54:D61" si="38">B54+C54</f>
        <v>6974.2856700000011</v>
      </c>
      <c r="E54" s="245">
        <f t="shared" ref="E54:E61" si="39">D54*$E$38</f>
        <v>836.91428040000005</v>
      </c>
      <c r="F54" s="246">
        <f t="shared" ref="F54:F61" si="40">D54+E54</f>
        <v>7811.1999504000014</v>
      </c>
      <c r="G54" s="247">
        <f t="shared" ref="G54:G61" si="41">F54</f>
        <v>7811.1999504000014</v>
      </c>
      <c r="H54" s="248">
        <v>352</v>
      </c>
      <c r="I54" s="248">
        <v>150</v>
      </c>
      <c r="J54" s="248">
        <v>140</v>
      </c>
      <c r="K54" s="248">
        <v>240</v>
      </c>
      <c r="L54" s="248">
        <f t="shared" ref="L54:L61" si="42">G54+H54+I54+J54+K54</f>
        <v>8693.1999504000014</v>
      </c>
      <c r="M54" s="248">
        <f t="shared" ref="M54:M61" si="43">L54*$M$38</f>
        <v>977.98499442000013</v>
      </c>
      <c r="N54" s="249">
        <f t="shared" ref="N54:N61" si="44">(L54+M54)*$N$38</f>
        <v>483.55924724100009</v>
      </c>
      <c r="O54" s="250">
        <f t="shared" ref="O54:O61" si="45">L54+M54+N54</f>
        <v>10154.744192061002</v>
      </c>
      <c r="P54" s="251">
        <f t="shared" ref="P54:P61" si="46">F54</f>
        <v>7811.1999504000014</v>
      </c>
      <c r="Q54" s="477"/>
      <c r="R54" s="477"/>
      <c r="S54" s="477"/>
      <c r="T54" s="477"/>
      <c r="U54" s="252">
        <f t="shared" ref="U54:U61" si="47">16.2*22</f>
        <v>356.4</v>
      </c>
      <c r="V54" s="252">
        <f t="shared" si="36"/>
        <v>8167.599950400001</v>
      </c>
      <c r="W54" s="252">
        <f t="shared" ref="W54:W61" si="48">V54*$W$38</f>
        <v>918.85499442000014</v>
      </c>
      <c r="X54" s="253">
        <f t="shared" ref="X54:X61" si="49">(V54+W54)*$X$38</f>
        <v>454.32274724100012</v>
      </c>
      <c r="Y54" s="254">
        <f t="shared" ref="Y54:Y61" si="50">X54+W54+V54</f>
        <v>9540.7776920610013</v>
      </c>
      <c r="Z54"/>
    </row>
    <row r="55" spans="1:26" ht="27.6" x14ac:dyDescent="0.3">
      <c r="A55" s="242" t="s">
        <v>1284</v>
      </c>
      <c r="B55" s="243">
        <v>3724.71</v>
      </c>
      <c r="C55" s="244">
        <f t="shared" si="37"/>
        <v>2074.6634700000004</v>
      </c>
      <c r="D55" s="244">
        <f t="shared" si="38"/>
        <v>5799.3734700000005</v>
      </c>
      <c r="E55" s="245">
        <f t="shared" si="39"/>
        <v>695.92481640000005</v>
      </c>
      <c r="F55" s="246">
        <f t="shared" si="40"/>
        <v>6495.2982864000005</v>
      </c>
      <c r="G55" s="247">
        <f t="shared" si="41"/>
        <v>6495.2982864000005</v>
      </c>
      <c r="H55" s="248">
        <v>352</v>
      </c>
      <c r="I55" s="248">
        <v>150</v>
      </c>
      <c r="J55" s="248">
        <v>140</v>
      </c>
      <c r="K55" s="248">
        <v>240</v>
      </c>
      <c r="L55" s="248">
        <f t="shared" si="42"/>
        <v>7377.2982864000005</v>
      </c>
      <c r="M55" s="248">
        <f t="shared" si="43"/>
        <v>829.94605722000006</v>
      </c>
      <c r="N55" s="249">
        <f t="shared" si="44"/>
        <v>410.36221718100006</v>
      </c>
      <c r="O55" s="250">
        <f t="shared" si="45"/>
        <v>8617.6065608010013</v>
      </c>
      <c r="P55" s="251">
        <f t="shared" si="46"/>
        <v>6495.2982864000005</v>
      </c>
      <c r="Q55" s="477"/>
      <c r="R55" s="477"/>
      <c r="S55" s="477"/>
      <c r="T55" s="477"/>
      <c r="U55" s="252">
        <f t="shared" si="47"/>
        <v>356.4</v>
      </c>
      <c r="V55" s="252">
        <f t="shared" si="36"/>
        <v>6851.6982864000001</v>
      </c>
      <c r="W55" s="252">
        <f t="shared" si="48"/>
        <v>770.81605722000006</v>
      </c>
      <c r="X55" s="253">
        <f t="shared" si="49"/>
        <v>381.12571718100003</v>
      </c>
      <c r="Y55" s="254">
        <f t="shared" si="50"/>
        <v>8003.6400608010008</v>
      </c>
      <c r="Z55"/>
    </row>
    <row r="56" spans="1:26" ht="82.8" x14ac:dyDescent="0.3">
      <c r="A56" s="242" t="s">
        <v>1285</v>
      </c>
      <c r="B56" s="243">
        <f>2321*1.372</f>
        <v>3184.4120000000003</v>
      </c>
      <c r="C56" s="244">
        <f t="shared" si="37"/>
        <v>1773.7174840000002</v>
      </c>
      <c r="D56" s="244">
        <f t="shared" si="38"/>
        <v>4958.129484000001</v>
      </c>
      <c r="E56" s="245">
        <f t="shared" si="39"/>
        <v>594.97553808000009</v>
      </c>
      <c r="F56" s="246">
        <f t="shared" si="40"/>
        <v>5553.1050220800007</v>
      </c>
      <c r="G56" s="247">
        <f t="shared" si="41"/>
        <v>5553.1050220800007</v>
      </c>
      <c r="H56" s="248">
        <v>352</v>
      </c>
      <c r="I56" s="248">
        <v>150</v>
      </c>
      <c r="J56" s="248">
        <v>140</v>
      </c>
      <c r="K56" s="248">
        <v>240</v>
      </c>
      <c r="L56" s="248">
        <f t="shared" si="42"/>
        <v>6435.1050220800007</v>
      </c>
      <c r="M56" s="248">
        <f t="shared" si="43"/>
        <v>723.94931498400013</v>
      </c>
      <c r="N56" s="249">
        <f t="shared" si="44"/>
        <v>357.95271685320006</v>
      </c>
      <c r="O56" s="250">
        <f t="shared" si="45"/>
        <v>7517.0070539172011</v>
      </c>
      <c r="P56" s="251">
        <f t="shared" si="46"/>
        <v>5553.1050220800007</v>
      </c>
      <c r="Q56" s="477"/>
      <c r="R56" s="477"/>
      <c r="S56" s="477"/>
      <c r="T56" s="477"/>
      <c r="U56" s="252">
        <f t="shared" si="47"/>
        <v>356.4</v>
      </c>
      <c r="V56" s="252">
        <f t="shared" si="36"/>
        <v>5909.5050220800003</v>
      </c>
      <c r="W56" s="252">
        <f t="shared" si="48"/>
        <v>664.81931498400002</v>
      </c>
      <c r="X56" s="253">
        <f t="shared" si="49"/>
        <v>328.71621685320002</v>
      </c>
      <c r="Y56" s="254">
        <f t="shared" si="50"/>
        <v>6903.0405539172007</v>
      </c>
      <c r="Z56"/>
    </row>
    <row r="57" spans="1:26" ht="27.6" x14ac:dyDescent="0.3">
      <c r="A57" s="242" t="s">
        <v>1286</v>
      </c>
      <c r="B57" s="243">
        <v>2692.41</v>
      </c>
      <c r="C57" s="244">
        <f t="shared" si="37"/>
        <v>1499.67237</v>
      </c>
      <c r="D57" s="244">
        <f t="shared" si="38"/>
        <v>4192.0823700000001</v>
      </c>
      <c r="E57" s="245">
        <f t="shared" si="39"/>
        <v>503.0498844</v>
      </c>
      <c r="F57" s="246">
        <f t="shared" si="40"/>
        <v>4695.1322544000004</v>
      </c>
      <c r="G57" s="247">
        <f t="shared" si="41"/>
        <v>4695.1322544000004</v>
      </c>
      <c r="H57" s="248">
        <v>352</v>
      </c>
      <c r="I57" s="248">
        <v>150</v>
      </c>
      <c r="J57" s="248">
        <v>140</v>
      </c>
      <c r="K57" s="248">
        <v>240</v>
      </c>
      <c r="L57" s="248">
        <f t="shared" si="42"/>
        <v>5577.1322544000004</v>
      </c>
      <c r="M57" s="248">
        <f t="shared" si="43"/>
        <v>627.42737862000001</v>
      </c>
      <c r="N57" s="249">
        <f t="shared" si="44"/>
        <v>310.22798165100005</v>
      </c>
      <c r="O57" s="250">
        <f t="shared" si="45"/>
        <v>6514.7876146710005</v>
      </c>
      <c r="P57" s="251">
        <f t="shared" si="46"/>
        <v>4695.1322544000004</v>
      </c>
      <c r="Q57" s="477"/>
      <c r="R57" s="477"/>
      <c r="S57" s="477"/>
      <c r="T57" s="477"/>
      <c r="U57" s="252">
        <f t="shared" si="47"/>
        <v>356.4</v>
      </c>
      <c r="V57" s="252">
        <f t="shared" si="36"/>
        <v>5051.5322544000001</v>
      </c>
      <c r="W57" s="252">
        <f t="shared" si="48"/>
        <v>568.29737862000002</v>
      </c>
      <c r="X57" s="253">
        <f t="shared" si="49"/>
        <v>280.99148165100002</v>
      </c>
      <c r="Y57" s="254">
        <f t="shared" si="50"/>
        <v>5900.821114671</v>
      </c>
      <c r="Z57"/>
    </row>
    <row r="58" spans="1:26" ht="27.6" x14ac:dyDescent="0.3">
      <c r="A58" s="242" t="s">
        <v>1287</v>
      </c>
      <c r="B58" s="243">
        <f>1493.8*1.372</f>
        <v>2049.4936000000002</v>
      </c>
      <c r="C58" s="244">
        <f t="shared" si="37"/>
        <v>1141.5679352000002</v>
      </c>
      <c r="D58" s="244">
        <f t="shared" si="38"/>
        <v>3191.0615352000004</v>
      </c>
      <c r="E58" s="245">
        <f t="shared" si="39"/>
        <v>382.92738422400004</v>
      </c>
      <c r="F58" s="246">
        <f t="shared" si="40"/>
        <v>3573.9889194240004</v>
      </c>
      <c r="G58" s="247">
        <f t="shared" si="41"/>
        <v>3573.9889194240004</v>
      </c>
      <c r="H58" s="248">
        <v>352</v>
      </c>
      <c r="I58" s="248">
        <v>150</v>
      </c>
      <c r="J58" s="248">
        <v>140</v>
      </c>
      <c r="K58" s="248">
        <v>240</v>
      </c>
      <c r="L58" s="248">
        <f t="shared" si="42"/>
        <v>4455.9889194240004</v>
      </c>
      <c r="M58" s="248">
        <f t="shared" si="43"/>
        <v>501.29875343520007</v>
      </c>
      <c r="N58" s="249">
        <f t="shared" si="44"/>
        <v>247.86438364296001</v>
      </c>
      <c r="O58" s="250">
        <f t="shared" si="45"/>
        <v>5205.1520565021601</v>
      </c>
      <c r="P58" s="251">
        <f t="shared" si="46"/>
        <v>3573.9889194240004</v>
      </c>
      <c r="Q58" s="477"/>
      <c r="R58" s="477"/>
      <c r="S58" s="477"/>
      <c r="T58" s="477"/>
      <c r="U58" s="252">
        <f t="shared" si="47"/>
        <v>356.4</v>
      </c>
      <c r="V58" s="252">
        <f t="shared" si="36"/>
        <v>3930.3889194240005</v>
      </c>
      <c r="W58" s="252">
        <f t="shared" si="48"/>
        <v>442.16875343520007</v>
      </c>
      <c r="X58" s="253">
        <f t="shared" si="49"/>
        <v>218.62788364296003</v>
      </c>
      <c r="Y58" s="254">
        <f t="shared" si="50"/>
        <v>4591.1855565021606</v>
      </c>
      <c r="Z58"/>
    </row>
    <row r="59" spans="1:26" ht="27.6" x14ac:dyDescent="0.3">
      <c r="A59" s="242" t="s">
        <v>1288</v>
      </c>
      <c r="B59" s="243">
        <v>1949.89</v>
      </c>
      <c r="C59" s="244">
        <f t="shared" si="37"/>
        <v>1086.0887300000002</v>
      </c>
      <c r="D59" s="244">
        <f t="shared" si="38"/>
        <v>3035.9787300000003</v>
      </c>
      <c r="E59" s="245">
        <f t="shared" si="39"/>
        <v>364.31744760000004</v>
      </c>
      <c r="F59" s="246">
        <f t="shared" si="40"/>
        <v>3400.2961776000002</v>
      </c>
      <c r="G59" s="247">
        <f t="shared" si="41"/>
        <v>3400.2961776000002</v>
      </c>
      <c r="H59" s="248">
        <v>352</v>
      </c>
      <c r="I59" s="248">
        <v>150</v>
      </c>
      <c r="J59" s="248">
        <v>140</v>
      </c>
      <c r="K59" s="248">
        <v>240</v>
      </c>
      <c r="L59" s="248">
        <f t="shared" si="42"/>
        <v>4282.2961776000002</v>
      </c>
      <c r="M59" s="248">
        <f t="shared" si="43"/>
        <v>481.75831998000001</v>
      </c>
      <c r="N59" s="249">
        <f t="shared" si="44"/>
        <v>238.20272487900002</v>
      </c>
      <c r="O59" s="250">
        <f t="shared" si="45"/>
        <v>5002.2572224590003</v>
      </c>
      <c r="P59" s="251">
        <f t="shared" si="46"/>
        <v>3400.2961776000002</v>
      </c>
      <c r="Q59" s="477"/>
      <c r="R59" s="477"/>
      <c r="S59" s="477"/>
      <c r="T59" s="477"/>
      <c r="U59" s="252">
        <f t="shared" si="47"/>
        <v>356.4</v>
      </c>
      <c r="V59" s="252">
        <f t="shared" si="36"/>
        <v>3756.6961776000003</v>
      </c>
      <c r="W59" s="252">
        <f t="shared" si="48"/>
        <v>422.62831998000001</v>
      </c>
      <c r="X59" s="253">
        <f t="shared" si="49"/>
        <v>208.96622487900004</v>
      </c>
      <c r="Y59" s="254">
        <f t="shared" si="50"/>
        <v>4388.2907224589999</v>
      </c>
      <c r="Z59"/>
    </row>
    <row r="60" spans="1:26" ht="41.4" x14ac:dyDescent="0.3">
      <c r="A60" s="242" t="s">
        <v>1289</v>
      </c>
      <c r="B60" s="243">
        <f>3133.54*1.372</f>
        <v>4299.2168799999999</v>
      </c>
      <c r="C60" s="244">
        <f t="shared" si="37"/>
        <v>2394.6638021600002</v>
      </c>
      <c r="D60" s="244">
        <f t="shared" si="38"/>
        <v>6693.8806821600001</v>
      </c>
      <c r="E60" s="245">
        <f t="shared" si="39"/>
        <v>803.26568185919996</v>
      </c>
      <c r="F60" s="246">
        <f t="shared" si="40"/>
        <v>7497.1463640191996</v>
      </c>
      <c r="G60" s="247">
        <f t="shared" si="41"/>
        <v>7497.1463640191996</v>
      </c>
      <c r="H60" s="248">
        <v>352</v>
      </c>
      <c r="I60" s="248">
        <v>150</v>
      </c>
      <c r="J60" s="248">
        <v>140</v>
      </c>
      <c r="K60" s="248">
        <v>240</v>
      </c>
      <c r="L60" s="248">
        <f t="shared" si="42"/>
        <v>8379.1463640191996</v>
      </c>
      <c r="M60" s="248">
        <f t="shared" si="43"/>
        <v>942.65396595215998</v>
      </c>
      <c r="N60" s="249">
        <f t="shared" si="44"/>
        <v>466.09001649856805</v>
      </c>
      <c r="O60" s="250">
        <f t="shared" si="45"/>
        <v>9787.8903464699288</v>
      </c>
      <c r="P60" s="251">
        <f t="shared" si="46"/>
        <v>7497.1463640191996</v>
      </c>
      <c r="Q60" s="477"/>
      <c r="R60" s="477"/>
      <c r="S60" s="477"/>
      <c r="T60" s="477"/>
      <c r="U60" s="252">
        <f t="shared" si="47"/>
        <v>356.4</v>
      </c>
      <c r="V60" s="252">
        <f t="shared" si="36"/>
        <v>7853.5463640191992</v>
      </c>
      <c r="W60" s="252">
        <f t="shared" si="48"/>
        <v>883.52396595215998</v>
      </c>
      <c r="X60" s="253">
        <f t="shared" si="49"/>
        <v>436.85351649856796</v>
      </c>
      <c r="Y60" s="254">
        <f t="shared" si="50"/>
        <v>9173.9238464699265</v>
      </c>
      <c r="Z60"/>
    </row>
    <row r="61" spans="1:26" ht="55.2" x14ac:dyDescent="0.3">
      <c r="A61" s="242" t="s">
        <v>1290</v>
      </c>
      <c r="B61" s="243">
        <v>2465.0300000000002</v>
      </c>
      <c r="C61" s="244">
        <f t="shared" si="37"/>
        <v>1373.0217100000002</v>
      </c>
      <c r="D61" s="244">
        <f t="shared" si="38"/>
        <v>3838.0517100000006</v>
      </c>
      <c r="E61" s="245">
        <f t="shared" si="39"/>
        <v>460.56620520000007</v>
      </c>
      <c r="F61" s="246">
        <f t="shared" si="40"/>
        <v>4298.6179152000004</v>
      </c>
      <c r="G61" s="247">
        <f t="shared" si="41"/>
        <v>4298.6179152000004</v>
      </c>
      <c r="H61" s="248">
        <v>352</v>
      </c>
      <c r="I61" s="248">
        <v>150</v>
      </c>
      <c r="J61" s="248">
        <v>140</v>
      </c>
      <c r="K61" s="248">
        <v>240</v>
      </c>
      <c r="L61" s="248">
        <f t="shared" si="42"/>
        <v>5180.6179152000004</v>
      </c>
      <c r="M61" s="248">
        <f t="shared" si="43"/>
        <v>582.81951546000005</v>
      </c>
      <c r="N61" s="249">
        <f t="shared" si="44"/>
        <v>288.171871533</v>
      </c>
      <c r="O61" s="250">
        <f t="shared" si="45"/>
        <v>6051.6093021930001</v>
      </c>
      <c r="P61" s="251">
        <f t="shared" si="46"/>
        <v>4298.6179152000004</v>
      </c>
      <c r="Q61" s="477"/>
      <c r="R61" s="477"/>
      <c r="S61" s="477"/>
      <c r="T61" s="477"/>
      <c r="U61" s="252">
        <f t="shared" si="47"/>
        <v>356.4</v>
      </c>
      <c r="V61" s="252">
        <f t="shared" si="36"/>
        <v>4655.0179152000001</v>
      </c>
      <c r="W61" s="252">
        <f t="shared" si="48"/>
        <v>523.68951546000005</v>
      </c>
      <c r="X61" s="253">
        <f t="shared" si="49"/>
        <v>258.93537153300002</v>
      </c>
      <c r="Y61" s="254">
        <f t="shared" si="50"/>
        <v>5437.6428021930005</v>
      </c>
      <c r="Z61"/>
    </row>
    <row r="62" spans="1:26" ht="14.4" x14ac:dyDescent="0.3">
      <c r="A62"/>
      <c r="B62"/>
      <c r="C62"/>
      <c r="D62"/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</row>
    <row r="63" spans="1:26" ht="14.4" x14ac:dyDescent="0.3">
      <c r="A63" s="1243" t="s">
        <v>1248</v>
      </c>
      <c r="B63" s="1243"/>
      <c r="C63" s="9"/>
      <c r="E63" s="9"/>
      <c r="F63" s="9"/>
      <c r="G63" s="13"/>
      <c r="I63" s="9"/>
      <c r="K63" s="12"/>
      <c r="L63"/>
      <c r="M63"/>
      <c r="N63"/>
      <c r="O63"/>
      <c r="P63"/>
      <c r="Q63"/>
      <c r="R63"/>
      <c r="S63"/>
      <c r="T63"/>
      <c r="U63"/>
      <c r="V63"/>
      <c r="W63"/>
      <c r="X63"/>
      <c r="Y63"/>
    </row>
    <row r="64" spans="1:26" ht="14.4" x14ac:dyDescent="0.3">
      <c r="A64" s="1244" t="s">
        <v>1245</v>
      </c>
      <c r="B64" s="1244"/>
      <c r="C64" s="1244"/>
      <c r="D64" s="1244"/>
      <c r="E64" s="1244"/>
      <c r="F64" s="1244"/>
      <c r="G64" s="1244"/>
      <c r="H64" s="1244"/>
      <c r="I64" s="198"/>
      <c r="K64" s="12"/>
      <c r="L64"/>
      <c r="M64"/>
      <c r="N64"/>
      <c r="O64"/>
      <c r="P64"/>
      <c r="Q64"/>
      <c r="R64"/>
      <c r="S64"/>
      <c r="T64"/>
      <c r="U64"/>
      <c r="V64"/>
      <c r="W64"/>
      <c r="X64"/>
      <c r="Y64"/>
    </row>
    <row r="65" spans="1:24" ht="14.4" x14ac:dyDescent="0.3">
      <c r="A65" s="205" t="s">
        <v>1237</v>
      </c>
      <c r="B65" s="205" t="s">
        <v>1238</v>
      </c>
      <c r="C65" s="205" t="s">
        <v>1239</v>
      </c>
      <c r="D65" s="1245" t="s">
        <v>1240</v>
      </c>
      <c r="E65" s="1246"/>
      <c r="F65" s="205" t="s">
        <v>1241</v>
      </c>
      <c r="G65" s="205" t="s">
        <v>1246</v>
      </c>
      <c r="H65" s="205" t="s">
        <v>1249</v>
      </c>
      <c r="I65" s="198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</row>
    <row r="66" spans="1:24" ht="14.4" x14ac:dyDescent="0.3">
      <c r="A66" s="204" t="s">
        <v>1236</v>
      </c>
      <c r="B66" s="255">
        <v>0.7</v>
      </c>
      <c r="C66" s="256">
        <v>6</v>
      </c>
      <c r="D66" s="1247">
        <v>4</v>
      </c>
      <c r="E66" s="1248"/>
      <c r="F66" s="257">
        <f t="shared" ref="F66:F72" si="51">D66*C66</f>
        <v>24</v>
      </c>
      <c r="G66" s="256">
        <f t="shared" ref="G66:G72" si="52">F66*B66+F66</f>
        <v>40.799999999999997</v>
      </c>
      <c r="H66" s="258" t="s">
        <v>1250</v>
      </c>
      <c r="I66" s="9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</row>
    <row r="67" spans="1:24" ht="14.4" x14ac:dyDescent="0.3">
      <c r="A67" s="204" t="s">
        <v>1236</v>
      </c>
      <c r="B67" s="259">
        <v>1</v>
      </c>
      <c r="C67" s="260">
        <v>4</v>
      </c>
      <c r="D67" s="1249">
        <v>4</v>
      </c>
      <c r="E67" s="1250"/>
      <c r="F67" s="261">
        <f t="shared" si="51"/>
        <v>16</v>
      </c>
      <c r="G67" s="260">
        <f t="shared" si="52"/>
        <v>32</v>
      </c>
      <c r="H67" s="262"/>
      <c r="I67" s="9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</row>
    <row r="68" spans="1:24" ht="14.4" x14ac:dyDescent="0.3">
      <c r="A68" s="204" t="s">
        <v>1243</v>
      </c>
      <c r="B68" s="263">
        <v>0.5</v>
      </c>
      <c r="C68" s="264">
        <v>1</v>
      </c>
      <c r="D68" s="1249">
        <v>18</v>
      </c>
      <c r="E68" s="1250"/>
      <c r="F68" s="265">
        <f t="shared" si="51"/>
        <v>18</v>
      </c>
      <c r="G68" s="264">
        <f t="shared" si="52"/>
        <v>27</v>
      </c>
      <c r="H68" s="266" t="s">
        <v>1251</v>
      </c>
      <c r="I68" s="9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</row>
    <row r="69" spans="1:24" ht="14.4" x14ac:dyDescent="0.3">
      <c r="A69" s="204" t="s">
        <v>1243</v>
      </c>
      <c r="B69" s="263">
        <v>1</v>
      </c>
      <c r="C69" s="264">
        <v>1</v>
      </c>
      <c r="D69" s="1249">
        <v>18</v>
      </c>
      <c r="E69" s="1250"/>
      <c r="F69" s="265">
        <f t="shared" si="51"/>
        <v>18</v>
      </c>
      <c r="G69" s="264">
        <f t="shared" si="52"/>
        <v>36</v>
      </c>
      <c r="H69" s="266"/>
      <c r="I69" s="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</row>
    <row r="70" spans="1:24" ht="14.4" x14ac:dyDescent="0.3">
      <c r="A70" s="204" t="s">
        <v>1244</v>
      </c>
      <c r="B70" s="263">
        <v>0.5</v>
      </c>
      <c r="C70" s="264">
        <v>2</v>
      </c>
      <c r="D70" s="1249">
        <v>4</v>
      </c>
      <c r="E70" s="1250"/>
      <c r="F70" s="265">
        <f t="shared" si="51"/>
        <v>8</v>
      </c>
      <c r="G70" s="264">
        <f t="shared" si="52"/>
        <v>12</v>
      </c>
      <c r="H70" s="266" t="s">
        <v>1252</v>
      </c>
      <c r="I70" s="9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</row>
    <row r="71" spans="1:24" ht="14.4" x14ac:dyDescent="0.3">
      <c r="A71" s="204" t="s">
        <v>1244</v>
      </c>
      <c r="B71" s="263">
        <v>1</v>
      </c>
      <c r="C71" s="264">
        <v>2</v>
      </c>
      <c r="D71" s="1249">
        <v>4</v>
      </c>
      <c r="E71" s="1250"/>
      <c r="F71" s="265">
        <f t="shared" si="51"/>
        <v>8</v>
      </c>
      <c r="G71" s="264">
        <f t="shared" si="52"/>
        <v>16</v>
      </c>
      <c r="H71" s="266"/>
      <c r="I71" s="9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</row>
    <row r="72" spans="1:24" ht="14.4" x14ac:dyDescent="0.3">
      <c r="A72" s="204" t="s">
        <v>1242</v>
      </c>
      <c r="B72" s="267">
        <v>1</v>
      </c>
      <c r="C72" s="268">
        <v>8</v>
      </c>
      <c r="D72" s="1241">
        <v>0</v>
      </c>
      <c r="E72" s="1242"/>
      <c r="F72" s="269">
        <f t="shared" si="51"/>
        <v>0</v>
      </c>
      <c r="G72" s="268">
        <f t="shared" si="52"/>
        <v>0</v>
      </c>
      <c r="H72" s="270" t="s">
        <v>1253</v>
      </c>
      <c r="I72" s="9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</row>
    <row r="73" spans="1:24" ht="14.4" x14ac:dyDescent="0.3">
      <c r="A73" s="271" t="s">
        <v>1247</v>
      </c>
      <c r="B73" s="272"/>
      <c r="C73" s="272"/>
      <c r="D73" s="272"/>
      <c r="E73" s="272"/>
      <c r="F73" s="272"/>
      <c r="G73" s="206">
        <f>SUM(G66:G72)</f>
        <v>163.80000000000001</v>
      </c>
      <c r="H73" s="206"/>
      <c r="I73" s="9"/>
      <c r="K73" s="12"/>
      <c r="L73"/>
      <c r="M73"/>
      <c r="N73"/>
      <c r="O73"/>
      <c r="P73"/>
      <c r="Q73"/>
      <c r="R73"/>
      <c r="S73"/>
      <c r="T73"/>
      <c r="U73"/>
      <c r="V73"/>
      <c r="W73"/>
      <c r="X73"/>
    </row>
    <row r="74" spans="1:24" ht="14.4" x14ac:dyDescent="0.3">
      <c r="A74"/>
      <c r="B74"/>
      <c r="C74"/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</row>
    <row r="75" spans="1:24" ht="14.4" x14ac:dyDescent="0.3">
      <c r="A75"/>
      <c r="B75"/>
      <c r="C75"/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</row>
    <row r="76" spans="1:24" ht="14.4" x14ac:dyDescent="0.3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</row>
  </sheetData>
  <mergeCells count="59">
    <mergeCell ref="V37:V38"/>
    <mergeCell ref="I51:I52"/>
    <mergeCell ref="J51:J52"/>
    <mergeCell ref="L51:L52"/>
    <mergeCell ref="O51:O52"/>
    <mergeCell ref="V51:V52"/>
    <mergeCell ref="G50:N50"/>
    <mergeCell ref="P51:P52"/>
    <mergeCell ref="U51:U52"/>
    <mergeCell ref="U37:U38"/>
    <mergeCell ref="Y51:Y52"/>
    <mergeCell ref="K51:K52"/>
    <mergeCell ref="O50:X50"/>
    <mergeCell ref="G51:G52"/>
    <mergeCell ref="H51:H52"/>
    <mergeCell ref="D72:E72"/>
    <mergeCell ref="A63:B63"/>
    <mergeCell ref="A64:H64"/>
    <mergeCell ref="D65:E65"/>
    <mergeCell ref="D66:E66"/>
    <mergeCell ref="D67:E67"/>
    <mergeCell ref="D68:E68"/>
    <mergeCell ref="D69:E69"/>
    <mergeCell ref="D70:E70"/>
    <mergeCell ref="D71:E71"/>
    <mergeCell ref="A50:B51"/>
    <mergeCell ref="C50:C51"/>
    <mergeCell ref="D50:D52"/>
    <mergeCell ref="E50:E51"/>
    <mergeCell ref="F50:F52"/>
    <mergeCell ref="Y37:Y38"/>
    <mergeCell ref="A36:B37"/>
    <mergeCell ref="C36:C37"/>
    <mergeCell ref="D36:D38"/>
    <mergeCell ref="E36:E37"/>
    <mergeCell ref="F36:F38"/>
    <mergeCell ref="G36:N36"/>
    <mergeCell ref="O36:X36"/>
    <mergeCell ref="G37:G38"/>
    <mergeCell ref="H37:H38"/>
    <mergeCell ref="I37:I38"/>
    <mergeCell ref="J37:J38"/>
    <mergeCell ref="L37:L38"/>
    <mergeCell ref="O37:O38"/>
    <mergeCell ref="P37:P38"/>
    <mergeCell ref="K37:K38"/>
    <mergeCell ref="A34:I34"/>
    <mergeCell ref="A24:B24"/>
    <mergeCell ref="G30:H30"/>
    <mergeCell ref="G32:H32"/>
    <mergeCell ref="G28:H28"/>
    <mergeCell ref="G29:H29"/>
    <mergeCell ref="G31:H31"/>
    <mergeCell ref="G33:H33"/>
    <mergeCell ref="A21:G21"/>
    <mergeCell ref="E1:N1"/>
    <mergeCell ref="A25:J25"/>
    <mergeCell ref="G26:H26"/>
    <mergeCell ref="G27:H27"/>
  </mergeCells>
  <conditionalFormatting sqref="AQ6 W6:AP19">
    <cfRule type="cellIs" dxfId="0" priority="2" operator="notEqual">
      <formula>0</formula>
    </cfRule>
  </conditionalFormatting>
  <pageMargins left="0.511811024" right="0.511811024" top="0.78740157499999996" bottom="0.78740157499999996" header="0.31496062000000002" footer="0.31496062000000002"/>
  <pageSetup paperSize="9" scale="85" orientation="landscape" horizontalDpi="200" verticalDpi="200" r:id="rId1"/>
  <colBreaks count="1" manualBreakCount="1">
    <brk id="21" max="1048575" man="1"/>
  </colBreaks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23"/>
  <sheetViews>
    <sheetView workbookViewId="0">
      <selection activeCell="L5" sqref="L5"/>
    </sheetView>
  </sheetViews>
  <sheetFormatPr defaultColWidth="8.88671875" defaultRowHeight="14.4" x14ac:dyDescent="0.3"/>
  <cols>
    <col min="1" max="1" width="14.6640625" style="525" customWidth="1"/>
    <col min="2" max="2" width="17.88671875" style="525" customWidth="1"/>
    <col min="3" max="4" width="11" style="525" customWidth="1"/>
    <col min="5" max="5" width="15.33203125" style="525" customWidth="1"/>
    <col min="6" max="16384" width="8.88671875" style="525"/>
  </cols>
  <sheetData>
    <row r="1" spans="1:5" x14ac:dyDescent="0.3">
      <c r="A1" s="1252" t="s">
        <v>3472</v>
      </c>
      <c r="B1" s="1252"/>
      <c r="C1" s="1252"/>
      <c r="D1" s="555"/>
    </row>
    <row r="2" spans="1:5" x14ac:dyDescent="0.3">
      <c r="A2" s="554" t="s">
        <v>3473</v>
      </c>
      <c r="B2" s="554" t="s">
        <v>3474</v>
      </c>
      <c r="C2" s="554" t="s">
        <v>936</v>
      </c>
      <c r="D2" s="554" t="s">
        <v>3520</v>
      </c>
      <c r="E2" s="525" t="s">
        <v>3475</v>
      </c>
    </row>
    <row r="3" spans="1:5" x14ac:dyDescent="0.3">
      <c r="A3" s="559" t="s">
        <v>3476</v>
      </c>
      <c r="B3" s="553">
        <v>680000</v>
      </c>
      <c r="C3" s="558">
        <v>44500</v>
      </c>
      <c r="D3" s="558">
        <f>B3/C3</f>
        <v>15.280898876404494</v>
      </c>
      <c r="E3" s="525" t="s">
        <v>3477</v>
      </c>
    </row>
    <row r="4" spans="1:5" x14ac:dyDescent="0.3">
      <c r="A4" s="552" t="s">
        <v>3295</v>
      </c>
      <c r="B4" s="553">
        <f>530667.41+20000</f>
        <v>550667.41</v>
      </c>
      <c r="C4" s="558">
        <v>44033.440000000002</v>
      </c>
      <c r="D4" s="558">
        <f>B4/C4</f>
        <v>12.505664104371586</v>
      </c>
      <c r="E4" s="525" t="s">
        <v>3478</v>
      </c>
    </row>
    <row r="5" spans="1:5" x14ac:dyDescent="0.3">
      <c r="A5" s="552" t="s">
        <v>3479</v>
      </c>
      <c r="B5" s="553">
        <v>460010</v>
      </c>
      <c r="C5" s="558">
        <v>42303</v>
      </c>
      <c r="D5" s="558">
        <f>B5/C5</f>
        <v>10.874169680637307</v>
      </c>
      <c r="E5" s="525" t="s">
        <v>3480</v>
      </c>
    </row>
    <row r="6" spans="1:5" x14ac:dyDescent="0.3">
      <c r="A6" s="559" t="s">
        <v>3481</v>
      </c>
      <c r="B6" s="553">
        <v>557151</v>
      </c>
      <c r="C6" s="558">
        <v>39967</v>
      </c>
      <c r="D6" s="558">
        <f>B6/C6</f>
        <v>13.940275727475168</v>
      </c>
      <c r="E6" s="525" t="s">
        <v>3480</v>
      </c>
    </row>
    <row r="9" spans="1:5" x14ac:dyDescent="0.3">
      <c r="A9" s="1253" t="s">
        <v>3482</v>
      </c>
      <c r="B9" s="1253"/>
      <c r="C9" s="1253"/>
      <c r="D9" s="555"/>
    </row>
    <row r="10" spans="1:5" x14ac:dyDescent="0.3">
      <c r="A10" s="556" t="s">
        <v>3473</v>
      </c>
      <c r="B10" s="556" t="s">
        <v>3483</v>
      </c>
      <c r="C10" s="556" t="s">
        <v>3485</v>
      </c>
      <c r="D10" s="560"/>
      <c r="E10" s="525" t="s">
        <v>3488</v>
      </c>
    </row>
    <row r="11" spans="1:5" x14ac:dyDescent="0.3">
      <c r="A11" s="556" t="s">
        <v>3484</v>
      </c>
      <c r="B11" s="557">
        <v>41000</v>
      </c>
      <c r="C11" s="556" t="s">
        <v>3486</v>
      </c>
      <c r="D11" s="560"/>
      <c r="E11" s="525" t="s">
        <v>3487</v>
      </c>
    </row>
    <row r="12" spans="1:5" x14ac:dyDescent="0.3">
      <c r="A12" s="556" t="s">
        <v>3484</v>
      </c>
      <c r="B12" s="557">
        <v>34000</v>
      </c>
      <c r="C12" s="556" t="s">
        <v>3486</v>
      </c>
      <c r="D12" s="560"/>
      <c r="E12" s="525" t="s">
        <v>3495</v>
      </c>
    </row>
    <row r="13" spans="1:5" x14ac:dyDescent="0.3">
      <c r="A13" s="556" t="s">
        <v>935</v>
      </c>
      <c r="B13" s="557">
        <v>119308</v>
      </c>
      <c r="C13" s="556" t="s">
        <v>3494</v>
      </c>
      <c r="D13" s="560"/>
      <c r="E13" s="525" t="s">
        <v>3493</v>
      </c>
    </row>
    <row r="16" spans="1:5" x14ac:dyDescent="0.3">
      <c r="A16" s="1253" t="s">
        <v>3489</v>
      </c>
      <c r="B16" s="1253"/>
    </row>
    <row r="17" spans="1:3" x14ac:dyDescent="0.3">
      <c r="A17" s="556" t="s">
        <v>3473</v>
      </c>
      <c r="B17" s="556" t="s">
        <v>3483</v>
      </c>
    </row>
    <row r="18" spans="1:3" x14ac:dyDescent="0.3">
      <c r="A18" s="556" t="s">
        <v>3490</v>
      </c>
      <c r="B18" s="561">
        <v>697218.11</v>
      </c>
      <c r="C18" s="525" t="s">
        <v>3491</v>
      </c>
    </row>
    <row r="21" spans="1:3" x14ac:dyDescent="0.3">
      <c r="A21" s="1252" t="s">
        <v>1160</v>
      </c>
      <c r="B21" s="1252"/>
    </row>
    <row r="22" spans="1:3" x14ac:dyDescent="0.3">
      <c r="A22" s="556" t="s">
        <v>3473</v>
      </c>
      <c r="B22" s="556" t="s">
        <v>3483</v>
      </c>
    </row>
    <row r="23" spans="1:3" x14ac:dyDescent="0.3">
      <c r="A23" s="556" t="s">
        <v>3471</v>
      </c>
      <c r="B23" s="561">
        <v>224100</v>
      </c>
    </row>
  </sheetData>
  <mergeCells count="4">
    <mergeCell ref="A1:C1"/>
    <mergeCell ref="A9:C9"/>
    <mergeCell ref="A16:B16"/>
    <mergeCell ref="A21:B21"/>
  </mergeCells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2:D21"/>
  <sheetViews>
    <sheetView workbookViewId="0">
      <selection activeCell="G20" sqref="G20"/>
    </sheetView>
  </sheetViews>
  <sheetFormatPr defaultRowHeight="14.4" x14ac:dyDescent="0.3"/>
  <cols>
    <col min="1" max="1" width="15.88671875" style="280" bestFit="1" customWidth="1"/>
    <col min="3" max="3" width="13.109375" bestFit="1" customWidth="1"/>
    <col min="4" max="4" width="15.88671875" bestFit="1" customWidth="1"/>
  </cols>
  <sheetData>
    <row r="2" spans="1:4" x14ac:dyDescent="0.3">
      <c r="A2" t="s">
        <v>2580</v>
      </c>
      <c r="B2">
        <v>626</v>
      </c>
    </row>
    <row r="3" spans="1:4" x14ac:dyDescent="0.3">
      <c r="A3"/>
      <c r="B3" s="313"/>
      <c r="C3" s="313"/>
      <c r="D3" s="313"/>
    </row>
    <row r="4" spans="1:4" x14ac:dyDescent="0.3">
      <c r="A4"/>
      <c r="B4" s="313" t="s">
        <v>2597</v>
      </c>
      <c r="C4" s="313"/>
      <c r="D4" s="313" t="s">
        <v>2593</v>
      </c>
    </row>
    <row r="5" spans="1:4" x14ac:dyDescent="0.3">
      <c r="A5" t="s">
        <v>2585</v>
      </c>
      <c r="B5">
        <f>165-B6</f>
        <v>132.93</v>
      </c>
      <c r="C5">
        <v>1</v>
      </c>
      <c r="D5">
        <f t="shared" ref="D5:D12" si="0">C5*B5</f>
        <v>132.93</v>
      </c>
    </row>
    <row r="6" spans="1:4" x14ac:dyDescent="0.3">
      <c r="A6" t="s">
        <v>2586</v>
      </c>
      <c r="B6">
        <v>32.07</v>
      </c>
      <c r="C6">
        <v>1</v>
      </c>
      <c r="D6">
        <f t="shared" si="0"/>
        <v>32.07</v>
      </c>
    </row>
    <row r="7" spans="1:4" x14ac:dyDescent="0.3">
      <c r="A7" t="s">
        <v>2587</v>
      </c>
      <c r="B7">
        <f>106-B8</f>
        <v>88.83</v>
      </c>
      <c r="C7">
        <v>1</v>
      </c>
      <c r="D7">
        <f t="shared" si="0"/>
        <v>88.83</v>
      </c>
    </row>
    <row r="8" spans="1:4" x14ac:dyDescent="0.3">
      <c r="A8" t="s">
        <v>2586</v>
      </c>
      <c r="B8">
        <f>6.01+9.16+2</f>
        <v>17.170000000000002</v>
      </c>
      <c r="C8">
        <v>1</v>
      </c>
      <c r="D8">
        <f t="shared" si="0"/>
        <v>17.170000000000002</v>
      </c>
    </row>
    <row r="9" spans="1:4" x14ac:dyDescent="0.3">
      <c r="A9" t="s">
        <v>2588</v>
      </c>
      <c r="B9">
        <f>4.95+2.1+4.43+3.43+11.69</f>
        <v>26.6</v>
      </c>
      <c r="C9">
        <v>1</v>
      </c>
      <c r="D9">
        <f t="shared" si="0"/>
        <v>26.6</v>
      </c>
    </row>
    <row r="10" spans="1:4" x14ac:dyDescent="0.3">
      <c r="A10" t="s">
        <v>2589</v>
      </c>
      <c r="B10">
        <v>78.099999999999994</v>
      </c>
      <c r="C10">
        <v>1</v>
      </c>
      <c r="D10">
        <f t="shared" si="0"/>
        <v>78.099999999999994</v>
      </c>
    </row>
    <row r="11" spans="1:4" x14ac:dyDescent="0.3">
      <c r="A11" t="s">
        <v>2590</v>
      </c>
      <c r="B11">
        <v>35.81</v>
      </c>
      <c r="C11">
        <v>1</v>
      </c>
      <c r="D11">
        <f t="shared" si="0"/>
        <v>35.81</v>
      </c>
    </row>
    <row r="12" spans="1:4" x14ac:dyDescent="0.3">
      <c r="A12" t="s">
        <v>2591</v>
      </c>
      <c r="B12">
        <f>B2-B5-B6-B9-B10-B11</f>
        <v>320.48999999999995</v>
      </c>
      <c r="C12">
        <v>0.5</v>
      </c>
      <c r="D12">
        <f t="shared" si="0"/>
        <v>160.24499999999998</v>
      </c>
    </row>
    <row r="13" spans="1:4" x14ac:dyDescent="0.3">
      <c r="A13"/>
    </row>
    <row r="14" spans="1:4" x14ac:dyDescent="0.3">
      <c r="A14"/>
      <c r="C14" t="s">
        <v>2597</v>
      </c>
      <c r="D14" s="314">
        <f>SUM(B5:B12)</f>
        <v>732</v>
      </c>
    </row>
    <row r="15" spans="1:4" x14ac:dyDescent="0.3">
      <c r="A15"/>
      <c r="C15" t="s">
        <v>2593</v>
      </c>
      <c r="D15" s="314">
        <f>SUM(D5:D12)</f>
        <v>571.755</v>
      </c>
    </row>
    <row r="16" spans="1:4" x14ac:dyDescent="0.3">
      <c r="A16"/>
    </row>
    <row r="17" spans="3:4" x14ac:dyDescent="0.3">
      <c r="C17" t="s">
        <v>2594</v>
      </c>
      <c r="D17" s="280">
        <v>1371984.6891125389</v>
      </c>
    </row>
    <row r="19" spans="3:4" x14ac:dyDescent="0.3">
      <c r="C19" t="s">
        <v>2595</v>
      </c>
      <c r="D19" s="174">
        <f>D17/D15</f>
        <v>2399.6024330570594</v>
      </c>
    </row>
    <row r="21" spans="3:4" x14ac:dyDescent="0.3">
      <c r="C21" t="s">
        <v>2596</v>
      </c>
      <c r="D21" s="174">
        <f>D17/D14</f>
        <v>1874.2960233777853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22</vt:i4>
      </vt:variant>
      <vt:variant>
        <vt:lpstr>Intervalos Nomeados</vt:lpstr>
      </vt:variant>
      <vt:variant>
        <vt:i4>21</vt:i4>
      </vt:variant>
    </vt:vector>
  </HeadingPairs>
  <TitlesOfParts>
    <vt:vector size="43" baseType="lpstr">
      <vt:lpstr>Quadro de Areas</vt:lpstr>
      <vt:lpstr>02. Orçamento RASO</vt:lpstr>
      <vt:lpstr>02. Orçamento - opção troca pis</vt:lpstr>
      <vt:lpstr>01. Resumo Final</vt:lpstr>
      <vt:lpstr>02. Dados Gerais</vt:lpstr>
      <vt:lpstr>03. Quadro de Áreas</vt:lpstr>
      <vt:lpstr>02. Orçamento</vt:lpstr>
      <vt:lpstr>03. Insumos</vt:lpstr>
      <vt:lpstr>04. Histograma MO</vt:lpstr>
      <vt:lpstr>Consideraçoes</vt:lpstr>
      <vt:lpstr>05. Histograma Equip</vt:lpstr>
      <vt:lpstr>06. Controle de Premissas</vt:lpstr>
      <vt:lpstr>Planilha1</vt:lpstr>
      <vt:lpstr>Comparativo</vt:lpstr>
      <vt:lpstr>07. Lista de Projetos</vt:lpstr>
      <vt:lpstr>Quadro de áreas</vt:lpstr>
      <vt:lpstr>Cronograma Financeiro</vt:lpstr>
      <vt:lpstr>02. Orçamento com BDI (2)</vt:lpstr>
      <vt:lpstr>02. Orçamento total sem BDI op1</vt:lpstr>
      <vt:lpstr>05. Histograma MO</vt:lpstr>
      <vt:lpstr>Comparativo de Orçamento</vt:lpstr>
      <vt:lpstr>Área equivalente</vt:lpstr>
      <vt:lpstr>'01. Resumo Final'!Area_de_impressao</vt:lpstr>
      <vt:lpstr>'02. Dados Gerais'!Area_de_impressao</vt:lpstr>
      <vt:lpstr>'02. Orçamento'!Area_de_impressao</vt:lpstr>
      <vt:lpstr>'02. Orçamento - opção troca pis'!Area_de_impressao</vt:lpstr>
      <vt:lpstr>'02. Orçamento com BDI (2)'!Area_de_impressao</vt:lpstr>
      <vt:lpstr>'02. Orçamento RASO'!Area_de_impressao</vt:lpstr>
      <vt:lpstr>'02. Orçamento total sem BDI op1'!Area_de_impressao</vt:lpstr>
      <vt:lpstr>'04. Histograma MO'!Area_de_impressao</vt:lpstr>
      <vt:lpstr>'05. Histograma Equip'!Area_de_impressao</vt:lpstr>
      <vt:lpstr>'05. Histograma MO'!Area_de_impressao</vt:lpstr>
      <vt:lpstr>'06. Controle de Premissas'!Area_de_impressao</vt:lpstr>
      <vt:lpstr>'07. Lista de Projetos'!Area_de_impressao</vt:lpstr>
      <vt:lpstr>'Cronograma Financeiro'!Area_de_impressao</vt:lpstr>
      <vt:lpstr>'Quadro de Areas'!Area_de_impressao</vt:lpstr>
      <vt:lpstr>'Quadro de áreas'!Area_de_impressao</vt:lpstr>
      <vt:lpstr>'02. Orçamento'!Titulos_de_impressao</vt:lpstr>
      <vt:lpstr>'02. Orçamento - opção troca pis'!Titulos_de_impressao</vt:lpstr>
      <vt:lpstr>'02. Orçamento com BDI (2)'!Titulos_de_impressao</vt:lpstr>
      <vt:lpstr>'02. Orçamento total sem BDI op1'!Titulos_de_impressao</vt:lpstr>
      <vt:lpstr>'06. Controle de Premissas'!Titulos_de_impressao</vt:lpstr>
      <vt:lpstr>'07. Lista de Projetos'!Titulos_de_impressao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MASTER</dc:creator>
  <cp:lastModifiedBy>Flavio Padilha</cp:lastModifiedBy>
  <cp:lastPrinted>2025-11-24T02:45:51Z</cp:lastPrinted>
  <dcterms:created xsi:type="dcterms:W3CDTF">2016-06-16T03:58:08Z</dcterms:created>
  <dcterms:modified xsi:type="dcterms:W3CDTF">2026-06-17T11:42:19Z</dcterms:modified>
</cp:coreProperties>
</file>